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threadedComments/threadedComment3.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4.xml" ContentType="application/vnd.ms-excel.threadedcomments+xml"/>
  <Override PartName="/xl/comments9.xml" ContentType="application/vnd.openxmlformats-officedocument.spreadsheetml.comments+xml"/>
  <Override PartName="/xl/threadedComments/threadedComment5.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https://rslu.sharepoint.com/sites/RideauSt.LawrenceUtilitiesInc/Common/Y Drive files/Rate Application/2022 COS/Settlement/Models Settlement Proposal/2022 RSL Load Forecast/"/>
    </mc:Choice>
  </mc:AlternateContent>
  <xr:revisionPtr revIDLastSave="1505" documentId="8_{7B344A78-33DD-45EC-B8D8-1A930FBB1BA6}" xr6:coauthVersionLast="47" xr6:coauthVersionMax="47" xr10:uidLastSave="{C1C28CB2-BBF0-49EC-AF48-1963DED0F630}"/>
  <bookViews>
    <workbookView xWindow="-108" yWindow="-108" windowWidth="23256" windowHeight="12576" tabRatio="770" firstSheet="2" activeTab="2" xr2:uid="{00000000-000D-0000-FFFF-FFFF00000000}"/>
  </bookViews>
  <sheets>
    <sheet name="Exhibit 3 Tables 1" sheetId="45" r:id="rId1"/>
    <sheet name="Exhibit 3 Tables 2" sheetId="46" r:id="rId2"/>
    <sheet name="Summary" sheetId="11" r:id="rId3"/>
    <sheet name="Purchased Power Model No CDM" sheetId="36" r:id="rId4"/>
    <sheet name="Rate Class Energy Model " sheetId="38" r:id="rId5"/>
    <sheet name="Weather Normalized Historical" sheetId="56" r:id="rId6"/>
    <sheet name="Rate Class Customer Model" sheetId="17" r:id="rId7"/>
    <sheet name="Rate Class Load Model" sheetId="18" r:id="rId8"/>
    <sheet name="HDD &amp; CDD" sheetId="32" r:id="rId9"/>
    <sheet name="CDM Activity" sheetId="37" r:id="rId10"/>
    <sheet name="App.2-R_Loss Factors" sheetId="39" r:id="rId11"/>
    <sheet name="2022 COP Forecast" sheetId="34" r:id="rId12"/>
    <sheet name="Bridge RPP Split" sheetId="60" r:id="rId13"/>
    <sheet name="Bridge COP Forecast" sheetId="61" r:id="rId14"/>
    <sheet name="Commodity Price" sheetId="35" r:id="rId15"/>
    <sheet name="Sheet3" sheetId="59" r:id="rId16"/>
    <sheet name="2020 COP Forecast" sheetId="33" r:id="rId17"/>
    <sheet name="Regression Senarios " sheetId="49"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Order1" hidden="1">255</definedName>
    <definedName name="_Sort" localSheetId="10" hidden="1">[1]Sheet1!$G$40:$K$40</definedName>
    <definedName name="_Sort" localSheetId="9" hidden="1">[2]Sheet1!$G$40:$K$40</definedName>
    <definedName name="_Sort" localSheetId="8" hidden="1">[3]Sheet1!$G$40:$K$40</definedName>
    <definedName name="_Sort" localSheetId="3" hidden="1">[1]Sheet1!$G$40:$K$40</definedName>
    <definedName name="_Sort" localSheetId="4" hidden="1">[1]Sheet1!$G$40:$K$40</definedName>
    <definedName name="_Sort" localSheetId="17" hidden="1">[1]Sheet1!$G$40:$K$40</definedName>
    <definedName name="_Sort" localSheetId="5" hidden="1">[1]Sheet1!$G$40:$K$40</definedName>
    <definedName name="_Sort" hidden="1">[2]Sheet1!$G$40:$K$40</definedName>
    <definedName name="abc">[4]Refs!$B$8</definedName>
    <definedName name="AllVariables" localSheetId="9">'[5]5.Variables'!$B$132:$B$137</definedName>
    <definedName name="AllVariables">'[6]5.Variables'!$B$132:$B$137</definedName>
    <definedName name="BI_LDCLIST">'[7]3. Rate Class Selection'!$B$19:$B$21</definedName>
    <definedName name="BridgeYear">'[8]LDC Info'!$E$26</definedName>
    <definedName name="CAfile">[9]Refs!$B$2</definedName>
    <definedName name="CArevReq">[9]Refs!$B$6</definedName>
    <definedName name="ClassRange1">[9]Refs!$B$3</definedName>
    <definedName name="ClassRange2">[9]Refs!$B$4</definedName>
    <definedName name="contactf" localSheetId="10">#REF!</definedName>
    <definedName name="contactf" localSheetId="9">#REF!</definedName>
    <definedName name="contactf" localSheetId="4">#REF!</definedName>
    <definedName name="contactf" localSheetId="17">#REF!</definedName>
    <definedName name="contactf" localSheetId="5">#REF!</definedName>
    <definedName name="contactf">#REF!</definedName>
    <definedName name="CustomerAdministration">[8]lists!$Z$1:$Z$36</definedName>
    <definedName name="EBNUMBER">'[8]LDC Info'!$E$16</definedName>
    <definedName name="Fixed_Charges">[8]lists!$I$1:$I$212</definedName>
    <definedName name="FolderPath">[9]Menu!$C$8</definedName>
    <definedName name="histdate">[10]Financials!$E$76</definedName>
    <definedName name="Incr2000" localSheetId="10">#REF!</definedName>
    <definedName name="Incr2000" localSheetId="9">#REF!</definedName>
    <definedName name="Incr2000" localSheetId="4">#REF!</definedName>
    <definedName name="Incr2000" localSheetId="17">#REF!</definedName>
    <definedName name="Incr2000" localSheetId="5">#REF!</definedName>
    <definedName name="Incr2000">#REF!</definedName>
    <definedName name="LDC_LIST">[11]lists!$AM$1:$AM$80</definedName>
    <definedName name="LIMIT" localSheetId="10">#REF!</definedName>
    <definedName name="LIMIT" localSheetId="9">#REF!</definedName>
    <definedName name="LIMIT" localSheetId="4">#REF!</definedName>
    <definedName name="LIMIT" localSheetId="17">#REF!</definedName>
    <definedName name="LIMIT" localSheetId="5">#REF!</definedName>
    <definedName name="LIMIT">#REF!</definedName>
    <definedName name="LossFactors">[8]lists!$L$2:$L$15</definedName>
    <definedName name="man_beg_bud" localSheetId="10">#REF!</definedName>
    <definedName name="man_beg_bud" localSheetId="9">#REF!</definedName>
    <definedName name="man_beg_bud" localSheetId="4">#REF!</definedName>
    <definedName name="man_beg_bud" localSheetId="17">#REF!</definedName>
    <definedName name="man_beg_bud" localSheetId="5">#REF!</definedName>
    <definedName name="man_beg_bud">#REF!</definedName>
    <definedName name="man_end_bud" localSheetId="10">#REF!</definedName>
    <definedName name="man_end_bud" localSheetId="9">#REF!</definedName>
    <definedName name="man_end_bud" localSheetId="4">#REF!</definedName>
    <definedName name="man_end_bud" localSheetId="17">#REF!</definedName>
    <definedName name="man_end_bud" localSheetId="5">#REF!</definedName>
    <definedName name="man_end_bud">#REF!</definedName>
    <definedName name="man12ACT" localSheetId="10">#REF!</definedName>
    <definedName name="man12ACT" localSheetId="9">#REF!</definedName>
    <definedName name="man12ACT" localSheetId="4">#REF!</definedName>
    <definedName name="man12ACT" localSheetId="17">#REF!</definedName>
    <definedName name="man12ACT" localSheetId="5">#REF!</definedName>
    <definedName name="man12ACT">#REF!</definedName>
    <definedName name="MANBUD" localSheetId="10">#REF!</definedName>
    <definedName name="MANBUD" localSheetId="9">#REF!</definedName>
    <definedName name="MANBUD" localSheetId="4">#REF!</definedName>
    <definedName name="MANBUD" localSheetId="17">#REF!</definedName>
    <definedName name="MANBUD" localSheetId="5">#REF!</definedName>
    <definedName name="MANBUD">#REF!</definedName>
    <definedName name="manCYACT" localSheetId="10">#REF!</definedName>
    <definedName name="manCYACT" localSheetId="9">#REF!</definedName>
    <definedName name="manCYACT" localSheetId="4">#REF!</definedName>
    <definedName name="manCYACT" localSheetId="17">#REF!</definedName>
    <definedName name="manCYACT" localSheetId="5">#REF!</definedName>
    <definedName name="manCYACT">#REF!</definedName>
    <definedName name="manCYBUD" localSheetId="10">#REF!</definedName>
    <definedName name="manCYBUD" localSheetId="9">#REF!</definedName>
    <definedName name="manCYBUD" localSheetId="4">#REF!</definedName>
    <definedName name="manCYBUD" localSheetId="17">#REF!</definedName>
    <definedName name="manCYBUD" localSheetId="5">#REF!</definedName>
    <definedName name="manCYBUD">#REF!</definedName>
    <definedName name="manCYF" localSheetId="10">#REF!</definedName>
    <definedName name="manCYF" localSheetId="9">#REF!</definedName>
    <definedName name="manCYF" localSheetId="4">#REF!</definedName>
    <definedName name="manCYF" localSheetId="17">#REF!</definedName>
    <definedName name="manCYF" localSheetId="5">#REF!</definedName>
    <definedName name="manCYF">#REF!</definedName>
    <definedName name="MANEND" localSheetId="10">#REF!</definedName>
    <definedName name="MANEND" localSheetId="9">#REF!</definedName>
    <definedName name="MANEND" localSheetId="4">#REF!</definedName>
    <definedName name="MANEND" localSheetId="17">#REF!</definedName>
    <definedName name="MANEND" localSheetId="5">#REF!</definedName>
    <definedName name="MANEND">#REF!</definedName>
    <definedName name="manNYbud" localSheetId="10">#REF!</definedName>
    <definedName name="manNYbud" localSheetId="9">#REF!</definedName>
    <definedName name="manNYbud" localSheetId="4">#REF!</definedName>
    <definedName name="manNYbud" localSheetId="17">#REF!</definedName>
    <definedName name="manNYbud" localSheetId="5">#REF!</definedName>
    <definedName name="manNYbud">#REF!</definedName>
    <definedName name="manpower_costs" localSheetId="10">#REF!</definedName>
    <definedName name="manpower_costs" localSheetId="9">#REF!</definedName>
    <definedName name="manpower_costs" localSheetId="4">#REF!</definedName>
    <definedName name="manpower_costs" localSheetId="17">#REF!</definedName>
    <definedName name="manpower_costs" localSheetId="5">#REF!</definedName>
    <definedName name="manpower_costs">#REF!</definedName>
    <definedName name="manPYACT" localSheetId="10">#REF!</definedName>
    <definedName name="manPYACT" localSheetId="9">#REF!</definedName>
    <definedName name="manPYACT" localSheetId="4">#REF!</definedName>
    <definedName name="manPYACT" localSheetId="17">#REF!</definedName>
    <definedName name="manPYACT" localSheetId="5">#REF!</definedName>
    <definedName name="manPYACT">#REF!</definedName>
    <definedName name="MANSTART" localSheetId="10">#REF!</definedName>
    <definedName name="MANSTART" localSheetId="9">#REF!</definedName>
    <definedName name="MANSTART" localSheetId="4">#REF!</definedName>
    <definedName name="MANSTART" localSheetId="17">#REF!</definedName>
    <definedName name="MANSTART" localSheetId="5">#REF!</definedName>
    <definedName name="MANSTART">#REF!</definedName>
    <definedName name="mat_beg_bud" localSheetId="10">#REF!</definedName>
    <definedName name="mat_beg_bud" localSheetId="9">#REF!</definedName>
    <definedName name="mat_beg_bud" localSheetId="4">#REF!</definedName>
    <definedName name="mat_beg_bud" localSheetId="17">#REF!</definedName>
    <definedName name="mat_beg_bud" localSheetId="5">#REF!</definedName>
    <definedName name="mat_beg_bud">#REF!</definedName>
    <definedName name="mat_end_bud" localSheetId="10">#REF!</definedName>
    <definedName name="mat_end_bud" localSheetId="9">#REF!</definedName>
    <definedName name="mat_end_bud" localSheetId="4">#REF!</definedName>
    <definedName name="mat_end_bud" localSheetId="17">#REF!</definedName>
    <definedName name="mat_end_bud" localSheetId="5">#REF!</definedName>
    <definedName name="mat_end_bud">#REF!</definedName>
    <definedName name="mat12ACT" localSheetId="10">#REF!</definedName>
    <definedName name="mat12ACT" localSheetId="9">#REF!</definedName>
    <definedName name="mat12ACT" localSheetId="4">#REF!</definedName>
    <definedName name="mat12ACT" localSheetId="17">#REF!</definedName>
    <definedName name="mat12ACT" localSheetId="5">#REF!</definedName>
    <definedName name="mat12ACT">#REF!</definedName>
    <definedName name="MATBUD" localSheetId="10">#REF!</definedName>
    <definedName name="MATBUD" localSheetId="9">#REF!</definedName>
    <definedName name="MATBUD" localSheetId="4">#REF!</definedName>
    <definedName name="MATBUD" localSheetId="17">#REF!</definedName>
    <definedName name="MATBUD" localSheetId="5">#REF!</definedName>
    <definedName name="MATBUD">#REF!</definedName>
    <definedName name="matCYACT" localSheetId="10">#REF!</definedName>
    <definedName name="matCYACT" localSheetId="9">#REF!</definedName>
    <definedName name="matCYACT" localSheetId="4">#REF!</definedName>
    <definedName name="matCYACT" localSheetId="17">#REF!</definedName>
    <definedName name="matCYACT" localSheetId="5">#REF!</definedName>
    <definedName name="matCYACT">#REF!</definedName>
    <definedName name="matCYBUD" localSheetId="10">#REF!</definedName>
    <definedName name="matCYBUD" localSheetId="9">#REF!</definedName>
    <definedName name="matCYBUD" localSheetId="4">#REF!</definedName>
    <definedName name="matCYBUD" localSheetId="17">#REF!</definedName>
    <definedName name="matCYBUD" localSheetId="5">#REF!</definedName>
    <definedName name="matCYBUD">#REF!</definedName>
    <definedName name="matCYF" localSheetId="10">#REF!</definedName>
    <definedName name="matCYF" localSheetId="9">#REF!</definedName>
    <definedName name="matCYF" localSheetId="4">#REF!</definedName>
    <definedName name="matCYF" localSheetId="17">#REF!</definedName>
    <definedName name="matCYF" localSheetId="5">#REF!</definedName>
    <definedName name="matCYF">#REF!</definedName>
    <definedName name="MATEND" localSheetId="10">#REF!</definedName>
    <definedName name="MATEND" localSheetId="9">#REF!</definedName>
    <definedName name="MATEND" localSheetId="4">#REF!</definedName>
    <definedName name="MATEND" localSheetId="17">#REF!</definedName>
    <definedName name="MATEND" localSheetId="5">#REF!</definedName>
    <definedName name="MATEND">#REF!</definedName>
    <definedName name="material_costs" localSheetId="10">#REF!</definedName>
    <definedName name="material_costs" localSheetId="9">#REF!</definedName>
    <definedName name="material_costs" localSheetId="4">#REF!</definedName>
    <definedName name="material_costs" localSheetId="17">#REF!</definedName>
    <definedName name="material_costs" localSheetId="5">#REF!</definedName>
    <definedName name="material_costs">#REF!</definedName>
    <definedName name="matNYbud" localSheetId="10">#REF!</definedName>
    <definedName name="matNYbud" localSheetId="9">#REF!</definedName>
    <definedName name="matNYbud" localSheetId="4">#REF!</definedName>
    <definedName name="matNYbud" localSheetId="17">#REF!</definedName>
    <definedName name="matNYbud" localSheetId="5">#REF!</definedName>
    <definedName name="matNYbud">#REF!</definedName>
    <definedName name="matPYACT" localSheetId="10">#REF!</definedName>
    <definedName name="matPYACT" localSheetId="9">#REF!</definedName>
    <definedName name="matPYACT" localSheetId="4">#REF!</definedName>
    <definedName name="matPYACT" localSheetId="17">#REF!</definedName>
    <definedName name="matPYACT" localSheetId="5">#REF!</definedName>
    <definedName name="matPYACT">#REF!</definedName>
    <definedName name="MATSTART" localSheetId="10">#REF!</definedName>
    <definedName name="MATSTART" localSheetId="9">#REF!</definedName>
    <definedName name="MATSTART" localSheetId="4">#REF!</definedName>
    <definedName name="MATSTART" localSheetId="17">#REF!</definedName>
    <definedName name="MATSTART" localSheetId="5">#REF!</definedName>
    <definedName name="MATSTART">#REF!</definedName>
    <definedName name="NewRevReq">[9]Refs!$B$8</definedName>
    <definedName name="NonPayment">[8]lists!$AA$1:$AA$71</definedName>
    <definedName name="oth_beg_bud" localSheetId="10">#REF!</definedName>
    <definedName name="oth_beg_bud" localSheetId="9">#REF!</definedName>
    <definedName name="oth_beg_bud" localSheetId="4">#REF!</definedName>
    <definedName name="oth_beg_bud" localSheetId="17">#REF!</definedName>
    <definedName name="oth_beg_bud" localSheetId="5">#REF!</definedName>
    <definedName name="oth_beg_bud">#REF!</definedName>
    <definedName name="oth_end_bud" localSheetId="10">#REF!</definedName>
    <definedName name="oth_end_bud" localSheetId="9">#REF!</definedName>
    <definedName name="oth_end_bud" localSheetId="4">#REF!</definedName>
    <definedName name="oth_end_bud" localSheetId="17">#REF!</definedName>
    <definedName name="oth_end_bud" localSheetId="5">#REF!</definedName>
    <definedName name="oth_end_bud">#REF!</definedName>
    <definedName name="oth12ACT" localSheetId="10">#REF!</definedName>
    <definedName name="oth12ACT" localSheetId="9">#REF!</definedName>
    <definedName name="oth12ACT" localSheetId="4">#REF!</definedName>
    <definedName name="oth12ACT" localSheetId="17">#REF!</definedName>
    <definedName name="oth12ACT" localSheetId="5">#REF!</definedName>
    <definedName name="oth12ACT">#REF!</definedName>
    <definedName name="othCYACT" localSheetId="10">#REF!</definedName>
    <definedName name="othCYACT" localSheetId="9">#REF!</definedName>
    <definedName name="othCYACT" localSheetId="4">#REF!</definedName>
    <definedName name="othCYACT" localSheetId="17">#REF!</definedName>
    <definedName name="othCYACT" localSheetId="5">#REF!</definedName>
    <definedName name="othCYACT">#REF!</definedName>
    <definedName name="othCYBUD" localSheetId="10">#REF!</definedName>
    <definedName name="othCYBUD" localSheetId="9">#REF!</definedName>
    <definedName name="othCYBUD" localSheetId="4">#REF!</definedName>
    <definedName name="othCYBUD" localSheetId="17">#REF!</definedName>
    <definedName name="othCYBUD" localSheetId="5">#REF!</definedName>
    <definedName name="othCYBUD">#REF!</definedName>
    <definedName name="othCYF" localSheetId="10">#REF!</definedName>
    <definedName name="othCYF" localSheetId="9">#REF!</definedName>
    <definedName name="othCYF" localSheetId="4">#REF!</definedName>
    <definedName name="othCYF" localSheetId="17">#REF!</definedName>
    <definedName name="othCYF" localSheetId="5">#REF!</definedName>
    <definedName name="othCYF">#REF!</definedName>
    <definedName name="OTHEND" localSheetId="10">#REF!</definedName>
    <definedName name="OTHEND" localSheetId="9">#REF!</definedName>
    <definedName name="OTHEND" localSheetId="4">#REF!</definedName>
    <definedName name="OTHEND" localSheetId="17">#REF!</definedName>
    <definedName name="OTHEND" localSheetId="5">#REF!</definedName>
    <definedName name="OTHEND">#REF!</definedName>
    <definedName name="other_costs" localSheetId="10">#REF!</definedName>
    <definedName name="other_costs" localSheetId="9">#REF!</definedName>
    <definedName name="other_costs" localSheetId="4">#REF!</definedName>
    <definedName name="other_costs" localSheetId="17">#REF!</definedName>
    <definedName name="other_costs" localSheetId="5">#REF!</definedName>
    <definedName name="other_costs">#REF!</definedName>
    <definedName name="OTHERBUD" localSheetId="10">#REF!</definedName>
    <definedName name="OTHERBUD" localSheetId="9">#REF!</definedName>
    <definedName name="OTHERBUD" localSheetId="4">#REF!</definedName>
    <definedName name="OTHERBUD" localSheetId="17">#REF!</definedName>
    <definedName name="OTHERBUD" localSheetId="5">#REF!</definedName>
    <definedName name="OTHERBUD">#REF!</definedName>
    <definedName name="othNYbud" localSheetId="10">#REF!</definedName>
    <definedName name="othNYbud" localSheetId="9">#REF!</definedName>
    <definedName name="othNYbud" localSheetId="4">#REF!</definedName>
    <definedName name="othNYbud" localSheetId="17">#REF!</definedName>
    <definedName name="othNYbud" localSheetId="5">#REF!</definedName>
    <definedName name="othNYbud">#REF!</definedName>
    <definedName name="othPYACT" localSheetId="10">#REF!</definedName>
    <definedName name="othPYACT" localSheetId="9">#REF!</definedName>
    <definedName name="othPYACT" localSheetId="4">#REF!</definedName>
    <definedName name="othPYACT" localSheetId="17">#REF!</definedName>
    <definedName name="othPYACT" localSheetId="5">#REF!</definedName>
    <definedName name="othPYACT">#REF!</definedName>
    <definedName name="OTHSTART" localSheetId="10">#REF!</definedName>
    <definedName name="OTHSTART" localSheetId="9">#REF!</definedName>
    <definedName name="OTHSTART" localSheetId="4">#REF!</definedName>
    <definedName name="OTHSTART" localSheetId="17">#REF!</definedName>
    <definedName name="OTHSTART" localSheetId="5">#REF!</definedName>
    <definedName name="OTHSTART">#REF!</definedName>
    <definedName name="PAGE11" localSheetId="10">#REF!</definedName>
    <definedName name="PAGE11" localSheetId="9">#REF!</definedName>
    <definedName name="PAGE11" localSheetId="8">#REF!</definedName>
    <definedName name="PAGE11" localSheetId="3">#REF!</definedName>
    <definedName name="PAGE11" localSheetId="4">#REF!</definedName>
    <definedName name="PAGE11" localSheetId="17">#REF!</definedName>
    <definedName name="PAGE11" localSheetId="5">#REF!</definedName>
    <definedName name="PAGE11">#REF!</definedName>
    <definedName name="PAGE2" localSheetId="10">[1]Sheet1!$A$1:$I$40</definedName>
    <definedName name="PAGE2" localSheetId="9">[2]Sheet1!$A$1:$I$40</definedName>
    <definedName name="PAGE2" localSheetId="8">[3]Sheet1!$A$1:$I$40</definedName>
    <definedName name="PAGE2" localSheetId="3">[1]Sheet1!$A$1:$I$40</definedName>
    <definedName name="PAGE2" localSheetId="4">[1]Sheet1!$A$1:$I$40</definedName>
    <definedName name="PAGE2" localSheetId="17">[1]Sheet1!$A$1:$I$40</definedName>
    <definedName name="PAGE2" localSheetId="5">[1]Sheet1!$A$1:$I$40</definedName>
    <definedName name="PAGE2">[2]Sheet1!$A$1:$I$40</definedName>
    <definedName name="PAGE3" localSheetId="10">#REF!</definedName>
    <definedName name="PAGE3" localSheetId="9">#REF!</definedName>
    <definedName name="PAGE3" localSheetId="8">#REF!</definedName>
    <definedName name="PAGE3" localSheetId="3">#REF!</definedName>
    <definedName name="PAGE3" localSheetId="4">#REF!</definedName>
    <definedName name="PAGE3" localSheetId="17">#REF!</definedName>
    <definedName name="PAGE3" localSheetId="5">#REF!</definedName>
    <definedName name="PAGE3">#REF!</definedName>
    <definedName name="PAGE4" localSheetId="10">#REF!</definedName>
    <definedName name="PAGE4" localSheetId="9">#REF!</definedName>
    <definedName name="PAGE4" localSheetId="8">#REF!</definedName>
    <definedName name="PAGE4" localSheetId="3">#REF!</definedName>
    <definedName name="PAGE4" localSheetId="4">#REF!</definedName>
    <definedName name="PAGE4" localSheetId="17">#REF!</definedName>
    <definedName name="PAGE4" localSheetId="5">#REF!</definedName>
    <definedName name="PAGE4">#REF!</definedName>
    <definedName name="PAGE7" localSheetId="10">#REF!</definedName>
    <definedName name="PAGE7" localSheetId="9">#REF!</definedName>
    <definedName name="PAGE7" localSheetId="8">#REF!</definedName>
    <definedName name="PAGE7" localSheetId="3">#REF!</definedName>
    <definedName name="PAGE7" localSheetId="4">#REF!</definedName>
    <definedName name="PAGE7" localSheetId="17">#REF!</definedName>
    <definedName name="PAGE7" localSheetId="5">#REF!</definedName>
    <definedName name="PAGE7">#REF!</definedName>
    <definedName name="PAGE9" localSheetId="10">#REF!</definedName>
    <definedName name="PAGE9" localSheetId="9">#REF!</definedName>
    <definedName name="PAGE9" localSheetId="8">#REF!</definedName>
    <definedName name="PAGE9" localSheetId="3">#REF!</definedName>
    <definedName name="PAGE9" localSheetId="4">#REF!</definedName>
    <definedName name="PAGE9" localSheetId="17">#REF!</definedName>
    <definedName name="PAGE9" localSheetId="5">#REF!</definedName>
    <definedName name="PAGE9">#REF!</definedName>
    <definedName name="ppp">[4]Refs!$B$6</definedName>
    <definedName name="_xlnm.Print_Area" localSheetId="10">'App.2-R_Loss Factors'!$A$1:$H$74</definedName>
    <definedName name="_xlnm.Print_Area" localSheetId="6">'Rate Class Customer Model'!$A$1:$H$43</definedName>
    <definedName name="_xlnm.Print_Area" localSheetId="4">'Rate Class Energy Model '!$A$1:$F$1</definedName>
    <definedName name="_xlnm.Print_Area" localSheetId="7">'Rate Class Load Model'!$A$1:$E$34</definedName>
    <definedName name="_xlnm.Print_Area" localSheetId="5">'Weather Normalized Historical'!$A$1:$H$1</definedName>
    <definedName name="print_end" localSheetId="10">#REF!</definedName>
    <definedName name="print_end" localSheetId="9">#REF!</definedName>
    <definedName name="print_end" localSheetId="4">#REF!</definedName>
    <definedName name="print_end" localSheetId="17">#REF!</definedName>
    <definedName name="print_end" localSheetId="5">#REF!</definedName>
    <definedName name="print_end">#REF!</definedName>
    <definedName name="Rate_Class">[8]lists!$A$1:$A$104</definedName>
    <definedName name="ratedescription">[12]hidden1!$D$1:$D$122</definedName>
    <definedName name="RebaseYear">'[8]LDC Info'!$E$28</definedName>
    <definedName name="RevReqLookupKey">[9]Refs!$B$5</definedName>
    <definedName name="RevReqRange">[9]Refs!$B$7</definedName>
    <definedName name="SALBENF" localSheetId="10">#REF!</definedName>
    <definedName name="SALBENF" localSheetId="9">#REF!</definedName>
    <definedName name="SALBENF" localSheetId="4">#REF!</definedName>
    <definedName name="SALBENF" localSheetId="17">#REF!</definedName>
    <definedName name="SALBENF" localSheetId="5">#REF!</definedName>
    <definedName name="SALBENF">#REF!</definedName>
    <definedName name="salreg" localSheetId="10">#REF!</definedName>
    <definedName name="salreg" localSheetId="9">#REF!</definedName>
    <definedName name="salreg" localSheetId="4">#REF!</definedName>
    <definedName name="salreg" localSheetId="17">#REF!</definedName>
    <definedName name="salreg" localSheetId="5">#REF!</definedName>
    <definedName name="salreg">#REF!</definedName>
    <definedName name="SALREGF" localSheetId="10">#REF!</definedName>
    <definedName name="SALREGF" localSheetId="9">#REF!</definedName>
    <definedName name="SALREGF" localSheetId="4">#REF!</definedName>
    <definedName name="SALREGF" localSheetId="17">#REF!</definedName>
    <definedName name="SALREGF" localSheetId="5">#REF!</definedName>
    <definedName name="SALREGF">#REF!</definedName>
    <definedName name="t_Stat" localSheetId="10">'[13]Purchased Power Model'!#REF!</definedName>
    <definedName name="t_Stat" localSheetId="9">'[14]Purchased Power Model'!#REF!</definedName>
    <definedName name="t_Stat" localSheetId="4">'[13]Purchased Power Model'!#REF!</definedName>
    <definedName name="t_Stat" localSheetId="17">'[13]Purchased Power Model'!#REF!</definedName>
    <definedName name="t_Stat" localSheetId="5">'[13]Purchased Power Model'!#REF!</definedName>
    <definedName name="t_Stat">'[13]Purchased Power Model'!#REF!</definedName>
    <definedName name="TEMPA" localSheetId="10">#REF!</definedName>
    <definedName name="TEMPA" localSheetId="9">#REF!</definedName>
    <definedName name="TEMPA" localSheetId="4">#REF!</definedName>
    <definedName name="TEMPA" localSheetId="17">#REF!</definedName>
    <definedName name="TEMPA" localSheetId="5">#REF!</definedName>
    <definedName name="TEMPA">#REF!</definedName>
    <definedName name="TestYear">'[8]LDC Info'!$E$24</definedName>
    <definedName name="total_dept" localSheetId="10">#REF!</definedName>
    <definedName name="total_dept" localSheetId="9">#REF!</definedName>
    <definedName name="total_dept" localSheetId="4">#REF!</definedName>
    <definedName name="total_dept" localSheetId="17">#REF!</definedName>
    <definedName name="total_dept" localSheetId="5">#REF!</definedName>
    <definedName name="total_dept">#REF!</definedName>
    <definedName name="total_manpower" localSheetId="10">#REF!</definedName>
    <definedName name="total_manpower" localSheetId="9">#REF!</definedName>
    <definedName name="total_manpower" localSheetId="4">#REF!</definedName>
    <definedName name="total_manpower" localSheetId="17">#REF!</definedName>
    <definedName name="total_manpower" localSheetId="5">#REF!</definedName>
    <definedName name="total_manpower">#REF!</definedName>
    <definedName name="total_material" localSheetId="10">#REF!</definedName>
    <definedName name="total_material" localSheetId="9">#REF!</definedName>
    <definedName name="total_material" localSheetId="4">#REF!</definedName>
    <definedName name="total_material" localSheetId="17">#REF!</definedName>
    <definedName name="total_material" localSheetId="5">#REF!</definedName>
    <definedName name="total_material">#REF!</definedName>
    <definedName name="total_other" localSheetId="10">#REF!</definedName>
    <definedName name="total_other" localSheetId="9">#REF!</definedName>
    <definedName name="total_other" localSheetId="4">#REF!</definedName>
    <definedName name="total_other" localSheetId="17">#REF!</definedName>
    <definedName name="total_other" localSheetId="5">#REF!</definedName>
    <definedName name="total_other">#REF!</definedName>
    <definedName name="total_transportation" localSheetId="10">#REF!</definedName>
    <definedName name="total_transportation" localSheetId="9">#REF!</definedName>
    <definedName name="total_transportation" localSheetId="4">#REF!</definedName>
    <definedName name="total_transportation" localSheetId="17">#REF!</definedName>
    <definedName name="total_transportation" localSheetId="5">#REF!</definedName>
    <definedName name="total_transportation">#REF!</definedName>
    <definedName name="TRANBUD" localSheetId="10">#REF!</definedName>
    <definedName name="TRANBUD" localSheetId="9">#REF!</definedName>
    <definedName name="TRANBUD" localSheetId="4">#REF!</definedName>
    <definedName name="TRANBUD" localSheetId="17">#REF!</definedName>
    <definedName name="TRANBUD" localSheetId="5">#REF!</definedName>
    <definedName name="TRANBUD">#REF!</definedName>
    <definedName name="TRANEND" localSheetId="10">#REF!</definedName>
    <definedName name="TRANEND" localSheetId="9">#REF!</definedName>
    <definedName name="TRANEND" localSheetId="4">#REF!</definedName>
    <definedName name="TRANEND" localSheetId="17">#REF!</definedName>
    <definedName name="TRANEND" localSheetId="5">#REF!</definedName>
    <definedName name="TRANEND">#REF!</definedName>
    <definedName name="transportation_costs" localSheetId="10">#REF!</definedName>
    <definedName name="transportation_costs" localSheetId="9">#REF!</definedName>
    <definedName name="transportation_costs" localSheetId="4">#REF!</definedName>
    <definedName name="transportation_costs" localSheetId="17">#REF!</definedName>
    <definedName name="transportation_costs" localSheetId="5">#REF!</definedName>
    <definedName name="transportation_costs">#REF!</definedName>
    <definedName name="TRANSTART" localSheetId="10">#REF!</definedName>
    <definedName name="TRANSTART" localSheetId="9">#REF!</definedName>
    <definedName name="TRANSTART" localSheetId="4">#REF!</definedName>
    <definedName name="TRANSTART" localSheetId="17">#REF!</definedName>
    <definedName name="TRANSTART" localSheetId="5">#REF!</definedName>
    <definedName name="TRANSTART">#REF!</definedName>
    <definedName name="trn_beg_bud" localSheetId="10">#REF!</definedName>
    <definedName name="trn_beg_bud" localSheetId="9">#REF!</definedName>
    <definedName name="trn_beg_bud" localSheetId="4">#REF!</definedName>
    <definedName name="trn_beg_bud" localSheetId="17">#REF!</definedName>
    <definedName name="trn_beg_bud" localSheetId="5">#REF!</definedName>
    <definedName name="trn_beg_bud">#REF!</definedName>
    <definedName name="trn_end_bud" localSheetId="10">#REF!</definedName>
    <definedName name="trn_end_bud" localSheetId="9">#REF!</definedName>
    <definedName name="trn_end_bud" localSheetId="4">#REF!</definedName>
    <definedName name="trn_end_bud" localSheetId="17">#REF!</definedName>
    <definedName name="trn_end_bud" localSheetId="5">#REF!</definedName>
    <definedName name="trn_end_bud">#REF!</definedName>
    <definedName name="trn12ACT" localSheetId="10">#REF!</definedName>
    <definedName name="trn12ACT" localSheetId="9">#REF!</definedName>
    <definedName name="trn12ACT" localSheetId="4">#REF!</definedName>
    <definedName name="trn12ACT" localSheetId="17">#REF!</definedName>
    <definedName name="trn12ACT" localSheetId="5">#REF!</definedName>
    <definedName name="trn12ACT">#REF!</definedName>
    <definedName name="trnCYACT" localSheetId="10">#REF!</definedName>
    <definedName name="trnCYACT" localSheetId="9">#REF!</definedName>
    <definedName name="trnCYACT" localSheetId="4">#REF!</definedName>
    <definedName name="trnCYACT" localSheetId="17">#REF!</definedName>
    <definedName name="trnCYACT" localSheetId="5">#REF!</definedName>
    <definedName name="trnCYACT">#REF!</definedName>
    <definedName name="trnCYBUD" localSheetId="10">#REF!</definedName>
    <definedName name="trnCYBUD" localSheetId="9">#REF!</definedName>
    <definedName name="trnCYBUD" localSheetId="4">#REF!</definedName>
    <definedName name="trnCYBUD" localSheetId="17">#REF!</definedName>
    <definedName name="trnCYBUD" localSheetId="5">#REF!</definedName>
    <definedName name="trnCYBUD">#REF!</definedName>
    <definedName name="trnCYF" localSheetId="10">#REF!</definedName>
    <definedName name="trnCYF" localSheetId="9">#REF!</definedName>
    <definedName name="trnCYF" localSheetId="4">#REF!</definedName>
    <definedName name="trnCYF" localSheetId="17">#REF!</definedName>
    <definedName name="trnCYF" localSheetId="5">#REF!</definedName>
    <definedName name="trnCYF">#REF!</definedName>
    <definedName name="trnNYbud" localSheetId="10">#REF!</definedName>
    <definedName name="trnNYbud" localSheetId="9">#REF!</definedName>
    <definedName name="trnNYbud" localSheetId="4">#REF!</definedName>
    <definedName name="trnNYbud" localSheetId="17">#REF!</definedName>
    <definedName name="trnNYbud" localSheetId="5">#REF!</definedName>
    <definedName name="trnNYbud">#REF!</definedName>
    <definedName name="trnPYACT" localSheetId="10">#REF!</definedName>
    <definedName name="trnPYACT" localSheetId="9">#REF!</definedName>
    <definedName name="trnPYACT" localSheetId="4">#REF!</definedName>
    <definedName name="trnPYACT" localSheetId="17">#REF!</definedName>
    <definedName name="trnPYACT" localSheetId="5">#REF!</definedName>
    <definedName name="trnPYACT">#REF!</definedName>
    <definedName name="Units">[8]lists!$N$2:$N$5</definedName>
    <definedName name="Utility">[10]Financials!$A$1</definedName>
    <definedName name="utitliy1">[15]Financials!$A$1</definedName>
    <definedName name="Uuu">[4]Refs!$B$5</definedName>
    <definedName name="Variable1" localSheetId="9">'[5]5.Variables'!$B$16</definedName>
    <definedName name="Variable1">'[6]5.Variables'!$B$16</definedName>
    <definedName name="Variable2" localSheetId="9">'[5]5.Variables'!$B$43</definedName>
    <definedName name="Variable2">'[6]5.Variables'!$B$43</definedName>
    <definedName name="Variable3" localSheetId="9">'[5]5.Variables'!$B$70</definedName>
    <definedName name="Variable3">'[6]5.Variables'!$B$70</definedName>
    <definedName name="Variable5" localSheetId="9">'[5]5.Variables'!$B$100</definedName>
    <definedName name="Variable5">'[6]5.Variables'!$B$100</definedName>
    <definedName name="Variable6" localSheetId="9">'[5]5.Variables'!$B$116</definedName>
    <definedName name="Variable6">'[6]5.Variables'!$B$116</definedName>
    <definedName name="WAGBENF" localSheetId="10">#REF!</definedName>
    <definedName name="WAGBENF" localSheetId="9">#REF!</definedName>
    <definedName name="WAGBENF" localSheetId="4">#REF!</definedName>
    <definedName name="WAGBENF" localSheetId="17">#REF!</definedName>
    <definedName name="WAGBENF" localSheetId="5">#REF!</definedName>
    <definedName name="WAGBENF">#REF!</definedName>
    <definedName name="wagdob" localSheetId="10">#REF!</definedName>
    <definedName name="wagdob" localSheetId="9">#REF!</definedName>
    <definedName name="wagdob" localSheetId="4">#REF!</definedName>
    <definedName name="wagdob" localSheetId="17">#REF!</definedName>
    <definedName name="wagdob" localSheetId="5">#REF!</definedName>
    <definedName name="wagdob">#REF!</definedName>
    <definedName name="wagdobf" localSheetId="10">#REF!</definedName>
    <definedName name="wagdobf" localSheetId="9">#REF!</definedName>
    <definedName name="wagdobf" localSheetId="4">#REF!</definedName>
    <definedName name="wagdobf" localSheetId="17">#REF!</definedName>
    <definedName name="wagdobf" localSheetId="5">#REF!</definedName>
    <definedName name="wagdobf">#REF!</definedName>
    <definedName name="wagreg" localSheetId="10">#REF!</definedName>
    <definedName name="wagreg" localSheetId="9">#REF!</definedName>
    <definedName name="wagreg" localSheetId="4">#REF!</definedName>
    <definedName name="wagreg" localSheetId="17">#REF!</definedName>
    <definedName name="wagreg" localSheetId="5">#REF!</definedName>
    <definedName name="wagreg">#REF!</definedName>
    <definedName name="wagregf" localSheetId="10">#REF!</definedName>
    <definedName name="wagregf" localSheetId="9">#REF!</definedName>
    <definedName name="wagregf" localSheetId="4">#REF!</definedName>
    <definedName name="wagregf" localSheetId="17">#REF!</definedName>
    <definedName name="wagregf" localSheetId="5">#REF!</definedName>
    <definedName name="wagreg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38" l="1"/>
  <c r="F37" i="38"/>
  <c r="F38" i="38" s="1"/>
  <c r="F39" i="38" s="1"/>
  <c r="E39" i="38"/>
  <c r="E38" i="38"/>
  <c r="A39" i="38"/>
  <c r="F36" i="38"/>
  <c r="E36" i="38"/>
  <c r="AD63" i="36"/>
  <c r="AD54" i="36"/>
  <c r="AC51" i="36"/>
  <c r="B71" i="17"/>
  <c r="B35" i="17"/>
  <c r="G15" i="17"/>
  <c r="F15" i="17"/>
  <c r="E15" i="17"/>
  <c r="D15" i="17"/>
  <c r="C15" i="17"/>
  <c r="E30" i="17"/>
  <c r="F30" i="17"/>
  <c r="G30" i="17"/>
  <c r="C30" i="17"/>
  <c r="D30" i="17"/>
  <c r="G35" i="17"/>
  <c r="A70" i="56" l="1"/>
  <c r="A58" i="56"/>
  <c r="G171" i="36"/>
  <c r="P303" i="36"/>
  <c r="O303" i="36"/>
  <c r="M303" i="36"/>
  <c r="G303" i="36"/>
  <c r="F303" i="36"/>
  <c r="E303" i="36"/>
  <c r="D303" i="36"/>
  <c r="C303" i="36"/>
  <c r="P302" i="36"/>
  <c r="O302" i="36"/>
  <c r="M302" i="36"/>
  <c r="G302" i="36"/>
  <c r="F302" i="36"/>
  <c r="E302" i="36"/>
  <c r="D302" i="36"/>
  <c r="C302" i="36"/>
  <c r="P301" i="36"/>
  <c r="O301" i="36"/>
  <c r="M301" i="36"/>
  <c r="G301" i="36"/>
  <c r="F301" i="36"/>
  <c r="E301" i="36"/>
  <c r="D301" i="36"/>
  <c r="C301" i="36"/>
  <c r="P300" i="36"/>
  <c r="O300" i="36"/>
  <c r="M300" i="36"/>
  <c r="G300" i="36"/>
  <c r="F300" i="36"/>
  <c r="E300" i="36"/>
  <c r="D300" i="36"/>
  <c r="C300" i="36"/>
  <c r="P299" i="36"/>
  <c r="O299" i="36"/>
  <c r="M299" i="36"/>
  <c r="G299" i="36"/>
  <c r="F299" i="36"/>
  <c r="E299" i="36"/>
  <c r="D299" i="36"/>
  <c r="C299" i="36"/>
  <c r="P298" i="36"/>
  <c r="O298" i="36"/>
  <c r="M298" i="36"/>
  <c r="G298" i="36"/>
  <c r="F298" i="36"/>
  <c r="E298" i="36"/>
  <c r="D298" i="36"/>
  <c r="C298" i="36"/>
  <c r="P297" i="36"/>
  <c r="O297" i="36"/>
  <c r="M297" i="36"/>
  <c r="G297" i="36"/>
  <c r="F297" i="36"/>
  <c r="E297" i="36"/>
  <c r="D297" i="36"/>
  <c r="C297" i="36"/>
  <c r="P296" i="36"/>
  <c r="O296" i="36"/>
  <c r="M296" i="36"/>
  <c r="G296" i="36"/>
  <c r="F296" i="36"/>
  <c r="E296" i="36"/>
  <c r="D296" i="36"/>
  <c r="C296" i="36"/>
  <c r="P295" i="36"/>
  <c r="O295" i="36"/>
  <c r="M295" i="36"/>
  <c r="G295" i="36"/>
  <c r="F295" i="36"/>
  <c r="E295" i="36"/>
  <c r="D295" i="36"/>
  <c r="C295" i="36"/>
  <c r="P294" i="36"/>
  <c r="O294" i="36"/>
  <c r="M294" i="36"/>
  <c r="G294" i="36"/>
  <c r="F294" i="36"/>
  <c r="E294" i="36"/>
  <c r="D294" i="36"/>
  <c r="C294" i="36"/>
  <c r="P293" i="36"/>
  <c r="O293" i="36"/>
  <c r="M293" i="36"/>
  <c r="G293" i="36"/>
  <c r="F293" i="36"/>
  <c r="E293" i="36"/>
  <c r="D293" i="36"/>
  <c r="C293" i="36"/>
  <c r="P292" i="36"/>
  <c r="O292" i="36"/>
  <c r="M292" i="36"/>
  <c r="G292" i="36"/>
  <c r="F292" i="36"/>
  <c r="E292" i="36"/>
  <c r="D292" i="36"/>
  <c r="C292" i="36"/>
  <c r="C13" i="56"/>
  <c r="G13" i="56"/>
  <c r="H13" i="56"/>
  <c r="I13" i="56"/>
  <c r="J13" i="56"/>
  <c r="J29" i="56" s="1"/>
  <c r="K13" i="56"/>
  <c r="K29" i="56" s="1"/>
  <c r="L13" i="56"/>
  <c r="L29" i="56" s="1"/>
  <c r="F13" i="56" l="1"/>
  <c r="J155" i="36"/>
  <c r="K155" i="36"/>
  <c r="J156" i="36"/>
  <c r="K156" i="36"/>
  <c r="J157" i="36"/>
  <c r="K157" i="36"/>
  <c r="J158" i="36"/>
  <c r="K158" i="36"/>
  <c r="J159" i="36"/>
  <c r="K159" i="36"/>
  <c r="J160" i="36"/>
  <c r="K160" i="36"/>
  <c r="J161" i="36"/>
  <c r="K161" i="36"/>
  <c r="J162" i="36"/>
  <c r="K162" i="36"/>
  <c r="J163" i="36"/>
  <c r="K163" i="36"/>
  <c r="J164" i="36"/>
  <c r="K164" i="36"/>
  <c r="J165" i="36"/>
  <c r="K165" i="36"/>
  <c r="K154" i="36"/>
  <c r="J154" i="36"/>
  <c r="B21" i="18" l="1"/>
  <c r="B22" i="18"/>
  <c r="B23" i="18"/>
  <c r="B24" i="18"/>
  <c r="B25" i="18"/>
  <c r="B26" i="18"/>
  <c r="B27" i="18"/>
  <c r="B28" i="18"/>
  <c r="B29" i="18"/>
  <c r="B30" i="18"/>
  <c r="B20" i="18"/>
  <c r="K57" i="38"/>
  <c r="H63" i="38"/>
  <c r="B38" i="18" l="1"/>
  <c r="C30" i="18"/>
  <c r="C38" i="18" s="1"/>
  <c r="D30" i="18"/>
  <c r="D38" i="18" s="1"/>
  <c r="A13" i="18"/>
  <c r="H54" i="38"/>
  <c r="I34" i="38"/>
  <c r="J34" i="38"/>
  <c r="H34" i="38"/>
  <c r="E34" i="38"/>
  <c r="F34" i="38"/>
  <c r="G34" i="38"/>
  <c r="D13" i="38"/>
  <c r="A30" i="18" l="1"/>
  <c r="K138" i="36" l="1"/>
  <c r="K139" i="36"/>
  <c r="K140" i="36"/>
  <c r="K141" i="36"/>
  <c r="K142" i="36"/>
  <c r="K143" i="36"/>
  <c r="K144" i="36"/>
  <c r="K145" i="36"/>
  <c r="K146" i="36"/>
  <c r="K147" i="36"/>
  <c r="K148" i="36"/>
  <c r="K149" i="36"/>
  <c r="J138" i="36"/>
  <c r="J139" i="36"/>
  <c r="J140" i="36"/>
  <c r="J141" i="36"/>
  <c r="J142" i="36"/>
  <c r="J143" i="36"/>
  <c r="J144" i="36"/>
  <c r="J145" i="36"/>
  <c r="J146" i="36"/>
  <c r="J147" i="36"/>
  <c r="J148" i="36"/>
  <c r="J149" i="36"/>
  <c r="J126" i="36"/>
  <c r="J127" i="36"/>
  <c r="J128" i="36"/>
  <c r="J129" i="36"/>
  <c r="J130" i="36"/>
  <c r="J131" i="36"/>
  <c r="J132" i="36"/>
  <c r="J133" i="36"/>
  <c r="J134" i="36"/>
  <c r="J135" i="36"/>
  <c r="J136" i="36"/>
  <c r="J137" i="36"/>
  <c r="K126" i="36"/>
  <c r="K127" i="36"/>
  <c r="K128" i="36"/>
  <c r="K129" i="36"/>
  <c r="K130" i="36"/>
  <c r="K131" i="36"/>
  <c r="K132" i="36"/>
  <c r="K133" i="36"/>
  <c r="K134" i="36"/>
  <c r="K135" i="36"/>
  <c r="K136" i="36"/>
  <c r="K137" i="36"/>
  <c r="B53" i="17" l="1"/>
  <c r="C53" i="17"/>
  <c r="D53" i="17"/>
  <c r="E53" i="17"/>
  <c r="F53" i="17"/>
  <c r="G53" i="17"/>
  <c r="H69" i="17"/>
  <c r="A67" i="17"/>
  <c r="H32" i="17"/>
  <c r="B29" i="17"/>
  <c r="G29" i="17"/>
  <c r="F29" i="17"/>
  <c r="D29" i="17"/>
  <c r="C29" i="17"/>
  <c r="A29" i="17"/>
  <c r="E14" i="17"/>
  <c r="E29" i="17" s="1"/>
  <c r="Y35" i="32" l="1"/>
  <c r="X35" i="32"/>
  <c r="W35" i="32"/>
  <c r="Y34" i="32"/>
  <c r="X34" i="32"/>
  <c r="W34" i="32"/>
  <c r="Y33" i="32"/>
  <c r="X33" i="32"/>
  <c r="W33" i="32"/>
  <c r="Y32" i="32"/>
  <c r="X32" i="32"/>
  <c r="W32" i="32"/>
  <c r="Y31" i="32"/>
  <c r="X31" i="32"/>
  <c r="W31" i="32"/>
  <c r="Y30" i="32"/>
  <c r="X30" i="32"/>
  <c r="W30" i="32"/>
  <c r="Y29" i="32"/>
  <c r="X29" i="32"/>
  <c r="W29" i="32"/>
  <c r="Y28" i="32"/>
  <c r="X28" i="32"/>
  <c r="W28" i="32"/>
  <c r="Y27" i="32"/>
  <c r="X27" i="32"/>
  <c r="W27" i="32"/>
  <c r="Y26" i="32"/>
  <c r="X26" i="32"/>
  <c r="W26" i="32"/>
  <c r="Y25" i="32"/>
  <c r="X25" i="32"/>
  <c r="W25" i="32"/>
  <c r="Y24" i="32"/>
  <c r="Y37" i="32" s="1"/>
  <c r="X24" i="32"/>
  <c r="X37" i="32" s="1"/>
  <c r="W24" i="32"/>
  <c r="W37" i="32" s="1"/>
  <c r="W38" i="32" s="1"/>
  <c r="W23" i="32"/>
  <c r="Y17" i="32"/>
  <c r="X17" i="32"/>
  <c r="W17" i="32"/>
  <c r="Y16" i="32"/>
  <c r="X16" i="32"/>
  <c r="W16" i="32"/>
  <c r="Y15" i="32"/>
  <c r="X15" i="32"/>
  <c r="W15" i="32"/>
  <c r="Y14" i="32"/>
  <c r="X14" i="32"/>
  <c r="W14" i="32"/>
  <c r="Y13" i="32"/>
  <c r="X13" i="32"/>
  <c r="W13" i="32"/>
  <c r="Y12" i="32"/>
  <c r="X12" i="32"/>
  <c r="W12" i="32"/>
  <c r="Y11" i="32"/>
  <c r="X11" i="32"/>
  <c r="W11" i="32"/>
  <c r="Y10" i="32"/>
  <c r="X10" i="32"/>
  <c r="W10" i="32"/>
  <c r="Y9" i="32"/>
  <c r="X9" i="32"/>
  <c r="W9" i="32"/>
  <c r="Y8" i="32"/>
  <c r="X8" i="32"/>
  <c r="W8" i="32"/>
  <c r="Y7" i="32"/>
  <c r="X7" i="32"/>
  <c r="W7" i="32"/>
  <c r="Y6" i="32"/>
  <c r="Y19" i="32" s="1"/>
  <c r="X6" i="32"/>
  <c r="X19" i="32" s="1"/>
  <c r="W6" i="32"/>
  <c r="W19" i="32" s="1"/>
  <c r="W20" i="32" s="1"/>
  <c r="G177" i="45" l="1"/>
  <c r="D184" i="46" l="1"/>
  <c r="D185" i="46"/>
  <c r="D186" i="46"/>
  <c r="D187" i="46"/>
  <c r="D188" i="46"/>
  <c r="D189" i="46"/>
  <c r="D191" i="46"/>
  <c r="D192" i="46"/>
  <c r="D193" i="46"/>
  <c r="D194" i="46"/>
  <c r="D195" i="46"/>
  <c r="D196" i="46"/>
  <c r="D183" i="46"/>
  <c r="D155" i="46"/>
  <c r="D156" i="46"/>
  <c r="D157" i="46"/>
  <c r="D158" i="46"/>
  <c r="D159" i="46"/>
  <c r="D160" i="46"/>
  <c r="D162" i="46"/>
  <c r="D163" i="46"/>
  <c r="D164" i="46"/>
  <c r="D165" i="46"/>
  <c r="D166" i="46"/>
  <c r="D167" i="46"/>
  <c r="D154" i="46"/>
  <c r="J20" i="45" l="1" a="1"/>
  <c r="J20" i="45" s="1"/>
  <c r="I10" i="45"/>
  <c r="I9" i="45"/>
  <c r="I8" i="45"/>
  <c r="I5" i="45"/>
  <c r="I6" i="45"/>
  <c r="I7" i="45"/>
  <c r="H179" i="61"/>
  <c r="D170" i="61" l="1"/>
  <c r="I70" i="61" l="1"/>
  <c r="E68" i="61"/>
  <c r="E67" i="61"/>
  <c r="E66" i="61"/>
  <c r="E63" i="61"/>
  <c r="E64" i="61"/>
  <c r="E65" i="61"/>
  <c r="I55" i="61"/>
  <c r="E53" i="61"/>
  <c r="E52" i="61"/>
  <c r="E51" i="61"/>
  <c r="E48" i="61"/>
  <c r="E49" i="61"/>
  <c r="E50" i="61"/>
  <c r="J160" i="61" l="1"/>
  <c r="F160" i="61"/>
  <c r="J159" i="61"/>
  <c r="F159" i="61"/>
  <c r="J158" i="61"/>
  <c r="F158" i="61"/>
  <c r="J157" i="61"/>
  <c r="F157" i="61"/>
  <c r="J156" i="61"/>
  <c r="F156" i="61"/>
  <c r="J155" i="61"/>
  <c r="F155" i="61"/>
  <c r="J154" i="61"/>
  <c r="I154" i="61"/>
  <c r="J153" i="61"/>
  <c r="J161" i="61" s="1"/>
  <c r="I153" i="61"/>
  <c r="J148" i="61"/>
  <c r="F148" i="61"/>
  <c r="J147" i="61"/>
  <c r="F147" i="61"/>
  <c r="J146" i="61"/>
  <c r="F146" i="61"/>
  <c r="J145" i="61"/>
  <c r="F145" i="61"/>
  <c r="J144" i="61"/>
  <c r="F144" i="61"/>
  <c r="J133" i="61"/>
  <c r="F133" i="61"/>
  <c r="J132" i="61"/>
  <c r="F132" i="61"/>
  <c r="J131" i="61"/>
  <c r="F131" i="61"/>
  <c r="J130" i="61"/>
  <c r="F130" i="61"/>
  <c r="J129" i="61"/>
  <c r="F129" i="61"/>
  <c r="I128" i="61"/>
  <c r="I127" i="61"/>
  <c r="I126" i="61"/>
  <c r="I125" i="61"/>
  <c r="I124" i="61"/>
  <c r="I123" i="61"/>
  <c r="J118" i="61"/>
  <c r="F118" i="61"/>
  <c r="J117" i="61"/>
  <c r="F117" i="61"/>
  <c r="J116" i="61"/>
  <c r="F116" i="61"/>
  <c r="J115" i="61"/>
  <c r="F115" i="61"/>
  <c r="J114" i="61"/>
  <c r="F114" i="61"/>
  <c r="I113" i="61"/>
  <c r="I112" i="61"/>
  <c r="I111" i="61"/>
  <c r="I110" i="61"/>
  <c r="I109" i="61"/>
  <c r="I108" i="61"/>
  <c r="J103" i="61"/>
  <c r="F103" i="61"/>
  <c r="J102" i="61"/>
  <c r="F102" i="61"/>
  <c r="J101" i="61"/>
  <c r="F101" i="61"/>
  <c r="J100" i="61"/>
  <c r="F100" i="61"/>
  <c r="J99" i="61"/>
  <c r="F99" i="61"/>
  <c r="J98" i="61"/>
  <c r="F98" i="61"/>
  <c r="J97" i="61"/>
  <c r="F97" i="61"/>
  <c r="J96" i="61"/>
  <c r="F96" i="61"/>
  <c r="F95" i="61"/>
  <c r="J94" i="61"/>
  <c r="F94" i="61"/>
  <c r="J93" i="61"/>
  <c r="F93" i="61"/>
  <c r="F104" i="61" s="1"/>
  <c r="J88" i="61"/>
  <c r="F88" i="61"/>
  <c r="J87" i="61"/>
  <c r="F87" i="61"/>
  <c r="J86" i="61"/>
  <c r="F86" i="61"/>
  <c r="J85" i="61"/>
  <c r="F85" i="61"/>
  <c r="A115" i="61"/>
  <c r="A130" i="61" s="1"/>
  <c r="A145" i="61" s="1"/>
  <c r="J84" i="61"/>
  <c r="F84" i="61"/>
  <c r="I83" i="61"/>
  <c r="I82" i="61"/>
  <c r="I81" i="61"/>
  <c r="I80" i="61"/>
  <c r="I79" i="61"/>
  <c r="I78" i="61"/>
  <c r="J73" i="61"/>
  <c r="F73" i="61"/>
  <c r="J72" i="61"/>
  <c r="F72" i="61"/>
  <c r="J71" i="61"/>
  <c r="F71" i="61"/>
  <c r="F70" i="61"/>
  <c r="A70" i="61"/>
  <c r="J69" i="61"/>
  <c r="F69" i="61"/>
  <c r="I68" i="61"/>
  <c r="I67" i="61"/>
  <c r="I66" i="61"/>
  <c r="I65" i="61"/>
  <c r="I64" i="61"/>
  <c r="I63" i="61"/>
  <c r="J58" i="61"/>
  <c r="F58" i="61"/>
  <c r="J57" i="61"/>
  <c r="F57" i="61"/>
  <c r="J56" i="61"/>
  <c r="F56" i="61"/>
  <c r="F55" i="61"/>
  <c r="J54" i="61"/>
  <c r="F54" i="61"/>
  <c r="I53" i="61"/>
  <c r="I52" i="61"/>
  <c r="I51" i="61"/>
  <c r="I50" i="61"/>
  <c r="I49" i="61"/>
  <c r="I48" i="61"/>
  <c r="J43" i="61"/>
  <c r="F43" i="61"/>
  <c r="A43" i="61"/>
  <c r="J42" i="61"/>
  <c r="F42" i="61"/>
  <c r="A42" i="61"/>
  <c r="J41" i="61"/>
  <c r="F41" i="61"/>
  <c r="A41" i="61"/>
  <c r="J40" i="61"/>
  <c r="F40" i="61"/>
  <c r="A40" i="61"/>
  <c r="F39" i="61"/>
  <c r="A39" i="61"/>
  <c r="J38" i="61"/>
  <c r="F38" i="61"/>
  <c r="J37" i="61"/>
  <c r="F37" i="61"/>
  <c r="F36" i="61"/>
  <c r="J35" i="61"/>
  <c r="F35" i="61"/>
  <c r="F34" i="61"/>
  <c r="F33" i="61"/>
  <c r="F32" i="61"/>
  <c r="F31" i="61"/>
  <c r="F30" i="61"/>
  <c r="F29" i="61"/>
  <c r="F44" i="61" s="1"/>
  <c r="F28" i="61"/>
  <c r="J23" i="61"/>
  <c r="F23" i="61"/>
  <c r="A38" i="61"/>
  <c r="J22" i="61"/>
  <c r="F22" i="61"/>
  <c r="A37" i="61"/>
  <c r="J21" i="61"/>
  <c r="F21" i="61"/>
  <c r="A56" i="61"/>
  <c r="A71" i="61" s="1"/>
  <c r="A86" i="61" s="1"/>
  <c r="A101" i="61" s="1"/>
  <c r="A116" i="61" s="1"/>
  <c r="A131" i="61" s="1"/>
  <c r="A146" i="61" s="1"/>
  <c r="J20" i="61"/>
  <c r="F20" i="61"/>
  <c r="A35" i="61"/>
  <c r="J19" i="61"/>
  <c r="F19" i="61"/>
  <c r="A34" i="61"/>
  <c r="A18" i="61"/>
  <c r="A33" i="61" s="1"/>
  <c r="A17" i="61"/>
  <c r="A52" i="61" s="1"/>
  <c r="A67" i="61" s="1"/>
  <c r="A82" i="61" s="1"/>
  <c r="A97" i="61" s="1"/>
  <c r="A112" i="61" s="1"/>
  <c r="A127" i="61" s="1"/>
  <c r="A142" i="61" s="1"/>
  <c r="A16" i="61"/>
  <c r="A31" i="61" s="1"/>
  <c r="A15" i="61"/>
  <c r="A30" i="61" s="1"/>
  <c r="A14" i="61"/>
  <c r="A29" i="61" s="1"/>
  <c r="A13" i="61"/>
  <c r="A48" i="61" s="1"/>
  <c r="A63" i="61" s="1"/>
  <c r="A78" i="61" s="1"/>
  <c r="A93" i="61" s="1"/>
  <c r="A108" i="61" s="1"/>
  <c r="A123" i="61" s="1"/>
  <c r="A138" i="61" s="1"/>
  <c r="A153" i="61" s="1"/>
  <c r="K65" i="60"/>
  <c r="L65" i="60" s="1"/>
  <c r="H65" i="60"/>
  <c r="B65" i="60"/>
  <c r="K64" i="60"/>
  <c r="L64" i="60" s="1"/>
  <c r="H64" i="60"/>
  <c r="B64" i="60"/>
  <c r="K63" i="60"/>
  <c r="L63" i="60" s="1"/>
  <c r="H63" i="60"/>
  <c r="B63" i="60"/>
  <c r="K62" i="60"/>
  <c r="L62" i="60" s="1"/>
  <c r="H62" i="60"/>
  <c r="B62" i="60"/>
  <c r="K61" i="60"/>
  <c r="L61" i="60" s="1"/>
  <c r="H61" i="60"/>
  <c r="B61" i="60"/>
  <c r="K60" i="60"/>
  <c r="B60" i="60"/>
  <c r="K59" i="60"/>
  <c r="B59" i="60"/>
  <c r="K58" i="60"/>
  <c r="B58" i="60"/>
  <c r="K57" i="60"/>
  <c r="B57" i="60"/>
  <c r="K56" i="60"/>
  <c r="B56" i="60"/>
  <c r="K55" i="60"/>
  <c r="B55" i="60"/>
  <c r="F50" i="60"/>
  <c r="L49" i="60"/>
  <c r="L48" i="60"/>
  <c r="L47" i="60"/>
  <c r="L46" i="60"/>
  <c r="G43" i="60"/>
  <c r="G52" i="60" s="1"/>
  <c r="J39" i="60"/>
  <c r="L38" i="60"/>
  <c r="K38" i="60"/>
  <c r="J38" i="60"/>
  <c r="J37" i="60"/>
  <c r="K36" i="60"/>
  <c r="J36" i="60"/>
  <c r="L36" i="60" s="1"/>
  <c r="J35" i="60"/>
  <c r="K34" i="60"/>
  <c r="J34" i="60"/>
  <c r="J33" i="60"/>
  <c r="K32" i="60"/>
  <c r="J32" i="60"/>
  <c r="J31" i="60"/>
  <c r="J30" i="60"/>
  <c r="K29" i="60"/>
  <c r="J29" i="60"/>
  <c r="H20" i="60"/>
  <c r="K35" i="60" s="1"/>
  <c r="L35" i="60" s="1"/>
  <c r="D18" i="38"/>
  <c r="A50" i="61" l="1"/>
  <c r="A65" i="61" s="1"/>
  <c r="A80" i="61" s="1"/>
  <c r="A95" i="61" s="1"/>
  <c r="A110" i="61" s="1"/>
  <c r="A125" i="61" s="1"/>
  <c r="A140" i="61" s="1"/>
  <c r="H10" i="61"/>
  <c r="A51" i="61"/>
  <c r="A66" i="61" s="1"/>
  <c r="A81" i="61" s="1"/>
  <c r="A96" i="61" s="1"/>
  <c r="A111" i="61" s="1"/>
  <c r="A126" i="61" s="1"/>
  <c r="A141" i="61" s="1"/>
  <c r="A28" i="61"/>
  <c r="A36" i="61"/>
  <c r="A57" i="61"/>
  <c r="A72" i="61" s="1"/>
  <c r="A87" i="61" s="1"/>
  <c r="A102" i="61" s="1"/>
  <c r="A117" i="61" s="1"/>
  <c r="A132" i="61" s="1"/>
  <c r="A147" i="61" s="1"/>
  <c r="A54" i="61"/>
  <c r="A69" i="61" s="1"/>
  <c r="A84" i="61" s="1"/>
  <c r="A99" i="61" s="1"/>
  <c r="A114" i="61" s="1"/>
  <c r="A129" i="61" s="1"/>
  <c r="A144" i="61" s="1"/>
  <c r="A49" i="61"/>
  <c r="A64" i="61" s="1"/>
  <c r="A79" i="61" s="1"/>
  <c r="A94" i="61" s="1"/>
  <c r="A109" i="61" s="1"/>
  <c r="A124" i="61" s="1"/>
  <c r="A139" i="61" s="1"/>
  <c r="A154" i="61" s="1"/>
  <c r="A53" i="61"/>
  <c r="A68" i="61" s="1"/>
  <c r="A83" i="61" s="1"/>
  <c r="A98" i="61" s="1"/>
  <c r="A113" i="61" s="1"/>
  <c r="A128" i="61" s="1"/>
  <c r="A143" i="61" s="1"/>
  <c r="A32" i="61"/>
  <c r="A58" i="61"/>
  <c r="A73" i="61" s="1"/>
  <c r="A88" i="61" s="1"/>
  <c r="A103" i="61" s="1"/>
  <c r="A118" i="61" s="1"/>
  <c r="A133" i="61" s="1"/>
  <c r="A148" i="61" s="1"/>
  <c r="L39" i="60"/>
  <c r="K39" i="60"/>
  <c r="K31" i="60"/>
  <c r="K37" i="60"/>
  <c r="L37" i="60" s="1"/>
  <c r="K30" i="60"/>
  <c r="K33" i="60"/>
  <c r="C183" i="46"/>
  <c r="C200" i="46" s="1"/>
  <c r="C189" i="46"/>
  <c r="C192" i="46"/>
  <c r="E192" i="46" s="1"/>
  <c r="F192" i="46" s="1"/>
  <c r="C195" i="46"/>
  <c r="C196" i="46"/>
  <c r="C194" i="46"/>
  <c r="E194" i="46" s="1"/>
  <c r="C193" i="46"/>
  <c r="D203" i="46"/>
  <c r="C191" i="46"/>
  <c r="C190" i="46"/>
  <c r="C188" i="46"/>
  <c r="C187" i="46"/>
  <c r="C186" i="46"/>
  <c r="D202" i="46"/>
  <c r="C185" i="46"/>
  <c r="C184" i="46"/>
  <c r="C201" i="46" s="1"/>
  <c r="D200" i="46"/>
  <c r="F19" i="46"/>
  <c r="F18" i="46"/>
  <c r="C29" i="46"/>
  <c r="C28" i="46"/>
  <c r="A31" i="18"/>
  <c r="B313" i="45" s="1"/>
  <c r="B295" i="45"/>
  <c r="B294" i="45"/>
  <c r="E196" i="46" l="1"/>
  <c r="F196" i="46" s="1"/>
  <c r="C203" i="46"/>
  <c r="E189" i="46"/>
  <c r="F189" i="46" s="1"/>
  <c r="E193" i="46"/>
  <c r="E187" i="46"/>
  <c r="F187" i="46" s="1"/>
  <c r="C202" i="46"/>
  <c r="E186" i="46"/>
  <c r="F186" i="46" s="1"/>
  <c r="E195" i="46"/>
  <c r="E184" i="46"/>
  <c r="E201" i="46" s="1"/>
  <c r="F201" i="46" s="1"/>
  <c r="E188" i="46"/>
  <c r="F188" i="46" s="1"/>
  <c r="E191" i="46"/>
  <c r="D201" i="46"/>
  <c r="D204" i="46" s="1"/>
  <c r="E183" i="46"/>
  <c r="E185" i="46"/>
  <c r="C204" i="46" l="1"/>
  <c r="E203" i="46"/>
  <c r="F203" i="46" s="1"/>
  <c r="F184" i="46"/>
  <c r="F183" i="46"/>
  <c r="E200" i="46"/>
  <c r="F185" i="46"/>
  <c r="E202" i="46"/>
  <c r="F202" i="46" s="1"/>
  <c r="E204" i="46" l="1"/>
  <c r="F204" i="46" s="1"/>
  <c r="F200" i="46"/>
  <c r="H11" i="45" l="1"/>
  <c r="H17" i="45"/>
  <c r="H19" i="45" s="1"/>
  <c r="Q6" i="34" l="1"/>
  <c r="AB17" i="34" l="1"/>
  <c r="X17" i="34"/>
  <c r="P10" i="34" l="1"/>
  <c r="Q7" i="34"/>
  <c r="Q8" i="34"/>
  <c r="H4" i="34"/>
  <c r="D17" i="35"/>
  <c r="E13" i="35"/>
  <c r="E14" i="35"/>
  <c r="E15" i="35"/>
  <c r="E12" i="35"/>
  <c r="G10" i="35"/>
  <c r="G17" i="35" s="1"/>
  <c r="F13" i="35"/>
  <c r="F10" i="35"/>
  <c r="F17" i="35" s="1"/>
  <c r="E17" i="35"/>
  <c r="Q10" i="34" l="1"/>
  <c r="O149" i="49" l="1"/>
  <c r="O148" i="49"/>
  <c r="O147" i="49"/>
  <c r="O146" i="49"/>
  <c r="O145" i="49"/>
  <c r="O144" i="49"/>
  <c r="O143" i="49"/>
  <c r="O142" i="49"/>
  <c r="O141" i="49"/>
  <c r="O140" i="49"/>
  <c r="O139" i="49"/>
  <c r="O138" i="49"/>
  <c r="O137" i="49"/>
  <c r="O136" i="49"/>
  <c r="O135" i="49"/>
  <c r="O134" i="49"/>
  <c r="O133" i="49"/>
  <c r="O132" i="49"/>
  <c r="O131" i="49"/>
  <c r="O130" i="49"/>
  <c r="O129" i="49"/>
  <c r="O128" i="49"/>
  <c r="O127" i="49"/>
  <c r="O126" i="49"/>
  <c r="O125" i="49"/>
  <c r="O124" i="49"/>
  <c r="O123" i="49"/>
  <c r="O122" i="49"/>
  <c r="O121" i="49"/>
  <c r="O120" i="49"/>
  <c r="O119" i="49"/>
  <c r="O118" i="49"/>
  <c r="O117" i="49"/>
  <c r="O116" i="49"/>
  <c r="O115" i="49"/>
  <c r="O114" i="49"/>
  <c r="O113" i="49"/>
  <c r="O112" i="49"/>
  <c r="O111" i="49"/>
  <c r="O110" i="49"/>
  <c r="O109" i="49"/>
  <c r="O108" i="49"/>
  <c r="O107" i="49"/>
  <c r="O106" i="49"/>
  <c r="O105" i="49"/>
  <c r="O104" i="49"/>
  <c r="O103" i="49"/>
  <c r="O102" i="49"/>
  <c r="O101" i="49"/>
  <c r="O100" i="49"/>
  <c r="O99" i="49"/>
  <c r="O98" i="49"/>
  <c r="O97" i="49"/>
  <c r="O96" i="49"/>
  <c r="O95" i="49"/>
  <c r="O94" i="49"/>
  <c r="O93" i="49"/>
  <c r="O92" i="49"/>
  <c r="O91" i="49"/>
  <c r="O90" i="49"/>
  <c r="O89" i="49"/>
  <c r="O88" i="49"/>
  <c r="O87" i="49"/>
  <c r="O86" i="49"/>
  <c r="O85" i="49"/>
  <c r="O84" i="49"/>
  <c r="O83" i="49"/>
  <c r="O82" i="49"/>
  <c r="O81" i="49"/>
  <c r="O80" i="49"/>
  <c r="O79" i="49"/>
  <c r="O78" i="49"/>
  <c r="O77" i="49"/>
  <c r="O76" i="49"/>
  <c r="O75" i="49"/>
  <c r="O74" i="49"/>
  <c r="O73" i="49"/>
  <c r="O72" i="49"/>
  <c r="O71" i="49"/>
  <c r="O70" i="49"/>
  <c r="O69" i="49"/>
  <c r="O68" i="49"/>
  <c r="O67" i="49"/>
  <c r="O66" i="49"/>
  <c r="O65" i="49"/>
  <c r="O64" i="49"/>
  <c r="O63" i="49"/>
  <c r="O62" i="49"/>
  <c r="O61" i="49"/>
  <c r="O60" i="49"/>
  <c r="O59" i="49"/>
  <c r="O58" i="49"/>
  <c r="O57" i="49"/>
  <c r="O56" i="49"/>
  <c r="O55" i="49"/>
  <c r="O54" i="49"/>
  <c r="O53" i="49"/>
  <c r="O52" i="49"/>
  <c r="O51" i="49"/>
  <c r="O50" i="49"/>
  <c r="O49" i="49"/>
  <c r="O48" i="49"/>
  <c r="O47" i="49"/>
  <c r="O46" i="49"/>
  <c r="O45" i="49"/>
  <c r="O44" i="49"/>
  <c r="O43" i="49"/>
  <c r="O42" i="49"/>
  <c r="O41" i="49"/>
  <c r="O40" i="49"/>
  <c r="O39" i="49"/>
  <c r="O38" i="49"/>
  <c r="O37" i="49"/>
  <c r="O36" i="49"/>
  <c r="O35" i="49"/>
  <c r="O34" i="49"/>
  <c r="O33" i="49"/>
  <c r="O32" i="49"/>
  <c r="O31" i="49"/>
  <c r="O30" i="49"/>
  <c r="O29" i="49"/>
  <c r="O28" i="49"/>
  <c r="O27" i="49"/>
  <c r="O26" i="49"/>
  <c r="O25" i="49"/>
  <c r="O24" i="49"/>
  <c r="O23" i="49"/>
  <c r="O22" i="49"/>
  <c r="O21" i="49"/>
  <c r="O20" i="49"/>
  <c r="O19" i="49"/>
  <c r="O18" i="49"/>
  <c r="O17" i="49"/>
  <c r="O16" i="49"/>
  <c r="O15" i="49"/>
  <c r="O14" i="49"/>
  <c r="O13" i="49"/>
  <c r="O12" i="49"/>
  <c r="O11" i="49"/>
  <c r="O10" i="49"/>
  <c r="O9" i="49"/>
  <c r="O8" i="49"/>
  <c r="O7" i="49"/>
  <c r="O6" i="49"/>
  <c r="M149" i="49"/>
  <c r="M148" i="49"/>
  <c r="M147" i="49"/>
  <c r="M146" i="49"/>
  <c r="M145" i="49"/>
  <c r="M144" i="49"/>
  <c r="M143" i="49"/>
  <c r="M142" i="49"/>
  <c r="M141" i="49"/>
  <c r="M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B34" i="18" l="1"/>
  <c r="B43" i="17" l="1"/>
  <c r="D151" i="36" l="1"/>
  <c r="C151" i="36"/>
  <c r="N149" i="36"/>
  <c r="N149" i="49" s="1"/>
  <c r="N148" i="36"/>
  <c r="N148" i="49" s="1"/>
  <c r="N147" i="36"/>
  <c r="N147" i="49" s="1"/>
  <c r="N146" i="36"/>
  <c r="N146" i="49" s="1"/>
  <c r="N145" i="36"/>
  <c r="N145" i="49" s="1"/>
  <c r="N144" i="36"/>
  <c r="N144" i="49" s="1"/>
  <c r="N143" i="36"/>
  <c r="N143" i="49" s="1"/>
  <c r="N142" i="36"/>
  <c r="N142" i="49" s="1"/>
  <c r="N141" i="36"/>
  <c r="N141" i="49" s="1"/>
  <c r="N140" i="36"/>
  <c r="N140" i="49" s="1"/>
  <c r="N139" i="36"/>
  <c r="N139" i="49" s="1"/>
  <c r="N138" i="36"/>
  <c r="N138" i="49" s="1"/>
  <c r="N137" i="36"/>
  <c r="N136" i="36"/>
  <c r="N135" i="36"/>
  <c r="N134" i="36"/>
  <c r="N133" i="36"/>
  <c r="N132" i="36"/>
  <c r="N131" i="36"/>
  <c r="N130" i="36"/>
  <c r="N129" i="36"/>
  <c r="N128" i="36"/>
  <c r="N127" i="36"/>
  <c r="N126" i="36"/>
  <c r="N125" i="36"/>
  <c r="N125" i="49" s="1"/>
  <c r="N124" i="36"/>
  <c r="N124" i="49" s="1"/>
  <c r="N123" i="36"/>
  <c r="N123" i="49" s="1"/>
  <c r="N122" i="36"/>
  <c r="N122" i="49" s="1"/>
  <c r="N121" i="36"/>
  <c r="N121" i="49" s="1"/>
  <c r="N120" i="36"/>
  <c r="N120" i="49" s="1"/>
  <c r="N119" i="36"/>
  <c r="N119" i="49" s="1"/>
  <c r="N118" i="36"/>
  <c r="N118" i="49" s="1"/>
  <c r="N117" i="36"/>
  <c r="N117" i="49" s="1"/>
  <c r="N116" i="36"/>
  <c r="N116" i="49" s="1"/>
  <c r="N115" i="36"/>
  <c r="N115" i="49" s="1"/>
  <c r="N114" i="36"/>
  <c r="N114" i="49" s="1"/>
  <c r="N113" i="36"/>
  <c r="N113" i="49" s="1"/>
  <c r="N112" i="36"/>
  <c r="N112" i="49" s="1"/>
  <c r="N111" i="36"/>
  <c r="N111" i="49" s="1"/>
  <c r="N110" i="36"/>
  <c r="N110" i="49" s="1"/>
  <c r="N109" i="36"/>
  <c r="N109" i="49" s="1"/>
  <c r="N108" i="36"/>
  <c r="N108" i="49" s="1"/>
  <c r="N107" i="36"/>
  <c r="N107" i="49" s="1"/>
  <c r="N106" i="36"/>
  <c r="N106" i="49" s="1"/>
  <c r="N105" i="36"/>
  <c r="N105" i="49" s="1"/>
  <c r="N104" i="36"/>
  <c r="N104" i="49" s="1"/>
  <c r="N103" i="36"/>
  <c r="N103" i="49" s="1"/>
  <c r="N102" i="36"/>
  <c r="N102" i="49" s="1"/>
  <c r="N101" i="36"/>
  <c r="N101" i="49" s="1"/>
  <c r="N100" i="36"/>
  <c r="N100" i="49" s="1"/>
  <c r="N99" i="36"/>
  <c r="N99" i="49" s="1"/>
  <c r="N98" i="36"/>
  <c r="N98" i="49" s="1"/>
  <c r="N97" i="36"/>
  <c r="N97" i="49" s="1"/>
  <c r="N96" i="36"/>
  <c r="N96" i="49" s="1"/>
  <c r="N95" i="36"/>
  <c r="N95" i="49" s="1"/>
  <c r="N94" i="36"/>
  <c r="N94" i="49" s="1"/>
  <c r="N93" i="36"/>
  <c r="N93" i="49" s="1"/>
  <c r="N92" i="36"/>
  <c r="N92" i="49" s="1"/>
  <c r="N91" i="36"/>
  <c r="N91" i="49" s="1"/>
  <c r="N90" i="36"/>
  <c r="N90" i="49" s="1"/>
  <c r="N89" i="36"/>
  <c r="N89" i="49" s="1"/>
  <c r="N88" i="36"/>
  <c r="N88" i="49" s="1"/>
  <c r="N87" i="36"/>
  <c r="N87" i="49" s="1"/>
  <c r="N86" i="36"/>
  <c r="N86" i="49" s="1"/>
  <c r="N85" i="36"/>
  <c r="N85" i="49" s="1"/>
  <c r="N84" i="36"/>
  <c r="N84" i="49" s="1"/>
  <c r="N83" i="36"/>
  <c r="N83" i="49" s="1"/>
  <c r="N82" i="36"/>
  <c r="N82" i="49" s="1"/>
  <c r="N81" i="36"/>
  <c r="N81" i="49" s="1"/>
  <c r="N80" i="36"/>
  <c r="N80" i="49" s="1"/>
  <c r="N79" i="36"/>
  <c r="N79" i="49" s="1"/>
  <c r="N78" i="36"/>
  <c r="N78" i="49" s="1"/>
  <c r="N77" i="36"/>
  <c r="N77" i="49" s="1"/>
  <c r="N76" i="36"/>
  <c r="N76" i="49" s="1"/>
  <c r="N75" i="36"/>
  <c r="N75" i="49" s="1"/>
  <c r="N74" i="36"/>
  <c r="N74" i="49" s="1"/>
  <c r="N73" i="36"/>
  <c r="N73" i="49" s="1"/>
  <c r="N72" i="36"/>
  <c r="N72" i="49" s="1"/>
  <c r="N71" i="36"/>
  <c r="N71" i="49" s="1"/>
  <c r="N70" i="36"/>
  <c r="N70" i="49" s="1"/>
  <c r="N69" i="36"/>
  <c r="N69" i="49" s="1"/>
  <c r="N68" i="36"/>
  <c r="N68" i="49" s="1"/>
  <c r="N67" i="36"/>
  <c r="N67" i="49" s="1"/>
  <c r="N66" i="36"/>
  <c r="N66" i="49" s="1"/>
  <c r="N65" i="36"/>
  <c r="N65" i="49" s="1"/>
  <c r="N64" i="36"/>
  <c r="N64" i="49" s="1"/>
  <c r="N63" i="36"/>
  <c r="N63" i="49" s="1"/>
  <c r="N62" i="36"/>
  <c r="N62" i="49" s="1"/>
  <c r="N61" i="36"/>
  <c r="N61" i="49" s="1"/>
  <c r="N60" i="36"/>
  <c r="N60" i="49" s="1"/>
  <c r="N59" i="36"/>
  <c r="N59" i="49" s="1"/>
  <c r="N58" i="36"/>
  <c r="N58" i="49" s="1"/>
  <c r="N57" i="36"/>
  <c r="N57" i="49" s="1"/>
  <c r="N56" i="36"/>
  <c r="N56" i="49" s="1"/>
  <c r="N55" i="36"/>
  <c r="N55" i="49" s="1"/>
  <c r="N54" i="36"/>
  <c r="N54" i="49" s="1"/>
  <c r="N53" i="36"/>
  <c r="N53" i="49" s="1"/>
  <c r="N52" i="36"/>
  <c r="N52" i="49" s="1"/>
  <c r="N51" i="36"/>
  <c r="N51" i="49" s="1"/>
  <c r="N50" i="36"/>
  <c r="N50" i="49" s="1"/>
  <c r="N49" i="36"/>
  <c r="N49" i="49" s="1"/>
  <c r="N48" i="36"/>
  <c r="N48" i="49" s="1"/>
  <c r="N47" i="36"/>
  <c r="N47" i="49" s="1"/>
  <c r="N46" i="36"/>
  <c r="N46" i="49" s="1"/>
  <c r="N45" i="36"/>
  <c r="N45" i="49" s="1"/>
  <c r="N44" i="36"/>
  <c r="N44" i="49" s="1"/>
  <c r="N43" i="36"/>
  <c r="N43" i="49" s="1"/>
  <c r="N42" i="36"/>
  <c r="N42" i="49" s="1"/>
  <c r="N41" i="36"/>
  <c r="N41" i="49" s="1"/>
  <c r="N40" i="36"/>
  <c r="N40" i="49" s="1"/>
  <c r="N39" i="36"/>
  <c r="N39" i="49" s="1"/>
  <c r="N38" i="36"/>
  <c r="N38" i="49" s="1"/>
  <c r="N37" i="36"/>
  <c r="N37" i="49" s="1"/>
  <c r="N36" i="36"/>
  <c r="N36" i="49" s="1"/>
  <c r="N35" i="36"/>
  <c r="N35" i="49" s="1"/>
  <c r="N34" i="36"/>
  <c r="N34" i="49" s="1"/>
  <c r="N33" i="36"/>
  <c r="N33" i="49" s="1"/>
  <c r="N32" i="36"/>
  <c r="N32" i="49" s="1"/>
  <c r="N31" i="36"/>
  <c r="N31" i="49" s="1"/>
  <c r="N30" i="36"/>
  <c r="N30" i="49" s="1"/>
  <c r="N29" i="36"/>
  <c r="N29" i="49" s="1"/>
  <c r="N28" i="36"/>
  <c r="N28" i="49" s="1"/>
  <c r="N27" i="36"/>
  <c r="N27" i="49" s="1"/>
  <c r="N26" i="36"/>
  <c r="N26" i="49" s="1"/>
  <c r="N25" i="36"/>
  <c r="N25" i="49" s="1"/>
  <c r="N24" i="36"/>
  <c r="N24" i="49" s="1"/>
  <c r="N23" i="36"/>
  <c r="N23" i="49" s="1"/>
  <c r="N22" i="36"/>
  <c r="N22" i="49" s="1"/>
  <c r="N21" i="36"/>
  <c r="N21" i="49" s="1"/>
  <c r="N20" i="36"/>
  <c r="N20" i="49" s="1"/>
  <c r="N19" i="36"/>
  <c r="N19" i="49" s="1"/>
  <c r="N18" i="36"/>
  <c r="N18" i="49" s="1"/>
  <c r="N17" i="36"/>
  <c r="N17" i="49" s="1"/>
  <c r="N16" i="36"/>
  <c r="N16" i="49" s="1"/>
  <c r="N15" i="36"/>
  <c r="N15" i="49" s="1"/>
  <c r="N14" i="36"/>
  <c r="N14" i="49" s="1"/>
  <c r="N13" i="36"/>
  <c r="N13" i="49" s="1"/>
  <c r="N12" i="36"/>
  <c r="N12" i="49" s="1"/>
  <c r="N11" i="36"/>
  <c r="N11" i="49" s="1"/>
  <c r="N10" i="36"/>
  <c r="N10" i="49" s="1"/>
  <c r="N9" i="36"/>
  <c r="N9" i="49" s="1"/>
  <c r="N8" i="36"/>
  <c r="N8" i="49" s="1"/>
  <c r="N7" i="36"/>
  <c r="N7" i="49" s="1"/>
  <c r="N6" i="36"/>
  <c r="N6" i="49" s="1"/>
  <c r="N295" i="36" l="1"/>
  <c r="N129" i="49"/>
  <c r="N303" i="36"/>
  <c r="N137" i="49"/>
  <c r="N296" i="36"/>
  <c r="N130" i="49"/>
  <c r="N297" i="36"/>
  <c r="N131" i="49"/>
  <c r="N302" i="36"/>
  <c r="N136" i="49"/>
  <c r="N298" i="36"/>
  <c r="N132" i="49"/>
  <c r="N299" i="36"/>
  <c r="N133" i="49"/>
  <c r="N294" i="36"/>
  <c r="N128" i="49"/>
  <c r="N292" i="36"/>
  <c r="N126" i="49"/>
  <c r="N300" i="36"/>
  <c r="N134" i="49"/>
  <c r="N293" i="36"/>
  <c r="N127" i="49"/>
  <c r="N301" i="36"/>
  <c r="N135" i="49"/>
  <c r="N151" i="36"/>
  <c r="D172" i="46"/>
  <c r="D173" i="46"/>
  <c r="D171" i="46"/>
  <c r="C156" i="46"/>
  <c r="C157" i="46"/>
  <c r="C158" i="46"/>
  <c r="C159" i="46"/>
  <c r="C160" i="46"/>
  <c r="C161" i="46"/>
  <c r="C162" i="46"/>
  <c r="C163" i="46"/>
  <c r="C164" i="46"/>
  <c r="C165" i="46"/>
  <c r="C167" i="46"/>
  <c r="C126" i="46"/>
  <c r="C127" i="46"/>
  <c r="C128" i="46"/>
  <c r="C129" i="46"/>
  <c r="C130" i="46"/>
  <c r="C131" i="46"/>
  <c r="C132" i="46"/>
  <c r="C133" i="46"/>
  <c r="C134" i="46"/>
  <c r="C135" i="46"/>
  <c r="C136" i="46"/>
  <c r="C137" i="46"/>
  <c r="C138" i="46"/>
  <c r="C125" i="46"/>
  <c r="C144" i="46"/>
  <c r="C97" i="46"/>
  <c r="C98" i="46"/>
  <c r="C99" i="46"/>
  <c r="C115" i="46" s="1"/>
  <c r="C100" i="46"/>
  <c r="C101" i="46"/>
  <c r="C102" i="46"/>
  <c r="C103" i="46"/>
  <c r="C104" i="46"/>
  <c r="C105" i="46"/>
  <c r="C106" i="46"/>
  <c r="C107" i="46"/>
  <c r="C108" i="46"/>
  <c r="C109" i="46"/>
  <c r="C96" i="46"/>
  <c r="D115" i="46"/>
  <c r="E102" i="46"/>
  <c r="F102" i="46" s="1"/>
  <c r="C68" i="46"/>
  <c r="C69" i="46"/>
  <c r="C70" i="46"/>
  <c r="C71" i="46"/>
  <c r="C72" i="46"/>
  <c r="C73" i="46"/>
  <c r="E73" i="46" s="1"/>
  <c r="F73" i="46" s="1"/>
  <c r="C75" i="46"/>
  <c r="C76" i="46"/>
  <c r="C77" i="46"/>
  <c r="C78" i="46"/>
  <c r="C79" i="46"/>
  <c r="C80" i="46"/>
  <c r="C67" i="46"/>
  <c r="D86" i="46"/>
  <c r="C39" i="46"/>
  <c r="C40" i="46"/>
  <c r="C41" i="46"/>
  <c r="C42" i="46"/>
  <c r="C43" i="46"/>
  <c r="C44" i="46"/>
  <c r="C45" i="46"/>
  <c r="C46" i="46"/>
  <c r="C47" i="46"/>
  <c r="C48" i="46"/>
  <c r="C49" i="46"/>
  <c r="C50" i="46"/>
  <c r="C51" i="46"/>
  <c r="C38" i="46"/>
  <c r="D57" i="46"/>
  <c r="E44" i="46"/>
  <c r="F44" i="46" s="1"/>
  <c r="D28" i="46"/>
  <c r="D902" i="45"/>
  <c r="E902" i="45"/>
  <c r="D903" i="45"/>
  <c r="E903" i="45"/>
  <c r="D904" i="45"/>
  <c r="E904" i="45"/>
  <c r="D905" i="45"/>
  <c r="E905" i="45"/>
  <c r="D906" i="45"/>
  <c r="E906" i="45"/>
  <c r="D907" i="45"/>
  <c r="E907" i="45"/>
  <c r="D908" i="45"/>
  <c r="E908" i="45"/>
  <c r="D909" i="45"/>
  <c r="E909" i="45"/>
  <c r="D910" i="45"/>
  <c r="E910" i="45"/>
  <c r="D911" i="45"/>
  <c r="E911" i="45"/>
  <c r="C903" i="45"/>
  <c r="C904" i="45"/>
  <c r="C905" i="45"/>
  <c r="C906" i="45"/>
  <c r="C907" i="45"/>
  <c r="C908" i="45"/>
  <c r="C909" i="45"/>
  <c r="C910" i="45"/>
  <c r="C911" i="45"/>
  <c r="C902" i="45"/>
  <c r="E131" i="46" l="1"/>
  <c r="F131" i="46" s="1"/>
  <c r="D144" i="46"/>
  <c r="D174" i="46"/>
  <c r="D175" i="46" s="1"/>
  <c r="C154" i="46"/>
  <c r="C171" i="46" s="1"/>
  <c r="C166" i="46"/>
  <c r="E166" i="46" s="1"/>
  <c r="C155" i="46"/>
  <c r="C172" i="46" s="1"/>
  <c r="E157" i="46"/>
  <c r="F157" i="46" s="1"/>
  <c r="E159" i="46"/>
  <c r="F159" i="46" s="1"/>
  <c r="E163" i="46"/>
  <c r="F163" i="46" s="1"/>
  <c r="E165" i="46"/>
  <c r="E167" i="46"/>
  <c r="F167" i="46" s="1"/>
  <c r="C173" i="46"/>
  <c r="E158" i="46"/>
  <c r="F158" i="46" s="1"/>
  <c r="E160" i="46"/>
  <c r="F160" i="46" s="1"/>
  <c r="E164" i="46"/>
  <c r="E156" i="46"/>
  <c r="E162" i="46"/>
  <c r="C86" i="46"/>
  <c r="C57" i="46"/>
  <c r="D551" i="45"/>
  <c r="D552" i="45"/>
  <c r="D553" i="45"/>
  <c r="D554" i="45"/>
  <c r="D555" i="45"/>
  <c r="D556" i="45"/>
  <c r="D557" i="45"/>
  <c r="D558" i="45"/>
  <c r="D559" i="45"/>
  <c r="D560" i="45"/>
  <c r="F551" i="45"/>
  <c r="F552" i="45"/>
  <c r="F553" i="45"/>
  <c r="F554" i="45"/>
  <c r="F555" i="45"/>
  <c r="F556" i="45"/>
  <c r="F557" i="45"/>
  <c r="F558" i="45"/>
  <c r="F559" i="45"/>
  <c r="F560" i="45"/>
  <c r="H531" i="45"/>
  <c r="H532" i="45"/>
  <c r="H533" i="45"/>
  <c r="H534" i="45"/>
  <c r="H535" i="45"/>
  <c r="H536" i="45"/>
  <c r="H537" i="45"/>
  <c r="H538" i="45"/>
  <c r="H539" i="45"/>
  <c r="H540" i="45"/>
  <c r="D531" i="45"/>
  <c r="J531" i="45" s="1"/>
  <c r="D532" i="45"/>
  <c r="D533" i="45"/>
  <c r="D534" i="45"/>
  <c r="D535" i="45"/>
  <c r="D536" i="45"/>
  <c r="D537" i="45"/>
  <c r="J537" i="45" s="1"/>
  <c r="D538" i="45"/>
  <c r="D539" i="45"/>
  <c r="D540" i="45"/>
  <c r="H511" i="45"/>
  <c r="H512" i="45"/>
  <c r="H513" i="45"/>
  <c r="H514" i="45"/>
  <c r="H515" i="45"/>
  <c r="H516" i="45"/>
  <c r="H517" i="45"/>
  <c r="H518" i="45"/>
  <c r="H519" i="45"/>
  <c r="H520" i="45"/>
  <c r="F511" i="45"/>
  <c r="F512" i="45"/>
  <c r="F513" i="45"/>
  <c r="F514" i="45"/>
  <c r="F515" i="45"/>
  <c r="F516" i="45"/>
  <c r="F517" i="45"/>
  <c r="F518" i="45"/>
  <c r="F519" i="45"/>
  <c r="F520" i="45"/>
  <c r="D511" i="45"/>
  <c r="D512" i="45"/>
  <c r="D513" i="45"/>
  <c r="D514" i="45"/>
  <c r="D515" i="45"/>
  <c r="D516" i="45"/>
  <c r="D517" i="45"/>
  <c r="D518" i="45"/>
  <c r="D519" i="45"/>
  <c r="D520" i="45"/>
  <c r="D521" i="45"/>
  <c r="D522" i="45"/>
  <c r="N491" i="45"/>
  <c r="N492" i="45"/>
  <c r="N493" i="45"/>
  <c r="N494" i="45"/>
  <c r="N495" i="45"/>
  <c r="N496" i="45"/>
  <c r="N497" i="45"/>
  <c r="N498" i="45"/>
  <c r="N499" i="45"/>
  <c r="N500" i="45"/>
  <c r="F491" i="45"/>
  <c r="F492" i="45"/>
  <c r="F493" i="45"/>
  <c r="F494" i="45"/>
  <c r="F495" i="45"/>
  <c r="F496" i="45"/>
  <c r="F497" i="45"/>
  <c r="F498" i="45"/>
  <c r="F499" i="45"/>
  <c r="F500" i="45"/>
  <c r="D491" i="45"/>
  <c r="D492" i="45"/>
  <c r="D493" i="45"/>
  <c r="D494" i="45"/>
  <c r="D495" i="45"/>
  <c r="D496" i="45"/>
  <c r="D497" i="45"/>
  <c r="D498" i="45"/>
  <c r="D499" i="45"/>
  <c r="D500" i="45"/>
  <c r="L511" i="45" l="1"/>
  <c r="L519" i="45"/>
  <c r="H555" i="45"/>
  <c r="E532" i="45"/>
  <c r="E519" i="45"/>
  <c r="L515" i="45"/>
  <c r="E155" i="46"/>
  <c r="E172" i="46" s="1"/>
  <c r="F172" i="46" s="1"/>
  <c r="E154" i="46"/>
  <c r="E171" i="46" s="1"/>
  <c r="E534" i="45"/>
  <c r="J516" i="45"/>
  <c r="L517" i="45"/>
  <c r="E536" i="45"/>
  <c r="H558" i="45"/>
  <c r="H552" i="45"/>
  <c r="H554" i="45"/>
  <c r="J512" i="45"/>
  <c r="H556" i="45"/>
  <c r="O492" i="45"/>
  <c r="E538" i="45"/>
  <c r="G555" i="45"/>
  <c r="C174" i="46"/>
  <c r="C175" i="46" s="1"/>
  <c r="C176" i="46" s="1"/>
  <c r="G557" i="45"/>
  <c r="H551" i="45"/>
  <c r="J535" i="45"/>
  <c r="E515" i="45"/>
  <c r="J533" i="45"/>
  <c r="L513" i="45"/>
  <c r="E517" i="45"/>
  <c r="E522" i="45"/>
  <c r="G552" i="45"/>
  <c r="G558" i="45"/>
  <c r="G553" i="45"/>
  <c r="H553" i="45"/>
  <c r="G559" i="45"/>
  <c r="G554" i="45"/>
  <c r="H557" i="45"/>
  <c r="O499" i="45"/>
  <c r="O495" i="45"/>
  <c r="J520" i="45"/>
  <c r="E513" i="45"/>
  <c r="G556" i="45"/>
  <c r="H559" i="45"/>
  <c r="G560" i="45"/>
  <c r="H560" i="45"/>
  <c r="E174" i="46"/>
  <c r="E173" i="46"/>
  <c r="F173" i="46" s="1"/>
  <c r="F156" i="46"/>
  <c r="J518" i="45"/>
  <c r="J514" i="45"/>
  <c r="E553" i="45"/>
  <c r="E555" i="45"/>
  <c r="E557" i="45"/>
  <c r="E559" i="45"/>
  <c r="J500" i="45"/>
  <c r="E552" i="45"/>
  <c r="E554" i="45"/>
  <c r="E556" i="45"/>
  <c r="E558" i="45"/>
  <c r="E560" i="45"/>
  <c r="E498" i="45"/>
  <c r="E496" i="45"/>
  <c r="E494" i="45"/>
  <c r="E492" i="45"/>
  <c r="J497" i="45"/>
  <c r="G493" i="45"/>
  <c r="L531" i="45"/>
  <c r="J532" i="45"/>
  <c r="E533" i="45"/>
  <c r="L533" i="45"/>
  <c r="J534" i="45"/>
  <c r="E535" i="45"/>
  <c r="L535" i="45"/>
  <c r="J536" i="45"/>
  <c r="E537" i="45"/>
  <c r="L537" i="45"/>
  <c r="J538" i="45"/>
  <c r="K538" i="45" s="1"/>
  <c r="E539" i="45"/>
  <c r="L539" i="45"/>
  <c r="J540" i="45"/>
  <c r="L520" i="45"/>
  <c r="L518" i="45"/>
  <c r="L516" i="45"/>
  <c r="L514" i="45"/>
  <c r="L512" i="45"/>
  <c r="L532" i="45"/>
  <c r="L534" i="45"/>
  <c r="L536" i="45"/>
  <c r="L538" i="45"/>
  <c r="J539" i="45"/>
  <c r="E540" i="45"/>
  <c r="L540" i="45"/>
  <c r="J495" i="45"/>
  <c r="E520" i="45"/>
  <c r="E518" i="45"/>
  <c r="E516" i="45"/>
  <c r="E514" i="45"/>
  <c r="E512" i="45"/>
  <c r="J519" i="45"/>
  <c r="J517" i="45"/>
  <c r="J515" i="45"/>
  <c r="J513" i="45"/>
  <c r="J511" i="45"/>
  <c r="G532" i="45"/>
  <c r="I532" i="45"/>
  <c r="G533" i="45"/>
  <c r="I533" i="45"/>
  <c r="G534" i="45"/>
  <c r="I534" i="45"/>
  <c r="G535" i="45"/>
  <c r="I535" i="45"/>
  <c r="G536" i="45"/>
  <c r="I536" i="45"/>
  <c r="G537" i="45"/>
  <c r="I537" i="45"/>
  <c r="G538" i="45"/>
  <c r="I538" i="45"/>
  <c r="G539" i="45"/>
  <c r="I539" i="45"/>
  <c r="G540" i="45"/>
  <c r="I540" i="45"/>
  <c r="G541" i="45"/>
  <c r="G542" i="45"/>
  <c r="J499" i="45"/>
  <c r="J491" i="45"/>
  <c r="J498" i="45"/>
  <c r="G496" i="45"/>
  <c r="G494" i="45"/>
  <c r="J492" i="45"/>
  <c r="O497" i="45"/>
  <c r="O493" i="45"/>
  <c r="E521" i="45"/>
  <c r="E493" i="45"/>
  <c r="E495" i="45"/>
  <c r="E497" i="45"/>
  <c r="E499" i="45"/>
  <c r="R499" i="45"/>
  <c r="R497" i="45"/>
  <c r="R495" i="45"/>
  <c r="R493" i="45"/>
  <c r="R491" i="45"/>
  <c r="R500" i="45"/>
  <c r="R498" i="45"/>
  <c r="R496" i="45"/>
  <c r="R494" i="45"/>
  <c r="R492" i="45"/>
  <c r="E500" i="45"/>
  <c r="O494" i="45"/>
  <c r="O496" i="45"/>
  <c r="O498" i="45"/>
  <c r="O500" i="45"/>
  <c r="G512" i="45"/>
  <c r="I512" i="45"/>
  <c r="G513" i="45"/>
  <c r="I513" i="45"/>
  <c r="G514" i="45"/>
  <c r="I514" i="45"/>
  <c r="G515" i="45"/>
  <c r="I515" i="45"/>
  <c r="G516" i="45"/>
  <c r="I516" i="45"/>
  <c r="G517" i="45"/>
  <c r="I517" i="45"/>
  <c r="G518" i="45"/>
  <c r="I518" i="45"/>
  <c r="G519" i="45"/>
  <c r="I519" i="45"/>
  <c r="G520" i="45"/>
  <c r="I520" i="45"/>
  <c r="J493" i="45"/>
  <c r="J494" i="45"/>
  <c r="J496" i="45"/>
  <c r="G492" i="45"/>
  <c r="G495" i="45"/>
  <c r="G497" i="45"/>
  <c r="G498" i="45"/>
  <c r="G499" i="45"/>
  <c r="G500" i="45"/>
  <c r="F480" i="45"/>
  <c r="F479" i="45"/>
  <c r="F478" i="45"/>
  <c r="F477" i="45"/>
  <c r="F476" i="45"/>
  <c r="F475" i="45"/>
  <c r="F474" i="45"/>
  <c r="F473" i="45"/>
  <c r="F472" i="45"/>
  <c r="F471" i="45"/>
  <c r="D472" i="45"/>
  <c r="D473" i="45"/>
  <c r="D474" i="45"/>
  <c r="D475" i="45"/>
  <c r="D476" i="45"/>
  <c r="D477" i="45"/>
  <c r="D478" i="45"/>
  <c r="D479" i="45"/>
  <c r="D480" i="45"/>
  <c r="D471" i="45"/>
  <c r="F439" i="45"/>
  <c r="F440" i="45"/>
  <c r="F441" i="45"/>
  <c r="F442" i="45"/>
  <c r="F443" i="45"/>
  <c r="F444" i="45"/>
  <c r="D439" i="45"/>
  <c r="D440" i="45"/>
  <c r="D441" i="45"/>
  <c r="D442" i="45"/>
  <c r="D443" i="45"/>
  <c r="D444" i="45"/>
  <c r="F459" i="45"/>
  <c r="F458" i="45"/>
  <c r="M520" i="45" l="1"/>
  <c r="M512" i="45"/>
  <c r="M516" i="45"/>
  <c r="I559" i="45"/>
  <c r="M515" i="45"/>
  <c r="I558" i="45"/>
  <c r="I555" i="45"/>
  <c r="S492" i="45"/>
  <c r="I556" i="45"/>
  <c r="K517" i="45"/>
  <c r="K533" i="45"/>
  <c r="E523" i="45"/>
  <c r="M518" i="45"/>
  <c r="K535" i="45"/>
  <c r="F155" i="46"/>
  <c r="F174" i="46"/>
  <c r="F154" i="46"/>
  <c r="K536" i="45"/>
  <c r="K512" i="45"/>
  <c r="K513" i="45"/>
  <c r="K532" i="45"/>
  <c r="I554" i="45"/>
  <c r="M513" i="45"/>
  <c r="M514" i="45"/>
  <c r="K539" i="45"/>
  <c r="I552" i="45"/>
  <c r="K537" i="45"/>
  <c r="K534" i="45"/>
  <c r="G563" i="45"/>
  <c r="K520" i="45"/>
  <c r="S498" i="45"/>
  <c r="M536" i="45"/>
  <c r="J480" i="45"/>
  <c r="I560" i="45"/>
  <c r="M532" i="45"/>
  <c r="S500" i="45"/>
  <c r="K496" i="45"/>
  <c r="K492" i="45"/>
  <c r="K498" i="45"/>
  <c r="K493" i="45"/>
  <c r="I553" i="45"/>
  <c r="I557" i="45"/>
  <c r="K515" i="45"/>
  <c r="M519" i="45"/>
  <c r="S496" i="45"/>
  <c r="M517" i="45"/>
  <c r="M534" i="45"/>
  <c r="M538" i="45"/>
  <c r="S494" i="45"/>
  <c r="S499" i="45"/>
  <c r="K499" i="45"/>
  <c r="K518" i="45"/>
  <c r="J476" i="45"/>
  <c r="J474" i="45"/>
  <c r="K514" i="45"/>
  <c r="K516" i="45"/>
  <c r="K500" i="45"/>
  <c r="J479" i="45"/>
  <c r="K519" i="45"/>
  <c r="F171" i="46"/>
  <c r="E175" i="46"/>
  <c r="F175" i="46" s="1"/>
  <c r="J478" i="45"/>
  <c r="J477" i="45"/>
  <c r="E543" i="45"/>
  <c r="J472" i="45"/>
  <c r="S493" i="45"/>
  <c r="E563" i="45"/>
  <c r="M539" i="45"/>
  <c r="M535" i="45"/>
  <c r="E475" i="45"/>
  <c r="E503" i="45"/>
  <c r="M540" i="45"/>
  <c r="K540" i="45"/>
  <c r="M537" i="45"/>
  <c r="M533" i="45"/>
  <c r="I543" i="45"/>
  <c r="G543" i="45"/>
  <c r="E473" i="45"/>
  <c r="E476" i="45"/>
  <c r="E474" i="45"/>
  <c r="J473" i="45"/>
  <c r="J475" i="45"/>
  <c r="O503" i="45"/>
  <c r="I523" i="45"/>
  <c r="J439" i="45"/>
  <c r="J471" i="45"/>
  <c r="E478" i="45"/>
  <c r="E480" i="45"/>
  <c r="K494" i="45"/>
  <c r="G523" i="45"/>
  <c r="S497" i="45"/>
  <c r="S495" i="45"/>
  <c r="G503" i="45"/>
  <c r="E477" i="45"/>
  <c r="E479" i="45"/>
  <c r="K497" i="45"/>
  <c r="K495" i="45"/>
  <c r="E472" i="45"/>
  <c r="E444" i="45"/>
  <c r="G472" i="45"/>
  <c r="G473" i="45"/>
  <c r="G474" i="45"/>
  <c r="G475" i="45"/>
  <c r="G476" i="45"/>
  <c r="G477" i="45"/>
  <c r="G478" i="45"/>
  <c r="G479" i="45"/>
  <c r="G480" i="45"/>
  <c r="E442" i="45"/>
  <c r="E440" i="45"/>
  <c r="G444" i="45"/>
  <c r="G442" i="45"/>
  <c r="G440" i="45"/>
  <c r="E443" i="45"/>
  <c r="E441" i="45"/>
  <c r="J443" i="45"/>
  <c r="J441" i="45"/>
  <c r="J444" i="45"/>
  <c r="J442" i="45"/>
  <c r="J440" i="45"/>
  <c r="G443" i="45"/>
  <c r="G441" i="45"/>
  <c r="F457" i="45"/>
  <c r="G459" i="45"/>
  <c r="F446" i="45"/>
  <c r="F447" i="45"/>
  <c r="F448" i="45"/>
  <c r="F445" i="45"/>
  <c r="G445" i="45" s="1"/>
  <c r="D446" i="45"/>
  <c r="D447" i="45"/>
  <c r="D448" i="45"/>
  <c r="D445" i="45"/>
  <c r="E445" i="45" s="1"/>
  <c r="K474" i="45" l="1"/>
  <c r="I563" i="45"/>
  <c r="K543" i="45"/>
  <c r="K480" i="45"/>
  <c r="M523" i="45"/>
  <c r="K475" i="45"/>
  <c r="K440" i="45"/>
  <c r="K472" i="45"/>
  <c r="K476" i="45"/>
  <c r="K444" i="45"/>
  <c r="K477" i="45"/>
  <c r="K523" i="45"/>
  <c r="K473" i="45"/>
  <c r="K478" i="45"/>
  <c r="K479" i="45"/>
  <c r="M543" i="45"/>
  <c r="E483" i="45"/>
  <c r="S503" i="45"/>
  <c r="K503" i="45"/>
  <c r="K441" i="45"/>
  <c r="G483" i="45"/>
  <c r="K442" i="45"/>
  <c r="K443" i="45"/>
  <c r="E447" i="45"/>
  <c r="G447" i="45"/>
  <c r="H457" i="45"/>
  <c r="J457" i="45"/>
  <c r="G458" i="45"/>
  <c r="E448" i="45"/>
  <c r="E446" i="45"/>
  <c r="G448" i="45"/>
  <c r="G446" i="45"/>
  <c r="J445" i="45"/>
  <c r="K445" i="45" s="1"/>
  <c r="J447" i="45"/>
  <c r="J448" i="45"/>
  <c r="J446" i="45"/>
  <c r="K483" i="45" l="1"/>
  <c r="G451" i="45"/>
  <c r="E451" i="45"/>
  <c r="K448" i="45"/>
  <c r="L457" i="45"/>
  <c r="K446" i="45"/>
  <c r="K447" i="45"/>
  <c r="K451" i="45" l="1"/>
  <c r="C843" i="45" l="1"/>
  <c r="C871" i="45"/>
  <c r="C863" i="45"/>
  <c r="C853" i="45"/>
  <c r="C833" i="45"/>
  <c r="C825" i="45"/>
  <c r="F817" i="45"/>
  <c r="C879" i="45" l="1"/>
  <c r="C804" i="45"/>
  <c r="D804" i="45"/>
  <c r="C796" i="45"/>
  <c r="D796" i="45"/>
  <c r="C786" i="45"/>
  <c r="D786" i="45"/>
  <c r="C776" i="45"/>
  <c r="D776" i="45"/>
  <c r="C766" i="45"/>
  <c r="D766" i="45"/>
  <c r="C758" i="45"/>
  <c r="D758" i="45"/>
  <c r="F750" i="45"/>
  <c r="D797" i="45"/>
  <c r="C797" i="45"/>
  <c r="E766" i="45" l="1"/>
  <c r="F766" i="45" s="1"/>
  <c r="E786" i="45"/>
  <c r="F786" i="45" s="1"/>
  <c r="E804" i="45"/>
  <c r="F804" i="45" s="1"/>
  <c r="E776" i="45"/>
  <c r="F776" i="45" s="1"/>
  <c r="E796" i="45"/>
  <c r="F796" i="45" s="1"/>
  <c r="D812" i="45"/>
  <c r="C812" i="45"/>
  <c r="E758" i="45"/>
  <c r="F758" i="45" s="1"/>
  <c r="E812" i="45" l="1"/>
  <c r="F812" i="45" s="1"/>
  <c r="D730" i="45"/>
  <c r="C730" i="45"/>
  <c r="C737" i="45"/>
  <c r="D737" i="45"/>
  <c r="C729" i="45"/>
  <c r="D729" i="45"/>
  <c r="C719" i="45"/>
  <c r="D719" i="45"/>
  <c r="C709" i="45"/>
  <c r="D709" i="45"/>
  <c r="C699" i="45"/>
  <c r="D699" i="45"/>
  <c r="C691" i="45"/>
  <c r="D691" i="45"/>
  <c r="F683" i="45"/>
  <c r="E699" i="45" l="1"/>
  <c r="E709" i="45"/>
  <c r="F709" i="45" s="1"/>
  <c r="E719" i="45"/>
  <c r="F719" i="45" s="1"/>
  <c r="E729" i="45"/>
  <c r="F729" i="45" s="1"/>
  <c r="E737" i="45"/>
  <c r="F737" i="45" s="1"/>
  <c r="E691" i="45"/>
  <c r="F691" i="45" s="1"/>
  <c r="C745" i="45"/>
  <c r="D745" i="45"/>
  <c r="C670" i="45"/>
  <c r="D670" i="45"/>
  <c r="C662" i="45"/>
  <c r="D662" i="45"/>
  <c r="C652" i="45"/>
  <c r="D652" i="45"/>
  <c r="C642" i="45"/>
  <c r="D642" i="45"/>
  <c r="C632" i="45"/>
  <c r="D632" i="45"/>
  <c r="C624" i="45"/>
  <c r="D624" i="45"/>
  <c r="B633" i="45"/>
  <c r="B643" i="45"/>
  <c r="B653" i="45"/>
  <c r="B671" i="45"/>
  <c r="F616" i="45"/>
  <c r="B678" i="45"/>
  <c r="B745" i="45" s="1"/>
  <c r="B812" i="45" s="1"/>
  <c r="B879" i="45" s="1"/>
  <c r="B611" i="45"/>
  <c r="B677" i="45" s="1"/>
  <c r="B744" i="45" s="1"/>
  <c r="B811" i="45" s="1"/>
  <c r="B878" i="45" s="1"/>
  <c r="B607" i="45"/>
  <c r="B673" i="45" s="1"/>
  <c r="B740" i="45" s="1"/>
  <c r="B807" i="45" s="1"/>
  <c r="B874" i="45" s="1"/>
  <c r="B608" i="45"/>
  <c r="B674" i="45" s="1"/>
  <c r="B741" i="45" s="1"/>
  <c r="B808" i="45" s="1"/>
  <c r="B875" i="45" s="1"/>
  <c r="B609" i="45"/>
  <c r="B675" i="45" s="1"/>
  <c r="B742" i="45" s="1"/>
  <c r="B809" i="45" s="1"/>
  <c r="B876" i="45" s="1"/>
  <c r="B610" i="45"/>
  <c r="B676" i="45" s="1"/>
  <c r="B743" i="45" s="1"/>
  <c r="B810" i="45" s="1"/>
  <c r="B877" i="45" s="1"/>
  <c r="C602" i="45"/>
  <c r="C603" i="45"/>
  <c r="B602" i="45"/>
  <c r="B665" i="45" s="1"/>
  <c r="B732" i="45" s="1"/>
  <c r="B799" i="45" s="1"/>
  <c r="B866" i="45" s="1"/>
  <c r="B603" i="45"/>
  <c r="B666" i="45" s="1"/>
  <c r="B733" i="45" s="1"/>
  <c r="B800" i="45" s="1"/>
  <c r="B867" i="45" s="1"/>
  <c r="B604" i="45"/>
  <c r="B667" i="45" s="1"/>
  <c r="B734" i="45" s="1"/>
  <c r="B801" i="45" s="1"/>
  <c r="B868" i="45" s="1"/>
  <c r="B668" i="45"/>
  <c r="B735" i="45" s="1"/>
  <c r="B802" i="45" s="1"/>
  <c r="B869" i="45" s="1"/>
  <c r="B669" i="45"/>
  <c r="B736" i="45" s="1"/>
  <c r="B803" i="45" s="1"/>
  <c r="B870" i="45" s="1"/>
  <c r="B670" i="45"/>
  <c r="B737" i="45" s="1"/>
  <c r="B804" i="45" s="1"/>
  <c r="B871" i="45" s="1"/>
  <c r="C595" i="45"/>
  <c r="C596" i="45"/>
  <c r="C598" i="45"/>
  <c r="B596" i="45"/>
  <c r="B656" i="45" s="1"/>
  <c r="B723" i="45" s="1"/>
  <c r="B790" i="45" s="1"/>
  <c r="B857" i="45" s="1"/>
  <c r="B597" i="45"/>
  <c r="B657" i="45" s="1"/>
  <c r="B724" i="45" s="1"/>
  <c r="B791" i="45" s="1"/>
  <c r="B858" i="45" s="1"/>
  <c r="B598" i="45"/>
  <c r="B658" i="45" s="1"/>
  <c r="B725" i="45" s="1"/>
  <c r="B792" i="45" s="1"/>
  <c r="B859" i="45" s="1"/>
  <c r="B599" i="45"/>
  <c r="B659" i="45" s="1"/>
  <c r="B726" i="45" s="1"/>
  <c r="B793" i="45" s="1"/>
  <c r="B860" i="45" s="1"/>
  <c r="B660" i="45"/>
  <c r="B727" i="45" s="1"/>
  <c r="B794" i="45" s="1"/>
  <c r="B861" i="45" s="1"/>
  <c r="B661" i="45"/>
  <c r="B728" i="45" s="1"/>
  <c r="B795" i="45" s="1"/>
  <c r="B862" i="45" s="1"/>
  <c r="B662" i="45"/>
  <c r="B729" i="45" s="1"/>
  <c r="B796" i="45" s="1"/>
  <c r="B863" i="45" s="1"/>
  <c r="F699" i="45" l="1"/>
  <c r="E642" i="45"/>
  <c r="E745" i="45"/>
  <c r="F745" i="45" s="1"/>
  <c r="E662" i="45"/>
  <c r="F662" i="45" s="1"/>
  <c r="C678" i="45"/>
  <c r="D678" i="45"/>
  <c r="E632" i="45"/>
  <c r="F632" i="45" s="1"/>
  <c r="E670" i="45"/>
  <c r="E652" i="45"/>
  <c r="E624" i="45"/>
  <c r="F624" i="45" s="1"/>
  <c r="B595" i="45"/>
  <c r="B655" i="45" s="1"/>
  <c r="B722" i="45" s="1"/>
  <c r="B789" i="45" s="1"/>
  <c r="B856" i="45" s="1"/>
  <c r="F670" i="45" l="1"/>
  <c r="F642" i="45"/>
  <c r="F652" i="45"/>
  <c r="E678" i="45"/>
  <c r="F678" i="45" s="1"/>
  <c r="C589" i="45"/>
  <c r="C591" i="45"/>
  <c r="C588" i="45"/>
  <c r="B589" i="45"/>
  <c r="B646" i="45" s="1"/>
  <c r="B713" i="45" s="1"/>
  <c r="B780" i="45" s="1"/>
  <c r="B847" i="45" s="1"/>
  <c r="B590" i="45"/>
  <c r="B647" i="45" s="1"/>
  <c r="B714" i="45" s="1"/>
  <c r="B781" i="45" s="1"/>
  <c r="B848" i="45" s="1"/>
  <c r="B591" i="45"/>
  <c r="B648" i="45" s="1"/>
  <c r="B715" i="45" s="1"/>
  <c r="B782" i="45" s="1"/>
  <c r="B849" i="45" s="1"/>
  <c r="B592" i="45"/>
  <c r="B649" i="45" s="1"/>
  <c r="B716" i="45" s="1"/>
  <c r="B783" i="45" s="1"/>
  <c r="B850" i="45" s="1"/>
  <c r="B650" i="45"/>
  <c r="B717" i="45" s="1"/>
  <c r="B784" i="45" s="1"/>
  <c r="B851" i="45" s="1"/>
  <c r="B651" i="45"/>
  <c r="B718" i="45" s="1"/>
  <c r="B785" i="45" s="1"/>
  <c r="B852" i="45" s="1"/>
  <c r="B652" i="45"/>
  <c r="B719" i="45" s="1"/>
  <c r="B786" i="45" s="1"/>
  <c r="B853" i="45" s="1"/>
  <c r="B588" i="45"/>
  <c r="B645" i="45" s="1"/>
  <c r="B712" i="45" s="1"/>
  <c r="B779" i="45" s="1"/>
  <c r="B846" i="45" s="1"/>
  <c r="C584" i="45"/>
  <c r="B582" i="45"/>
  <c r="B636" i="45" s="1"/>
  <c r="B703" i="45" s="1"/>
  <c r="B770" i="45" s="1"/>
  <c r="B837" i="45" s="1"/>
  <c r="B583" i="45"/>
  <c r="B637" i="45" s="1"/>
  <c r="B704" i="45" s="1"/>
  <c r="B771" i="45" s="1"/>
  <c r="B838" i="45" s="1"/>
  <c r="B584" i="45"/>
  <c r="B638" i="45" s="1"/>
  <c r="B705" i="45" s="1"/>
  <c r="B772" i="45" s="1"/>
  <c r="B839" i="45" s="1"/>
  <c r="B585" i="45"/>
  <c r="B639" i="45" s="1"/>
  <c r="B706" i="45" s="1"/>
  <c r="B773" i="45" s="1"/>
  <c r="B840" i="45" s="1"/>
  <c r="B640" i="45"/>
  <c r="B707" i="45" s="1"/>
  <c r="B774" i="45" s="1"/>
  <c r="B841" i="45" s="1"/>
  <c r="B641" i="45"/>
  <c r="B708" i="45" s="1"/>
  <c r="B775" i="45" s="1"/>
  <c r="B842" i="45" s="1"/>
  <c r="B642" i="45"/>
  <c r="B709" i="45" s="1"/>
  <c r="B776" i="45" s="1"/>
  <c r="B843" i="45" s="1"/>
  <c r="C577" i="45"/>
  <c r="B576" i="45"/>
  <c r="B627" i="45" s="1"/>
  <c r="B694" i="45" s="1"/>
  <c r="B761" i="45" s="1"/>
  <c r="B828" i="45" s="1"/>
  <c r="B577" i="45"/>
  <c r="B628" i="45" s="1"/>
  <c r="B695" i="45" s="1"/>
  <c r="B762" i="45" s="1"/>
  <c r="B829" i="45" s="1"/>
  <c r="B578" i="45"/>
  <c r="B629" i="45" s="1"/>
  <c r="B696" i="45" s="1"/>
  <c r="B763" i="45" s="1"/>
  <c r="B830" i="45" s="1"/>
  <c r="B630" i="45"/>
  <c r="B697" i="45" s="1"/>
  <c r="B764" i="45" s="1"/>
  <c r="B831" i="45" s="1"/>
  <c r="B631" i="45"/>
  <c r="B698" i="45" s="1"/>
  <c r="B765" i="45" s="1"/>
  <c r="B832" i="45" s="1"/>
  <c r="B632" i="45"/>
  <c r="B699" i="45" s="1"/>
  <c r="B766" i="45" s="1"/>
  <c r="B833" i="45" s="1"/>
  <c r="C610" i="45" l="1"/>
  <c r="C572" i="45"/>
  <c r="B624" i="45"/>
  <c r="B691" i="45" s="1"/>
  <c r="B758" i="45" s="1"/>
  <c r="B825" i="45" s="1"/>
  <c r="B622" i="45"/>
  <c r="B689" i="45" s="1"/>
  <c r="B756" i="45" s="1"/>
  <c r="B823" i="45" s="1"/>
  <c r="B623" i="45"/>
  <c r="B690" i="45" s="1"/>
  <c r="B757" i="45" s="1"/>
  <c r="B824" i="45" s="1"/>
  <c r="D568" i="45"/>
  <c r="B573" i="45"/>
  <c r="B621" i="45" s="1"/>
  <c r="B688" i="45" s="1"/>
  <c r="B755" i="45" s="1"/>
  <c r="B822" i="45" s="1"/>
  <c r="C338" i="45" l="1"/>
  <c r="D425" i="45" l="1"/>
  <c r="E425" i="45"/>
  <c r="F425" i="45"/>
  <c r="G425" i="45"/>
  <c r="C425" i="45"/>
  <c r="C423" i="45"/>
  <c r="C421" i="45"/>
  <c r="C420" i="45"/>
  <c r="C411" i="45"/>
  <c r="C410" i="45"/>
  <c r="C397" i="45"/>
  <c r="C396" i="45"/>
  <c r="C394" i="45"/>
  <c r="C597" i="45" s="1"/>
  <c r="C380" i="45"/>
  <c r="C379" i="45"/>
  <c r="C592" i="45" s="1"/>
  <c r="C377" i="45"/>
  <c r="C590" i="45" s="1"/>
  <c r="C364" i="45"/>
  <c r="C363" i="45"/>
  <c r="C361" i="45"/>
  <c r="C350" i="45"/>
  <c r="C349" i="45"/>
  <c r="C337" i="45"/>
  <c r="C412" i="45" l="1"/>
  <c r="C604" i="45"/>
  <c r="C398" i="45"/>
  <c r="C599" i="45"/>
  <c r="C365" i="45"/>
  <c r="C585" i="45"/>
  <c r="C339" i="45"/>
  <c r="C573" i="45"/>
  <c r="D573" i="45" s="1"/>
  <c r="C351" i="45"/>
  <c r="C578" i="45"/>
  <c r="D578" i="45" s="1"/>
  <c r="C422" i="45"/>
  <c r="C424" i="45"/>
  <c r="C381" i="45"/>
  <c r="C611" i="45" l="1"/>
  <c r="D585" i="45"/>
  <c r="B209" i="45"/>
  <c r="A8" i="38" l="1"/>
  <c r="E137" i="45" l="1"/>
  <c r="F137" i="45"/>
  <c r="G137" i="45"/>
  <c r="H137" i="45"/>
  <c r="I137" i="45"/>
  <c r="J137" i="45"/>
  <c r="D137" i="45"/>
  <c r="J120" i="45"/>
  <c r="J121" i="45"/>
  <c r="J122" i="45"/>
  <c r="J123" i="45"/>
  <c r="J124" i="45"/>
  <c r="J125" i="45"/>
  <c r="J126" i="45"/>
  <c r="J127" i="45"/>
  <c r="J128" i="45"/>
  <c r="J129" i="45"/>
  <c r="J130" i="45"/>
  <c r="J131" i="45"/>
  <c r="G120" i="45"/>
  <c r="I120" i="45"/>
  <c r="G121" i="45"/>
  <c r="I121" i="45"/>
  <c r="G122" i="45"/>
  <c r="I122" i="45"/>
  <c r="G123" i="45"/>
  <c r="I123" i="45"/>
  <c r="G124" i="45"/>
  <c r="I124" i="45"/>
  <c r="G125" i="45"/>
  <c r="I125" i="45"/>
  <c r="G126" i="45"/>
  <c r="I126" i="45"/>
  <c r="G127" i="45"/>
  <c r="I127" i="45"/>
  <c r="G128" i="45"/>
  <c r="I128" i="45"/>
  <c r="G129" i="45"/>
  <c r="I129" i="45"/>
  <c r="G130" i="45"/>
  <c r="I130" i="45"/>
  <c r="G131" i="45"/>
  <c r="I131" i="45"/>
  <c r="G87" i="45"/>
  <c r="G88" i="45"/>
  <c r="G89" i="45"/>
  <c r="E90" i="45"/>
  <c r="G90" i="45"/>
  <c r="E91" i="45"/>
  <c r="G91" i="45"/>
  <c r="E92" i="45"/>
  <c r="G92" i="45"/>
  <c r="E93" i="45"/>
  <c r="G93" i="45"/>
  <c r="E94" i="45"/>
  <c r="G94" i="45"/>
  <c r="B19" i="32" l="1"/>
  <c r="C19" i="32"/>
  <c r="D19" i="32"/>
  <c r="E19" i="32"/>
  <c r="F19" i="32"/>
  <c r="G19" i="32"/>
  <c r="H19" i="32"/>
  <c r="I19" i="32"/>
  <c r="J19" i="32"/>
  <c r="K19" i="32"/>
  <c r="L19" i="32"/>
  <c r="M19" i="32"/>
  <c r="N19" i="32"/>
  <c r="O19" i="32"/>
  <c r="P19" i="32"/>
  <c r="Q19" i="32"/>
  <c r="R19" i="32"/>
  <c r="S19" i="32"/>
  <c r="T19" i="32"/>
  <c r="U19" i="32"/>
  <c r="C47" i="45" l="1"/>
  <c r="C48" i="45"/>
  <c r="C49" i="45"/>
  <c r="C50" i="45"/>
  <c r="C51" i="45"/>
  <c r="C52" i="45"/>
  <c r="C53" i="45"/>
  <c r="C54" i="45"/>
  <c r="C55" i="45"/>
  <c r="C56" i="45"/>
  <c r="C57" i="45"/>
  <c r="C46" i="45"/>
  <c r="C58" i="45" l="1"/>
  <c r="G11" i="45" l="1"/>
  <c r="G17" i="45"/>
  <c r="G19" i="45" l="1"/>
  <c r="A13" i="56"/>
  <c r="A29" i="56" s="1"/>
  <c r="A14" i="56"/>
  <c r="A30" i="56" s="1"/>
  <c r="D561" i="45" l="1"/>
  <c r="E561" i="45" s="1"/>
  <c r="F200" i="45" l="1"/>
  <c r="H5" i="34" l="1"/>
  <c r="H6" i="34"/>
  <c r="H7" i="34"/>
  <c r="H8" i="34"/>
  <c r="H9" i="34"/>
  <c r="H10" i="34" l="1"/>
  <c r="O10" i="34" l="1"/>
  <c r="N10" i="34"/>
  <c r="F10" i="34" l="1"/>
  <c r="G10" i="34"/>
  <c r="E10" i="34"/>
  <c r="M8" i="34"/>
  <c r="M7" i="34"/>
  <c r="M6" i="34"/>
  <c r="C9" i="34"/>
  <c r="C8" i="34"/>
  <c r="C7" i="34"/>
  <c r="C6" i="34"/>
  <c r="C5" i="34"/>
  <c r="C4" i="34"/>
  <c r="D9" i="34"/>
  <c r="K9" i="34" s="1"/>
  <c r="D7" i="34"/>
  <c r="K7" i="34" s="1"/>
  <c r="D8" i="34"/>
  <c r="K8" i="34" s="1"/>
  <c r="D6" i="34"/>
  <c r="J6" i="34" s="1"/>
  <c r="D5" i="34"/>
  <c r="K5" i="34" s="1"/>
  <c r="D4" i="34"/>
  <c r="S6" i="34" l="1"/>
  <c r="R6" i="34"/>
  <c r="I4" i="34"/>
  <c r="K4" i="34"/>
  <c r="W6" i="34"/>
  <c r="Y6" i="34" s="1"/>
  <c r="X6" i="34"/>
  <c r="AA6" i="34"/>
  <c r="AC6" i="34" s="1"/>
  <c r="AB6" i="34"/>
  <c r="T6" i="34"/>
  <c r="R8" i="34"/>
  <c r="T8" i="34"/>
  <c r="R7" i="34"/>
  <c r="T7" i="34"/>
  <c r="K6" i="34"/>
  <c r="I9" i="34"/>
  <c r="L9" i="34" s="1"/>
  <c r="I8" i="34"/>
  <c r="L8" i="34" s="1"/>
  <c r="I7" i="34"/>
  <c r="L7" i="34" s="1"/>
  <c r="I5" i="34"/>
  <c r="L5" i="34" s="1"/>
  <c r="I6" i="34"/>
  <c r="U7" i="34" l="1"/>
  <c r="U6" i="34"/>
  <c r="U8" i="34"/>
  <c r="L4" i="34"/>
  <c r="L6" i="34"/>
  <c r="K77" i="56"/>
  <c r="J77" i="56"/>
  <c r="K76" i="56"/>
  <c r="J76" i="56"/>
  <c r="K75" i="56"/>
  <c r="J75" i="56"/>
  <c r="K74" i="56"/>
  <c r="J74" i="56"/>
  <c r="K73" i="56"/>
  <c r="J73" i="56"/>
  <c r="G6" i="56"/>
  <c r="H6" i="56"/>
  <c r="I6" i="56"/>
  <c r="J6" i="56"/>
  <c r="J22" i="56" s="1"/>
  <c r="K6" i="56"/>
  <c r="K22" i="56" s="1"/>
  <c r="L6" i="56"/>
  <c r="L22" i="56" s="1"/>
  <c r="G7" i="56"/>
  <c r="H7" i="56"/>
  <c r="I7" i="56"/>
  <c r="J7" i="56"/>
  <c r="J23" i="56" s="1"/>
  <c r="K7" i="56"/>
  <c r="K23" i="56" s="1"/>
  <c r="L7" i="56"/>
  <c r="L23" i="56" s="1"/>
  <c r="L5" i="56"/>
  <c r="L21" i="56" s="1"/>
  <c r="K5" i="56"/>
  <c r="K21" i="56" s="1"/>
  <c r="J5" i="56"/>
  <c r="J21" i="56" s="1"/>
  <c r="I5" i="56"/>
  <c r="H5" i="56"/>
  <c r="G5" i="56"/>
  <c r="L4" i="56"/>
  <c r="L20" i="56" s="1"/>
  <c r="K4" i="56"/>
  <c r="K20" i="56" s="1"/>
  <c r="J4" i="56"/>
  <c r="J20" i="56" s="1"/>
  <c r="I4" i="56"/>
  <c r="H4" i="56"/>
  <c r="G4" i="56"/>
  <c r="L3" i="56"/>
  <c r="L19" i="56" s="1"/>
  <c r="K3" i="56"/>
  <c r="K19" i="56" s="1"/>
  <c r="J3" i="56"/>
  <c r="J19" i="56" s="1"/>
  <c r="I3" i="56"/>
  <c r="H3" i="56"/>
  <c r="G3" i="56"/>
  <c r="A3" i="56"/>
  <c r="A4" i="56"/>
  <c r="A5" i="56"/>
  <c r="A6" i="56"/>
  <c r="A7" i="56"/>
  <c r="P231" i="36"/>
  <c r="O231" i="36"/>
  <c r="M231" i="36"/>
  <c r="G231" i="36"/>
  <c r="F231" i="36"/>
  <c r="E231" i="36"/>
  <c r="P230" i="36"/>
  <c r="O230" i="36"/>
  <c r="M230" i="36"/>
  <c r="G230" i="36"/>
  <c r="F230" i="36"/>
  <c r="E230" i="36"/>
  <c r="P229" i="36"/>
  <c r="O229" i="36"/>
  <c r="M229" i="36"/>
  <c r="G229" i="36"/>
  <c r="F229" i="36"/>
  <c r="E229" i="36"/>
  <c r="P228" i="36"/>
  <c r="O228" i="36"/>
  <c r="M228" i="36"/>
  <c r="G228" i="36"/>
  <c r="F228" i="36"/>
  <c r="E228" i="36"/>
  <c r="P227" i="36"/>
  <c r="O227" i="36"/>
  <c r="M227" i="36"/>
  <c r="G227" i="36"/>
  <c r="F227" i="36"/>
  <c r="E227" i="36"/>
  <c r="P226" i="36"/>
  <c r="O226" i="36"/>
  <c r="M226" i="36"/>
  <c r="G226" i="36"/>
  <c r="F226" i="36"/>
  <c r="E226" i="36"/>
  <c r="P225" i="36"/>
  <c r="O225" i="36"/>
  <c r="M225" i="36"/>
  <c r="G225" i="36"/>
  <c r="F225" i="36"/>
  <c r="E225" i="36"/>
  <c r="P224" i="36"/>
  <c r="O224" i="36"/>
  <c r="M224" i="36"/>
  <c r="G224" i="36"/>
  <c r="F224" i="36"/>
  <c r="E224" i="36"/>
  <c r="P223" i="36"/>
  <c r="O223" i="36"/>
  <c r="M223" i="36"/>
  <c r="G223" i="36"/>
  <c r="F223" i="36"/>
  <c r="E223" i="36"/>
  <c r="P222" i="36"/>
  <c r="O222" i="36"/>
  <c r="M222" i="36"/>
  <c r="G222" i="36"/>
  <c r="F222" i="36"/>
  <c r="E222" i="36"/>
  <c r="P221" i="36"/>
  <c r="O221" i="36"/>
  <c r="M221" i="36"/>
  <c r="G221" i="36"/>
  <c r="F221" i="36"/>
  <c r="E221" i="36"/>
  <c r="P220" i="36"/>
  <c r="O220" i="36"/>
  <c r="M220" i="36"/>
  <c r="G220" i="36"/>
  <c r="F220" i="36"/>
  <c r="E220" i="36"/>
  <c r="P219" i="36"/>
  <c r="O219" i="36"/>
  <c r="M219" i="36"/>
  <c r="G219" i="36"/>
  <c r="F219" i="36"/>
  <c r="E219" i="36"/>
  <c r="P218" i="36"/>
  <c r="O218" i="36"/>
  <c r="M218" i="36"/>
  <c r="G218" i="36"/>
  <c r="F218" i="36"/>
  <c r="E218" i="36"/>
  <c r="P217" i="36"/>
  <c r="O217" i="36"/>
  <c r="M217" i="36"/>
  <c r="G217" i="36"/>
  <c r="F217" i="36"/>
  <c r="E217" i="36"/>
  <c r="P216" i="36"/>
  <c r="O216" i="36"/>
  <c r="M216" i="36"/>
  <c r="G216" i="36"/>
  <c r="F216" i="36"/>
  <c r="E216" i="36"/>
  <c r="P215" i="36"/>
  <c r="O215" i="36"/>
  <c r="M215" i="36"/>
  <c r="G215" i="36"/>
  <c r="F215" i="36"/>
  <c r="E215" i="36"/>
  <c r="P214" i="36"/>
  <c r="O214" i="36"/>
  <c r="M214" i="36"/>
  <c r="G214" i="36"/>
  <c r="F214" i="36"/>
  <c r="E214" i="36"/>
  <c r="P213" i="36"/>
  <c r="O213" i="36"/>
  <c r="M213" i="36"/>
  <c r="G213" i="36"/>
  <c r="F213" i="36"/>
  <c r="E213" i="36"/>
  <c r="P212" i="36"/>
  <c r="O212" i="36"/>
  <c r="M212" i="36"/>
  <c r="G212" i="36"/>
  <c r="F212" i="36"/>
  <c r="E212" i="36"/>
  <c r="P211" i="36"/>
  <c r="O211" i="36"/>
  <c r="M211" i="36"/>
  <c r="G211" i="36"/>
  <c r="F211" i="36"/>
  <c r="E211" i="36"/>
  <c r="P210" i="36"/>
  <c r="O210" i="36"/>
  <c r="M210" i="36"/>
  <c r="G210" i="36"/>
  <c r="F210" i="36"/>
  <c r="E210" i="36"/>
  <c r="P209" i="36"/>
  <c r="O209" i="36"/>
  <c r="M209" i="36"/>
  <c r="G209" i="36"/>
  <c r="F209" i="36"/>
  <c r="E209" i="36"/>
  <c r="P208" i="36"/>
  <c r="O208" i="36"/>
  <c r="M208" i="36"/>
  <c r="G208" i="36"/>
  <c r="F208" i="36"/>
  <c r="E208" i="36"/>
  <c r="P207" i="36"/>
  <c r="O207" i="36"/>
  <c r="M207" i="36"/>
  <c r="G207" i="36"/>
  <c r="F207" i="36"/>
  <c r="E207" i="36"/>
  <c r="P206" i="36"/>
  <c r="O206" i="36"/>
  <c r="M206" i="36"/>
  <c r="G206" i="36"/>
  <c r="F206" i="36"/>
  <c r="E206" i="36"/>
  <c r="P205" i="36"/>
  <c r="O205" i="36"/>
  <c r="M205" i="36"/>
  <c r="G205" i="36"/>
  <c r="F205" i="36"/>
  <c r="E205" i="36"/>
  <c r="P204" i="36"/>
  <c r="O204" i="36"/>
  <c r="M204" i="36"/>
  <c r="G204" i="36"/>
  <c r="F204" i="36"/>
  <c r="E204" i="36"/>
  <c r="P203" i="36"/>
  <c r="O203" i="36"/>
  <c r="M203" i="36"/>
  <c r="G203" i="36"/>
  <c r="F203" i="36"/>
  <c r="E203" i="36"/>
  <c r="P202" i="36"/>
  <c r="O202" i="36"/>
  <c r="M202" i="36"/>
  <c r="G202" i="36"/>
  <c r="F202" i="36"/>
  <c r="E202" i="36"/>
  <c r="P201" i="36"/>
  <c r="O201" i="36"/>
  <c r="M201" i="36"/>
  <c r="G201" i="36"/>
  <c r="F201" i="36"/>
  <c r="E201" i="36"/>
  <c r="P200" i="36"/>
  <c r="O200" i="36"/>
  <c r="M200" i="36"/>
  <c r="G200" i="36"/>
  <c r="F200" i="36"/>
  <c r="E200" i="36"/>
  <c r="P199" i="36"/>
  <c r="O199" i="36"/>
  <c r="M199" i="36"/>
  <c r="G199" i="36"/>
  <c r="F199" i="36"/>
  <c r="E199" i="36"/>
  <c r="P198" i="36"/>
  <c r="O198" i="36"/>
  <c r="M198" i="36"/>
  <c r="G198" i="36"/>
  <c r="F198" i="36"/>
  <c r="E198" i="36"/>
  <c r="P197" i="36"/>
  <c r="O197" i="36"/>
  <c r="M197" i="36"/>
  <c r="G197" i="36"/>
  <c r="F197" i="36"/>
  <c r="E197" i="36"/>
  <c r="P196" i="36"/>
  <c r="O196" i="36"/>
  <c r="M196" i="36"/>
  <c r="G196" i="36"/>
  <c r="F196" i="36"/>
  <c r="E196" i="36"/>
  <c r="P195" i="36"/>
  <c r="O195" i="36"/>
  <c r="M195" i="36"/>
  <c r="G195" i="36"/>
  <c r="F195" i="36"/>
  <c r="E195" i="36"/>
  <c r="P194" i="36"/>
  <c r="O194" i="36"/>
  <c r="M194" i="36"/>
  <c r="G194" i="36"/>
  <c r="F194" i="36"/>
  <c r="E194" i="36"/>
  <c r="P193" i="36"/>
  <c r="O193" i="36"/>
  <c r="M193" i="36"/>
  <c r="G193" i="36"/>
  <c r="F193" i="36"/>
  <c r="E193" i="36"/>
  <c r="P192" i="36"/>
  <c r="O192" i="36"/>
  <c r="M192" i="36"/>
  <c r="G192" i="36"/>
  <c r="F192" i="36"/>
  <c r="E192" i="36"/>
  <c r="P191" i="36"/>
  <c r="O191" i="36"/>
  <c r="M191" i="36"/>
  <c r="G191" i="36"/>
  <c r="F191" i="36"/>
  <c r="E191" i="36"/>
  <c r="P190" i="36"/>
  <c r="O190" i="36"/>
  <c r="M190" i="36"/>
  <c r="G190" i="36"/>
  <c r="F190" i="36"/>
  <c r="E190" i="36"/>
  <c r="P189" i="36"/>
  <c r="O189" i="36"/>
  <c r="M189" i="36"/>
  <c r="G189" i="36"/>
  <c r="F189" i="36"/>
  <c r="E189" i="36"/>
  <c r="P188" i="36"/>
  <c r="O188" i="36"/>
  <c r="M188" i="36"/>
  <c r="G188" i="36"/>
  <c r="F188" i="36"/>
  <c r="E188" i="36"/>
  <c r="P187" i="36"/>
  <c r="O187" i="36"/>
  <c r="M187" i="36"/>
  <c r="G187" i="36"/>
  <c r="F187" i="36"/>
  <c r="E187" i="36"/>
  <c r="P186" i="36"/>
  <c r="O186" i="36"/>
  <c r="M186" i="36"/>
  <c r="G186" i="36"/>
  <c r="F186" i="36"/>
  <c r="E186" i="36"/>
  <c r="P185" i="36"/>
  <c r="O185" i="36"/>
  <c r="M185" i="36"/>
  <c r="G185" i="36"/>
  <c r="F185" i="36"/>
  <c r="E185" i="36"/>
  <c r="P184" i="36"/>
  <c r="O184" i="36"/>
  <c r="M184" i="36"/>
  <c r="G184" i="36"/>
  <c r="F184" i="36"/>
  <c r="E184" i="36"/>
  <c r="P183" i="36"/>
  <c r="O183" i="36"/>
  <c r="M183" i="36"/>
  <c r="G183" i="36"/>
  <c r="F183" i="36"/>
  <c r="E183" i="36"/>
  <c r="D183" i="36"/>
  <c r="C183" i="36"/>
  <c r="P182" i="36"/>
  <c r="O182" i="36"/>
  <c r="M182" i="36"/>
  <c r="G182" i="36"/>
  <c r="F182" i="36"/>
  <c r="E182" i="36"/>
  <c r="D182" i="36"/>
  <c r="C182" i="36"/>
  <c r="P181" i="36"/>
  <c r="O181" i="36"/>
  <c r="M181" i="36"/>
  <c r="G181" i="36"/>
  <c r="F181" i="36"/>
  <c r="E181" i="36"/>
  <c r="D181" i="36"/>
  <c r="C181" i="36"/>
  <c r="P180" i="36"/>
  <c r="O180" i="36"/>
  <c r="M180" i="36"/>
  <c r="G180" i="36"/>
  <c r="F180" i="36"/>
  <c r="E180" i="36"/>
  <c r="D180" i="36"/>
  <c r="C180" i="36"/>
  <c r="P179" i="36"/>
  <c r="O179" i="36"/>
  <c r="M179" i="36"/>
  <c r="G179" i="36"/>
  <c r="F179" i="36"/>
  <c r="E179" i="36"/>
  <c r="D179" i="36"/>
  <c r="C179" i="36"/>
  <c r="P178" i="36"/>
  <c r="O178" i="36"/>
  <c r="M178" i="36"/>
  <c r="G178" i="36"/>
  <c r="F178" i="36"/>
  <c r="E178" i="36"/>
  <c r="D178" i="36"/>
  <c r="C178" i="36"/>
  <c r="P177" i="36"/>
  <c r="O177" i="36"/>
  <c r="M177" i="36"/>
  <c r="G177" i="36"/>
  <c r="F177" i="36"/>
  <c r="E177" i="36"/>
  <c r="D177" i="36"/>
  <c r="C177" i="36"/>
  <c r="P176" i="36"/>
  <c r="O176" i="36"/>
  <c r="M176" i="36"/>
  <c r="G176" i="36"/>
  <c r="F176" i="36"/>
  <c r="E176" i="36"/>
  <c r="D176" i="36"/>
  <c r="C176" i="36"/>
  <c r="P175" i="36"/>
  <c r="O175" i="36"/>
  <c r="M175" i="36"/>
  <c r="G175" i="36"/>
  <c r="F175" i="36"/>
  <c r="E175" i="36"/>
  <c r="D175" i="36"/>
  <c r="C175" i="36"/>
  <c r="P174" i="36"/>
  <c r="O174" i="36"/>
  <c r="M174" i="36"/>
  <c r="G174" i="36"/>
  <c r="F174" i="36"/>
  <c r="E174" i="36"/>
  <c r="D174" i="36"/>
  <c r="C174" i="36"/>
  <c r="P173" i="36"/>
  <c r="O173" i="36"/>
  <c r="M173" i="36"/>
  <c r="G173" i="36"/>
  <c r="F173" i="36"/>
  <c r="E173" i="36"/>
  <c r="D173" i="36"/>
  <c r="C173" i="36"/>
  <c r="P172" i="36"/>
  <c r="O172" i="36"/>
  <c r="M172" i="36"/>
  <c r="G172" i="36"/>
  <c r="F172" i="36"/>
  <c r="E172" i="36"/>
  <c r="D172" i="36"/>
  <c r="C172" i="36"/>
  <c r="B172" i="36"/>
  <c r="E68" i="38"/>
  <c r="G33" i="56" s="1"/>
  <c r="G45" i="56" s="1"/>
  <c r="G8" i="56"/>
  <c r="G9" i="56"/>
  <c r="G10" i="56"/>
  <c r="G11" i="56"/>
  <c r="G12" i="56"/>
  <c r="A23" i="56" l="1"/>
  <c r="A39" i="56" s="1"/>
  <c r="A52" i="56" s="1"/>
  <c r="A64" i="56" s="1"/>
  <c r="A77" i="56" s="1"/>
  <c r="A22" i="56"/>
  <c r="A38" i="56" s="1"/>
  <c r="A51" i="56" s="1"/>
  <c r="A63" i="56" s="1"/>
  <c r="A76" i="56" s="1"/>
  <c r="A21" i="56"/>
  <c r="A37" i="56" s="1"/>
  <c r="A50" i="56" s="1"/>
  <c r="A62" i="56" s="1"/>
  <c r="A75" i="56" s="1"/>
  <c r="A20" i="56"/>
  <c r="A36" i="56" s="1"/>
  <c r="A49" i="56" s="1"/>
  <c r="A61" i="56" s="1"/>
  <c r="A74" i="56" s="1"/>
  <c r="A19" i="56"/>
  <c r="A35" i="56" s="1"/>
  <c r="A48" i="56" s="1"/>
  <c r="A60" i="56" s="1"/>
  <c r="A73" i="56" s="1"/>
  <c r="F3" i="56"/>
  <c r="F5" i="56"/>
  <c r="G38" i="56"/>
  <c r="H458" i="45" s="1"/>
  <c r="G37" i="56"/>
  <c r="G39" i="56"/>
  <c r="H459" i="45" s="1"/>
  <c r="F6" i="56"/>
  <c r="G35" i="56"/>
  <c r="G36" i="56"/>
  <c r="F7" i="56"/>
  <c r="F4" i="56"/>
  <c r="G43" i="56"/>
  <c r="H463" i="45" s="1"/>
  <c r="G41" i="56"/>
  <c r="H461" i="45" s="1"/>
  <c r="G40" i="56"/>
  <c r="H460" i="45" s="1"/>
  <c r="G42" i="56"/>
  <c r="H462" i="45" s="1"/>
  <c r="G44" i="56"/>
  <c r="I460" i="45" l="1"/>
  <c r="I459" i="45"/>
  <c r="I458" i="45"/>
  <c r="I463" i="45"/>
  <c r="I462" i="45"/>
  <c r="I461" i="45"/>
  <c r="M22" i="39" l="1"/>
  <c r="N22" i="39" l="1"/>
  <c r="L22" i="39"/>
  <c r="K22" i="39"/>
  <c r="U38" i="32"/>
  <c r="J22" i="39" l="1"/>
  <c r="B64" i="59"/>
  <c r="B62" i="59"/>
  <c r="B55" i="59"/>
  <c r="C19" i="59"/>
  <c r="B19" i="59"/>
  <c r="C55" i="59"/>
  <c r="C46" i="59"/>
  <c r="B46" i="59"/>
  <c r="C37" i="59"/>
  <c r="B37" i="59"/>
  <c r="C28" i="59"/>
  <c r="B28" i="59"/>
  <c r="C9" i="59"/>
  <c r="B9" i="59"/>
  <c r="C69" i="59"/>
  <c r="E53" i="59"/>
  <c r="E55" i="59" s="1"/>
  <c r="B78" i="59"/>
  <c r="B91" i="59" s="1"/>
  <c r="E44" i="59"/>
  <c r="E46" i="59" s="1"/>
  <c r="B77" i="59"/>
  <c r="B90" i="59" s="1"/>
  <c r="C76" i="59"/>
  <c r="E35" i="59"/>
  <c r="E37" i="59" s="1"/>
  <c r="B76" i="59"/>
  <c r="B89" i="59" s="1"/>
  <c r="E26" i="59"/>
  <c r="E28" i="59" s="1"/>
  <c r="B74" i="59"/>
  <c r="B87" i="59" s="1"/>
  <c r="D19" i="59"/>
  <c r="B75" i="59"/>
  <c r="B88" i="59" s="1"/>
  <c r="C64" i="59"/>
  <c r="C63" i="59"/>
  <c r="B63" i="59"/>
  <c r="B66" i="59" s="1"/>
  <c r="B94" i="59" s="1"/>
  <c r="E7" i="59"/>
  <c r="E9" i="59" s="1"/>
  <c r="C62" i="59"/>
  <c r="C66" i="59" s="1"/>
  <c r="C77" i="59" l="1"/>
  <c r="D46" i="59"/>
  <c r="C74" i="59"/>
  <c r="D28" i="59"/>
  <c r="C94" i="59"/>
  <c r="D66" i="59"/>
  <c r="D55" i="59"/>
  <c r="C78" i="59"/>
  <c r="E64" i="59"/>
  <c r="E66" i="59" s="1"/>
  <c r="E67" i="59"/>
  <c r="D76" i="59"/>
  <c r="C89" i="59"/>
  <c r="D37" i="59"/>
  <c r="E17" i="59"/>
  <c r="E19" i="59" s="1"/>
  <c r="C75" i="59"/>
  <c r="B73" i="59"/>
  <c r="D75" i="59" l="1"/>
  <c r="C88" i="59"/>
  <c r="C99" i="59" s="1"/>
  <c r="B80" i="59"/>
  <c r="B81" i="59" s="1"/>
  <c r="B86" i="59"/>
  <c r="B93" i="59" s="1"/>
  <c r="C91" i="59"/>
  <c r="C100" i="59" s="1"/>
  <c r="D78" i="59"/>
  <c r="D9" i="59"/>
  <c r="C73" i="59"/>
  <c r="C87" i="59"/>
  <c r="C97" i="59" s="1"/>
  <c r="D74" i="59"/>
  <c r="D77" i="59"/>
  <c r="C90" i="59"/>
  <c r="C101" i="59" s="1"/>
  <c r="C80" i="59" l="1"/>
  <c r="C81" i="59" s="1"/>
  <c r="D73" i="59"/>
  <c r="C86" i="59"/>
  <c r="C93" i="59" l="1"/>
  <c r="C98" i="59"/>
  <c r="C103" i="59" s="1"/>
  <c r="C104" i="59" l="1"/>
  <c r="M10" i="34"/>
  <c r="C10" i="34"/>
  <c r="D10" i="34"/>
  <c r="L12" i="56" l="1"/>
  <c r="L28" i="56" s="1"/>
  <c r="K12" i="56"/>
  <c r="K28" i="56" s="1"/>
  <c r="J12" i="56"/>
  <c r="J28" i="56" s="1"/>
  <c r="I12" i="56"/>
  <c r="H12" i="56"/>
  <c r="L11" i="56"/>
  <c r="L27" i="56" s="1"/>
  <c r="K11" i="56"/>
  <c r="K27" i="56" s="1"/>
  <c r="J11" i="56"/>
  <c r="J27" i="56" s="1"/>
  <c r="I11" i="56"/>
  <c r="H11" i="56"/>
  <c r="L10" i="56"/>
  <c r="L26" i="56" s="1"/>
  <c r="K10" i="56"/>
  <c r="K26" i="56" s="1"/>
  <c r="J10" i="56"/>
  <c r="J26" i="56" s="1"/>
  <c r="I10" i="56"/>
  <c r="H10" i="56"/>
  <c r="L9" i="56"/>
  <c r="L25" i="56" s="1"/>
  <c r="D410" i="45" s="1" a="1"/>
  <c r="K9" i="56"/>
  <c r="K25" i="56" s="1"/>
  <c r="J9" i="56"/>
  <c r="J25" i="56" s="1"/>
  <c r="D377" i="45" s="1" a="1"/>
  <c r="I9" i="56"/>
  <c r="H9" i="56"/>
  <c r="H8" i="56"/>
  <c r="I8" i="56"/>
  <c r="J8" i="56"/>
  <c r="J24" i="56" s="1"/>
  <c r="K8" i="56"/>
  <c r="K24" i="56" s="1"/>
  <c r="L8" i="56"/>
  <c r="L24" i="56" s="1"/>
  <c r="D394" i="45" l="1" a="1"/>
  <c r="D394" i="45" s="1"/>
  <c r="D410" i="45"/>
  <c r="G410" i="45"/>
  <c r="E410" i="45"/>
  <c r="F410" i="45"/>
  <c r="D377" i="45"/>
  <c r="G377" i="45"/>
  <c r="E377" i="45"/>
  <c r="F377" i="45"/>
  <c r="F12" i="56"/>
  <c r="F9" i="56"/>
  <c r="F11" i="56"/>
  <c r="F8" i="56"/>
  <c r="F10" i="56"/>
  <c r="J82" i="56"/>
  <c r="K82" i="56"/>
  <c r="I33" i="56"/>
  <c r="I45" i="56" s="1"/>
  <c r="A12" i="56"/>
  <c r="A11" i="56"/>
  <c r="A10" i="56"/>
  <c r="A9" i="56"/>
  <c r="A8" i="56"/>
  <c r="E232" i="36"/>
  <c r="F232" i="36"/>
  <c r="G232" i="36"/>
  <c r="M232" i="36"/>
  <c r="O232" i="36"/>
  <c r="P232" i="36"/>
  <c r="E233" i="36"/>
  <c r="F233" i="36"/>
  <c r="G233" i="36"/>
  <c r="M233" i="36"/>
  <c r="O233" i="36"/>
  <c r="P233" i="36"/>
  <c r="E234" i="36"/>
  <c r="F234" i="36"/>
  <c r="G234" i="36"/>
  <c r="M234" i="36"/>
  <c r="O234" i="36"/>
  <c r="P234" i="36"/>
  <c r="E235" i="36"/>
  <c r="F235" i="36"/>
  <c r="G235" i="36"/>
  <c r="M235" i="36"/>
  <c r="O235" i="36"/>
  <c r="P235" i="36"/>
  <c r="E236" i="36"/>
  <c r="F236" i="36"/>
  <c r="G236" i="36"/>
  <c r="M236" i="36"/>
  <c r="O236" i="36"/>
  <c r="P236" i="36"/>
  <c r="E237" i="36"/>
  <c r="F237" i="36"/>
  <c r="G237" i="36"/>
  <c r="M237" i="36"/>
  <c r="O237" i="36"/>
  <c r="P237" i="36"/>
  <c r="E238" i="36"/>
  <c r="F238" i="36"/>
  <c r="G238" i="36"/>
  <c r="M238" i="36"/>
  <c r="O238" i="36"/>
  <c r="P238" i="36"/>
  <c r="E239" i="36"/>
  <c r="F239" i="36"/>
  <c r="G239" i="36"/>
  <c r="M239" i="36"/>
  <c r="O239" i="36"/>
  <c r="P239" i="36"/>
  <c r="E240" i="36"/>
  <c r="F240" i="36"/>
  <c r="G240" i="36"/>
  <c r="M240" i="36"/>
  <c r="O240" i="36"/>
  <c r="P240" i="36"/>
  <c r="E241" i="36"/>
  <c r="F241" i="36"/>
  <c r="G241" i="36"/>
  <c r="M241" i="36"/>
  <c r="O241" i="36"/>
  <c r="P241" i="36"/>
  <c r="E242" i="36"/>
  <c r="F242" i="36"/>
  <c r="G242" i="36"/>
  <c r="M242" i="36"/>
  <c r="O242" i="36"/>
  <c r="P242" i="36"/>
  <c r="E243" i="36"/>
  <c r="F243" i="36"/>
  <c r="G243" i="36"/>
  <c r="M243" i="36"/>
  <c r="O243" i="36"/>
  <c r="P243" i="36"/>
  <c r="E244" i="36"/>
  <c r="F244" i="36"/>
  <c r="G244" i="36"/>
  <c r="M244" i="36"/>
  <c r="O244" i="36"/>
  <c r="P244" i="36"/>
  <c r="E245" i="36"/>
  <c r="F245" i="36"/>
  <c r="G245" i="36"/>
  <c r="M245" i="36"/>
  <c r="O245" i="36"/>
  <c r="P245" i="36"/>
  <c r="E246" i="36"/>
  <c r="F246" i="36"/>
  <c r="G246" i="36"/>
  <c r="M246" i="36"/>
  <c r="O246" i="36"/>
  <c r="P246" i="36"/>
  <c r="E247" i="36"/>
  <c r="F247" i="36"/>
  <c r="G247" i="36"/>
  <c r="M247" i="36"/>
  <c r="O247" i="36"/>
  <c r="P247" i="36"/>
  <c r="E248" i="36"/>
  <c r="F248" i="36"/>
  <c r="G248" i="36"/>
  <c r="M248" i="36"/>
  <c r="O248" i="36"/>
  <c r="P248" i="36"/>
  <c r="E249" i="36"/>
  <c r="F249" i="36"/>
  <c r="G249" i="36"/>
  <c r="M249" i="36"/>
  <c r="O249" i="36"/>
  <c r="P249" i="36"/>
  <c r="E250" i="36"/>
  <c r="F250" i="36"/>
  <c r="G250" i="36"/>
  <c r="M250" i="36"/>
  <c r="O250" i="36"/>
  <c r="P250" i="36"/>
  <c r="E251" i="36"/>
  <c r="F251" i="36"/>
  <c r="G251" i="36"/>
  <c r="M251" i="36"/>
  <c r="O251" i="36"/>
  <c r="P251" i="36"/>
  <c r="E252" i="36"/>
  <c r="F252" i="36"/>
  <c r="G252" i="36"/>
  <c r="M252" i="36"/>
  <c r="O252" i="36"/>
  <c r="P252" i="36"/>
  <c r="E253" i="36"/>
  <c r="F253" i="36"/>
  <c r="G253" i="36"/>
  <c r="M253" i="36"/>
  <c r="O253" i="36"/>
  <c r="P253" i="36"/>
  <c r="E254" i="36"/>
  <c r="F254" i="36"/>
  <c r="G254" i="36"/>
  <c r="M254" i="36"/>
  <c r="O254" i="36"/>
  <c r="P254" i="36"/>
  <c r="E255" i="36"/>
  <c r="F255" i="36"/>
  <c r="G255" i="36"/>
  <c r="M255" i="36"/>
  <c r="O255" i="36"/>
  <c r="P255" i="36"/>
  <c r="E256" i="36"/>
  <c r="F256" i="36"/>
  <c r="G256" i="36"/>
  <c r="M256" i="36"/>
  <c r="O256" i="36"/>
  <c r="P256" i="36"/>
  <c r="E257" i="36"/>
  <c r="F257" i="36"/>
  <c r="G257" i="36"/>
  <c r="M257" i="36"/>
  <c r="O257" i="36"/>
  <c r="P257" i="36"/>
  <c r="E258" i="36"/>
  <c r="F258" i="36"/>
  <c r="G258" i="36"/>
  <c r="M258" i="36"/>
  <c r="O258" i="36"/>
  <c r="P258" i="36"/>
  <c r="E259" i="36"/>
  <c r="F259" i="36"/>
  <c r="G259" i="36"/>
  <c r="M259" i="36"/>
  <c r="O259" i="36"/>
  <c r="P259" i="36"/>
  <c r="E260" i="36"/>
  <c r="F260" i="36"/>
  <c r="G260" i="36"/>
  <c r="M260" i="36"/>
  <c r="O260" i="36"/>
  <c r="P260" i="36"/>
  <c r="E261" i="36"/>
  <c r="F261" i="36"/>
  <c r="G261" i="36"/>
  <c r="M261" i="36"/>
  <c r="O261" i="36"/>
  <c r="P261" i="36"/>
  <c r="E262" i="36"/>
  <c r="F262" i="36"/>
  <c r="G262" i="36"/>
  <c r="M262" i="36"/>
  <c r="O262" i="36"/>
  <c r="P262" i="36"/>
  <c r="E263" i="36"/>
  <c r="F263" i="36"/>
  <c r="G263" i="36"/>
  <c r="M263" i="36"/>
  <c r="O263" i="36"/>
  <c r="P263" i="36"/>
  <c r="E264" i="36"/>
  <c r="F264" i="36"/>
  <c r="G264" i="36"/>
  <c r="M264" i="36"/>
  <c r="O264" i="36"/>
  <c r="P264" i="36"/>
  <c r="E265" i="36"/>
  <c r="F265" i="36"/>
  <c r="G265" i="36"/>
  <c r="M265" i="36"/>
  <c r="O265" i="36"/>
  <c r="P265" i="36"/>
  <c r="E266" i="36"/>
  <c r="F266" i="36"/>
  <c r="G266" i="36"/>
  <c r="M266" i="36"/>
  <c r="O266" i="36"/>
  <c r="P266" i="36"/>
  <c r="E267" i="36"/>
  <c r="F267" i="36"/>
  <c r="G267" i="36"/>
  <c r="M267" i="36"/>
  <c r="O267" i="36"/>
  <c r="P267" i="36"/>
  <c r="E268" i="36"/>
  <c r="F268" i="36"/>
  <c r="G268" i="36"/>
  <c r="M268" i="36"/>
  <c r="O268" i="36"/>
  <c r="P268" i="36"/>
  <c r="E269" i="36"/>
  <c r="F269" i="36"/>
  <c r="G269" i="36"/>
  <c r="M269" i="36"/>
  <c r="O269" i="36"/>
  <c r="P269" i="36"/>
  <c r="E270" i="36"/>
  <c r="F270" i="36"/>
  <c r="G270" i="36"/>
  <c r="M270" i="36"/>
  <c r="O270" i="36"/>
  <c r="P270" i="36"/>
  <c r="E271" i="36"/>
  <c r="F271" i="36"/>
  <c r="G271" i="36"/>
  <c r="M271" i="36"/>
  <c r="O271" i="36"/>
  <c r="P271" i="36"/>
  <c r="E272" i="36"/>
  <c r="F272" i="36"/>
  <c r="G272" i="36"/>
  <c r="M272" i="36"/>
  <c r="O272" i="36"/>
  <c r="P272" i="36"/>
  <c r="E273" i="36"/>
  <c r="F273" i="36"/>
  <c r="G273" i="36"/>
  <c r="M273" i="36"/>
  <c r="O273" i="36"/>
  <c r="P273" i="36"/>
  <c r="E274" i="36"/>
  <c r="F274" i="36"/>
  <c r="G274" i="36"/>
  <c r="M274" i="36"/>
  <c r="O274" i="36"/>
  <c r="P274" i="36"/>
  <c r="E275" i="36"/>
  <c r="F275" i="36"/>
  <c r="G275" i="36"/>
  <c r="M275" i="36"/>
  <c r="O275" i="36"/>
  <c r="P275" i="36"/>
  <c r="E276" i="36"/>
  <c r="F276" i="36"/>
  <c r="G276" i="36"/>
  <c r="M276" i="36"/>
  <c r="O276" i="36"/>
  <c r="P276" i="36"/>
  <c r="E277" i="36"/>
  <c r="F277" i="36"/>
  <c r="G277" i="36"/>
  <c r="M277" i="36"/>
  <c r="O277" i="36"/>
  <c r="P277" i="36"/>
  <c r="E278" i="36"/>
  <c r="F278" i="36"/>
  <c r="G278" i="36"/>
  <c r="M278" i="36"/>
  <c r="O278" i="36"/>
  <c r="P278" i="36"/>
  <c r="E279" i="36"/>
  <c r="F279" i="36"/>
  <c r="G279" i="36"/>
  <c r="M279" i="36"/>
  <c r="O279" i="36"/>
  <c r="P279" i="36"/>
  <c r="E280" i="36"/>
  <c r="F280" i="36"/>
  <c r="G280" i="36"/>
  <c r="M280" i="36"/>
  <c r="O280" i="36"/>
  <c r="P280" i="36"/>
  <c r="E281" i="36"/>
  <c r="F281" i="36"/>
  <c r="G281" i="36"/>
  <c r="M281" i="36"/>
  <c r="O281" i="36"/>
  <c r="P281" i="36"/>
  <c r="E282" i="36"/>
  <c r="F282" i="36"/>
  <c r="G282" i="36"/>
  <c r="M282" i="36"/>
  <c r="O282" i="36"/>
  <c r="P282" i="36"/>
  <c r="E283" i="36"/>
  <c r="F283" i="36"/>
  <c r="G283" i="36"/>
  <c r="M283" i="36"/>
  <c r="O283" i="36"/>
  <c r="P283" i="36"/>
  <c r="E284" i="36"/>
  <c r="F284" i="36"/>
  <c r="G284" i="36"/>
  <c r="M284" i="36"/>
  <c r="O284" i="36"/>
  <c r="P284" i="36"/>
  <c r="E285" i="36"/>
  <c r="F285" i="36"/>
  <c r="G285" i="36"/>
  <c r="M285" i="36"/>
  <c r="O285" i="36"/>
  <c r="P285" i="36"/>
  <c r="E286" i="36"/>
  <c r="F286" i="36"/>
  <c r="G286" i="36"/>
  <c r="M286" i="36"/>
  <c r="O286" i="36"/>
  <c r="P286" i="36"/>
  <c r="E287" i="36"/>
  <c r="F287" i="36"/>
  <c r="G287" i="36"/>
  <c r="M287" i="36"/>
  <c r="O287" i="36"/>
  <c r="P287" i="36"/>
  <c r="E288" i="36"/>
  <c r="F288" i="36"/>
  <c r="G288" i="36"/>
  <c r="M288" i="36"/>
  <c r="O288" i="36"/>
  <c r="P288" i="36"/>
  <c r="E289" i="36"/>
  <c r="F289" i="36"/>
  <c r="G289" i="36"/>
  <c r="M289" i="36"/>
  <c r="O289" i="36"/>
  <c r="P289" i="36"/>
  <c r="E290" i="36"/>
  <c r="F290" i="36"/>
  <c r="G290" i="36"/>
  <c r="M290" i="36"/>
  <c r="O290" i="36"/>
  <c r="P290" i="36"/>
  <c r="E291" i="36"/>
  <c r="F291" i="36"/>
  <c r="G291" i="36"/>
  <c r="M291" i="36"/>
  <c r="O291" i="36"/>
  <c r="P291" i="36"/>
  <c r="E394" i="45" l="1"/>
  <c r="F394" i="45"/>
  <c r="C791" i="45" s="1"/>
  <c r="G394" i="45"/>
  <c r="D657" i="45"/>
  <c r="E403" i="45"/>
  <c r="C724" i="45"/>
  <c r="C781" i="45"/>
  <c r="F386" i="45"/>
  <c r="D714" i="45"/>
  <c r="D781" i="45"/>
  <c r="C848" i="45"/>
  <c r="G386" i="45"/>
  <c r="C801" i="45"/>
  <c r="F417" i="45"/>
  <c r="D734" i="45"/>
  <c r="C868" i="45"/>
  <c r="D801" i="45"/>
  <c r="G417" i="45"/>
  <c r="D791" i="45"/>
  <c r="C858" i="45"/>
  <c r="G403" i="45"/>
  <c r="D597" i="45"/>
  <c r="E597" i="45" s="1"/>
  <c r="F597" i="45" s="1"/>
  <c r="D403" i="45"/>
  <c r="C657" i="45"/>
  <c r="C714" i="45"/>
  <c r="D647" i="45"/>
  <c r="E386" i="45"/>
  <c r="D590" i="45"/>
  <c r="E590" i="45" s="1"/>
  <c r="F590" i="45" s="1"/>
  <c r="C647" i="45"/>
  <c r="D386" i="45"/>
  <c r="C734" i="45"/>
  <c r="E417" i="45"/>
  <c r="D667" i="45"/>
  <c r="D604" i="45"/>
  <c r="C667" i="45"/>
  <c r="D417" i="45"/>
  <c r="I41" i="56"/>
  <c r="I35" i="56"/>
  <c r="I37" i="56"/>
  <c r="I36" i="56"/>
  <c r="I38" i="56"/>
  <c r="I39" i="56"/>
  <c r="I43" i="56"/>
  <c r="I42" i="56"/>
  <c r="I44" i="56"/>
  <c r="I40" i="56"/>
  <c r="A27" i="56"/>
  <c r="A43" i="56" s="1"/>
  <c r="A56" i="56" s="1"/>
  <c r="A68" i="56" s="1"/>
  <c r="A81" i="56" s="1"/>
  <c r="A24" i="56"/>
  <c r="A40" i="56" s="1"/>
  <c r="A53" i="56" s="1"/>
  <c r="A65" i="56" s="1"/>
  <c r="A78" i="56" s="1"/>
  <c r="A28" i="56"/>
  <c r="A44" i="56" s="1"/>
  <c r="A57" i="56" s="1"/>
  <c r="A69" i="56" s="1"/>
  <c r="A82" i="56" s="1"/>
  <c r="A26" i="56"/>
  <c r="A42" i="56" s="1"/>
  <c r="A55" i="56" s="1"/>
  <c r="A67" i="56" s="1"/>
  <c r="A80" i="56" s="1"/>
  <c r="A25" i="56"/>
  <c r="A41" i="56" s="1"/>
  <c r="A54" i="56" s="1"/>
  <c r="A66" i="56" s="1"/>
  <c r="A79" i="56" s="1"/>
  <c r="F403" i="45" l="1"/>
  <c r="D724" i="45"/>
  <c r="E791" i="45"/>
  <c r="F791" i="45" s="1"/>
  <c r="E647" i="45"/>
  <c r="F647" i="45" s="1"/>
  <c r="E801" i="45"/>
  <c r="F801" i="45" s="1"/>
  <c r="E667" i="45"/>
  <c r="E734" i="45"/>
  <c r="F734" i="45" s="1"/>
  <c r="E714" i="45"/>
  <c r="E781" i="45"/>
  <c r="F781" i="45" s="1"/>
  <c r="E724" i="45"/>
  <c r="F724" i="45" s="1"/>
  <c r="E657" i="45"/>
  <c r="F657" i="45" s="1"/>
  <c r="F85" i="34"/>
  <c r="F86" i="34"/>
  <c r="F714" i="45" l="1"/>
  <c r="F667" i="45"/>
  <c r="D17" i="49" l="1"/>
  <c r="C17" i="49"/>
  <c r="D16" i="49"/>
  <c r="C16" i="49"/>
  <c r="D15" i="49"/>
  <c r="C15" i="49"/>
  <c r="D14" i="49"/>
  <c r="C14" i="49"/>
  <c r="D13" i="49"/>
  <c r="C13" i="49"/>
  <c r="D12" i="49"/>
  <c r="C12" i="49"/>
  <c r="D11" i="49"/>
  <c r="C11" i="49"/>
  <c r="D10" i="49"/>
  <c r="C10" i="49"/>
  <c r="D9" i="49"/>
  <c r="C9" i="49"/>
  <c r="D8" i="49"/>
  <c r="C8" i="49"/>
  <c r="D7" i="49"/>
  <c r="C7" i="49"/>
  <c r="D6" i="49"/>
  <c r="C6" i="49"/>
  <c r="F91" i="33"/>
  <c r="H86" i="33"/>
  <c r="F85" i="33"/>
  <c r="D85" i="33"/>
  <c r="B85" i="33"/>
  <c r="F84" i="33"/>
  <c r="D84" i="33"/>
  <c r="B84" i="33"/>
  <c r="F83" i="33"/>
  <c r="D83" i="33"/>
  <c r="B83" i="33"/>
  <c r="F82" i="33"/>
  <c r="D82" i="33"/>
  <c r="B82" i="33"/>
  <c r="F81" i="33"/>
  <c r="D81" i="33"/>
  <c r="B81" i="33"/>
  <c r="F80" i="33"/>
  <c r="D80" i="33"/>
  <c r="B80" i="33"/>
  <c r="D75" i="33"/>
  <c r="D74" i="33"/>
  <c r="D73" i="33"/>
  <c r="D72" i="33"/>
  <c r="D71" i="33"/>
  <c r="F70" i="33"/>
  <c r="F71" i="33" s="1"/>
  <c r="F72" i="33" s="1"/>
  <c r="D70" i="33"/>
  <c r="D69" i="33"/>
  <c r="G61" i="33"/>
  <c r="F59" i="33"/>
  <c r="F60" i="33" s="1"/>
  <c r="F62" i="33" s="1"/>
  <c r="F63" i="33" s="1"/>
  <c r="F64" i="33" s="1"/>
  <c r="F53" i="33"/>
  <c r="D53" i="33"/>
  <c r="F52" i="33"/>
  <c r="D52" i="33"/>
  <c r="F51" i="33"/>
  <c r="D51" i="33"/>
  <c r="F50" i="33"/>
  <c r="F49" i="33"/>
  <c r="D49" i="33"/>
  <c r="B49" i="33"/>
  <c r="F48" i="33"/>
  <c r="D48" i="33"/>
  <c r="F47" i="33"/>
  <c r="D47" i="33"/>
  <c r="F42" i="33"/>
  <c r="E42" i="33"/>
  <c r="E53" i="33" s="1"/>
  <c r="F41" i="33"/>
  <c r="E41" i="33"/>
  <c r="F40" i="33"/>
  <c r="E40" i="33"/>
  <c r="E51" i="33" s="1"/>
  <c r="T39" i="33"/>
  <c r="S39" i="33"/>
  <c r="R39" i="33"/>
  <c r="F39" i="33"/>
  <c r="E39" i="33"/>
  <c r="E50" i="33" s="1"/>
  <c r="T38" i="33"/>
  <c r="S38" i="33"/>
  <c r="R38" i="33"/>
  <c r="F38" i="33"/>
  <c r="E38" i="33"/>
  <c r="E49" i="33" s="1"/>
  <c r="F37" i="33"/>
  <c r="E37" i="33"/>
  <c r="E48" i="33" s="1"/>
  <c r="F36" i="33"/>
  <c r="E36" i="33"/>
  <c r="Y32" i="33"/>
  <c r="Z32" i="33" s="1"/>
  <c r="W32" i="33"/>
  <c r="X32" i="33" s="1"/>
  <c r="Y31" i="33"/>
  <c r="Z31" i="33" s="1"/>
  <c r="W31" i="33"/>
  <c r="X31" i="33" s="1"/>
  <c r="Y30" i="33"/>
  <c r="Z30" i="33" s="1"/>
  <c r="W30" i="33"/>
  <c r="X30" i="33" s="1"/>
  <c r="Y29" i="33"/>
  <c r="Z29" i="33" s="1"/>
  <c r="W29" i="33"/>
  <c r="X29" i="33" s="1"/>
  <c r="Y27" i="33"/>
  <c r="Z27" i="33" s="1"/>
  <c r="W27" i="33"/>
  <c r="X27" i="33" s="1"/>
  <c r="Y26" i="33"/>
  <c r="Z26" i="33" s="1"/>
  <c r="W26" i="33"/>
  <c r="X26" i="33" s="1"/>
  <c r="Y25" i="33"/>
  <c r="Z25" i="33" s="1"/>
  <c r="W25" i="33"/>
  <c r="X25" i="33" s="1"/>
  <c r="E23" i="33"/>
  <c r="E34" i="33" s="1"/>
  <c r="E45" i="33" s="1"/>
  <c r="E56" i="33" s="1"/>
  <c r="E67" i="33" s="1"/>
  <c r="E78" i="33" s="1"/>
  <c r="E88" i="33" s="1"/>
  <c r="D23" i="33"/>
  <c r="C23" i="33"/>
  <c r="AD22" i="33"/>
  <c r="B20" i="33"/>
  <c r="B31" i="33" s="1"/>
  <c r="B42" i="33" s="1"/>
  <c r="B53" i="33" s="1"/>
  <c r="B64" i="33" s="1"/>
  <c r="B75" i="33" s="1"/>
  <c r="B19" i="33"/>
  <c r="B30" i="33" s="1"/>
  <c r="B41" i="33" s="1"/>
  <c r="B52" i="33" s="1"/>
  <c r="B63" i="33" s="1"/>
  <c r="B74" i="33" s="1"/>
  <c r="B18" i="33"/>
  <c r="B29" i="33" s="1"/>
  <c r="B40" i="33" s="1"/>
  <c r="B51" i="33" s="1"/>
  <c r="B62" i="33" s="1"/>
  <c r="B73" i="33" s="1"/>
  <c r="B17" i="33"/>
  <c r="B16" i="33"/>
  <c r="B26" i="33" s="1"/>
  <c r="B37" i="33" s="1"/>
  <c r="B48" i="33" s="1"/>
  <c r="B59" i="33" s="1"/>
  <c r="B70" i="33" s="1"/>
  <c r="F15" i="33"/>
  <c r="F18" i="33" s="1"/>
  <c r="B15" i="33"/>
  <c r="B25" i="33" s="1"/>
  <c r="B36" i="33" s="1"/>
  <c r="B47" i="33" s="1"/>
  <c r="B58" i="33" s="1"/>
  <c r="B69" i="33" s="1"/>
  <c r="G9" i="33"/>
  <c r="G8" i="33"/>
  <c r="G7" i="33"/>
  <c r="H6" i="33"/>
  <c r="G6" i="33"/>
  <c r="G5" i="33"/>
  <c r="G4" i="33"/>
  <c r="E116" i="34"/>
  <c r="E127" i="34" s="1"/>
  <c r="E137" i="34" s="1"/>
  <c r="T40" i="33" l="1"/>
  <c r="G50" i="33"/>
  <c r="G48" i="33"/>
  <c r="G49" i="33"/>
  <c r="H38" i="33"/>
  <c r="H39" i="33" s="1"/>
  <c r="G51" i="33"/>
  <c r="G36" i="33"/>
  <c r="E47" i="33"/>
  <c r="G47" i="33" s="1"/>
  <c r="U38" i="33"/>
  <c r="U39" i="33" s="1"/>
  <c r="R40" i="33" s="1"/>
  <c r="G40" i="33"/>
  <c r="G37" i="33"/>
  <c r="G38" i="33"/>
  <c r="G53" i="33"/>
  <c r="F17" i="33"/>
  <c r="F16" i="33"/>
  <c r="F19" i="33"/>
  <c r="F73" i="33"/>
  <c r="F74" i="33" s="1"/>
  <c r="F75" i="33" s="1"/>
  <c r="F20" i="33"/>
  <c r="E52" i="33"/>
  <c r="G52" i="33" s="1"/>
  <c r="G41" i="33"/>
  <c r="G39" i="33"/>
  <c r="G42" i="33"/>
  <c r="G43" i="33" l="1"/>
  <c r="C98" i="33" s="1"/>
  <c r="S40" i="33"/>
  <c r="G54" i="33"/>
  <c r="C99" i="33" s="1"/>
  <c r="U40" i="33"/>
  <c r="P151" i="36" l="1"/>
  <c r="O151" i="36"/>
  <c r="M151" i="36"/>
  <c r="F140" i="34" l="1"/>
  <c r="D121" i="34"/>
  <c r="K81" i="56" l="1"/>
  <c r="J81" i="56"/>
  <c r="K80" i="56"/>
  <c r="J80" i="56"/>
  <c r="K79" i="56"/>
  <c r="J79" i="56"/>
  <c r="D379" i="45" s="1" a="1"/>
  <c r="K78" i="56"/>
  <c r="J78" i="56"/>
  <c r="D396" i="45" l="1" a="1"/>
  <c r="F396" i="45" s="1"/>
  <c r="D379" i="45"/>
  <c r="F379" i="45"/>
  <c r="G379" i="45"/>
  <c r="E379" i="45"/>
  <c r="G110" i="34"/>
  <c r="G396" i="45" l="1"/>
  <c r="D793" i="45" s="1"/>
  <c r="E396" i="45"/>
  <c r="D659" i="45" s="1"/>
  <c r="D396" i="45"/>
  <c r="C659" i="45" s="1"/>
  <c r="C793" i="45"/>
  <c r="D726" i="45"/>
  <c r="C716" i="45"/>
  <c r="E388" i="45"/>
  <c r="D649" i="45"/>
  <c r="C783" i="45"/>
  <c r="D716" i="45"/>
  <c r="F388" i="45"/>
  <c r="D599" i="45"/>
  <c r="E599" i="45" s="1"/>
  <c r="F599" i="45" s="1"/>
  <c r="D783" i="45"/>
  <c r="C850" i="45"/>
  <c r="G388" i="45"/>
  <c r="D592" i="45"/>
  <c r="E592" i="45" s="1"/>
  <c r="F592" i="45" s="1"/>
  <c r="D388" i="45"/>
  <c r="C649" i="45"/>
  <c r="E73" i="34"/>
  <c r="E83" i="34" s="1"/>
  <c r="E94" i="34" s="1"/>
  <c r="D73" i="34"/>
  <c r="C73" i="34"/>
  <c r="C726" i="45" l="1"/>
  <c r="G405" i="45"/>
  <c r="C860" i="45"/>
  <c r="D405" i="45"/>
  <c r="F405" i="45"/>
  <c r="E405" i="45"/>
  <c r="E793" i="45"/>
  <c r="F793" i="45" s="1"/>
  <c r="E783" i="45"/>
  <c r="F783" i="45" s="1"/>
  <c r="E659" i="45"/>
  <c r="F659" i="45" s="1"/>
  <c r="E716" i="45"/>
  <c r="E649" i="45"/>
  <c r="F649" i="45" s="1"/>
  <c r="E726" i="45"/>
  <c r="F726" i="45" s="1"/>
  <c r="F716" i="45" l="1"/>
  <c r="D220" i="36" l="1"/>
  <c r="C220" i="36"/>
  <c r="D208" i="36"/>
  <c r="C208" i="36"/>
  <c r="D196" i="36"/>
  <c r="C196" i="36"/>
  <c r="D184" i="36"/>
  <c r="C184" i="36"/>
  <c r="D21" i="49" l="1"/>
  <c r="D187" i="36"/>
  <c r="C45" i="49"/>
  <c r="C211" i="36"/>
  <c r="C58" i="49"/>
  <c r="C224" i="36"/>
  <c r="D34" i="49"/>
  <c r="D200" i="36"/>
  <c r="D59" i="49"/>
  <c r="D225" i="36"/>
  <c r="C60" i="49"/>
  <c r="C226" i="36"/>
  <c r="D37" i="49"/>
  <c r="D203" i="36"/>
  <c r="D38" i="49"/>
  <c r="D204" i="36"/>
  <c r="D27" i="49"/>
  <c r="D193" i="36"/>
  <c r="C64" i="49"/>
  <c r="C230" i="36"/>
  <c r="C21" i="49"/>
  <c r="C187" i="36"/>
  <c r="D45" i="49"/>
  <c r="D211" i="36"/>
  <c r="D49" i="49"/>
  <c r="D215" i="36"/>
  <c r="D62" i="49"/>
  <c r="D228" i="36"/>
  <c r="C51" i="49"/>
  <c r="C217" i="36"/>
  <c r="D52" i="49"/>
  <c r="D218" i="36"/>
  <c r="D64" i="49"/>
  <c r="D230" i="36"/>
  <c r="C34" i="49"/>
  <c r="C200" i="36"/>
  <c r="D46" i="49"/>
  <c r="D212" i="36"/>
  <c r="C23" i="49"/>
  <c r="C189" i="36"/>
  <c r="C50" i="49"/>
  <c r="C216" i="36"/>
  <c r="D40" i="49"/>
  <c r="D206" i="36"/>
  <c r="C29" i="49"/>
  <c r="C195" i="36"/>
  <c r="C41" i="49"/>
  <c r="C207" i="36"/>
  <c r="C53" i="49"/>
  <c r="C219" i="36"/>
  <c r="C65" i="49"/>
  <c r="C231" i="36"/>
  <c r="D57" i="49"/>
  <c r="D223" i="36"/>
  <c r="D58" i="49"/>
  <c r="D224" i="36"/>
  <c r="C48" i="49"/>
  <c r="C214" i="36"/>
  <c r="D26" i="49"/>
  <c r="D192" i="36"/>
  <c r="C39" i="49"/>
  <c r="C205" i="36"/>
  <c r="D53" i="49"/>
  <c r="D219" i="36"/>
  <c r="D35" i="49"/>
  <c r="D201" i="36"/>
  <c r="C24" i="49"/>
  <c r="C190" i="36"/>
  <c r="D24" i="49"/>
  <c r="D190" i="36"/>
  <c r="C25" i="49"/>
  <c r="C191" i="36"/>
  <c r="D39" i="49"/>
  <c r="D205" i="36"/>
  <c r="C52" i="49"/>
  <c r="C218" i="36"/>
  <c r="D65" i="49"/>
  <c r="D231" i="36"/>
  <c r="D33" i="49"/>
  <c r="D199" i="36"/>
  <c r="C22" i="49"/>
  <c r="C188" i="36"/>
  <c r="D23" i="49"/>
  <c r="D189" i="36"/>
  <c r="C35" i="49"/>
  <c r="C201" i="36"/>
  <c r="C59" i="49"/>
  <c r="C225" i="36"/>
  <c r="D47" i="49"/>
  <c r="D213" i="36"/>
  <c r="D36" i="49"/>
  <c r="D202" i="36"/>
  <c r="D48" i="49"/>
  <c r="D214" i="36"/>
  <c r="C49" i="49"/>
  <c r="C215" i="36"/>
  <c r="D25" i="49"/>
  <c r="D191" i="36"/>
  <c r="D61" i="49"/>
  <c r="D227" i="36"/>
  <c r="D50" i="49"/>
  <c r="D216" i="36"/>
  <c r="D51" i="49"/>
  <c r="D217" i="36"/>
  <c r="C40" i="49"/>
  <c r="C206" i="36"/>
  <c r="D41" i="49"/>
  <c r="D207" i="36"/>
  <c r="C19" i="49"/>
  <c r="C185" i="36"/>
  <c r="C31" i="49"/>
  <c r="C197" i="36"/>
  <c r="C43" i="49"/>
  <c r="C209" i="36"/>
  <c r="C55" i="49"/>
  <c r="C221" i="36"/>
  <c r="C36" i="49"/>
  <c r="C202" i="36"/>
  <c r="C61" i="49"/>
  <c r="C227" i="36"/>
  <c r="C26" i="49"/>
  <c r="C192" i="36"/>
  <c r="C27" i="49"/>
  <c r="C193" i="36"/>
  <c r="D28" i="49"/>
  <c r="D194" i="36"/>
  <c r="D29" i="49"/>
  <c r="D195" i="36"/>
  <c r="D19" i="49"/>
  <c r="D185" i="36"/>
  <c r="D31" i="49"/>
  <c r="D197" i="36"/>
  <c r="D43" i="49"/>
  <c r="D209" i="36"/>
  <c r="D55" i="49"/>
  <c r="D221" i="36"/>
  <c r="C33" i="49"/>
  <c r="C199" i="36"/>
  <c r="D60" i="49"/>
  <c r="D226" i="36"/>
  <c r="C38" i="49"/>
  <c r="C204" i="36"/>
  <c r="C32" i="49"/>
  <c r="C198" i="36"/>
  <c r="C44" i="49"/>
  <c r="C210" i="36"/>
  <c r="C56" i="49"/>
  <c r="C222" i="36"/>
  <c r="C57" i="49"/>
  <c r="C223" i="36"/>
  <c r="C46" i="49"/>
  <c r="C212" i="36"/>
  <c r="D22" i="49"/>
  <c r="D188" i="36"/>
  <c r="C47" i="49"/>
  <c r="C213" i="36"/>
  <c r="C37" i="49"/>
  <c r="C203" i="36"/>
  <c r="C62" i="49"/>
  <c r="C228" i="36"/>
  <c r="C63" i="49"/>
  <c r="C229" i="36"/>
  <c r="D63" i="49"/>
  <c r="D229" i="36"/>
  <c r="C28" i="49"/>
  <c r="C194" i="36"/>
  <c r="C20" i="49"/>
  <c r="C186" i="36"/>
  <c r="D20" i="49"/>
  <c r="D186" i="36"/>
  <c r="D32" i="49"/>
  <c r="D198" i="36"/>
  <c r="D44" i="49"/>
  <c r="D210" i="36"/>
  <c r="D56" i="49"/>
  <c r="D222" i="36"/>
  <c r="C18" i="49"/>
  <c r="C30" i="49"/>
  <c r="C42" i="49"/>
  <c r="C54" i="49"/>
  <c r="D18" i="49"/>
  <c r="D30" i="49"/>
  <c r="D42" i="49"/>
  <c r="D54" i="49"/>
  <c r="C69" i="49"/>
  <c r="C235" i="36"/>
  <c r="C117" i="49"/>
  <c r="C283" i="36"/>
  <c r="D69" i="49"/>
  <c r="D235" i="36"/>
  <c r="D81" i="49"/>
  <c r="D247" i="36"/>
  <c r="D93" i="49"/>
  <c r="D259" i="36"/>
  <c r="D105" i="49"/>
  <c r="D271" i="36"/>
  <c r="D117" i="49"/>
  <c r="D283" i="36"/>
  <c r="C72" i="49"/>
  <c r="C238" i="36"/>
  <c r="C84" i="49"/>
  <c r="C250" i="36"/>
  <c r="C96" i="49"/>
  <c r="C262" i="36"/>
  <c r="C108" i="49"/>
  <c r="C274" i="36"/>
  <c r="C120" i="49"/>
  <c r="C286" i="36"/>
  <c r="C119" i="49"/>
  <c r="C285" i="36"/>
  <c r="D72" i="49"/>
  <c r="D238" i="36"/>
  <c r="D84" i="49"/>
  <c r="D250" i="36"/>
  <c r="D96" i="49"/>
  <c r="D262" i="36"/>
  <c r="D108" i="49"/>
  <c r="D274" i="36"/>
  <c r="D120" i="49"/>
  <c r="D286" i="36"/>
  <c r="C118" i="49"/>
  <c r="C284" i="36"/>
  <c r="C97" i="49"/>
  <c r="C263" i="36"/>
  <c r="C109" i="49"/>
  <c r="C275" i="36"/>
  <c r="C121" i="49"/>
  <c r="C287" i="36"/>
  <c r="C81" i="49"/>
  <c r="C247" i="36"/>
  <c r="C107" i="49"/>
  <c r="C273" i="36"/>
  <c r="C87" i="49"/>
  <c r="C253" i="36"/>
  <c r="C99" i="49"/>
  <c r="C265" i="36"/>
  <c r="C111" i="49"/>
  <c r="C277" i="36"/>
  <c r="C123" i="49"/>
  <c r="C289" i="36"/>
  <c r="D106" i="49"/>
  <c r="D272" i="36"/>
  <c r="D99" i="49"/>
  <c r="D265" i="36"/>
  <c r="D111" i="49"/>
  <c r="D277" i="36"/>
  <c r="D123" i="49"/>
  <c r="D289" i="36"/>
  <c r="C105" i="49"/>
  <c r="C271" i="36"/>
  <c r="C71" i="49"/>
  <c r="C237" i="36"/>
  <c r="C85" i="49"/>
  <c r="C251" i="36"/>
  <c r="D85" i="49"/>
  <c r="D251" i="36"/>
  <c r="C74" i="49"/>
  <c r="C240" i="36"/>
  <c r="C110" i="49"/>
  <c r="C276" i="36"/>
  <c r="C75" i="49"/>
  <c r="C241" i="36"/>
  <c r="C88" i="49"/>
  <c r="C254" i="36"/>
  <c r="C124" i="49"/>
  <c r="C290" i="36"/>
  <c r="D76" i="49"/>
  <c r="D242" i="36"/>
  <c r="D88" i="49"/>
  <c r="D254" i="36"/>
  <c r="D100" i="49"/>
  <c r="D266" i="36"/>
  <c r="D112" i="49"/>
  <c r="D278" i="36"/>
  <c r="D124" i="49"/>
  <c r="D290" i="36"/>
  <c r="D118" i="49"/>
  <c r="D284" i="36"/>
  <c r="D121" i="49"/>
  <c r="D287" i="36"/>
  <c r="D110" i="49"/>
  <c r="D276" i="36"/>
  <c r="C77" i="49"/>
  <c r="C243" i="36"/>
  <c r="C89" i="49"/>
  <c r="C255" i="36"/>
  <c r="C101" i="49"/>
  <c r="C267" i="36"/>
  <c r="C113" i="49"/>
  <c r="C279" i="36"/>
  <c r="C125" i="49"/>
  <c r="C291" i="36"/>
  <c r="C70" i="49"/>
  <c r="C236" i="36"/>
  <c r="C83" i="49"/>
  <c r="C249" i="36"/>
  <c r="D95" i="49"/>
  <c r="D261" i="36"/>
  <c r="D97" i="49"/>
  <c r="D263" i="36"/>
  <c r="C86" i="49"/>
  <c r="C252" i="36"/>
  <c r="C122" i="49"/>
  <c r="C288" i="36"/>
  <c r="C100" i="49"/>
  <c r="C266" i="36"/>
  <c r="C112" i="49"/>
  <c r="C278" i="36"/>
  <c r="D77" i="49"/>
  <c r="D243" i="36"/>
  <c r="D89" i="49"/>
  <c r="D255" i="36"/>
  <c r="D101" i="49"/>
  <c r="D267" i="36"/>
  <c r="D113" i="49"/>
  <c r="D279" i="36"/>
  <c r="D125" i="49"/>
  <c r="D291" i="36"/>
  <c r="C82" i="49"/>
  <c r="C248" i="36"/>
  <c r="D70" i="49"/>
  <c r="D236" i="36"/>
  <c r="D107" i="49"/>
  <c r="D273" i="36"/>
  <c r="C98" i="49"/>
  <c r="C264" i="36"/>
  <c r="D74" i="49"/>
  <c r="D240" i="36"/>
  <c r="D87" i="49"/>
  <c r="D253" i="36"/>
  <c r="C66" i="49"/>
  <c r="C232" i="36"/>
  <c r="C78" i="49"/>
  <c r="C244" i="36"/>
  <c r="C90" i="49"/>
  <c r="C256" i="36"/>
  <c r="C102" i="49"/>
  <c r="C268" i="36"/>
  <c r="C114" i="49"/>
  <c r="C280" i="36"/>
  <c r="C94" i="49"/>
  <c r="C260" i="36"/>
  <c r="D119" i="49"/>
  <c r="D285" i="36"/>
  <c r="D109" i="49"/>
  <c r="D275" i="36"/>
  <c r="D122" i="49"/>
  <c r="D288" i="36"/>
  <c r="D75" i="49"/>
  <c r="D241" i="36"/>
  <c r="C76" i="49"/>
  <c r="C242" i="36"/>
  <c r="D66" i="49"/>
  <c r="D232" i="36"/>
  <c r="D78" i="49"/>
  <c r="D244" i="36"/>
  <c r="D90" i="49"/>
  <c r="D256" i="36"/>
  <c r="D102" i="49"/>
  <c r="D268" i="36"/>
  <c r="D114" i="49"/>
  <c r="D280" i="36"/>
  <c r="C93" i="49"/>
  <c r="C259" i="36"/>
  <c r="C95" i="49"/>
  <c r="C261" i="36"/>
  <c r="D83" i="49"/>
  <c r="D249" i="36"/>
  <c r="C73" i="49"/>
  <c r="C239" i="36"/>
  <c r="D73" i="49"/>
  <c r="D239" i="36"/>
  <c r="D86" i="49"/>
  <c r="D252" i="36"/>
  <c r="C67" i="49"/>
  <c r="C233" i="36"/>
  <c r="C79" i="49"/>
  <c r="C245" i="36"/>
  <c r="C103" i="49"/>
  <c r="C269" i="36"/>
  <c r="C115" i="49"/>
  <c r="C281" i="36"/>
  <c r="D67" i="49"/>
  <c r="D233" i="36"/>
  <c r="D79" i="49"/>
  <c r="D245" i="36"/>
  <c r="D91" i="49"/>
  <c r="D257" i="36"/>
  <c r="D103" i="49"/>
  <c r="D269" i="36"/>
  <c r="D115" i="49"/>
  <c r="D281" i="36"/>
  <c r="C106" i="49"/>
  <c r="C272" i="36"/>
  <c r="D82" i="49"/>
  <c r="D248" i="36"/>
  <c r="D71" i="49"/>
  <c r="D237" i="36"/>
  <c r="D98" i="49"/>
  <c r="D264" i="36"/>
  <c r="C91" i="49"/>
  <c r="C257" i="36"/>
  <c r="C68" i="49"/>
  <c r="C234" i="36"/>
  <c r="C80" i="49"/>
  <c r="C246" i="36"/>
  <c r="C92" i="49"/>
  <c r="C258" i="36"/>
  <c r="C104" i="49"/>
  <c r="C270" i="36"/>
  <c r="C116" i="49"/>
  <c r="C282" i="36"/>
  <c r="D94" i="49"/>
  <c r="D260" i="36"/>
  <c r="D68" i="49"/>
  <c r="D234" i="36"/>
  <c r="D80" i="49"/>
  <c r="D246" i="36"/>
  <c r="D92" i="49"/>
  <c r="D258" i="36"/>
  <c r="D104" i="49"/>
  <c r="D270" i="36"/>
  <c r="D116" i="49"/>
  <c r="D282" i="36"/>
  <c r="M37" i="37" l="1"/>
  <c r="Q37" i="37" s="1"/>
  <c r="O39" i="37"/>
  <c r="O41" i="37" s="1"/>
  <c r="O31" i="37" s="1"/>
  <c r="N38" i="37"/>
  <c r="Q38" i="37" s="1"/>
  <c r="L36" i="37"/>
  <c r="Q36" i="37" s="1"/>
  <c r="K35" i="37"/>
  <c r="K41" i="37" s="1"/>
  <c r="K27" i="37" s="1"/>
  <c r="H149" i="49"/>
  <c r="H148" i="49"/>
  <c r="H146" i="49"/>
  <c r="H144" i="49"/>
  <c r="H143" i="49"/>
  <c r="H138" i="49"/>
  <c r="H137" i="49"/>
  <c r="H136" i="49"/>
  <c r="H147" i="49"/>
  <c r="H135" i="49"/>
  <c r="H134" i="49"/>
  <c r="H133" i="49"/>
  <c r="H132" i="49"/>
  <c r="H131" i="49"/>
  <c r="H142" i="49"/>
  <c r="H130" i="49"/>
  <c r="H129" i="49"/>
  <c r="H140" i="49"/>
  <c r="H128" i="49"/>
  <c r="H127" i="49"/>
  <c r="H126" i="49"/>
  <c r="H125" i="49"/>
  <c r="H124" i="49"/>
  <c r="H123" i="49"/>
  <c r="H122" i="49"/>
  <c r="H121" i="49"/>
  <c r="H120" i="49"/>
  <c r="H119" i="49"/>
  <c r="H118" i="49"/>
  <c r="H117" i="49"/>
  <c r="H116" i="49"/>
  <c r="H115" i="49"/>
  <c r="H114" i="49"/>
  <c r="H113" i="49"/>
  <c r="H112" i="49"/>
  <c r="H111" i="49"/>
  <c r="H110" i="49"/>
  <c r="H109" i="49"/>
  <c r="H108" i="49"/>
  <c r="H107" i="49"/>
  <c r="H106" i="49"/>
  <c r="H105" i="49"/>
  <c r="H104" i="49"/>
  <c r="H103" i="49"/>
  <c r="H102" i="49"/>
  <c r="H101" i="49"/>
  <c r="H100" i="49"/>
  <c r="H99" i="49"/>
  <c r="H98" i="49"/>
  <c r="H97" i="49"/>
  <c r="H96" i="49"/>
  <c r="H95" i="49"/>
  <c r="H94" i="49"/>
  <c r="H93" i="49"/>
  <c r="H92" i="49"/>
  <c r="H91" i="49"/>
  <c r="H90" i="49"/>
  <c r="H89" i="49"/>
  <c r="H88" i="49"/>
  <c r="H87" i="49"/>
  <c r="H86" i="49"/>
  <c r="H85" i="49"/>
  <c r="H84" i="49"/>
  <c r="H83" i="49"/>
  <c r="H82" i="49"/>
  <c r="H81" i="49"/>
  <c r="H80" i="49"/>
  <c r="H79" i="49"/>
  <c r="H78" i="49"/>
  <c r="H77" i="49"/>
  <c r="H76" i="49"/>
  <c r="H75" i="49"/>
  <c r="H74" i="49"/>
  <c r="H73" i="49"/>
  <c r="H72" i="49"/>
  <c r="H71" i="49"/>
  <c r="H70" i="49"/>
  <c r="H69" i="49"/>
  <c r="H68" i="49"/>
  <c r="H67" i="49"/>
  <c r="H66" i="49"/>
  <c r="H65" i="49"/>
  <c r="H64" i="49"/>
  <c r="H63" i="49"/>
  <c r="H62" i="49"/>
  <c r="H61" i="49"/>
  <c r="H60" i="49"/>
  <c r="H59" i="49"/>
  <c r="H58" i="49"/>
  <c r="H57" i="49"/>
  <c r="H56" i="49"/>
  <c r="H55" i="49"/>
  <c r="H54" i="49"/>
  <c r="H53" i="49"/>
  <c r="H52" i="49"/>
  <c r="H51" i="49"/>
  <c r="H50" i="49"/>
  <c r="H49" i="49"/>
  <c r="H48" i="49"/>
  <c r="H47" i="49"/>
  <c r="H46" i="49"/>
  <c r="H45" i="49"/>
  <c r="H44" i="49"/>
  <c r="H43" i="49"/>
  <c r="H42" i="49"/>
  <c r="H41" i="49"/>
  <c r="H40" i="49"/>
  <c r="H39" i="49"/>
  <c r="H38" i="49"/>
  <c r="H37" i="49"/>
  <c r="H36" i="49"/>
  <c r="H35" i="49"/>
  <c r="H34" i="49"/>
  <c r="H33" i="49"/>
  <c r="H32" i="49"/>
  <c r="H31" i="49"/>
  <c r="H30" i="49"/>
  <c r="H29" i="49"/>
  <c r="H28" i="49"/>
  <c r="H27" i="49"/>
  <c r="H26" i="49"/>
  <c r="H25" i="49"/>
  <c r="H24" i="49"/>
  <c r="H23" i="49"/>
  <c r="H22" i="49"/>
  <c r="H21" i="49"/>
  <c r="H20" i="49"/>
  <c r="H19" i="49"/>
  <c r="H18" i="49"/>
  <c r="H17" i="49"/>
  <c r="H16" i="49"/>
  <c r="H15" i="49"/>
  <c r="H14" i="49"/>
  <c r="H13" i="49"/>
  <c r="H12" i="49"/>
  <c r="H11" i="49"/>
  <c r="H10" i="49"/>
  <c r="H9" i="49"/>
  <c r="H8" i="49"/>
  <c r="H7" i="49"/>
  <c r="H6" i="49"/>
  <c r="M41" i="37" l="1"/>
  <c r="M29" i="37" s="1"/>
  <c r="L41" i="37"/>
  <c r="L28" i="37" s="1"/>
  <c r="Q28" i="37" s="1"/>
  <c r="Q39" i="37"/>
  <c r="Q27" i="37"/>
  <c r="K33" i="37"/>
  <c r="Q31" i="37"/>
  <c r="O33" i="37"/>
  <c r="Q35" i="37"/>
  <c r="N41" i="37"/>
  <c r="N30" i="37" s="1"/>
  <c r="H141" i="49"/>
  <c r="H139" i="49"/>
  <c r="H145" i="49"/>
  <c r="L33" i="37" l="1"/>
  <c r="Q41" i="37"/>
  <c r="Q30" i="37"/>
  <c r="N33" i="37"/>
  <c r="Q29" i="37"/>
  <c r="M33" i="37"/>
  <c r="D912" i="45" l="1"/>
  <c r="H521" i="45"/>
  <c r="J83" i="56"/>
  <c r="Q33" i="37"/>
  <c r="A30" i="17"/>
  <c r="L521" i="45" l="1"/>
  <c r="M521" i="45" s="1"/>
  <c r="I521" i="45"/>
  <c r="B7" i="49" l="1"/>
  <c r="A6" i="49"/>
  <c r="A7" i="49" l="1"/>
  <c r="B8" i="49"/>
  <c r="H78" i="37"/>
  <c r="D47" i="37"/>
  <c r="D67" i="37" s="1"/>
  <c r="B9" i="49" l="1"/>
  <c r="A8" i="49"/>
  <c r="A9" i="49" l="1"/>
  <c r="B10" i="49"/>
  <c r="B11" i="49" l="1"/>
  <c r="A10" i="49"/>
  <c r="B12" i="49" l="1"/>
  <c r="A11" i="49"/>
  <c r="A12" i="49" l="1"/>
  <c r="B13" i="49"/>
  <c r="A13" i="49" l="1"/>
  <c r="B14" i="49"/>
  <c r="A14" i="49" l="1"/>
  <c r="B15" i="49"/>
  <c r="A15" i="49" l="1"/>
  <c r="B16" i="49"/>
  <c r="B17" i="49" l="1"/>
  <c r="A16" i="49"/>
  <c r="B18" i="49" l="1"/>
  <c r="A17" i="49"/>
  <c r="B19" i="49" l="1"/>
  <c r="A18" i="49"/>
  <c r="B20" i="49" l="1"/>
  <c r="A19" i="49"/>
  <c r="A20" i="49" l="1"/>
  <c r="B21" i="49"/>
  <c r="A21" i="49" l="1"/>
  <c r="B22" i="49"/>
  <c r="B23" i="49" l="1"/>
  <c r="A22" i="49"/>
  <c r="A23" i="49" l="1"/>
  <c r="B24" i="49"/>
  <c r="A24" i="49" l="1"/>
  <c r="B25" i="49"/>
  <c r="B26" i="49" l="1"/>
  <c r="A25" i="49"/>
  <c r="B27" i="49" l="1"/>
  <c r="A26" i="49"/>
  <c r="A27" i="49" l="1"/>
  <c r="B28" i="49"/>
  <c r="B29" i="49" l="1"/>
  <c r="A28" i="49"/>
  <c r="A29" i="49" l="1"/>
  <c r="B30" i="49"/>
  <c r="A30" i="49" l="1"/>
  <c r="B31" i="49"/>
  <c r="B32" i="49" l="1"/>
  <c r="A31" i="49"/>
  <c r="B33" i="49" l="1"/>
  <c r="A32" i="49"/>
  <c r="B34" i="49" l="1"/>
  <c r="A33" i="49"/>
  <c r="A34" i="49" l="1"/>
  <c r="B35" i="49"/>
  <c r="B36" i="49" l="1"/>
  <c r="A35" i="49"/>
  <c r="A36" i="49" l="1"/>
  <c r="B37" i="49"/>
  <c r="A37" i="49" l="1"/>
  <c r="B38" i="49"/>
  <c r="B39" i="49" l="1"/>
  <c r="A38" i="49"/>
  <c r="A39" i="49" l="1"/>
  <c r="B40" i="49"/>
  <c r="A40" i="49" l="1"/>
  <c r="B41" i="49"/>
  <c r="B42" i="49" l="1"/>
  <c r="A41" i="49"/>
  <c r="A42" i="49" l="1"/>
  <c r="B43" i="49"/>
  <c r="B44" i="49" l="1"/>
  <c r="A43" i="49"/>
  <c r="A44" i="49" l="1"/>
  <c r="B45" i="49"/>
  <c r="B46" i="49" l="1"/>
  <c r="A45" i="49"/>
  <c r="A46" i="49" l="1"/>
  <c r="B47" i="49"/>
  <c r="A47" i="49" l="1"/>
  <c r="B48" i="49"/>
  <c r="B49" i="49" l="1"/>
  <c r="A48" i="49"/>
  <c r="A49" i="49" l="1"/>
  <c r="B50" i="49"/>
  <c r="A50" i="49" l="1"/>
  <c r="B51" i="49"/>
  <c r="A51" i="49" l="1"/>
  <c r="B52" i="49"/>
  <c r="B53" i="49" l="1"/>
  <c r="A52" i="49"/>
  <c r="B54" i="49" l="1"/>
  <c r="A53" i="49"/>
  <c r="B55" i="49" l="1"/>
  <c r="A54" i="49"/>
  <c r="B56" i="49" l="1"/>
  <c r="A55" i="49"/>
  <c r="A56" i="49" l="1"/>
  <c r="B57" i="49"/>
  <c r="A57" i="49" l="1"/>
  <c r="B58" i="49"/>
  <c r="A58" i="49" l="1"/>
  <c r="B59" i="49"/>
  <c r="B60" i="49" l="1"/>
  <c r="A59" i="49"/>
  <c r="B61" i="49" l="1"/>
  <c r="A60" i="49"/>
  <c r="A61" i="49" l="1"/>
  <c r="B62" i="49"/>
  <c r="B63" i="49" l="1"/>
  <c r="A62" i="49"/>
  <c r="A63" i="49" l="1"/>
  <c r="B64" i="49"/>
  <c r="B65" i="49" l="1"/>
  <c r="A64" i="49"/>
  <c r="B66" i="49" l="1"/>
  <c r="A65" i="49"/>
  <c r="B67" i="49" l="1"/>
  <c r="A66" i="49"/>
  <c r="B68" i="49" l="1"/>
  <c r="A67" i="49"/>
  <c r="A68" i="49" l="1"/>
  <c r="B69" i="49"/>
  <c r="A69" i="49" l="1"/>
  <c r="B70" i="49"/>
  <c r="A70" i="49" l="1"/>
  <c r="B71" i="49"/>
  <c r="B72" i="49" l="1"/>
  <c r="A71" i="49"/>
  <c r="B73" i="49" l="1"/>
  <c r="A72" i="49"/>
  <c r="A73" i="49" l="1"/>
  <c r="B74" i="49"/>
  <c r="A74" i="49" l="1"/>
  <c r="B75" i="49"/>
  <c r="A75" i="49" l="1"/>
  <c r="B76" i="49"/>
  <c r="B77" i="49" l="1"/>
  <c r="A76" i="49"/>
  <c r="B78" i="49" l="1"/>
  <c r="A77" i="49"/>
  <c r="A78" i="49" l="1"/>
  <c r="B79" i="49"/>
  <c r="B80" i="49" l="1"/>
  <c r="A79" i="49"/>
  <c r="A80" i="49" l="1"/>
  <c r="B81" i="49"/>
  <c r="A81" i="49" l="1"/>
  <c r="B82" i="49"/>
  <c r="A82" i="49" l="1"/>
  <c r="B83" i="49"/>
  <c r="B84" i="49" l="1"/>
  <c r="A83" i="49"/>
  <c r="B85" i="49" l="1"/>
  <c r="A84" i="49"/>
  <c r="A85" i="49" l="1"/>
  <c r="B86" i="49"/>
  <c r="B87" i="49" l="1"/>
  <c r="A86" i="49"/>
  <c r="B88" i="49" l="1"/>
  <c r="A87" i="49"/>
  <c r="B89" i="49" l="1"/>
  <c r="A88" i="49"/>
  <c r="A89" i="49" l="1"/>
  <c r="B90" i="49"/>
  <c r="B91" i="49" l="1"/>
  <c r="A90" i="49"/>
  <c r="A91" i="49" l="1"/>
  <c r="B92" i="49"/>
  <c r="A92" i="49" l="1"/>
  <c r="B93" i="49"/>
  <c r="A93" i="49" l="1"/>
  <c r="B94" i="49"/>
  <c r="A94" i="49" l="1"/>
  <c r="B95" i="49"/>
  <c r="A95" i="49" l="1"/>
  <c r="B96" i="49"/>
  <c r="B97" i="49" l="1"/>
  <c r="A96" i="49"/>
  <c r="A97" i="49" l="1"/>
  <c r="B98" i="49"/>
  <c r="A98" i="49" l="1"/>
  <c r="B99" i="49"/>
  <c r="B100" i="49" l="1"/>
  <c r="A99" i="49"/>
  <c r="B101" i="49" l="1"/>
  <c r="A100" i="49"/>
  <c r="A101" i="49" l="1"/>
  <c r="B102" i="49"/>
  <c r="A102" i="49" l="1"/>
  <c r="B103" i="49"/>
  <c r="B104" i="49" l="1"/>
  <c r="A103" i="49"/>
  <c r="B105" i="49" l="1"/>
  <c r="A104" i="49"/>
  <c r="A105" i="49" l="1"/>
  <c r="B106" i="49"/>
  <c r="A106" i="49" l="1"/>
  <c r="B107" i="49"/>
  <c r="B108" i="49" l="1"/>
  <c r="A107" i="49"/>
  <c r="A108" i="49" l="1"/>
  <c r="B109" i="49"/>
  <c r="B110" i="49" l="1"/>
  <c r="A109" i="49"/>
  <c r="A110" i="49" l="1"/>
  <c r="B111" i="49"/>
  <c r="B112" i="49" l="1"/>
  <c r="A111" i="49"/>
  <c r="A112" i="49" l="1"/>
  <c r="B113" i="49"/>
  <c r="B114" i="49" l="1"/>
  <c r="A113" i="49"/>
  <c r="B115" i="49" l="1"/>
  <c r="A114" i="49"/>
  <c r="A115" i="49" l="1"/>
  <c r="B116" i="49"/>
  <c r="B117" i="49" l="1"/>
  <c r="A116" i="49"/>
  <c r="B118" i="49" l="1"/>
  <c r="A117" i="49"/>
  <c r="A118" i="49" l="1"/>
  <c r="B119" i="49"/>
  <c r="B120" i="49" l="1"/>
  <c r="A119" i="49"/>
  <c r="A120" i="49" l="1"/>
  <c r="B121" i="49"/>
  <c r="A121" i="49" l="1"/>
  <c r="B122" i="49"/>
  <c r="B123" i="49" l="1"/>
  <c r="A122" i="49"/>
  <c r="B124" i="49" l="1"/>
  <c r="A123" i="49"/>
  <c r="A124" i="49" l="1"/>
  <c r="B125" i="49"/>
  <c r="B126" i="49" l="1"/>
  <c r="A125" i="49"/>
  <c r="A126" i="49" l="1"/>
  <c r="B127" i="49"/>
  <c r="B128" i="49" l="1"/>
  <c r="A127" i="49"/>
  <c r="B129" i="49" l="1"/>
  <c r="A128" i="49"/>
  <c r="B130" i="49" l="1"/>
  <c r="A129" i="49"/>
  <c r="B131" i="49" l="1"/>
  <c r="A130" i="49"/>
  <c r="A131" i="49" l="1"/>
  <c r="B132" i="49"/>
  <c r="B133" i="49" l="1"/>
  <c r="A132" i="49"/>
  <c r="A133" i="49" l="1"/>
  <c r="B134" i="49"/>
  <c r="A134" i="49" l="1"/>
  <c r="B135" i="49"/>
  <c r="B136" i="49" l="1"/>
  <c r="A135" i="49"/>
  <c r="A136" i="49" l="1"/>
  <c r="B137" i="49"/>
  <c r="B138" i="49" l="1"/>
  <c r="A137" i="49"/>
  <c r="A138" i="49" l="1"/>
  <c r="B139" i="49"/>
  <c r="B140" i="49" l="1"/>
  <c r="A139" i="49"/>
  <c r="A140" i="49" l="1"/>
  <c r="B141" i="49"/>
  <c r="B142" i="49" l="1"/>
  <c r="A141" i="49"/>
  <c r="B143" i="49" l="1"/>
  <c r="A142" i="49"/>
  <c r="A143" i="49" l="1"/>
  <c r="B144" i="49"/>
  <c r="A144" i="49" l="1"/>
  <c r="B145" i="49"/>
  <c r="B146" i="49" l="1"/>
  <c r="A145" i="49"/>
  <c r="A146" i="49" l="1"/>
  <c r="B147" i="49"/>
  <c r="B148" i="49" l="1"/>
  <c r="A147" i="49"/>
  <c r="A148" i="49" l="1"/>
  <c r="B149" i="49"/>
  <c r="A149" i="49" l="1"/>
  <c r="G28" i="17" l="1"/>
  <c r="B20" i="17" l="1"/>
  <c r="E25" i="38" l="1"/>
  <c r="F25" i="38"/>
  <c r="D886" i="45" s="1"/>
  <c r="G25" i="38"/>
  <c r="E886" i="45" s="1"/>
  <c r="H25" i="38"/>
  <c r="F886" i="45" s="1"/>
  <c r="I25" i="38"/>
  <c r="G886" i="45" s="1"/>
  <c r="J25" i="38"/>
  <c r="H886" i="45" s="1"/>
  <c r="E26" i="38"/>
  <c r="F26" i="38"/>
  <c r="D887" i="45" s="1"/>
  <c r="G26" i="38"/>
  <c r="E887" i="45" s="1"/>
  <c r="H26" i="38"/>
  <c r="F887" i="45" s="1"/>
  <c r="I26" i="38"/>
  <c r="G887" i="45" s="1"/>
  <c r="J26" i="38"/>
  <c r="H887" i="45" s="1"/>
  <c r="E27" i="38"/>
  <c r="F27" i="38"/>
  <c r="D888" i="45" s="1"/>
  <c r="G27" i="38"/>
  <c r="E888" i="45" s="1"/>
  <c r="H27" i="38"/>
  <c r="F888" i="45" s="1"/>
  <c r="I27" i="38"/>
  <c r="G888" i="45" s="1"/>
  <c r="J27" i="38"/>
  <c r="H888" i="45" s="1"/>
  <c r="E28" i="38"/>
  <c r="C889" i="45" s="1"/>
  <c r="F28" i="38"/>
  <c r="D889" i="45" s="1"/>
  <c r="G28" i="38"/>
  <c r="E889" i="45" s="1"/>
  <c r="H28" i="38"/>
  <c r="F889" i="45" s="1"/>
  <c r="I28" i="38"/>
  <c r="G889" i="45" s="1"/>
  <c r="J28" i="38"/>
  <c r="H889" i="45" s="1"/>
  <c r="E29" i="38"/>
  <c r="C890" i="45" s="1"/>
  <c r="F29" i="38"/>
  <c r="D890" i="45" s="1"/>
  <c r="G29" i="38"/>
  <c r="E890" i="45" s="1"/>
  <c r="H29" i="38"/>
  <c r="F890" i="45" s="1"/>
  <c r="I29" i="38"/>
  <c r="G890" i="45" s="1"/>
  <c r="J29" i="38"/>
  <c r="H890" i="45" s="1"/>
  <c r="E30" i="38"/>
  <c r="C891" i="45" s="1"/>
  <c r="F30" i="38"/>
  <c r="D891" i="45" s="1"/>
  <c r="G30" i="38"/>
  <c r="E891" i="45" s="1"/>
  <c r="H30" i="38"/>
  <c r="F891" i="45" s="1"/>
  <c r="I30" i="38"/>
  <c r="G891" i="45" s="1"/>
  <c r="J30" i="38"/>
  <c r="H891" i="45" s="1"/>
  <c r="E31" i="38"/>
  <c r="C892" i="45" s="1"/>
  <c r="F31" i="38"/>
  <c r="D892" i="45" s="1"/>
  <c r="G31" i="38"/>
  <c r="E892" i="45" s="1"/>
  <c r="H31" i="38"/>
  <c r="F892" i="45" s="1"/>
  <c r="I31" i="38"/>
  <c r="G892" i="45" s="1"/>
  <c r="J31" i="38"/>
  <c r="H892" i="45" s="1"/>
  <c r="E32" i="38"/>
  <c r="F32" i="38"/>
  <c r="G32" i="38"/>
  <c r="E893" i="45" s="1"/>
  <c r="H32" i="38"/>
  <c r="F893" i="45" s="1"/>
  <c r="I32" i="38"/>
  <c r="G893" i="45" s="1"/>
  <c r="J32" i="38"/>
  <c r="H893" i="45" s="1"/>
  <c r="E33" i="38"/>
  <c r="F33" i="38"/>
  <c r="G33" i="38"/>
  <c r="J33" i="38"/>
  <c r="J24" i="38"/>
  <c r="H885" i="45" s="1"/>
  <c r="I24" i="38"/>
  <c r="G885" i="45" s="1"/>
  <c r="H24" i="38"/>
  <c r="F885" i="45" s="1"/>
  <c r="G24" i="38"/>
  <c r="E885" i="45" s="1"/>
  <c r="F24" i="38"/>
  <c r="D885" i="45" s="1"/>
  <c r="H894" i="45" l="1"/>
  <c r="J53" i="38"/>
  <c r="D893" i="45"/>
  <c r="E894" i="45"/>
  <c r="G53" i="38"/>
  <c r="C893" i="45"/>
  <c r="D894" i="45"/>
  <c r="F53" i="38"/>
  <c r="C894" i="45"/>
  <c r="E53" i="38"/>
  <c r="C888" i="45"/>
  <c r="F463" i="45"/>
  <c r="C887" i="45"/>
  <c r="F462" i="45"/>
  <c r="C886" i="45"/>
  <c r="F461" i="45"/>
  <c r="I33" i="38"/>
  <c r="D29" i="18"/>
  <c r="H33" i="38"/>
  <c r="C29" i="18"/>
  <c r="F894" i="45" l="1"/>
  <c r="H53" i="38"/>
  <c r="G894" i="45"/>
  <c r="I53" i="38"/>
  <c r="G462" i="45"/>
  <c r="G463" i="45"/>
  <c r="D33" i="18"/>
  <c r="G43" i="17"/>
  <c r="F43" i="17"/>
  <c r="E43" i="17"/>
  <c r="D43" i="17"/>
  <c r="C43" i="17"/>
  <c r="A4" i="18"/>
  <c r="A5" i="18"/>
  <c r="A6" i="18"/>
  <c r="A7" i="18"/>
  <c r="A8" i="18"/>
  <c r="A9" i="18"/>
  <c r="A10" i="18"/>
  <c r="A11" i="18"/>
  <c r="A12" i="18"/>
  <c r="A3" i="18"/>
  <c r="A25" i="18" l="1"/>
  <c r="A27" i="18"/>
  <c r="A24" i="18"/>
  <c r="A23" i="18"/>
  <c r="A20" i="18"/>
  <c r="A22" i="18"/>
  <c r="A28" i="18"/>
  <c r="A26" i="18"/>
  <c r="A29" i="18"/>
  <c r="A21" i="18"/>
  <c r="D31" i="18"/>
  <c r="A70" i="38"/>
  <c r="A74" i="38" s="1"/>
  <c r="A69" i="38"/>
  <c r="A73" i="38" s="1"/>
  <c r="A79" i="38"/>
  <c r="A78" i="38"/>
  <c r="E313" i="45" l="1"/>
  <c r="A59" i="17"/>
  <c r="A60" i="17"/>
  <c r="A61" i="17"/>
  <c r="A62" i="17"/>
  <c r="A63" i="17"/>
  <c r="A64" i="17"/>
  <c r="A65" i="17"/>
  <c r="A66" i="17"/>
  <c r="A58" i="17"/>
  <c r="A57" i="17"/>
  <c r="A20" i="17" l="1"/>
  <c r="A21" i="17"/>
  <c r="A22" i="17"/>
  <c r="A23" i="17"/>
  <c r="A24" i="17"/>
  <c r="A25" i="17"/>
  <c r="A26" i="17"/>
  <c r="A27" i="17"/>
  <c r="A28" i="17"/>
  <c r="A19" i="17"/>
  <c r="B44" i="17" l="1"/>
  <c r="B58" i="17" s="1"/>
  <c r="H4" i="17" l="1"/>
  <c r="B28" i="17"/>
  <c r="D463" i="45" s="1"/>
  <c r="H5" i="17"/>
  <c r="L463" i="45" l="1"/>
  <c r="J463" i="45"/>
  <c r="H6" i="17"/>
  <c r="H8" i="17"/>
  <c r="H7" i="17"/>
  <c r="P154" i="36" l="1"/>
  <c r="J138" i="45" s="1"/>
  <c r="P155" i="36"/>
  <c r="J139" i="45" s="1"/>
  <c r="P156" i="36"/>
  <c r="J140" i="45" s="1"/>
  <c r="P157" i="36"/>
  <c r="J141" i="45" s="1"/>
  <c r="P158" i="36"/>
  <c r="J142" i="45" s="1"/>
  <c r="P159" i="36"/>
  <c r="J143" i="45" s="1"/>
  <c r="P160" i="36"/>
  <c r="J144" i="45" s="1"/>
  <c r="P161" i="36"/>
  <c r="J145" i="45" s="1"/>
  <c r="P162" i="36"/>
  <c r="J146" i="45" s="1"/>
  <c r="P163" i="36"/>
  <c r="J147" i="45" s="1"/>
  <c r="P164" i="36"/>
  <c r="J148" i="45" s="1"/>
  <c r="P165" i="36"/>
  <c r="J149" i="45" s="1"/>
  <c r="M155" i="36"/>
  <c r="M156" i="36"/>
  <c r="M157" i="36"/>
  <c r="M158" i="36"/>
  <c r="M159" i="36"/>
  <c r="M160" i="36"/>
  <c r="M161" i="36"/>
  <c r="M162" i="36"/>
  <c r="M163" i="36"/>
  <c r="M164" i="36"/>
  <c r="M165" i="36"/>
  <c r="M154" i="36"/>
  <c r="H131" i="45"/>
  <c r="H130" i="45"/>
  <c r="H129" i="45"/>
  <c r="H128" i="45"/>
  <c r="H127" i="45"/>
  <c r="H126" i="45"/>
  <c r="H125" i="45"/>
  <c r="H124" i="45"/>
  <c r="H123" i="45"/>
  <c r="H122" i="45"/>
  <c r="H121" i="45"/>
  <c r="H120" i="45"/>
  <c r="N291" i="36"/>
  <c r="N290" i="36"/>
  <c r="N289" i="36"/>
  <c r="N288" i="36"/>
  <c r="N287" i="36"/>
  <c r="N286" i="36"/>
  <c r="N285" i="36"/>
  <c r="N284" i="36"/>
  <c r="N283" i="36"/>
  <c r="N282" i="36"/>
  <c r="N281" i="36"/>
  <c r="N279" i="36"/>
  <c r="N278" i="36"/>
  <c r="N277" i="36"/>
  <c r="N276" i="36"/>
  <c r="N275" i="36"/>
  <c r="N274" i="36"/>
  <c r="N273" i="36"/>
  <c r="N272" i="36"/>
  <c r="N271" i="36"/>
  <c r="N270" i="36"/>
  <c r="N269" i="36"/>
  <c r="N268" i="36"/>
  <c r="N267" i="36"/>
  <c r="N266" i="36"/>
  <c r="N265" i="36"/>
  <c r="N264" i="36"/>
  <c r="N263" i="36"/>
  <c r="N262" i="36"/>
  <c r="N261" i="36"/>
  <c r="N260" i="36"/>
  <c r="N259" i="36"/>
  <c r="N258" i="36"/>
  <c r="N257" i="36"/>
  <c r="N256" i="36"/>
  <c r="N255" i="36"/>
  <c r="N254" i="36"/>
  <c r="N253" i="36"/>
  <c r="N252" i="36"/>
  <c r="N251" i="36"/>
  <c r="N250" i="36"/>
  <c r="N249" i="36"/>
  <c r="N248" i="36"/>
  <c r="N247" i="36"/>
  <c r="N246" i="36"/>
  <c r="N245" i="36"/>
  <c r="N244" i="36"/>
  <c r="N243" i="36"/>
  <c r="N242" i="36"/>
  <c r="N241" i="36"/>
  <c r="N240" i="36"/>
  <c r="N239" i="36"/>
  <c r="N238" i="36"/>
  <c r="N237" i="36"/>
  <c r="N236" i="36"/>
  <c r="N235" i="36"/>
  <c r="N234" i="36"/>
  <c r="N233" i="36"/>
  <c r="N232" i="36"/>
  <c r="N231" i="36"/>
  <c r="N230" i="36"/>
  <c r="N229" i="36"/>
  <c r="N228" i="36"/>
  <c r="N227" i="36"/>
  <c r="N226" i="36"/>
  <c r="N225" i="36"/>
  <c r="N224" i="36"/>
  <c r="N223" i="36"/>
  <c r="N222" i="36"/>
  <c r="N221" i="36"/>
  <c r="N220" i="36"/>
  <c r="N219" i="36"/>
  <c r="N218" i="36"/>
  <c r="N217" i="36"/>
  <c r="N216" i="36"/>
  <c r="N215" i="36"/>
  <c r="N214" i="36"/>
  <c r="N213" i="36"/>
  <c r="N212" i="36"/>
  <c r="N211" i="36"/>
  <c r="N210" i="36"/>
  <c r="N209" i="36"/>
  <c r="N208" i="36"/>
  <c r="N207" i="36"/>
  <c r="N206" i="36"/>
  <c r="N205" i="36"/>
  <c r="N204" i="36"/>
  <c r="N203" i="36"/>
  <c r="N202" i="36"/>
  <c r="N201" i="36"/>
  <c r="N200" i="36"/>
  <c r="N199" i="36"/>
  <c r="N198" i="36"/>
  <c r="N197" i="36"/>
  <c r="N196" i="36"/>
  <c r="N195" i="36"/>
  <c r="N194" i="36"/>
  <c r="N193" i="36"/>
  <c r="N192" i="36"/>
  <c r="N191" i="36"/>
  <c r="N190" i="36"/>
  <c r="N189" i="36"/>
  <c r="N188" i="36"/>
  <c r="N187" i="36"/>
  <c r="N186" i="36"/>
  <c r="N185" i="36"/>
  <c r="N184" i="36"/>
  <c r="N183" i="36"/>
  <c r="N182" i="36"/>
  <c r="N181" i="36"/>
  <c r="N180" i="36"/>
  <c r="N179" i="36"/>
  <c r="N178" i="36"/>
  <c r="N177" i="36"/>
  <c r="N176" i="36"/>
  <c r="N175" i="36"/>
  <c r="N174" i="36"/>
  <c r="N173" i="36"/>
  <c r="N280" i="36" l="1"/>
  <c r="N172" i="36"/>
  <c r="S19" i="36" l="1"/>
  <c r="S31" i="36" s="1"/>
  <c r="S43" i="36" s="1"/>
  <c r="S55" i="36" s="1"/>
  <c r="S67" i="36" s="1"/>
  <c r="S79" i="36" s="1"/>
  <c r="S91" i="36" s="1"/>
  <c r="S103" i="36" s="1"/>
  <c r="S115" i="36" s="1"/>
  <c r="S127" i="36" s="1"/>
  <c r="S139" i="36" s="1"/>
  <c r="S20" i="36"/>
  <c r="S32" i="36" s="1"/>
  <c r="S44" i="36" s="1"/>
  <c r="S56" i="36" s="1"/>
  <c r="S68" i="36" s="1"/>
  <c r="S80" i="36" s="1"/>
  <c r="S92" i="36" s="1"/>
  <c r="S104" i="36" s="1"/>
  <c r="S116" i="36" s="1"/>
  <c r="S128" i="36" s="1"/>
  <c r="S140" i="36" s="1"/>
  <c r="S21" i="36"/>
  <c r="S33" i="36" s="1"/>
  <c r="S45" i="36" s="1"/>
  <c r="S57" i="36" s="1"/>
  <c r="S69" i="36" s="1"/>
  <c r="S81" i="36" s="1"/>
  <c r="S93" i="36" s="1"/>
  <c r="S105" i="36" s="1"/>
  <c r="S117" i="36" s="1"/>
  <c r="S129" i="36" s="1"/>
  <c r="S141" i="36" s="1"/>
  <c r="S22" i="36"/>
  <c r="S34" i="36" s="1"/>
  <c r="S46" i="36" s="1"/>
  <c r="S58" i="36" s="1"/>
  <c r="S70" i="36" s="1"/>
  <c r="S82" i="36" s="1"/>
  <c r="S94" i="36" s="1"/>
  <c r="S106" i="36" s="1"/>
  <c r="S118" i="36" s="1"/>
  <c r="S130" i="36" s="1"/>
  <c r="S142" i="36" s="1"/>
  <c r="S23" i="36"/>
  <c r="S35" i="36" s="1"/>
  <c r="S47" i="36" s="1"/>
  <c r="S59" i="36" s="1"/>
  <c r="S71" i="36" s="1"/>
  <c r="S83" i="36" s="1"/>
  <c r="S95" i="36" s="1"/>
  <c r="S107" i="36" s="1"/>
  <c r="S119" i="36" s="1"/>
  <c r="S131" i="36" s="1"/>
  <c r="S143" i="36" s="1"/>
  <c r="S24" i="36"/>
  <c r="S36" i="36" s="1"/>
  <c r="S48" i="36" s="1"/>
  <c r="S60" i="36" s="1"/>
  <c r="S72" i="36" s="1"/>
  <c r="S84" i="36" s="1"/>
  <c r="S96" i="36" s="1"/>
  <c r="S108" i="36" s="1"/>
  <c r="S120" i="36" s="1"/>
  <c r="S132" i="36" s="1"/>
  <c r="S144" i="36" s="1"/>
  <c r="S25" i="36"/>
  <c r="S37" i="36" s="1"/>
  <c r="S49" i="36" s="1"/>
  <c r="S61" i="36" s="1"/>
  <c r="S73" i="36" s="1"/>
  <c r="S85" i="36" s="1"/>
  <c r="S97" i="36" s="1"/>
  <c r="S109" i="36" s="1"/>
  <c r="S121" i="36" s="1"/>
  <c r="S133" i="36" s="1"/>
  <c r="S145" i="36" s="1"/>
  <c r="S26" i="36"/>
  <c r="S38" i="36" s="1"/>
  <c r="S50" i="36" s="1"/>
  <c r="S62" i="36" s="1"/>
  <c r="S74" i="36" s="1"/>
  <c r="S86" i="36" s="1"/>
  <c r="S98" i="36" s="1"/>
  <c r="S110" i="36" s="1"/>
  <c r="S122" i="36" s="1"/>
  <c r="S134" i="36" s="1"/>
  <c r="S146" i="36" s="1"/>
  <c r="S27" i="36"/>
  <c r="S39" i="36" s="1"/>
  <c r="S51" i="36" s="1"/>
  <c r="S63" i="36" s="1"/>
  <c r="S75" i="36" s="1"/>
  <c r="S87" i="36" s="1"/>
  <c r="S99" i="36" s="1"/>
  <c r="S111" i="36" s="1"/>
  <c r="S123" i="36" s="1"/>
  <c r="S135" i="36" s="1"/>
  <c r="S147" i="36" s="1"/>
  <c r="S28" i="36"/>
  <c r="S40" i="36" s="1"/>
  <c r="S52" i="36" s="1"/>
  <c r="S64" i="36" s="1"/>
  <c r="S76" i="36" s="1"/>
  <c r="S88" i="36" s="1"/>
  <c r="S100" i="36" s="1"/>
  <c r="S112" i="36" s="1"/>
  <c r="S124" i="36" s="1"/>
  <c r="S136" i="36" s="1"/>
  <c r="S148" i="36" s="1"/>
  <c r="S29" i="36"/>
  <c r="S41" i="36" s="1"/>
  <c r="S53" i="36" s="1"/>
  <c r="S65" i="36" s="1"/>
  <c r="S77" i="36" s="1"/>
  <c r="S89" i="36" s="1"/>
  <c r="S101" i="36" s="1"/>
  <c r="S113" i="36" s="1"/>
  <c r="S125" i="36" s="1"/>
  <c r="S137" i="36" s="1"/>
  <c r="S149" i="36" s="1"/>
  <c r="S18" i="36"/>
  <c r="S30" i="36" s="1"/>
  <c r="S42" i="36" s="1"/>
  <c r="S54" i="36" s="1"/>
  <c r="S66" i="36" s="1"/>
  <c r="S78" i="36" s="1"/>
  <c r="S90" i="36" s="1"/>
  <c r="S102" i="36" s="1"/>
  <c r="S114" i="36" s="1"/>
  <c r="S126" i="36" l="1"/>
  <c r="S138" i="36" s="1"/>
  <c r="O67" i="37"/>
  <c r="P67" i="37"/>
  <c r="Q67" i="37"/>
  <c r="R67" i="37"/>
  <c r="S67" i="37"/>
  <c r="A12" i="38" l="1"/>
  <c r="A13" i="38"/>
  <c r="A14" i="38"/>
  <c r="A34" i="38" l="1"/>
  <c r="A11" i="38"/>
  <c r="A4" i="38" l="1"/>
  <c r="A5" i="38"/>
  <c r="A6" i="38"/>
  <c r="A7" i="38"/>
  <c r="A9" i="38"/>
  <c r="A10" i="38"/>
  <c r="A3" i="38"/>
  <c r="AM41" i="36" l="1"/>
  <c r="AO39" i="36" s="1"/>
  <c r="S165" i="36" l="1"/>
  <c r="S164" i="36"/>
  <c r="S163" i="36"/>
  <c r="S162" i="36"/>
  <c r="S161" i="36"/>
  <c r="S160" i="36"/>
  <c r="S159" i="36"/>
  <c r="S158" i="36"/>
  <c r="S157" i="36"/>
  <c r="S156" i="36"/>
  <c r="S155" i="36"/>
  <c r="S154" i="36"/>
  <c r="O155" i="36" l="1"/>
  <c r="O156" i="36"/>
  <c r="O157" i="36"/>
  <c r="O158" i="36"/>
  <c r="O159" i="36"/>
  <c r="O160" i="36"/>
  <c r="O161" i="36"/>
  <c r="O162" i="36"/>
  <c r="O163" i="36"/>
  <c r="O164" i="36"/>
  <c r="O165" i="36"/>
  <c r="O154" i="36"/>
  <c r="J126" i="49" l="1"/>
  <c r="D120" i="45" l="1"/>
  <c r="J138" i="49"/>
  <c r="J232" i="36"/>
  <c r="J172" i="36"/>
  <c r="A6" i="36"/>
  <c r="J184" i="36" l="1"/>
  <c r="J244" i="36"/>
  <c r="A172" i="36"/>
  <c r="J256" i="36"/>
  <c r="N155" i="36"/>
  <c r="N160" i="36"/>
  <c r="N156" i="36"/>
  <c r="N159" i="36"/>
  <c r="N163" i="36"/>
  <c r="N157" i="36"/>
  <c r="N164" i="36"/>
  <c r="N154" i="36"/>
  <c r="N158" i="36"/>
  <c r="N161" i="36"/>
  <c r="N162" i="36"/>
  <c r="N165" i="36"/>
  <c r="J196" i="36" l="1"/>
  <c r="J268" i="36"/>
  <c r="J6" i="36"/>
  <c r="K6" i="36"/>
  <c r="J208" i="36" l="1"/>
  <c r="K6" i="49"/>
  <c r="J6" i="49"/>
  <c r="J280" i="36"/>
  <c r="L6" i="36"/>
  <c r="L6" i="49" s="1"/>
  <c r="B7" i="36"/>
  <c r="B173" i="36" s="1"/>
  <c r="V6" i="36" l="1"/>
  <c r="J292" i="36"/>
  <c r="J220" i="36"/>
  <c r="L172" i="36"/>
  <c r="A7" i="36"/>
  <c r="J7" i="36"/>
  <c r="L7" i="36"/>
  <c r="K7" i="36"/>
  <c r="B8" i="36"/>
  <c r="J7" i="49" l="1"/>
  <c r="V7" i="36"/>
  <c r="K7" i="49"/>
  <c r="L173" i="36"/>
  <c r="L7" i="49"/>
  <c r="L8" i="36"/>
  <c r="B174" i="36"/>
  <c r="A173" i="36"/>
  <c r="A8" i="36"/>
  <c r="A174" i="36" s="1"/>
  <c r="J8" i="36"/>
  <c r="B9" i="36"/>
  <c r="B175" i="36" s="1"/>
  <c r="K8" i="36"/>
  <c r="K8" i="49" s="1"/>
  <c r="J8" i="49" l="1"/>
  <c r="V8" i="36"/>
  <c r="L174" i="36"/>
  <c r="L8" i="49"/>
  <c r="A9" i="36"/>
  <c r="J9" i="36"/>
  <c r="K9" i="36"/>
  <c r="K9" i="49" s="1"/>
  <c r="B10" i="36"/>
  <c r="B176" i="36" s="1"/>
  <c r="L9" i="36"/>
  <c r="J9" i="49" l="1"/>
  <c r="V9" i="36"/>
  <c r="L175" i="36"/>
  <c r="L9" i="49"/>
  <c r="A175" i="36"/>
  <c r="A10" i="36"/>
  <c r="J10" i="36"/>
  <c r="K10" i="36"/>
  <c r="K10" i="49" s="1"/>
  <c r="L10" i="36"/>
  <c r="B11" i="36"/>
  <c r="B177" i="36" s="1"/>
  <c r="J10" i="49" l="1"/>
  <c r="V10" i="36"/>
  <c r="L176" i="36"/>
  <c r="L10" i="49"/>
  <c r="A176" i="36"/>
  <c r="A11" i="36"/>
  <c r="J11" i="36"/>
  <c r="K11" i="36"/>
  <c r="K11" i="49" s="1"/>
  <c r="B12" i="36"/>
  <c r="B178" i="36" s="1"/>
  <c r="L11" i="36"/>
  <c r="J11" i="49" l="1"/>
  <c r="V11" i="36"/>
  <c r="L177" i="36"/>
  <c r="L11" i="49"/>
  <c r="A177" i="36"/>
  <c r="A12" i="36"/>
  <c r="J12" i="36"/>
  <c r="K12" i="36"/>
  <c r="K12" i="49" s="1"/>
  <c r="B13" i="36"/>
  <c r="B179" i="36" s="1"/>
  <c r="L12" i="36"/>
  <c r="J12" i="49" l="1"/>
  <c r="V12" i="36"/>
  <c r="L178" i="36"/>
  <c r="L12" i="49"/>
  <c r="A178" i="36"/>
  <c r="A13" i="36"/>
  <c r="J13" i="36"/>
  <c r="K13" i="36"/>
  <c r="K13" i="49" s="1"/>
  <c r="L13" i="36"/>
  <c r="B14" i="36"/>
  <c r="B180" i="36" s="1"/>
  <c r="J13" i="49" l="1"/>
  <c r="V13" i="36"/>
  <c r="L179" i="36"/>
  <c r="L13" i="49"/>
  <c r="A179" i="36"/>
  <c r="A14" i="36"/>
  <c r="A180" i="36" s="1"/>
  <c r="J14" i="36"/>
  <c r="K14" i="36"/>
  <c r="K14" i="49" s="1"/>
  <c r="B15" i="36"/>
  <c r="B181" i="36" s="1"/>
  <c r="L14" i="36"/>
  <c r="J14" i="49" l="1"/>
  <c r="V14" i="36"/>
  <c r="L180" i="36"/>
  <c r="L14" i="49"/>
  <c r="A15" i="36"/>
  <c r="J15" i="36"/>
  <c r="K15" i="36"/>
  <c r="K15" i="49" s="1"/>
  <c r="B16" i="36"/>
  <c r="B182" i="36" s="1"/>
  <c r="L15" i="36"/>
  <c r="J15" i="49" l="1"/>
  <c r="V15" i="36"/>
  <c r="L181" i="36"/>
  <c r="L15" i="49"/>
  <c r="A181" i="36"/>
  <c r="A16" i="36"/>
  <c r="A182" i="36" s="1"/>
  <c r="J16" i="36"/>
  <c r="K16" i="36"/>
  <c r="K16" i="49" s="1"/>
  <c r="L16" i="36"/>
  <c r="B17" i="36"/>
  <c r="B183" i="36" s="1"/>
  <c r="J16" i="49" l="1"/>
  <c r="V16" i="36"/>
  <c r="L182" i="36"/>
  <c r="L16" i="49"/>
  <c r="A17" i="36"/>
  <c r="A183" i="36" s="1"/>
  <c r="B18" i="36"/>
  <c r="B184" i="36" s="1"/>
  <c r="J17" i="36"/>
  <c r="V17" i="36" s="1"/>
  <c r="L17" i="36"/>
  <c r="L17" i="49" s="1"/>
  <c r="K17" i="36"/>
  <c r="K17" i="49" l="1"/>
  <c r="J17" i="49"/>
  <c r="L183" i="36"/>
  <c r="A18" i="36"/>
  <c r="A184" i="36" s="1"/>
  <c r="K18" i="36"/>
  <c r="K18" i="49" s="1"/>
  <c r="J18" i="36"/>
  <c r="B19" i="36"/>
  <c r="B185" i="36" s="1"/>
  <c r="L18" i="36"/>
  <c r="J18" i="49" l="1"/>
  <c r="V18" i="36"/>
  <c r="L184" i="36"/>
  <c r="L18" i="49"/>
  <c r="A19" i="36"/>
  <c r="A185" i="36" s="1"/>
  <c r="J19" i="36"/>
  <c r="L19" i="36"/>
  <c r="K19" i="36"/>
  <c r="K19" i="49" s="1"/>
  <c r="B20" i="36"/>
  <c r="B186" i="36" s="1"/>
  <c r="J19" i="49" l="1"/>
  <c r="V19" i="36"/>
  <c r="L185" i="36"/>
  <c r="L19" i="49"/>
  <c r="A20" i="36"/>
  <c r="A186" i="36" s="1"/>
  <c r="J20" i="36"/>
  <c r="B21" i="36"/>
  <c r="B187" i="36" s="1"/>
  <c r="L20" i="36"/>
  <c r="K20" i="36"/>
  <c r="K20" i="49" s="1"/>
  <c r="J20" i="49" l="1"/>
  <c r="V20" i="36"/>
  <c r="L186" i="36"/>
  <c r="L20" i="49"/>
  <c r="A21" i="36"/>
  <c r="A187" i="36" s="1"/>
  <c r="J21" i="36"/>
  <c r="K21" i="36"/>
  <c r="K21" i="49" s="1"/>
  <c r="L21" i="36"/>
  <c r="B22" i="36"/>
  <c r="B188" i="36" s="1"/>
  <c r="J21" i="49" l="1"/>
  <c r="V21" i="36"/>
  <c r="L187" i="36"/>
  <c r="L21" i="49"/>
  <c r="A22" i="36"/>
  <c r="A188" i="36" s="1"/>
  <c r="J22" i="36"/>
  <c r="K22" i="36"/>
  <c r="K22" i="49" s="1"/>
  <c r="L22" i="36"/>
  <c r="B23" i="36"/>
  <c r="B189" i="36" s="1"/>
  <c r="J22" i="49" l="1"/>
  <c r="V22" i="36"/>
  <c r="L188" i="36"/>
  <c r="L22" i="49"/>
  <c r="A23" i="36"/>
  <c r="A189" i="36" s="1"/>
  <c r="J23" i="36"/>
  <c r="B24" i="36"/>
  <c r="B190" i="36" s="1"/>
  <c r="L23" i="36"/>
  <c r="K23" i="36"/>
  <c r="K23" i="49" s="1"/>
  <c r="J23" i="49" l="1"/>
  <c r="V23" i="36"/>
  <c r="L189" i="36"/>
  <c r="L23" i="49"/>
  <c r="A24" i="36"/>
  <c r="A190" i="36" s="1"/>
  <c r="J24" i="36"/>
  <c r="B25" i="36"/>
  <c r="B191" i="36" s="1"/>
  <c r="K24" i="36"/>
  <c r="K24" i="49" s="1"/>
  <c r="L24" i="36"/>
  <c r="J24" i="49" l="1"/>
  <c r="V24" i="36"/>
  <c r="L190" i="36"/>
  <c r="L24" i="49"/>
  <c r="A25" i="36"/>
  <c r="A191" i="36" s="1"/>
  <c r="J25" i="36"/>
  <c r="B26" i="36"/>
  <c r="B192" i="36" s="1"/>
  <c r="K25" i="36"/>
  <c r="K25" i="49" s="1"/>
  <c r="L25" i="36"/>
  <c r="J25" i="49" l="1"/>
  <c r="V25" i="36"/>
  <c r="L191" i="36"/>
  <c r="L25" i="49"/>
  <c r="A26" i="36"/>
  <c r="A192" i="36" s="1"/>
  <c r="J26" i="36"/>
  <c r="L26" i="36"/>
  <c r="B27" i="36"/>
  <c r="B193" i="36" s="1"/>
  <c r="K26" i="36"/>
  <c r="K26" i="49" s="1"/>
  <c r="J26" i="49" l="1"/>
  <c r="V26" i="36"/>
  <c r="L192" i="36"/>
  <c r="L26" i="49"/>
  <c r="A27" i="36"/>
  <c r="A193" i="36" s="1"/>
  <c r="J27" i="36"/>
  <c r="L27" i="36"/>
  <c r="B28" i="36"/>
  <c r="B194" i="36" s="1"/>
  <c r="K27" i="36"/>
  <c r="K27" i="49" s="1"/>
  <c r="J27" i="49" l="1"/>
  <c r="V27" i="36"/>
  <c r="L193" i="36"/>
  <c r="L27" i="49"/>
  <c r="A28" i="36"/>
  <c r="A194" i="36" s="1"/>
  <c r="J28" i="36"/>
  <c r="K28" i="36"/>
  <c r="K28" i="49" s="1"/>
  <c r="B29" i="36"/>
  <c r="B195" i="36" s="1"/>
  <c r="L28" i="36"/>
  <c r="J28" i="49" l="1"/>
  <c r="V28" i="36"/>
  <c r="L194" i="36"/>
  <c r="L28" i="49"/>
  <c r="A29" i="36"/>
  <c r="A195" i="36" s="1"/>
  <c r="J29" i="36"/>
  <c r="K29" i="36"/>
  <c r="K29" i="49" s="1"/>
  <c r="B30" i="36"/>
  <c r="B196" i="36" s="1"/>
  <c r="L29" i="36"/>
  <c r="J29" i="49" l="1"/>
  <c r="V29" i="36"/>
  <c r="L195" i="36"/>
  <c r="L29" i="49"/>
  <c r="A30" i="36"/>
  <c r="A196" i="36" s="1"/>
  <c r="J30" i="36"/>
  <c r="K30" i="36"/>
  <c r="K30" i="49" s="1"/>
  <c r="L30" i="36"/>
  <c r="B31" i="36"/>
  <c r="B197" i="36" s="1"/>
  <c r="J30" i="49" l="1"/>
  <c r="V30" i="36"/>
  <c r="L196" i="36"/>
  <c r="L30" i="49"/>
  <c r="A31" i="36"/>
  <c r="A197" i="36" s="1"/>
  <c r="J31" i="36"/>
  <c r="L31" i="36"/>
  <c r="K31" i="36"/>
  <c r="K31" i="49" s="1"/>
  <c r="B32" i="36"/>
  <c r="B198" i="36" s="1"/>
  <c r="J31" i="49" l="1"/>
  <c r="V31" i="36"/>
  <c r="L197" i="36"/>
  <c r="L31" i="49"/>
  <c r="A32" i="36"/>
  <c r="A198" i="36" s="1"/>
  <c r="J32" i="36"/>
  <c r="K32" i="36"/>
  <c r="K32" i="49" s="1"/>
  <c r="B33" i="36"/>
  <c r="B199" i="36" s="1"/>
  <c r="L32" i="36"/>
  <c r="J32" i="49" l="1"/>
  <c r="V32" i="36"/>
  <c r="L198" i="36"/>
  <c r="L32" i="49"/>
  <c r="A33" i="36"/>
  <c r="A199" i="36" s="1"/>
  <c r="J33" i="36"/>
  <c r="L33" i="36"/>
  <c r="K33" i="36"/>
  <c r="K33" i="49" s="1"/>
  <c r="B34" i="36"/>
  <c r="B200" i="36" s="1"/>
  <c r="J33" i="49" l="1"/>
  <c r="V33" i="36"/>
  <c r="L199" i="36"/>
  <c r="L33" i="49"/>
  <c r="A34" i="36"/>
  <c r="A200" i="36" s="1"/>
  <c r="J34" i="36"/>
  <c r="L34" i="36"/>
  <c r="K34" i="36"/>
  <c r="K34" i="49" s="1"/>
  <c r="B35" i="36"/>
  <c r="B201" i="36" s="1"/>
  <c r="J34" i="49" l="1"/>
  <c r="V34" i="36"/>
  <c r="L200" i="36"/>
  <c r="L34" i="49"/>
  <c r="A35" i="36"/>
  <c r="A201" i="36" s="1"/>
  <c r="J35" i="36"/>
  <c r="K35" i="36"/>
  <c r="K35" i="49" s="1"/>
  <c r="B36" i="36"/>
  <c r="B202" i="36" s="1"/>
  <c r="L35" i="36"/>
  <c r="J35" i="49" l="1"/>
  <c r="V35" i="36"/>
  <c r="L201" i="36"/>
  <c r="L35" i="49"/>
  <c r="A36" i="36"/>
  <c r="A202" i="36" s="1"/>
  <c r="J36" i="36"/>
  <c r="K36" i="36"/>
  <c r="K36" i="49" s="1"/>
  <c r="L36" i="36"/>
  <c r="B37" i="36"/>
  <c r="B203" i="36" s="1"/>
  <c r="J36" i="49" l="1"/>
  <c r="V36" i="36"/>
  <c r="L202" i="36"/>
  <c r="L36" i="49"/>
  <c r="A37" i="36"/>
  <c r="A203" i="36" s="1"/>
  <c r="J37" i="36"/>
  <c r="K37" i="36"/>
  <c r="K37" i="49" s="1"/>
  <c r="L37" i="36"/>
  <c r="B38" i="36"/>
  <c r="B204" i="36" s="1"/>
  <c r="J37" i="49" l="1"/>
  <c r="V37" i="36"/>
  <c r="L203" i="36"/>
  <c r="L37" i="49"/>
  <c r="A38" i="36"/>
  <c r="A204" i="36" s="1"/>
  <c r="J38" i="36"/>
  <c r="L38" i="36"/>
  <c r="B39" i="36"/>
  <c r="B205" i="36" s="1"/>
  <c r="K38" i="36"/>
  <c r="K38" i="49" s="1"/>
  <c r="J38" i="49" l="1"/>
  <c r="V38" i="36"/>
  <c r="L204" i="36"/>
  <c r="L38" i="49"/>
  <c r="A39" i="36"/>
  <c r="A205" i="36" s="1"/>
  <c r="J39" i="36"/>
  <c r="K39" i="36"/>
  <c r="K39" i="49" s="1"/>
  <c r="B40" i="36"/>
  <c r="B206" i="36" s="1"/>
  <c r="L39" i="36"/>
  <c r="J39" i="49" l="1"/>
  <c r="V39" i="36"/>
  <c r="L205" i="36"/>
  <c r="L39" i="49"/>
  <c r="A40" i="36"/>
  <c r="A206" i="36" s="1"/>
  <c r="J40" i="36"/>
  <c r="K40" i="36"/>
  <c r="K40" i="49" s="1"/>
  <c r="L40" i="36"/>
  <c r="B41" i="36"/>
  <c r="B207" i="36" s="1"/>
  <c r="J40" i="49" l="1"/>
  <c r="V40" i="36"/>
  <c r="L206" i="36"/>
  <c r="L40" i="49"/>
  <c r="A41" i="36"/>
  <c r="A207" i="36" s="1"/>
  <c r="J41" i="36"/>
  <c r="K41" i="36"/>
  <c r="K41" i="49" s="1"/>
  <c r="B42" i="36"/>
  <c r="B208" i="36" s="1"/>
  <c r="L41" i="36"/>
  <c r="J41" i="49" l="1"/>
  <c r="V41" i="36"/>
  <c r="L207" i="36"/>
  <c r="L41" i="49"/>
  <c r="A42" i="36"/>
  <c r="A208" i="36" s="1"/>
  <c r="J42" i="36"/>
  <c r="K42" i="36"/>
  <c r="K42" i="49" s="1"/>
  <c r="L42" i="36"/>
  <c r="B43" i="36"/>
  <c r="B209" i="36" s="1"/>
  <c r="J42" i="49" l="1"/>
  <c r="V42" i="36"/>
  <c r="L208" i="36"/>
  <c r="L42" i="49"/>
  <c r="A43" i="36"/>
  <c r="A209" i="36" s="1"/>
  <c r="J43" i="36"/>
  <c r="K43" i="36"/>
  <c r="K43" i="49" s="1"/>
  <c r="L43" i="36"/>
  <c r="B44" i="36"/>
  <c r="B210" i="36" s="1"/>
  <c r="J43" i="49" l="1"/>
  <c r="V43" i="36"/>
  <c r="L209" i="36"/>
  <c r="L43" i="49"/>
  <c r="A44" i="36"/>
  <c r="A210" i="36" s="1"/>
  <c r="J44" i="36"/>
  <c r="K44" i="36"/>
  <c r="K44" i="49" s="1"/>
  <c r="L44" i="36"/>
  <c r="B45" i="36"/>
  <c r="B211" i="36" s="1"/>
  <c r="J44" i="49" l="1"/>
  <c r="V44" i="36"/>
  <c r="L210" i="36"/>
  <c r="L44" i="49"/>
  <c r="A45" i="36"/>
  <c r="A211" i="36" s="1"/>
  <c r="J45" i="36"/>
  <c r="K45" i="36"/>
  <c r="K45" i="49" s="1"/>
  <c r="B46" i="36"/>
  <c r="B212" i="36" s="1"/>
  <c r="L45" i="36"/>
  <c r="J45" i="49" l="1"/>
  <c r="V45" i="36"/>
  <c r="L211" i="36"/>
  <c r="L45" i="49"/>
  <c r="A46" i="36"/>
  <c r="A212" i="36" s="1"/>
  <c r="J46" i="36"/>
  <c r="K46" i="36"/>
  <c r="K46" i="49" s="1"/>
  <c r="L46" i="36"/>
  <c r="B47" i="36"/>
  <c r="B213" i="36" s="1"/>
  <c r="J46" i="49" l="1"/>
  <c r="V46" i="36"/>
  <c r="L212" i="36"/>
  <c r="L46" i="49"/>
  <c r="A47" i="36"/>
  <c r="A213" i="36" s="1"/>
  <c r="J47" i="36"/>
  <c r="K47" i="36"/>
  <c r="K47" i="49" s="1"/>
  <c r="B48" i="36"/>
  <c r="B214" i="36" s="1"/>
  <c r="L47" i="36"/>
  <c r="J47" i="49" l="1"/>
  <c r="V47" i="36"/>
  <c r="L213" i="36"/>
  <c r="L47" i="49"/>
  <c r="A48" i="36"/>
  <c r="A214" i="36" s="1"/>
  <c r="J48" i="36"/>
  <c r="K48" i="36"/>
  <c r="K48" i="49" s="1"/>
  <c r="B49" i="36"/>
  <c r="B215" i="36" s="1"/>
  <c r="L48" i="36"/>
  <c r="J48" i="49" l="1"/>
  <c r="V48" i="36"/>
  <c r="L214" i="36"/>
  <c r="L48" i="49"/>
  <c r="A49" i="36"/>
  <c r="A215" i="36" s="1"/>
  <c r="J49" i="36"/>
  <c r="B50" i="36"/>
  <c r="B216" i="36" s="1"/>
  <c r="L49" i="36"/>
  <c r="K49" i="36"/>
  <c r="K49" i="49" s="1"/>
  <c r="J49" i="49" l="1"/>
  <c r="V49" i="36"/>
  <c r="L215" i="36"/>
  <c r="L49" i="49"/>
  <c r="A50" i="36"/>
  <c r="A216" i="36" s="1"/>
  <c r="J50" i="36"/>
  <c r="K50" i="36"/>
  <c r="K50" i="49" s="1"/>
  <c r="B51" i="36"/>
  <c r="B217" i="36" s="1"/>
  <c r="L50" i="36"/>
  <c r="J50" i="49" l="1"/>
  <c r="V50" i="36"/>
  <c r="L216" i="36"/>
  <c r="L50" i="49"/>
  <c r="A51" i="36"/>
  <c r="A217" i="36" s="1"/>
  <c r="J51" i="36"/>
  <c r="K51" i="36"/>
  <c r="K51" i="49" s="1"/>
  <c r="B52" i="36"/>
  <c r="B218" i="36" s="1"/>
  <c r="L51" i="36"/>
  <c r="J51" i="49" l="1"/>
  <c r="V51" i="36"/>
  <c r="L217" i="36"/>
  <c r="L51" i="49"/>
  <c r="A52" i="36"/>
  <c r="A218" i="36" s="1"/>
  <c r="J52" i="36"/>
  <c r="K52" i="36"/>
  <c r="K52" i="49" s="1"/>
  <c r="B53" i="36"/>
  <c r="B219" i="36" s="1"/>
  <c r="L52" i="36"/>
  <c r="J52" i="49" l="1"/>
  <c r="V52" i="36"/>
  <c r="L218" i="36"/>
  <c r="L52" i="49"/>
  <c r="A53" i="36"/>
  <c r="A219" i="36" s="1"/>
  <c r="J53" i="36"/>
  <c r="K53" i="36"/>
  <c r="K53" i="49" s="1"/>
  <c r="L53" i="36"/>
  <c r="B54" i="36"/>
  <c r="B220" i="36" s="1"/>
  <c r="J53" i="49" l="1"/>
  <c r="V53" i="36"/>
  <c r="L219" i="36"/>
  <c r="L53" i="49"/>
  <c r="A54" i="36"/>
  <c r="A220" i="36" s="1"/>
  <c r="J54" i="36"/>
  <c r="L54" i="36"/>
  <c r="K54" i="36"/>
  <c r="K54" i="49" s="1"/>
  <c r="B55" i="36"/>
  <c r="B221" i="36" s="1"/>
  <c r="J54" i="49" l="1"/>
  <c r="V54" i="36"/>
  <c r="L220" i="36"/>
  <c r="L54" i="49"/>
  <c r="A55" i="36"/>
  <c r="A221" i="36" s="1"/>
  <c r="J55" i="36"/>
  <c r="K55" i="36"/>
  <c r="K55" i="49" s="1"/>
  <c r="L55" i="36"/>
  <c r="B56" i="36"/>
  <c r="B222" i="36" s="1"/>
  <c r="J55" i="49" l="1"/>
  <c r="V55" i="36"/>
  <c r="L221" i="36"/>
  <c r="L55" i="49"/>
  <c r="A56" i="36"/>
  <c r="A222" i="36" s="1"/>
  <c r="J56" i="36"/>
  <c r="K56" i="36"/>
  <c r="K56" i="49" s="1"/>
  <c r="L56" i="36"/>
  <c r="B57" i="36"/>
  <c r="B223" i="36" s="1"/>
  <c r="J56" i="49" l="1"/>
  <c r="V56" i="36"/>
  <c r="L222" i="36"/>
  <c r="L56" i="49"/>
  <c r="A57" i="36"/>
  <c r="A223" i="36" s="1"/>
  <c r="J57" i="36"/>
  <c r="K57" i="36"/>
  <c r="K57" i="49" s="1"/>
  <c r="B58" i="36"/>
  <c r="B224" i="36" s="1"/>
  <c r="L57" i="36"/>
  <c r="J57" i="49" l="1"/>
  <c r="V57" i="36"/>
  <c r="L223" i="36"/>
  <c r="L57" i="49"/>
  <c r="A58" i="36"/>
  <c r="A224" i="36" s="1"/>
  <c r="J58" i="36"/>
  <c r="K58" i="36"/>
  <c r="K58" i="49" s="1"/>
  <c r="L58" i="36"/>
  <c r="B59" i="36"/>
  <c r="B225" i="36" s="1"/>
  <c r="J58" i="49" l="1"/>
  <c r="V58" i="36"/>
  <c r="L224" i="36"/>
  <c r="L58" i="49"/>
  <c r="A59" i="36"/>
  <c r="A225" i="36" s="1"/>
  <c r="J59" i="36"/>
  <c r="K59" i="36"/>
  <c r="K59" i="49" s="1"/>
  <c r="B60" i="36"/>
  <c r="B226" i="36" s="1"/>
  <c r="L59" i="36"/>
  <c r="J59" i="49" l="1"/>
  <c r="V59" i="36"/>
  <c r="L225" i="36"/>
  <c r="L59" i="49"/>
  <c r="A60" i="36"/>
  <c r="A226" i="36" s="1"/>
  <c r="J60" i="36"/>
  <c r="K60" i="36"/>
  <c r="K60" i="49" s="1"/>
  <c r="L60" i="36"/>
  <c r="B61" i="36"/>
  <c r="B227" i="36" s="1"/>
  <c r="J60" i="49" l="1"/>
  <c r="V60" i="36"/>
  <c r="L226" i="36"/>
  <c r="L60" i="49"/>
  <c r="A61" i="36"/>
  <c r="A227" i="36" s="1"/>
  <c r="J61" i="36"/>
  <c r="K61" i="36"/>
  <c r="K61" i="49" s="1"/>
  <c r="L61" i="36"/>
  <c r="B62" i="36"/>
  <c r="B228" i="36" s="1"/>
  <c r="J61" i="49" l="1"/>
  <c r="V61" i="36"/>
  <c r="L227" i="36"/>
  <c r="L61" i="49"/>
  <c r="A62" i="36"/>
  <c r="A228" i="36" s="1"/>
  <c r="J62" i="36"/>
  <c r="L62" i="36"/>
  <c r="K62" i="36"/>
  <c r="K62" i="49" s="1"/>
  <c r="B63" i="36"/>
  <c r="B229" i="36" s="1"/>
  <c r="J62" i="49" l="1"/>
  <c r="V62" i="36"/>
  <c r="L228" i="36"/>
  <c r="L62" i="49"/>
  <c r="A63" i="36"/>
  <c r="A229" i="36" s="1"/>
  <c r="J63" i="36"/>
  <c r="K63" i="36"/>
  <c r="K63" i="49" s="1"/>
  <c r="B64" i="36"/>
  <c r="B230" i="36" s="1"/>
  <c r="L63" i="36"/>
  <c r="J63" i="49" l="1"/>
  <c r="V63" i="36"/>
  <c r="L229" i="36"/>
  <c r="L63" i="49"/>
  <c r="A64" i="36"/>
  <c r="A230" i="36" s="1"/>
  <c r="J64" i="36"/>
  <c r="K64" i="36"/>
  <c r="K64" i="49" s="1"/>
  <c r="L64" i="36"/>
  <c r="B65" i="36"/>
  <c r="B231" i="36" s="1"/>
  <c r="J64" i="49" l="1"/>
  <c r="V64" i="36"/>
  <c r="L230" i="36"/>
  <c r="L64" i="49"/>
  <c r="A65" i="36"/>
  <c r="A231" i="36" s="1"/>
  <c r="J65" i="36"/>
  <c r="K65" i="36"/>
  <c r="K65" i="49" s="1"/>
  <c r="B66" i="36"/>
  <c r="B232" i="36" s="1"/>
  <c r="L65" i="36"/>
  <c r="J65" i="49" l="1"/>
  <c r="V65" i="36"/>
  <c r="L231" i="36"/>
  <c r="L65" i="49"/>
  <c r="A66" i="36"/>
  <c r="A232" i="36" s="1"/>
  <c r="J66" i="36"/>
  <c r="K66" i="36"/>
  <c r="K66" i="49" s="1"/>
  <c r="B67" i="36"/>
  <c r="B233" i="36" s="1"/>
  <c r="L66" i="36"/>
  <c r="J66" i="49" l="1"/>
  <c r="V66" i="36"/>
  <c r="L232" i="36"/>
  <c r="L66" i="49"/>
  <c r="A67" i="36"/>
  <c r="A233" i="36" s="1"/>
  <c r="J67" i="36"/>
  <c r="K67" i="36"/>
  <c r="K67" i="49" s="1"/>
  <c r="B68" i="36"/>
  <c r="B234" i="36" s="1"/>
  <c r="L67" i="36"/>
  <c r="J67" i="49" l="1"/>
  <c r="V67" i="36"/>
  <c r="L233" i="36"/>
  <c r="L67" i="49"/>
  <c r="A68" i="36"/>
  <c r="A234" i="36" s="1"/>
  <c r="J68" i="36"/>
  <c r="K68" i="36"/>
  <c r="K68" i="49" s="1"/>
  <c r="L68" i="36"/>
  <c r="B69" i="36"/>
  <c r="B235" i="36" s="1"/>
  <c r="J68" i="49" l="1"/>
  <c r="V68" i="36"/>
  <c r="L234" i="36"/>
  <c r="L68" i="49"/>
  <c r="A69" i="36"/>
  <c r="A235" i="36" s="1"/>
  <c r="J69" i="36"/>
  <c r="K69" i="36"/>
  <c r="K69" i="49" s="1"/>
  <c r="B70" i="36"/>
  <c r="B236" i="36" s="1"/>
  <c r="L69" i="36"/>
  <c r="J69" i="49" l="1"/>
  <c r="V69" i="36"/>
  <c r="L235" i="36"/>
  <c r="L69" i="49"/>
  <c r="A70" i="36"/>
  <c r="A236" i="36" s="1"/>
  <c r="J70" i="36"/>
  <c r="K70" i="36"/>
  <c r="K70" i="49" s="1"/>
  <c r="L70" i="36"/>
  <c r="B71" i="36"/>
  <c r="B237" i="36" s="1"/>
  <c r="J70" i="49" l="1"/>
  <c r="V70" i="36"/>
  <c r="L236" i="36"/>
  <c r="L70" i="49"/>
  <c r="A71" i="36"/>
  <c r="A237" i="36" s="1"/>
  <c r="J71" i="36"/>
  <c r="K71" i="36"/>
  <c r="K71" i="49" s="1"/>
  <c r="L71" i="36"/>
  <c r="B72" i="36"/>
  <c r="B238" i="36" s="1"/>
  <c r="J71" i="49" l="1"/>
  <c r="V71" i="36"/>
  <c r="L237" i="36"/>
  <c r="L71" i="49"/>
  <c r="A72" i="36"/>
  <c r="A238" i="36" s="1"/>
  <c r="J72" i="36"/>
  <c r="K72" i="36"/>
  <c r="K72" i="49" s="1"/>
  <c r="L72" i="36"/>
  <c r="B73" i="36"/>
  <c r="B239" i="36" s="1"/>
  <c r="J72" i="49" l="1"/>
  <c r="V72" i="36"/>
  <c r="L238" i="36"/>
  <c r="L72" i="49"/>
  <c r="A73" i="36"/>
  <c r="A239" i="36" s="1"/>
  <c r="J73" i="36"/>
  <c r="K73" i="36"/>
  <c r="K73" i="49" s="1"/>
  <c r="L73" i="36"/>
  <c r="B74" i="36"/>
  <c r="B240" i="36" s="1"/>
  <c r="J73" i="49" l="1"/>
  <c r="V73" i="36"/>
  <c r="L239" i="36"/>
  <c r="L73" i="49"/>
  <c r="A74" i="36"/>
  <c r="A240" i="36" s="1"/>
  <c r="J74" i="36"/>
  <c r="K74" i="36"/>
  <c r="K74" i="49" s="1"/>
  <c r="L74" i="36"/>
  <c r="B75" i="36"/>
  <c r="B241" i="36" s="1"/>
  <c r="J74" i="49" l="1"/>
  <c r="V74" i="36"/>
  <c r="L240" i="36"/>
  <c r="L74" i="49"/>
  <c r="A75" i="36"/>
  <c r="A241" i="36" s="1"/>
  <c r="J75" i="36"/>
  <c r="K75" i="36"/>
  <c r="K75" i="49" s="1"/>
  <c r="B76" i="36"/>
  <c r="B242" i="36" s="1"/>
  <c r="L75" i="36"/>
  <c r="J75" i="49" l="1"/>
  <c r="V75" i="36"/>
  <c r="L241" i="36"/>
  <c r="L75" i="49"/>
  <c r="A76" i="36"/>
  <c r="A242" i="36" s="1"/>
  <c r="J76" i="36"/>
  <c r="B77" i="36"/>
  <c r="B243" i="36" s="1"/>
  <c r="K76" i="36"/>
  <c r="K76" i="49" s="1"/>
  <c r="L76" i="36"/>
  <c r="J76" i="49" l="1"/>
  <c r="V76" i="36"/>
  <c r="L242" i="36"/>
  <c r="L76" i="49"/>
  <c r="A77" i="36"/>
  <c r="A243" i="36" s="1"/>
  <c r="J77" i="36"/>
  <c r="K77" i="36"/>
  <c r="K77" i="49" s="1"/>
  <c r="B78" i="36"/>
  <c r="B244" i="36" s="1"/>
  <c r="L77" i="36"/>
  <c r="J77" i="49" l="1"/>
  <c r="V77" i="36"/>
  <c r="L243" i="36"/>
  <c r="L77" i="49"/>
  <c r="A78" i="36"/>
  <c r="A244" i="36" s="1"/>
  <c r="J78" i="36"/>
  <c r="K78" i="36"/>
  <c r="K78" i="49" s="1"/>
  <c r="L78" i="36"/>
  <c r="B79" i="36"/>
  <c r="B245" i="36" s="1"/>
  <c r="B37" i="32"/>
  <c r="J78" i="49" l="1"/>
  <c r="V78" i="36"/>
  <c r="L244" i="36"/>
  <c r="L78" i="49"/>
  <c r="A79" i="36"/>
  <c r="A245" i="36" s="1"/>
  <c r="J79" i="36"/>
  <c r="K79" i="36"/>
  <c r="K79" i="49" s="1"/>
  <c r="L79" i="36"/>
  <c r="B80" i="36"/>
  <c r="B246" i="36" s="1"/>
  <c r="F65" i="34"/>
  <c r="B20" i="35"/>
  <c r="B31" i="35" s="1"/>
  <c r="J79" i="49" l="1"/>
  <c r="V79" i="36"/>
  <c r="L245" i="36"/>
  <c r="L79" i="49"/>
  <c r="A80" i="36"/>
  <c r="A246" i="36" s="1"/>
  <c r="J80" i="36"/>
  <c r="K80" i="36"/>
  <c r="K80" i="49" s="1"/>
  <c r="L80" i="36"/>
  <c r="B81" i="36"/>
  <c r="B247" i="36" s="1"/>
  <c r="J80" i="49" l="1"/>
  <c r="V80" i="36"/>
  <c r="L246" i="36"/>
  <c r="L80" i="49"/>
  <c r="A81" i="36"/>
  <c r="A247" i="36" s="1"/>
  <c r="J81" i="36"/>
  <c r="K81" i="36"/>
  <c r="K81" i="49" s="1"/>
  <c r="B82" i="36"/>
  <c r="B248" i="36" s="1"/>
  <c r="L81" i="36"/>
  <c r="D21" i="35"/>
  <c r="J28" i="33" s="1"/>
  <c r="D24" i="35"/>
  <c r="J81" i="49" l="1"/>
  <c r="V81" i="36"/>
  <c r="L247" i="36"/>
  <c r="L81" i="49"/>
  <c r="D32" i="35"/>
  <c r="A82" i="36"/>
  <c r="A248" i="36" s="1"/>
  <c r="J82" i="36"/>
  <c r="K82" i="36"/>
  <c r="K82" i="49" s="1"/>
  <c r="L82" i="36"/>
  <c r="B83" i="36"/>
  <c r="B249" i="36" s="1"/>
  <c r="J82" i="49" l="1"/>
  <c r="V82" i="36"/>
  <c r="L248" i="36"/>
  <c r="L82" i="49"/>
  <c r="F75" i="34"/>
  <c r="F25" i="33"/>
  <c r="A83" i="36"/>
  <c r="A249" i="36" s="1"/>
  <c r="J83" i="36"/>
  <c r="K83" i="36"/>
  <c r="K83" i="49" s="1"/>
  <c r="L83" i="36"/>
  <c r="B84" i="36"/>
  <c r="B250" i="36" s="1"/>
  <c r="J83" i="49" l="1"/>
  <c r="V83" i="36"/>
  <c r="L249" i="36"/>
  <c r="L83" i="49"/>
  <c r="F30" i="33"/>
  <c r="F26" i="33"/>
  <c r="F31" i="33"/>
  <c r="F29" i="33"/>
  <c r="F27" i="33"/>
  <c r="A84" i="36"/>
  <c r="A250" i="36" s="1"/>
  <c r="J84" i="36"/>
  <c r="K84" i="36"/>
  <c r="K84" i="49" s="1"/>
  <c r="B85" i="36"/>
  <c r="B251" i="36" s="1"/>
  <c r="L84" i="36"/>
  <c r="J84" i="49" l="1"/>
  <c r="V84" i="36"/>
  <c r="L250" i="36"/>
  <c r="L84" i="49"/>
  <c r="A85" i="36"/>
  <c r="A251" i="36" s="1"/>
  <c r="J85" i="36"/>
  <c r="K85" i="36"/>
  <c r="K85" i="49" s="1"/>
  <c r="L85" i="36"/>
  <c r="B86" i="36"/>
  <c r="B252" i="36" s="1"/>
  <c r="J85" i="49" l="1"/>
  <c r="V85" i="36"/>
  <c r="L251" i="36"/>
  <c r="L85" i="49"/>
  <c r="A86" i="36"/>
  <c r="A252" i="36" s="1"/>
  <c r="J86" i="36"/>
  <c r="K86" i="36"/>
  <c r="K86" i="49" s="1"/>
  <c r="L86" i="36"/>
  <c r="B87" i="36"/>
  <c r="B253" i="36" s="1"/>
  <c r="J86" i="49" l="1"/>
  <c r="V86" i="36"/>
  <c r="L252" i="36"/>
  <c r="L86" i="49"/>
  <c r="A87" i="36"/>
  <c r="A253" i="36" s="1"/>
  <c r="J87" i="36"/>
  <c r="K87" i="36"/>
  <c r="K87" i="49" s="1"/>
  <c r="L87" i="36"/>
  <c r="B88" i="36"/>
  <c r="B254" i="36" s="1"/>
  <c r="J87" i="49" l="1"/>
  <c r="V87" i="36"/>
  <c r="L253" i="36"/>
  <c r="L87" i="49"/>
  <c r="A88" i="36"/>
  <c r="A254" i="36" s="1"/>
  <c r="J88" i="36"/>
  <c r="K88" i="36"/>
  <c r="K88" i="49" s="1"/>
  <c r="B89" i="36"/>
  <c r="B255" i="36" s="1"/>
  <c r="L88" i="36"/>
  <c r="J88" i="49" l="1"/>
  <c r="V88" i="36"/>
  <c r="L254" i="36"/>
  <c r="L88" i="49"/>
  <c r="A89" i="36"/>
  <c r="A255" i="36" s="1"/>
  <c r="J89" i="36"/>
  <c r="K89" i="36"/>
  <c r="K89" i="49" s="1"/>
  <c r="L89" i="36"/>
  <c r="J89" i="49" l="1"/>
  <c r="V89" i="36"/>
  <c r="L255" i="36"/>
  <c r="L89" i="49"/>
  <c r="E81" i="46" l="1"/>
  <c r="E82" i="46"/>
  <c r="E83" i="46"/>
  <c r="E74" i="46" l="1"/>
  <c r="E75" i="46"/>
  <c r="F108" i="34" l="1"/>
  <c r="F109" i="34" s="1"/>
  <c r="F111" i="34" s="1"/>
  <c r="F112" i="34" s="1"/>
  <c r="F113" i="34" s="1"/>
  <c r="C214" i="45" l="1"/>
  <c r="D214" i="45"/>
  <c r="E214" i="45"/>
  <c r="F214" i="45"/>
  <c r="G214" i="45"/>
  <c r="A15" i="11" l="1"/>
  <c r="B334" i="45" s="1"/>
  <c r="A19" i="11"/>
  <c r="A23" i="11"/>
  <c r="A28" i="11"/>
  <c r="A33" i="11"/>
  <c r="B391" i="45" s="1"/>
  <c r="A38" i="11"/>
  <c r="M391" i="45" l="1"/>
  <c r="L391" i="45"/>
  <c r="N391" i="45" l="1"/>
  <c r="E89" i="34" l="1"/>
  <c r="E90" i="34"/>
  <c r="E87" i="34"/>
  <c r="E88" i="34"/>
  <c r="E91" i="34"/>
  <c r="E85" i="34"/>
  <c r="E86" i="34"/>
  <c r="H87" i="34" l="1"/>
  <c r="H88" i="34" l="1"/>
  <c r="C192" i="45" l="1"/>
  <c r="D192" i="45"/>
  <c r="I47" i="45" l="1"/>
  <c r="I48" i="45"/>
  <c r="I49" i="45"/>
  <c r="I50" i="45"/>
  <c r="I51" i="45"/>
  <c r="I52" i="45"/>
  <c r="I53" i="45"/>
  <c r="I54" i="45"/>
  <c r="I55" i="45"/>
  <c r="I56" i="45"/>
  <c r="I57" i="45"/>
  <c r="I46" i="45"/>
  <c r="H47" i="45"/>
  <c r="H48" i="45"/>
  <c r="H49" i="45"/>
  <c r="H50" i="45"/>
  <c r="H51" i="45"/>
  <c r="H52" i="45"/>
  <c r="H53" i="45"/>
  <c r="H54" i="45"/>
  <c r="H55" i="45"/>
  <c r="H56" i="45"/>
  <c r="H57" i="45"/>
  <c r="H46" i="45"/>
  <c r="G47" i="45"/>
  <c r="G48" i="45"/>
  <c r="G49" i="45"/>
  <c r="G50" i="45"/>
  <c r="G51" i="45"/>
  <c r="G52" i="45"/>
  <c r="G53" i="45"/>
  <c r="G54" i="45"/>
  <c r="G55" i="45"/>
  <c r="G56" i="45"/>
  <c r="G57" i="45"/>
  <c r="G46" i="45"/>
  <c r="F47" i="45"/>
  <c r="F48" i="45"/>
  <c r="F49" i="45"/>
  <c r="F50" i="45"/>
  <c r="F51" i="45"/>
  <c r="F52" i="45"/>
  <c r="F53" i="45"/>
  <c r="F54" i="45"/>
  <c r="F55" i="45"/>
  <c r="F56" i="45"/>
  <c r="F57" i="45"/>
  <c r="F46" i="45"/>
  <c r="E47" i="45"/>
  <c r="E48" i="45"/>
  <c r="E49" i="45"/>
  <c r="E50" i="45"/>
  <c r="E51" i="45"/>
  <c r="E52" i="45"/>
  <c r="E53" i="45"/>
  <c r="E54" i="45"/>
  <c r="E55" i="45"/>
  <c r="E56" i="45"/>
  <c r="E57" i="45"/>
  <c r="I58" i="45" l="1"/>
  <c r="H58" i="45"/>
  <c r="G58" i="45"/>
  <c r="F58" i="45"/>
  <c r="D143" i="46"/>
  <c r="E129" i="46" l="1"/>
  <c r="F129" i="46" s="1"/>
  <c r="E136" i="46"/>
  <c r="E133" i="46"/>
  <c r="E137" i="46"/>
  <c r="E104" i="46"/>
  <c r="C27" i="46" l="1"/>
  <c r="C26" i="46"/>
  <c r="C30" i="46" l="1"/>
  <c r="C568" i="45" l="1"/>
  <c r="F568" i="45"/>
  <c r="C571" i="45"/>
  <c r="C576" i="45"/>
  <c r="C581" i="45"/>
  <c r="C582" i="45"/>
  <c r="C608" i="45" s="1"/>
  <c r="C583" i="45"/>
  <c r="E604" i="45"/>
  <c r="F604" i="45" s="1"/>
  <c r="B571" i="45"/>
  <c r="B619" i="45" s="1"/>
  <c r="B686" i="45" s="1"/>
  <c r="B753" i="45" s="1"/>
  <c r="B820" i="45" s="1"/>
  <c r="B572" i="45"/>
  <c r="B620" i="45" s="1"/>
  <c r="B687" i="45" s="1"/>
  <c r="B754" i="45" s="1"/>
  <c r="B821" i="45" s="1"/>
  <c r="B581" i="45"/>
  <c r="B635" i="45" s="1"/>
  <c r="B702" i="45" s="1"/>
  <c r="B769" i="45" s="1"/>
  <c r="B836" i="45" s="1"/>
  <c r="B419" i="45"/>
  <c r="C609" i="45" l="1"/>
  <c r="D583" i="45"/>
  <c r="C607" i="45"/>
  <c r="B606" i="45"/>
  <c r="B672" i="45" s="1"/>
  <c r="B739" i="45" s="1"/>
  <c r="B806" i="45" s="1"/>
  <c r="B873" i="45" s="1"/>
  <c r="F249" i="45" l="1"/>
  <c r="B215" i="45" l="1"/>
  <c r="B216" i="45"/>
  <c r="B217" i="45"/>
  <c r="B218" i="45"/>
  <c r="B219" i="45"/>
  <c r="B221" i="45"/>
  <c r="B222" i="45"/>
  <c r="B223" i="45"/>
  <c r="B224" i="45"/>
  <c r="B225" i="45"/>
  <c r="B302" i="45" l="1"/>
  <c r="B303" i="45"/>
  <c r="B304" i="45"/>
  <c r="B305" i="45"/>
  <c r="B306" i="45"/>
  <c r="B307" i="45"/>
  <c r="B308" i="45"/>
  <c r="B309" i="45"/>
  <c r="B310" i="45"/>
  <c r="B311" i="45"/>
  <c r="B312" i="45"/>
  <c r="B284" i="45" l="1"/>
  <c r="B285" i="45"/>
  <c r="B286" i="45"/>
  <c r="B287" i="45"/>
  <c r="B288" i="45"/>
  <c r="B289" i="45"/>
  <c r="B290" i="45"/>
  <c r="B291" i="45"/>
  <c r="B292" i="45"/>
  <c r="B293" i="45"/>
  <c r="G273" i="45" l="1"/>
  <c r="G240" i="45"/>
  <c r="G243" i="45" l="1"/>
  <c r="C100" i="45" l="1"/>
  <c r="D100" i="45"/>
  <c r="E100" i="45"/>
  <c r="F100" i="45"/>
  <c r="G100" i="45"/>
  <c r="H100" i="45"/>
  <c r="I100" i="45"/>
  <c r="J100" i="45"/>
  <c r="K100" i="45"/>
  <c r="L100" i="45"/>
  <c r="M100" i="45"/>
  <c r="C17" i="45"/>
  <c r="F11" i="45"/>
  <c r="E11" i="45"/>
  <c r="C11" i="45"/>
  <c r="D11" i="45"/>
  <c r="C19" i="45" l="1"/>
  <c r="G59" i="45" l="1"/>
  <c r="B36" i="37" l="1"/>
  <c r="C224" i="45" s="1"/>
  <c r="C36" i="37"/>
  <c r="D224" i="45" s="1"/>
  <c r="D36" i="37"/>
  <c r="E224" i="45" s="1"/>
  <c r="B35" i="37"/>
  <c r="C223" i="45" s="1"/>
  <c r="D30" i="37" l="1"/>
  <c r="E218" i="45" s="1"/>
  <c r="C30" i="37"/>
  <c r="D218" i="45" s="1"/>
  <c r="E46" i="45" l="1"/>
  <c r="E58" i="45" s="1"/>
  <c r="F59" i="45" s="1"/>
  <c r="K57" i="45"/>
  <c r="D49" i="45"/>
  <c r="D53" i="45"/>
  <c r="D57" i="45"/>
  <c r="J48" i="45"/>
  <c r="J52" i="45"/>
  <c r="J56" i="45"/>
  <c r="K48" i="45"/>
  <c r="K52" i="45"/>
  <c r="K56" i="45"/>
  <c r="L48" i="45"/>
  <c r="L52" i="45"/>
  <c r="L56" i="45"/>
  <c r="D54" i="45"/>
  <c r="J49" i="45"/>
  <c r="K49" i="45"/>
  <c r="L53" i="45"/>
  <c r="D55" i="45"/>
  <c r="J54" i="45"/>
  <c r="K50" i="45"/>
  <c r="L50" i="45"/>
  <c r="D46" i="45"/>
  <c r="J57" i="45"/>
  <c r="L49" i="45"/>
  <c r="D51" i="45"/>
  <c r="J50" i="45"/>
  <c r="K54" i="45"/>
  <c r="L54" i="45"/>
  <c r="D48" i="45"/>
  <c r="D52" i="45"/>
  <c r="D56" i="45"/>
  <c r="J47" i="45"/>
  <c r="J51" i="45"/>
  <c r="J55" i="45"/>
  <c r="K47" i="45"/>
  <c r="K51" i="45"/>
  <c r="K55" i="45"/>
  <c r="L47" i="45"/>
  <c r="L51" i="45"/>
  <c r="L55" i="45"/>
  <c r="D50" i="45"/>
  <c r="J53" i="45"/>
  <c r="K53" i="45"/>
  <c r="L57" i="45"/>
  <c r="D47" i="45"/>
  <c r="L46" i="45"/>
  <c r="J46" i="45"/>
  <c r="K46" i="45"/>
  <c r="H59" i="45"/>
  <c r="U37" i="32"/>
  <c r="D58" i="45" l="1"/>
  <c r="K58" i="45"/>
  <c r="L58" i="45"/>
  <c r="L60" i="45" s="1"/>
  <c r="J58" i="45"/>
  <c r="J59" i="45" s="1"/>
  <c r="I59" i="45"/>
  <c r="J135" i="49" l="1"/>
  <c r="K181" i="36"/>
  <c r="K193" i="36" s="1"/>
  <c r="K205" i="36" s="1"/>
  <c r="K217" i="36" s="1"/>
  <c r="K229" i="36" s="1"/>
  <c r="K135" i="49"/>
  <c r="K127" i="49"/>
  <c r="K133" i="49"/>
  <c r="K128" i="49"/>
  <c r="J127" i="49"/>
  <c r="K126" i="49"/>
  <c r="K136" i="49"/>
  <c r="K130" i="49"/>
  <c r="J129" i="49"/>
  <c r="J128" i="49"/>
  <c r="K137" i="49"/>
  <c r="K129" i="49"/>
  <c r="K132" i="49"/>
  <c r="J180" i="36"/>
  <c r="J134" i="49"/>
  <c r="J131" i="49"/>
  <c r="J136" i="49"/>
  <c r="J132" i="49"/>
  <c r="J133" i="49"/>
  <c r="K131" i="49"/>
  <c r="J130" i="49"/>
  <c r="K240" i="36"/>
  <c r="K252" i="36" s="1"/>
  <c r="K264" i="36" s="1"/>
  <c r="K276" i="36" s="1"/>
  <c r="K288" i="36" s="1"/>
  <c r="K300" i="36" s="1"/>
  <c r="K134" i="49"/>
  <c r="L59" i="45"/>
  <c r="E59" i="45"/>
  <c r="D59" i="45"/>
  <c r="K234" i="36"/>
  <c r="K246" i="36" s="1"/>
  <c r="K258" i="36" s="1"/>
  <c r="K270" i="36" s="1"/>
  <c r="K282" i="36" s="1"/>
  <c r="K294" i="36" s="1"/>
  <c r="K174" i="36"/>
  <c r="K186" i="36" s="1"/>
  <c r="K198" i="36" s="1"/>
  <c r="K210" i="36" s="1"/>
  <c r="K222" i="36" s="1"/>
  <c r="K236" i="36"/>
  <c r="K248" i="36" s="1"/>
  <c r="K260" i="36" s="1"/>
  <c r="K272" i="36" s="1"/>
  <c r="K284" i="36" s="1"/>
  <c r="K296" i="36" s="1"/>
  <c r="K176" i="36"/>
  <c r="K188" i="36" s="1"/>
  <c r="K200" i="36" s="1"/>
  <c r="K212" i="36" s="1"/>
  <c r="K224" i="36" s="1"/>
  <c r="J242" i="36"/>
  <c r="J182" i="36"/>
  <c r="J177" i="36"/>
  <c r="V177" i="36" s="1"/>
  <c r="K232" i="36"/>
  <c r="K172" i="36"/>
  <c r="V172" i="36" s="1"/>
  <c r="K239" i="36"/>
  <c r="K251" i="36" s="1"/>
  <c r="K263" i="36" s="1"/>
  <c r="K275" i="36" s="1"/>
  <c r="K287" i="36" s="1"/>
  <c r="K299" i="36" s="1"/>
  <c r="K179" i="36"/>
  <c r="K191" i="36" s="1"/>
  <c r="K203" i="36" s="1"/>
  <c r="K215" i="36" s="1"/>
  <c r="K227" i="36" s="1"/>
  <c r="K235" i="36"/>
  <c r="K247" i="36" s="1"/>
  <c r="K259" i="36" s="1"/>
  <c r="K271" i="36" s="1"/>
  <c r="K283" i="36" s="1"/>
  <c r="K295" i="36" s="1"/>
  <c r="K175" i="36"/>
  <c r="K187" i="36" s="1"/>
  <c r="K199" i="36" s="1"/>
  <c r="K211" i="36" s="1"/>
  <c r="K223" i="36" s="1"/>
  <c r="J241" i="36"/>
  <c r="J181" i="36"/>
  <c r="V181" i="36" s="1"/>
  <c r="J173" i="36"/>
  <c r="J234" i="36"/>
  <c r="K233" i="36"/>
  <c r="K245" i="36" s="1"/>
  <c r="K257" i="36" s="1"/>
  <c r="K269" i="36" s="1"/>
  <c r="K281" i="36" s="1"/>
  <c r="K293" i="36" s="1"/>
  <c r="K173" i="36"/>
  <c r="K185" i="36" s="1"/>
  <c r="K197" i="36" s="1"/>
  <c r="K209" i="36" s="1"/>
  <c r="K221" i="36" s="1"/>
  <c r="K237" i="36"/>
  <c r="K249" i="36" s="1"/>
  <c r="K261" i="36" s="1"/>
  <c r="K273" i="36" s="1"/>
  <c r="K285" i="36" s="1"/>
  <c r="K297" i="36" s="1"/>
  <c r="K177" i="36"/>
  <c r="K189" i="36" s="1"/>
  <c r="K201" i="36" s="1"/>
  <c r="K213" i="36" s="1"/>
  <c r="K225" i="36" s="1"/>
  <c r="K242" i="36"/>
  <c r="K254" i="36" s="1"/>
  <c r="K266" i="36" s="1"/>
  <c r="K278" i="36" s="1"/>
  <c r="K290" i="36" s="1"/>
  <c r="K302" i="36" s="1"/>
  <c r="K182" i="36"/>
  <c r="K194" i="36" s="1"/>
  <c r="K206" i="36" s="1"/>
  <c r="K218" i="36" s="1"/>
  <c r="K230" i="36" s="1"/>
  <c r="K243" i="36"/>
  <c r="K255" i="36" s="1"/>
  <c r="K267" i="36" s="1"/>
  <c r="K279" i="36" s="1"/>
  <c r="K291" i="36" s="1"/>
  <c r="K303" i="36" s="1"/>
  <c r="K183" i="36"/>
  <c r="K195" i="36" s="1"/>
  <c r="K207" i="36" s="1"/>
  <c r="K219" i="36" s="1"/>
  <c r="K231" i="36" s="1"/>
  <c r="J236" i="36"/>
  <c r="J176" i="36"/>
  <c r="V176" i="36" s="1"/>
  <c r="K59" i="45"/>
  <c r="E101" i="34"/>
  <c r="E100" i="34"/>
  <c r="E99" i="34"/>
  <c r="B131" i="34"/>
  <c r="B358" i="45"/>
  <c r="B580" i="45" s="1"/>
  <c r="B634" i="45" s="1"/>
  <c r="B701" i="45" s="1"/>
  <c r="B768" i="45" s="1"/>
  <c r="B835" i="45" s="1"/>
  <c r="V242" i="36" l="1"/>
  <c r="V182" i="36"/>
  <c r="J253" i="36"/>
  <c r="J248" i="36"/>
  <c r="V248" i="36" s="1"/>
  <c r="V236" i="36"/>
  <c r="J246" i="36"/>
  <c r="V246" i="36" s="1"/>
  <c r="V234" i="36"/>
  <c r="V173" i="36"/>
  <c r="K244" i="36"/>
  <c r="V244" i="36" s="1"/>
  <c r="V232" i="36"/>
  <c r="J239" i="36"/>
  <c r="J174" i="36"/>
  <c r="V174" i="36" s="1"/>
  <c r="J240" i="36"/>
  <c r="J235" i="36"/>
  <c r="J178" i="36"/>
  <c r="V178" i="36" s="1"/>
  <c r="J179" i="36"/>
  <c r="V179" i="36" s="1"/>
  <c r="K178" i="36"/>
  <c r="K190" i="36" s="1"/>
  <c r="K202" i="36" s="1"/>
  <c r="K214" i="36" s="1"/>
  <c r="K226" i="36" s="1"/>
  <c r="E125" i="45"/>
  <c r="K143" i="49"/>
  <c r="D125" i="45"/>
  <c r="J143" i="49"/>
  <c r="E131" i="45"/>
  <c r="K149" i="49"/>
  <c r="E130" i="45"/>
  <c r="K148" i="49"/>
  <c r="E127" i="45"/>
  <c r="K145" i="49"/>
  <c r="D126" i="45"/>
  <c r="J144" i="49"/>
  <c r="D121" i="45"/>
  <c r="J139" i="49"/>
  <c r="J238" i="36"/>
  <c r="V238" i="36" s="1"/>
  <c r="K238" i="36"/>
  <c r="K250" i="36" s="1"/>
  <c r="K262" i="36" s="1"/>
  <c r="K274" i="36" s="1"/>
  <c r="K286" i="36" s="1"/>
  <c r="K298" i="36" s="1"/>
  <c r="J175" i="36"/>
  <c r="V175" i="36" s="1"/>
  <c r="D127" i="45"/>
  <c r="J145" i="49"/>
  <c r="D128" i="45"/>
  <c r="J146" i="49"/>
  <c r="D122" i="45"/>
  <c r="J140" i="49"/>
  <c r="E120" i="45"/>
  <c r="K138" i="49"/>
  <c r="E121" i="45"/>
  <c r="K139" i="49"/>
  <c r="E128" i="45"/>
  <c r="K146" i="49"/>
  <c r="E129" i="45"/>
  <c r="K147" i="49"/>
  <c r="K241" i="36"/>
  <c r="K253" i="36" s="1"/>
  <c r="K265" i="36" s="1"/>
  <c r="K277" i="36" s="1"/>
  <c r="K289" i="36" s="1"/>
  <c r="K301" i="36" s="1"/>
  <c r="D123" i="45"/>
  <c r="J141" i="49"/>
  <c r="J233" i="36"/>
  <c r="J237" i="36"/>
  <c r="E126" i="45"/>
  <c r="K144" i="49"/>
  <c r="K180" i="36"/>
  <c r="K192" i="36" s="1"/>
  <c r="K204" i="36" s="1"/>
  <c r="K216" i="36" s="1"/>
  <c r="K228" i="36" s="1"/>
  <c r="D124" i="45"/>
  <c r="J142" i="49"/>
  <c r="D130" i="45"/>
  <c r="J148" i="49"/>
  <c r="E123" i="45"/>
  <c r="K141" i="49"/>
  <c r="E124" i="45"/>
  <c r="K142" i="49"/>
  <c r="E122" i="45"/>
  <c r="K140" i="49"/>
  <c r="D129" i="45"/>
  <c r="J147" i="49"/>
  <c r="J188" i="36"/>
  <c r="V188" i="36" s="1"/>
  <c r="K184" i="36"/>
  <c r="V184" i="36" s="1"/>
  <c r="J191" i="36"/>
  <c r="V191" i="36" s="1"/>
  <c r="J194" i="36"/>
  <c r="V194" i="36" s="1"/>
  <c r="J187" i="36"/>
  <c r="V187" i="36" s="1"/>
  <c r="J190" i="36"/>
  <c r="V190" i="36" s="1"/>
  <c r="J254" i="36"/>
  <c r="J185" i="36"/>
  <c r="V185" i="36" s="1"/>
  <c r="J192" i="36"/>
  <c r="J189" i="36"/>
  <c r="V189" i="36" s="1"/>
  <c r="J186" i="36"/>
  <c r="V186" i="36" s="1"/>
  <c r="J193" i="36"/>
  <c r="V193" i="36" s="1"/>
  <c r="K256" i="36"/>
  <c r="J260" i="36"/>
  <c r="J265" i="36"/>
  <c r="W83" i="34"/>
  <c r="W82" i="34"/>
  <c r="W81" i="34"/>
  <c r="W80" i="34"/>
  <c r="W79" i="34"/>
  <c r="W78" i="34"/>
  <c r="W77" i="34"/>
  <c r="V192" i="36" l="1"/>
  <c r="J249" i="36"/>
  <c r="V237" i="36"/>
  <c r="J251" i="36"/>
  <c r="V239" i="36"/>
  <c r="V241" i="36"/>
  <c r="J258" i="36"/>
  <c r="J245" i="36"/>
  <c r="V233" i="36"/>
  <c r="V253" i="36"/>
  <c r="J266" i="36"/>
  <c r="V254" i="36"/>
  <c r="V180" i="36"/>
  <c r="J247" i="36"/>
  <c r="V235" i="36"/>
  <c r="J252" i="36"/>
  <c r="V240" i="36"/>
  <c r="J250" i="36"/>
  <c r="V250" i="36" s="1"/>
  <c r="J197" i="36"/>
  <c r="V197" i="36" s="1"/>
  <c r="J201" i="36"/>
  <c r="V201" i="36" s="1"/>
  <c r="J204" i="36"/>
  <c r="V204" i="36" s="1"/>
  <c r="J199" i="36"/>
  <c r="V199" i="36" s="1"/>
  <c r="J202" i="36"/>
  <c r="V202" i="36" s="1"/>
  <c r="J198" i="36"/>
  <c r="V198" i="36" s="1"/>
  <c r="J206" i="36"/>
  <c r="V206" i="36" s="1"/>
  <c r="K196" i="36"/>
  <c r="V196" i="36" s="1"/>
  <c r="J203" i="36"/>
  <c r="V203" i="36" s="1"/>
  <c r="J205" i="36"/>
  <c r="V205" i="36" s="1"/>
  <c r="J200" i="36"/>
  <c r="V200" i="36" s="1"/>
  <c r="J270" i="36"/>
  <c r="J277" i="36"/>
  <c r="J278" i="36"/>
  <c r="J272" i="36"/>
  <c r="K268" i="36"/>
  <c r="X77" i="34"/>
  <c r="V251" i="36" l="1"/>
  <c r="J263" i="36"/>
  <c r="J261" i="36"/>
  <c r="V249" i="36"/>
  <c r="V252" i="36"/>
  <c r="J264" i="36"/>
  <c r="V245" i="36"/>
  <c r="J257" i="36"/>
  <c r="V247" i="36"/>
  <c r="J259" i="36"/>
  <c r="J262" i="36"/>
  <c r="J212" i="36"/>
  <c r="V212" i="36" s="1"/>
  <c r="K208" i="36"/>
  <c r="V208" i="36" s="1"/>
  <c r="J215" i="36"/>
  <c r="V215" i="36" s="1"/>
  <c r="J214" i="36"/>
  <c r="V214" i="36" s="1"/>
  <c r="J210" i="36"/>
  <c r="V210" i="36" s="1"/>
  <c r="J213" i="36"/>
  <c r="V213" i="36" s="1"/>
  <c r="J218" i="36"/>
  <c r="V218" i="36" s="1"/>
  <c r="J216" i="36"/>
  <c r="V216" i="36" s="1"/>
  <c r="J217" i="36"/>
  <c r="V217" i="36" s="1"/>
  <c r="J211" i="36"/>
  <c r="V211" i="36" s="1"/>
  <c r="J209" i="36"/>
  <c r="V209" i="36" s="1"/>
  <c r="K280" i="36"/>
  <c r="J290" i="36"/>
  <c r="J284" i="36"/>
  <c r="J289" i="36"/>
  <c r="J282" i="36"/>
  <c r="X78" i="34"/>
  <c r="X80" i="34"/>
  <c r="Y77" i="34"/>
  <c r="Y78" i="34"/>
  <c r="Y79" i="34"/>
  <c r="Y80" i="34"/>
  <c r="Y81" i="34"/>
  <c r="Y82" i="34"/>
  <c r="Y83" i="34"/>
  <c r="X79" i="34"/>
  <c r="X81" i="34"/>
  <c r="X82" i="34"/>
  <c r="X83" i="34"/>
  <c r="J302" i="36" l="1"/>
  <c r="J294" i="36"/>
  <c r="J269" i="36"/>
  <c r="J271" i="36"/>
  <c r="J273" i="36"/>
  <c r="J276" i="36"/>
  <c r="J275" i="36"/>
  <c r="K292" i="36"/>
  <c r="J301" i="36"/>
  <c r="J274" i="36"/>
  <c r="J296" i="36"/>
  <c r="J229" i="36"/>
  <c r="V229" i="36" s="1"/>
  <c r="J230" i="36"/>
  <c r="V230" i="36" s="1"/>
  <c r="J228" i="36"/>
  <c r="V228" i="36" s="1"/>
  <c r="J221" i="36"/>
  <c r="V221" i="36" s="1"/>
  <c r="J225" i="36"/>
  <c r="V225" i="36" s="1"/>
  <c r="J222" i="36"/>
  <c r="V222" i="36" s="1"/>
  <c r="K220" i="36"/>
  <c r="V220" i="36" s="1"/>
  <c r="J227" i="36"/>
  <c r="V227" i="36" s="1"/>
  <c r="J223" i="36"/>
  <c r="V223" i="36" s="1"/>
  <c r="J226" i="36"/>
  <c r="V226" i="36" s="1"/>
  <c r="J224" i="36"/>
  <c r="V224" i="36" s="1"/>
  <c r="AC72" i="34"/>
  <c r="T90" i="34"/>
  <c r="T89" i="34"/>
  <c r="J287" i="36" l="1"/>
  <c r="J281" i="36"/>
  <c r="J288" i="36"/>
  <c r="J286" i="36"/>
  <c r="J285" i="36"/>
  <c r="J283" i="36"/>
  <c r="T91" i="34"/>
  <c r="U89" i="34" s="1"/>
  <c r="U90" i="34" s="1"/>
  <c r="J298" i="36" l="1"/>
  <c r="J299" i="36"/>
  <c r="J297" i="36"/>
  <c r="J293" i="36"/>
  <c r="J300" i="36"/>
  <c r="J295" i="36"/>
  <c r="E46" i="17"/>
  <c r="E48" i="17"/>
  <c r="G45" i="17"/>
  <c r="E45" i="17"/>
  <c r="G46" i="17"/>
  <c r="G47" i="17"/>
  <c r="E47" i="17"/>
  <c r="G44" i="17"/>
  <c r="G58" i="17" s="1"/>
  <c r="E44" i="17"/>
  <c r="E58" i="17" s="1"/>
  <c r="E61" i="17" l="1"/>
  <c r="G60" i="17"/>
  <c r="E59" i="17"/>
  <c r="G59" i="17"/>
  <c r="E62" i="17"/>
  <c r="G61" i="17"/>
  <c r="E60" i="17"/>
  <c r="E24" i="17" l="1"/>
  <c r="F68" i="38" l="1"/>
  <c r="H33" i="56" s="1"/>
  <c r="H45" i="56" s="1"/>
  <c r="F45" i="56" l="1"/>
  <c r="H38" i="56"/>
  <c r="H35" i="56"/>
  <c r="H36" i="56"/>
  <c r="H39" i="56"/>
  <c r="H37" i="56"/>
  <c r="H42" i="56"/>
  <c r="F42" i="56" s="1"/>
  <c r="G55" i="56" s="1"/>
  <c r="H44" i="56"/>
  <c r="F44" i="56" s="1"/>
  <c r="G57" i="56" s="1"/>
  <c r="H43" i="56"/>
  <c r="F43" i="56" s="1"/>
  <c r="G56" i="56" s="1"/>
  <c r="H41" i="56"/>
  <c r="F41" i="56" s="1"/>
  <c r="G54" i="56" s="1"/>
  <c r="H40" i="56"/>
  <c r="F40" i="56" s="1"/>
  <c r="G53" i="56" s="1"/>
  <c r="D242" i="45"/>
  <c r="D134" i="34"/>
  <c r="D133" i="34"/>
  <c r="D132" i="34"/>
  <c r="D131" i="34"/>
  <c r="D130" i="34"/>
  <c r="D129" i="34"/>
  <c r="F119" i="34"/>
  <c r="F120" i="34" s="1"/>
  <c r="G58" i="56" l="1"/>
  <c r="I58" i="56"/>
  <c r="H58" i="56"/>
  <c r="F39" i="56"/>
  <c r="H52" i="56" s="1"/>
  <c r="F36" i="56"/>
  <c r="F37" i="56"/>
  <c r="F35" i="56"/>
  <c r="G48" i="56" s="1"/>
  <c r="F38" i="56"/>
  <c r="H51" i="56" s="1"/>
  <c r="I56" i="56"/>
  <c r="H57" i="56"/>
  <c r="H53" i="56"/>
  <c r="H55" i="56"/>
  <c r="H54" i="56"/>
  <c r="F122" i="34"/>
  <c r="F123" i="34" s="1"/>
  <c r="F124" i="34" s="1"/>
  <c r="F121" i="34"/>
  <c r="G50" i="56" l="1"/>
  <c r="I50" i="56"/>
  <c r="G51" i="56"/>
  <c r="I51" i="56"/>
  <c r="I48" i="56"/>
  <c r="G49" i="56"/>
  <c r="I49" i="56"/>
  <c r="H48" i="56"/>
  <c r="H49" i="56"/>
  <c r="G52" i="56"/>
  <c r="I52" i="56"/>
  <c r="H50" i="56"/>
  <c r="I55" i="56"/>
  <c r="I54" i="56"/>
  <c r="I53" i="56"/>
  <c r="I57" i="56"/>
  <c r="H56" i="56"/>
  <c r="B129" i="34"/>
  <c r="B130" i="34"/>
  <c r="B132" i="34"/>
  <c r="B133" i="34"/>
  <c r="B134" i="34"/>
  <c r="U91" i="34" l="1"/>
  <c r="E138" i="45" l="1"/>
  <c r="E139" i="45"/>
  <c r="E140" i="45"/>
  <c r="E141" i="45"/>
  <c r="E142" i="45"/>
  <c r="E143" i="45"/>
  <c r="E144" i="45"/>
  <c r="E145" i="45"/>
  <c r="E146" i="45"/>
  <c r="E147" i="45"/>
  <c r="E148" i="45"/>
  <c r="E149" i="45"/>
  <c r="G138" i="45"/>
  <c r="G139" i="45"/>
  <c r="G140" i="45"/>
  <c r="G141" i="45"/>
  <c r="G142" i="45"/>
  <c r="G143" i="45"/>
  <c r="G144" i="45"/>
  <c r="G145" i="45"/>
  <c r="G146" i="45"/>
  <c r="G147" i="45"/>
  <c r="G148" i="45"/>
  <c r="G149" i="45"/>
  <c r="B374" i="45"/>
  <c r="B587" i="45" s="1"/>
  <c r="B644" i="45" s="1"/>
  <c r="B711" i="45" s="1"/>
  <c r="B778" i="45" s="1"/>
  <c r="B845" i="45" s="1"/>
  <c r="D140" i="45" l="1"/>
  <c r="D138" i="45"/>
  <c r="D139" i="45"/>
  <c r="D145" i="45"/>
  <c r="D148" i="45"/>
  <c r="D147" i="45"/>
  <c r="D146" i="45"/>
  <c r="D144" i="45"/>
  <c r="D143" i="45"/>
  <c r="D142" i="45"/>
  <c r="D141" i="45"/>
  <c r="E293" i="45"/>
  <c r="K31" i="11"/>
  <c r="G378" i="45" s="1"/>
  <c r="C293" i="45"/>
  <c r="E292" i="45"/>
  <c r="J31" i="11"/>
  <c r="F378" i="45" s="1"/>
  <c r="C292" i="45"/>
  <c r="E291" i="45"/>
  <c r="I31" i="11"/>
  <c r="E378" i="45" s="1"/>
  <c r="C291" i="45"/>
  <c r="E290" i="45"/>
  <c r="H31" i="11"/>
  <c r="D378" i="45" s="1"/>
  <c r="C290" i="45"/>
  <c r="E289" i="45"/>
  <c r="G31" i="11"/>
  <c r="C289" i="45"/>
  <c r="E288" i="45"/>
  <c r="F31" i="11"/>
  <c r="C288" i="45"/>
  <c r="E287" i="45"/>
  <c r="E31" i="11"/>
  <c r="C287" i="45"/>
  <c r="E286" i="45"/>
  <c r="D31" i="11"/>
  <c r="C286" i="45"/>
  <c r="E285" i="45"/>
  <c r="C31" i="11"/>
  <c r="C285" i="45"/>
  <c r="B31" i="11"/>
  <c r="H13" i="17"/>
  <c r="C11" i="34" s="1"/>
  <c r="H12" i="17"/>
  <c r="H9" i="17"/>
  <c r="D591" i="45" l="1"/>
  <c r="E591" i="45" s="1"/>
  <c r="F591" i="45" s="1"/>
  <c r="D387" i="45"/>
  <c r="C648" i="45"/>
  <c r="D715" i="45"/>
  <c r="C782" i="45"/>
  <c r="F387" i="45"/>
  <c r="D648" i="45"/>
  <c r="E648" i="45" s="1"/>
  <c r="F648" i="45" s="1"/>
  <c r="E387" i="45"/>
  <c r="C715" i="45"/>
  <c r="D782" i="45"/>
  <c r="C849" i="45"/>
  <c r="G387" i="45"/>
  <c r="H11" i="17"/>
  <c r="H10" i="17"/>
  <c r="B35" i="11" a="1"/>
  <c r="I35" i="11" s="1"/>
  <c r="E393" i="45" s="1"/>
  <c r="B17" i="11" a="1"/>
  <c r="C17" i="11" s="1"/>
  <c r="D45" i="17"/>
  <c r="B30" i="11" a="1"/>
  <c r="E30" i="11" s="1"/>
  <c r="B21" i="11" a="1"/>
  <c r="F45" i="17"/>
  <c r="B40" i="11" a="1"/>
  <c r="B25" i="11" a="1"/>
  <c r="D286" i="45"/>
  <c r="F286" i="45" s="1"/>
  <c r="D290" i="45"/>
  <c r="F290" i="45" s="1"/>
  <c r="C284" i="45"/>
  <c r="D285" i="45"/>
  <c r="F285" i="45" s="1"/>
  <c r="D289" i="45"/>
  <c r="F289" i="45" s="1"/>
  <c r="D293" i="45"/>
  <c r="F293" i="45" s="1"/>
  <c r="D284" i="45"/>
  <c r="D288" i="45"/>
  <c r="F288" i="45" s="1"/>
  <c r="D292" i="45"/>
  <c r="F292" i="45" s="1"/>
  <c r="E284" i="45"/>
  <c r="D287" i="45"/>
  <c r="F287" i="45" s="1"/>
  <c r="D291" i="45"/>
  <c r="F291" i="45" s="1"/>
  <c r="I167" i="45"/>
  <c r="I165" i="45"/>
  <c r="G166" i="45"/>
  <c r="I164" i="45"/>
  <c r="G165" i="45"/>
  <c r="E166" i="45"/>
  <c r="I166" i="45"/>
  <c r="G167" i="45"/>
  <c r="I168" i="45"/>
  <c r="G169" i="45"/>
  <c r="G168" i="45"/>
  <c r="D166" i="45"/>
  <c r="F166" i="45"/>
  <c r="D167" i="45"/>
  <c r="D169" i="45"/>
  <c r="I169" i="45"/>
  <c r="G172" i="45"/>
  <c r="I171" i="45"/>
  <c r="C45" i="17"/>
  <c r="G170" i="45"/>
  <c r="E168" i="45"/>
  <c r="F168" i="45"/>
  <c r="D47" i="17"/>
  <c r="E171" i="45"/>
  <c r="E165" i="45"/>
  <c r="E167" i="45"/>
  <c r="E169" i="45"/>
  <c r="H170" i="45"/>
  <c r="F171" i="45"/>
  <c r="D172" i="45"/>
  <c r="H172" i="45"/>
  <c r="C25" i="17"/>
  <c r="B26" i="17"/>
  <c r="D461" i="45" s="1"/>
  <c r="F51" i="17"/>
  <c r="D52" i="17"/>
  <c r="D46" i="17"/>
  <c r="D48" i="17"/>
  <c r="B45" i="17"/>
  <c r="B59" i="17" s="1"/>
  <c r="F165" i="45"/>
  <c r="F167" i="45"/>
  <c r="F169" i="45"/>
  <c r="H165" i="45"/>
  <c r="H167" i="45"/>
  <c r="H169" i="45"/>
  <c r="F170" i="45"/>
  <c r="D171" i="45"/>
  <c r="H171" i="45"/>
  <c r="F172" i="45"/>
  <c r="H166" i="45"/>
  <c r="H168" i="45"/>
  <c r="E170" i="45"/>
  <c r="I170" i="45"/>
  <c r="G171" i="45"/>
  <c r="E172" i="45"/>
  <c r="I172" i="45"/>
  <c r="C27" i="17"/>
  <c r="B21" i="17"/>
  <c r="B47" i="17"/>
  <c r="B22" i="17"/>
  <c r="B48" i="17"/>
  <c r="B23" i="17"/>
  <c r="D458" i="45" s="1"/>
  <c r="B24" i="17"/>
  <c r="D459" i="45" s="1"/>
  <c r="C26" i="17"/>
  <c r="C28" i="17"/>
  <c r="C46" i="17"/>
  <c r="C21" i="17"/>
  <c r="C47" i="17"/>
  <c r="C22" i="17"/>
  <c r="C48" i="17"/>
  <c r="C23" i="17"/>
  <c r="C24" i="17"/>
  <c r="B25" i="17"/>
  <c r="B27" i="17"/>
  <c r="D462" i="45" s="1"/>
  <c r="C52" i="17"/>
  <c r="C50" i="17"/>
  <c r="E51" i="17"/>
  <c r="B46" i="17"/>
  <c r="F47" i="17"/>
  <c r="F48" i="17"/>
  <c r="B50" i="17"/>
  <c r="F50" i="17"/>
  <c r="D51" i="17"/>
  <c r="B52" i="17"/>
  <c r="F46" i="17"/>
  <c r="F52" i="17"/>
  <c r="F49" i="17"/>
  <c r="D50" i="17"/>
  <c r="B51" i="17"/>
  <c r="C51" i="17"/>
  <c r="E52" i="17"/>
  <c r="C49" i="17"/>
  <c r="D44" i="17"/>
  <c r="D58" i="17" s="1"/>
  <c r="F44" i="17"/>
  <c r="F58" i="17" s="1"/>
  <c r="C44" i="17"/>
  <c r="C58" i="17" s="1"/>
  <c r="D49" i="17"/>
  <c r="G50" i="17"/>
  <c r="G52" i="17"/>
  <c r="B49" i="17"/>
  <c r="G49" i="17"/>
  <c r="G48" i="17"/>
  <c r="G62" i="17" s="1"/>
  <c r="E50" i="17"/>
  <c r="E49" i="17"/>
  <c r="E63" i="17" s="1"/>
  <c r="G51" i="17"/>
  <c r="H21" i="39"/>
  <c r="H18" i="39"/>
  <c r="E54" i="17" l="1"/>
  <c r="E67" i="17"/>
  <c r="B34" i="17"/>
  <c r="B32" i="17"/>
  <c r="B30" i="17" s="1"/>
  <c r="B15" i="17" s="1"/>
  <c r="C35" i="17"/>
  <c r="C32" i="17" s="1"/>
  <c r="D60" i="17"/>
  <c r="D460" i="45"/>
  <c r="E460" i="45" s="1"/>
  <c r="L460" i="45"/>
  <c r="J459" i="45"/>
  <c r="E459" i="45"/>
  <c r="L459" i="45"/>
  <c r="E462" i="45"/>
  <c r="L462" i="45"/>
  <c r="J462" i="45"/>
  <c r="E463" i="45"/>
  <c r="E458" i="45"/>
  <c r="J458" i="45"/>
  <c r="K458" i="45" s="1"/>
  <c r="L458" i="45"/>
  <c r="M458" i="45" s="1"/>
  <c r="E461" i="45"/>
  <c r="L461" i="45"/>
  <c r="J461" i="45"/>
  <c r="D656" i="45"/>
  <c r="C723" i="45"/>
  <c r="E715" i="45"/>
  <c r="E782" i="45"/>
  <c r="F782" i="45" s="1"/>
  <c r="F63" i="17"/>
  <c r="C62" i="17"/>
  <c r="C59" i="17"/>
  <c r="B62" i="17"/>
  <c r="E65" i="17"/>
  <c r="D62" i="17"/>
  <c r="F62" i="17"/>
  <c r="B60" i="17"/>
  <c r="C63" i="17"/>
  <c r="F65" i="17"/>
  <c r="B65" i="17"/>
  <c r="G65" i="17"/>
  <c r="D64" i="17"/>
  <c r="C64" i="17"/>
  <c r="G63" i="17"/>
  <c r="F60" i="17"/>
  <c r="F59" i="17"/>
  <c r="E66" i="17"/>
  <c r="C65" i="17"/>
  <c r="E64" i="17"/>
  <c r="B66" i="17"/>
  <c r="G66" i="17"/>
  <c r="C61" i="17"/>
  <c r="D65" i="17"/>
  <c r="D59" i="17"/>
  <c r="C66" i="17"/>
  <c r="F64" i="17"/>
  <c r="B61" i="17"/>
  <c r="G64" i="17"/>
  <c r="F66" i="17"/>
  <c r="C60" i="17"/>
  <c r="B64" i="17"/>
  <c r="D63" i="17"/>
  <c r="B63" i="17"/>
  <c r="F61" i="17"/>
  <c r="D66" i="17"/>
  <c r="D61" i="17"/>
  <c r="J52" i="38"/>
  <c r="E35" i="11"/>
  <c r="K17" i="11"/>
  <c r="J35" i="11"/>
  <c r="F393" i="45" s="1"/>
  <c r="H35" i="11"/>
  <c r="D393" i="45" s="1"/>
  <c r="D17" i="11"/>
  <c r="F30" i="11"/>
  <c r="F35" i="11"/>
  <c r="H17" i="11"/>
  <c r="D336" i="45" s="1"/>
  <c r="C35" i="11"/>
  <c r="B17" i="11"/>
  <c r="D35" i="11"/>
  <c r="G17" i="11"/>
  <c r="B35" i="11"/>
  <c r="F17" i="11"/>
  <c r="G35" i="11"/>
  <c r="E17" i="11"/>
  <c r="J30" i="11"/>
  <c r="F376" i="45" s="1"/>
  <c r="K35" i="11"/>
  <c r="G393" i="45" s="1"/>
  <c r="I17" i="11"/>
  <c r="H30" i="11"/>
  <c r="D376" i="45" s="1"/>
  <c r="J17" i="11"/>
  <c r="B30" i="11"/>
  <c r="C30" i="11"/>
  <c r="I30" i="11"/>
  <c r="E376" i="45" s="1"/>
  <c r="K30" i="11"/>
  <c r="G376" i="45" s="1"/>
  <c r="D30" i="11"/>
  <c r="G30" i="11"/>
  <c r="E46" i="38"/>
  <c r="F284" i="45"/>
  <c r="H45" i="17"/>
  <c r="E25" i="11"/>
  <c r="K25" i="11"/>
  <c r="G360" i="45" s="1"/>
  <c r="H25" i="11"/>
  <c r="D360" i="45" s="1"/>
  <c r="J25" i="11"/>
  <c r="F360" i="45" s="1"/>
  <c r="F25" i="11"/>
  <c r="B25" i="11"/>
  <c r="G25" i="11"/>
  <c r="D25" i="11"/>
  <c r="C25" i="11"/>
  <c r="I25" i="11"/>
  <c r="E360" i="45" s="1"/>
  <c r="B40" i="11"/>
  <c r="D40" i="11"/>
  <c r="G40" i="11"/>
  <c r="J40" i="11"/>
  <c r="F409" i="45" s="1"/>
  <c r="K40" i="11"/>
  <c r="G409" i="45" s="1"/>
  <c r="C40" i="11"/>
  <c r="F40" i="11"/>
  <c r="H40" i="11"/>
  <c r="D409" i="45" s="1"/>
  <c r="I40" i="11"/>
  <c r="E409" i="45" s="1"/>
  <c r="E40" i="11"/>
  <c r="D21" i="11"/>
  <c r="E21" i="11"/>
  <c r="F21" i="11"/>
  <c r="H21" i="11"/>
  <c r="D348" i="45" s="1"/>
  <c r="B21" i="11"/>
  <c r="G21" i="11"/>
  <c r="I21" i="11"/>
  <c r="E348" i="45" s="1"/>
  <c r="C21" i="11"/>
  <c r="J21" i="11"/>
  <c r="F348" i="45" s="1"/>
  <c r="K21" i="11"/>
  <c r="G348" i="45" s="1"/>
  <c r="E49" i="38"/>
  <c r="D170" i="45"/>
  <c r="E173" i="45"/>
  <c r="G173" i="45"/>
  <c r="H173" i="45"/>
  <c r="D173" i="45"/>
  <c r="E48" i="38"/>
  <c r="D168" i="45"/>
  <c r="I173" i="45"/>
  <c r="F173" i="45"/>
  <c r="E45" i="38"/>
  <c r="D165" i="45"/>
  <c r="E51" i="38"/>
  <c r="E47" i="38"/>
  <c r="E52" i="38"/>
  <c r="E50" i="38"/>
  <c r="H44" i="17"/>
  <c r="H46" i="17"/>
  <c r="H47" i="17"/>
  <c r="H51" i="17"/>
  <c r="H50" i="17"/>
  <c r="H49" i="17"/>
  <c r="H52" i="17"/>
  <c r="H48" i="17"/>
  <c r="E61" i="38" l="1"/>
  <c r="E57" i="38" s="1"/>
  <c r="E64" i="38" s="1"/>
  <c r="E60" i="38"/>
  <c r="C70" i="17"/>
  <c r="C71" i="17"/>
  <c r="C69" i="17" s="1"/>
  <c r="E71" i="17"/>
  <c r="F71" i="17"/>
  <c r="F69" i="17" s="1"/>
  <c r="D71" i="17"/>
  <c r="D69" i="17" s="1"/>
  <c r="G71" i="17"/>
  <c r="G69" i="17" s="1"/>
  <c r="M459" i="45"/>
  <c r="D481" i="45"/>
  <c r="E481" i="45" s="1"/>
  <c r="D449" i="45"/>
  <c r="E449" i="45" s="1"/>
  <c r="M461" i="45"/>
  <c r="K462" i="45"/>
  <c r="K463" i="45"/>
  <c r="M460" i="45"/>
  <c r="M462" i="45"/>
  <c r="M463" i="45"/>
  <c r="K459" i="45"/>
  <c r="F715" i="45"/>
  <c r="D695" i="45"/>
  <c r="C762" i="45"/>
  <c r="F355" i="45"/>
  <c r="D628" i="45"/>
  <c r="E355" i="45"/>
  <c r="C695" i="45"/>
  <c r="D666" i="45"/>
  <c r="E416" i="45"/>
  <c r="C733" i="45"/>
  <c r="D800" i="45"/>
  <c r="C867" i="45"/>
  <c r="G416" i="45"/>
  <c r="D582" i="45"/>
  <c r="C636" i="45"/>
  <c r="D369" i="45"/>
  <c r="D780" i="45"/>
  <c r="C847" i="45"/>
  <c r="G385" i="45"/>
  <c r="D713" i="45"/>
  <c r="F385" i="45"/>
  <c r="C780" i="45"/>
  <c r="D723" i="45"/>
  <c r="E723" i="45" s="1"/>
  <c r="F723" i="45" s="1"/>
  <c r="C790" i="45"/>
  <c r="F402" i="45"/>
  <c r="D762" i="45"/>
  <c r="C829" i="45"/>
  <c r="G355" i="45"/>
  <c r="D577" i="45"/>
  <c r="E577" i="45" s="1"/>
  <c r="F577" i="45" s="1"/>
  <c r="C628" i="45"/>
  <c r="D355" i="45"/>
  <c r="D603" i="45"/>
  <c r="D416" i="45"/>
  <c r="C666" i="45"/>
  <c r="C800" i="45"/>
  <c r="D733" i="45"/>
  <c r="F416" i="45"/>
  <c r="D636" i="45"/>
  <c r="C703" i="45"/>
  <c r="E369" i="45"/>
  <c r="D703" i="45"/>
  <c r="C770" i="45"/>
  <c r="F369" i="45"/>
  <c r="D770" i="45"/>
  <c r="C837" i="45"/>
  <c r="G369" i="45"/>
  <c r="D646" i="45"/>
  <c r="C713" i="45"/>
  <c r="E385" i="45"/>
  <c r="C646" i="45"/>
  <c r="D589" i="45"/>
  <c r="E589" i="45" s="1"/>
  <c r="F589" i="45" s="1"/>
  <c r="D385" i="45"/>
  <c r="D790" i="45"/>
  <c r="C857" i="45"/>
  <c r="G402" i="45"/>
  <c r="D572" i="45"/>
  <c r="D421" i="45"/>
  <c r="D428" i="45" s="1"/>
  <c r="C620" i="45"/>
  <c r="D343" i="45"/>
  <c r="D596" i="45"/>
  <c r="E596" i="45" s="1"/>
  <c r="F596" i="45" s="1"/>
  <c r="D402" i="45"/>
  <c r="C656" i="45"/>
  <c r="E656" i="45" s="1"/>
  <c r="E402" i="45"/>
  <c r="F70" i="17"/>
  <c r="G70" i="17"/>
  <c r="E70" i="17"/>
  <c r="D70" i="17"/>
  <c r="N51" i="37"/>
  <c r="M51" i="37"/>
  <c r="L51" i="37"/>
  <c r="K51" i="37"/>
  <c r="J51" i="37"/>
  <c r="I51" i="37"/>
  <c r="H51" i="37"/>
  <c r="P8" i="37" s="1"/>
  <c r="N50" i="37"/>
  <c r="M50" i="37"/>
  <c r="L50" i="37"/>
  <c r="K50" i="37"/>
  <c r="J50" i="37"/>
  <c r="I50" i="37"/>
  <c r="H50" i="37"/>
  <c r="G50" i="37"/>
  <c r="P7" i="37" s="1"/>
  <c r="N49" i="37"/>
  <c r="M49" i="37"/>
  <c r="L49" i="37"/>
  <c r="K49" i="37"/>
  <c r="J49" i="37"/>
  <c r="I49" i="37"/>
  <c r="H49" i="37"/>
  <c r="G49" i="37"/>
  <c r="F49" i="37"/>
  <c r="P6" i="37" s="1"/>
  <c r="N48" i="37"/>
  <c r="M48" i="37"/>
  <c r="L48" i="37"/>
  <c r="K48" i="37"/>
  <c r="J48" i="37"/>
  <c r="I48" i="37"/>
  <c r="H48" i="37"/>
  <c r="G48" i="37"/>
  <c r="F48" i="37"/>
  <c r="E48" i="37"/>
  <c r="P5" i="37" s="1"/>
  <c r="N47" i="37"/>
  <c r="M47" i="37"/>
  <c r="L47" i="37"/>
  <c r="K47" i="37"/>
  <c r="J47" i="37"/>
  <c r="I47" i="37"/>
  <c r="H47" i="37"/>
  <c r="G47" i="37"/>
  <c r="F47" i="37"/>
  <c r="E47" i="37"/>
  <c r="E54" i="38" l="1"/>
  <c r="G54" i="17"/>
  <c r="G67" i="17"/>
  <c r="F54" i="17"/>
  <c r="F67" i="17"/>
  <c r="D54" i="17"/>
  <c r="D67" i="17"/>
  <c r="C54" i="17"/>
  <c r="C67" i="17"/>
  <c r="D178" i="45"/>
  <c r="D177" i="45"/>
  <c r="E762" i="45"/>
  <c r="F762" i="45" s="1"/>
  <c r="D450" i="45"/>
  <c r="E450" i="45" s="1"/>
  <c r="C200" i="45"/>
  <c r="E770" i="45"/>
  <c r="F770" i="45" s="1"/>
  <c r="D482" i="45"/>
  <c r="E482" i="45" s="1"/>
  <c r="D200" i="45"/>
  <c r="F656" i="45"/>
  <c r="E733" i="45"/>
  <c r="F733" i="45" s="1"/>
  <c r="E646" i="45"/>
  <c r="F646" i="45" s="1"/>
  <c r="E780" i="45"/>
  <c r="F780" i="45" s="1"/>
  <c r="E703" i="45"/>
  <c r="C674" i="45"/>
  <c r="D608" i="45"/>
  <c r="E608" i="45" s="1"/>
  <c r="F608" i="45" s="1"/>
  <c r="E636" i="45"/>
  <c r="F636" i="45" s="1"/>
  <c r="E628" i="45"/>
  <c r="F628" i="45" s="1"/>
  <c r="E790" i="45"/>
  <c r="F790" i="45" s="1"/>
  <c r="E713" i="45"/>
  <c r="E800" i="45"/>
  <c r="F800" i="45" s="1"/>
  <c r="E666" i="45"/>
  <c r="E695" i="45"/>
  <c r="F695" i="45" s="1"/>
  <c r="N67" i="37"/>
  <c r="J67" i="37"/>
  <c r="K67" i="37"/>
  <c r="L67" i="37"/>
  <c r="M67" i="37"/>
  <c r="E67" i="37"/>
  <c r="G67" i="37"/>
  <c r="I67" i="37"/>
  <c r="F67" i="37"/>
  <c r="P4" i="37"/>
  <c r="H67" i="37"/>
  <c r="B29" i="11" a="1"/>
  <c r="E29" i="11" s="1"/>
  <c r="B34" i="37"/>
  <c r="C222" i="45" s="1"/>
  <c r="C34" i="37"/>
  <c r="D222" i="45" s="1"/>
  <c r="D34" i="37"/>
  <c r="E222" i="45" s="1"/>
  <c r="E34" i="37"/>
  <c r="F222" i="45" s="1"/>
  <c r="C35" i="37"/>
  <c r="D223" i="45" s="1"/>
  <c r="D35" i="37"/>
  <c r="E223" i="45" s="1"/>
  <c r="E35" i="37"/>
  <c r="F223" i="45" s="1"/>
  <c r="E36" i="37"/>
  <c r="F224" i="45" s="1"/>
  <c r="C33" i="37"/>
  <c r="D221" i="45" s="1"/>
  <c r="D33" i="37"/>
  <c r="E221" i="45" s="1"/>
  <c r="E33" i="37"/>
  <c r="F221" i="45" s="1"/>
  <c r="B33" i="37"/>
  <c r="C221" i="45" s="1"/>
  <c r="F666" i="45" l="1"/>
  <c r="F713" i="45"/>
  <c r="F703" i="45"/>
  <c r="I29" i="11"/>
  <c r="E375" i="45" s="1"/>
  <c r="H29" i="11"/>
  <c r="D375" i="45" s="1"/>
  <c r="J29" i="11"/>
  <c r="F375" i="45" s="1"/>
  <c r="G29" i="11"/>
  <c r="D29" i="11"/>
  <c r="C29" i="11"/>
  <c r="M29" i="11"/>
  <c r="F29" i="11"/>
  <c r="L29" i="11"/>
  <c r="B4" i="37" a="1"/>
  <c r="K29" i="11"/>
  <c r="G375" i="45" s="1"/>
  <c r="B29" i="11"/>
  <c r="P9" i="37"/>
  <c r="I375" i="45" l="1"/>
  <c r="D588" i="45"/>
  <c r="D384" i="45"/>
  <c r="C645" i="45"/>
  <c r="D381" i="45"/>
  <c r="D380" i="45"/>
  <c r="D779" i="45"/>
  <c r="C846" i="45"/>
  <c r="G384" i="45"/>
  <c r="G381" i="45"/>
  <c r="G380" i="45"/>
  <c r="E7" i="33"/>
  <c r="H375" i="45"/>
  <c r="D712" i="45"/>
  <c r="F384" i="45"/>
  <c r="C779" i="45"/>
  <c r="F381" i="45"/>
  <c r="F380" i="45"/>
  <c r="D645" i="45"/>
  <c r="E384" i="45"/>
  <c r="C712" i="45"/>
  <c r="E381" i="45"/>
  <c r="E380" i="45"/>
  <c r="C18" i="34"/>
  <c r="B4" i="37"/>
  <c r="B10" i="37"/>
  <c r="B11" i="37"/>
  <c r="B12" i="37"/>
  <c r="B13" i="37"/>
  <c r="B14" i="37"/>
  <c r="B15" i="37"/>
  <c r="B16" i="37"/>
  <c r="B17" i="37"/>
  <c r="B18" i="37"/>
  <c r="B19" i="37"/>
  <c r="B9" i="37"/>
  <c r="B8" i="37"/>
  <c r="B7" i="37"/>
  <c r="B6" i="37"/>
  <c r="B5" i="37"/>
  <c r="H148" i="45"/>
  <c r="H143" i="45"/>
  <c r="H146" i="45"/>
  <c r="H142" i="45"/>
  <c r="H144" i="45"/>
  <c r="H147" i="45"/>
  <c r="H149" i="45"/>
  <c r="H145" i="45"/>
  <c r="H141" i="45"/>
  <c r="H138" i="45"/>
  <c r="E779" i="45" l="1"/>
  <c r="F779" i="45" s="1"/>
  <c r="E645" i="45"/>
  <c r="F645" i="45" s="1"/>
  <c r="I384" i="45"/>
  <c r="C717" i="45"/>
  <c r="D650" i="45"/>
  <c r="D718" i="45"/>
  <c r="C785" i="45"/>
  <c r="D785" i="45"/>
  <c r="C852" i="45"/>
  <c r="C650" i="45"/>
  <c r="D651" i="45"/>
  <c r="C718" i="45"/>
  <c r="D717" i="45"/>
  <c r="C784" i="45"/>
  <c r="E712" i="45"/>
  <c r="D846" i="45"/>
  <c r="E846" i="45" s="1"/>
  <c r="F846" i="45" s="1"/>
  <c r="H384" i="45"/>
  <c r="D784" i="45"/>
  <c r="C851" i="45"/>
  <c r="C651" i="45"/>
  <c r="C19" i="37"/>
  <c r="D19" i="37" s="1"/>
  <c r="E19" i="37" s="1"/>
  <c r="C16" i="37"/>
  <c r="D16" i="37" s="1"/>
  <c r="E16" i="37" s="1"/>
  <c r="C18" i="37"/>
  <c r="D18" i="37" s="1"/>
  <c r="E18" i="37" s="1"/>
  <c r="C17" i="37"/>
  <c r="D17" i="37" s="1"/>
  <c r="E17" i="37" s="1"/>
  <c r="C15" i="37"/>
  <c r="D15" i="37" s="1"/>
  <c r="E15" i="37" s="1"/>
  <c r="B407" i="45"/>
  <c r="B601" i="45" s="1"/>
  <c r="B664" i="45" s="1"/>
  <c r="B731" i="45" s="1"/>
  <c r="B798" i="45" s="1"/>
  <c r="B865" i="45" s="1"/>
  <c r="B594" i="45"/>
  <c r="B654" i="45" s="1"/>
  <c r="B721" i="45" s="1"/>
  <c r="B788" i="45" s="1"/>
  <c r="B855" i="45" s="1"/>
  <c r="F712" i="45" l="1"/>
  <c r="E717" i="45"/>
  <c r="E784" i="45"/>
  <c r="F784" i="45" s="1"/>
  <c r="E650" i="45"/>
  <c r="F650" i="45" s="1"/>
  <c r="E651" i="45"/>
  <c r="E785" i="45"/>
  <c r="F785" i="45" s="1"/>
  <c r="E718" i="45"/>
  <c r="F718" i="45" s="1"/>
  <c r="B346" i="45"/>
  <c r="B575" i="45" s="1"/>
  <c r="B626" i="45" s="1"/>
  <c r="B693" i="45" s="1"/>
  <c r="B760" i="45" s="1"/>
  <c r="B827" i="45" s="1"/>
  <c r="B570" i="45"/>
  <c r="B618" i="45" s="1"/>
  <c r="B685" i="45" s="1"/>
  <c r="B752" i="45" s="1"/>
  <c r="B819" i="45" s="1"/>
  <c r="F717" i="45" l="1"/>
  <c r="F651" i="45"/>
  <c r="E603" i="45"/>
  <c r="F603" i="45" s="1"/>
  <c r="B44" i="11"/>
  <c r="G336" i="45"/>
  <c r="C821" i="45" s="1"/>
  <c r="C875" i="45" s="1"/>
  <c r="F336" i="45"/>
  <c r="E336" i="45"/>
  <c r="C687" i="45" s="1"/>
  <c r="C741" i="45" s="1"/>
  <c r="D687" i="45" l="1"/>
  <c r="E687" i="45" s="1"/>
  <c r="F687" i="45" s="1"/>
  <c r="C754" i="45"/>
  <c r="C808" i="45" s="1"/>
  <c r="G421" i="45"/>
  <c r="D754" i="45"/>
  <c r="E572" i="45"/>
  <c r="F572" i="45" s="1"/>
  <c r="D620" i="45"/>
  <c r="F421" i="45"/>
  <c r="E343" i="45"/>
  <c r="E421" i="45"/>
  <c r="G343" i="45"/>
  <c r="F343" i="45"/>
  <c r="E582" i="45"/>
  <c r="F582" i="45" s="1"/>
  <c r="F44" i="11"/>
  <c r="D44" i="11"/>
  <c r="C44" i="11"/>
  <c r="I44" i="11"/>
  <c r="J44" i="11"/>
  <c r="E44" i="11"/>
  <c r="G44" i="11"/>
  <c r="H44" i="11"/>
  <c r="K44" i="11"/>
  <c r="G428" i="45" l="1"/>
  <c r="D741" i="45"/>
  <c r="E741" i="45" s="1"/>
  <c r="F741" i="45" s="1"/>
  <c r="E754" i="45"/>
  <c r="F754" i="45" s="1"/>
  <c r="D808" i="45"/>
  <c r="E808" i="45" s="1"/>
  <c r="F808" i="45" s="1"/>
  <c r="E620" i="45"/>
  <c r="F620" i="45" s="1"/>
  <c r="D674" i="45"/>
  <c r="E674" i="45" s="1"/>
  <c r="F674" i="45" s="1"/>
  <c r="E428" i="45"/>
  <c r="F428" i="45"/>
  <c r="H40" i="37"/>
  <c r="G39" i="37"/>
  <c r="H39" i="37" s="1"/>
  <c r="G21" i="17" l="1"/>
  <c r="G20" i="17"/>
  <c r="G22" i="17"/>
  <c r="E164" i="45"/>
  <c r="E24" i="38"/>
  <c r="E44" i="38" l="1"/>
  <c r="E59" i="38" s="1"/>
  <c r="C885" i="45"/>
  <c r="F460" i="45"/>
  <c r="D164" i="45"/>
  <c r="C309" i="45"/>
  <c r="C21" i="18"/>
  <c r="D303" i="45" s="1"/>
  <c r="C304" i="45"/>
  <c r="C28" i="18"/>
  <c r="D310" i="45" s="1"/>
  <c r="C24" i="18"/>
  <c r="D306" i="45" s="1"/>
  <c r="G164" i="45"/>
  <c r="C20" i="18"/>
  <c r="D26" i="18"/>
  <c r="D22" i="18"/>
  <c r="E304" i="45" s="1"/>
  <c r="C303" i="45"/>
  <c r="C27" i="18"/>
  <c r="D309" i="45" s="1"/>
  <c r="C23" i="18"/>
  <c r="D305" i="45" s="1"/>
  <c r="D25" i="18"/>
  <c r="E307" i="45" s="1"/>
  <c r="D21" i="18"/>
  <c r="E303" i="45" s="1"/>
  <c r="C310" i="45"/>
  <c r="C306" i="45"/>
  <c r="F164" i="45"/>
  <c r="C26" i="18"/>
  <c r="C37" i="18" s="1"/>
  <c r="C22" i="18"/>
  <c r="D304" i="45" s="1"/>
  <c r="D28" i="18"/>
  <c r="E310" i="45" s="1"/>
  <c r="D24" i="18"/>
  <c r="E306" i="45" s="1"/>
  <c r="H164" i="45"/>
  <c r="D20" i="18"/>
  <c r="C305" i="45"/>
  <c r="C25" i="18"/>
  <c r="D307" i="45" s="1"/>
  <c r="D27" i="18"/>
  <c r="E309" i="45" s="1"/>
  <c r="D23" i="18"/>
  <c r="E305" i="45" s="1"/>
  <c r="F44" i="38"/>
  <c r="J44" i="38"/>
  <c r="E302" i="45" l="1"/>
  <c r="D36" i="18"/>
  <c r="B37" i="18"/>
  <c r="B33" i="18" s="1"/>
  <c r="D37" i="18"/>
  <c r="D302" i="45"/>
  <c r="C36" i="18"/>
  <c r="B36" i="18"/>
  <c r="G460" i="45"/>
  <c r="J460" i="45"/>
  <c r="G461" i="45"/>
  <c r="C302" i="45"/>
  <c r="D308" i="45"/>
  <c r="E308" i="45"/>
  <c r="C308" i="45"/>
  <c r="C307" i="45"/>
  <c r="D311" i="45"/>
  <c r="E311" i="45"/>
  <c r="C311" i="45"/>
  <c r="G44" i="38"/>
  <c r="I44" i="38"/>
  <c r="H44" i="38"/>
  <c r="C175" i="45"/>
  <c r="C174" i="45"/>
  <c r="A33" i="38"/>
  <c r="C173" i="45" s="1"/>
  <c r="A32" i="38"/>
  <c r="C172" i="45" s="1"/>
  <c r="A31" i="38"/>
  <c r="C171" i="45" s="1"/>
  <c r="A30" i="38"/>
  <c r="C170" i="45" s="1"/>
  <c r="A29" i="38"/>
  <c r="C169" i="45" s="1"/>
  <c r="A28" i="38"/>
  <c r="C168" i="45" s="1"/>
  <c r="A27" i="38"/>
  <c r="C167" i="45" s="1"/>
  <c r="A26" i="38"/>
  <c r="C166" i="45" s="1"/>
  <c r="A25" i="38"/>
  <c r="C165" i="45" s="1"/>
  <c r="A24" i="38"/>
  <c r="C164" i="45" s="1"/>
  <c r="K460" i="45" l="1"/>
  <c r="K461" i="45"/>
  <c r="B31" i="18"/>
  <c r="F47" i="38"/>
  <c r="G46" i="38"/>
  <c r="D10" i="38"/>
  <c r="I50" i="38"/>
  <c r="D11" i="38"/>
  <c r="H51" i="38"/>
  <c r="J47" i="38"/>
  <c r="D6" i="38"/>
  <c r="D7" i="38"/>
  <c r="I45" i="38"/>
  <c r="G48" i="38"/>
  <c r="F45" i="38"/>
  <c r="J45" i="38"/>
  <c r="I46" i="38"/>
  <c r="H47" i="38"/>
  <c r="H48" i="38"/>
  <c r="H49" i="38"/>
  <c r="G50" i="38"/>
  <c r="F51" i="38"/>
  <c r="J51" i="38"/>
  <c r="F52" i="38"/>
  <c r="H45" i="38"/>
  <c r="G47" i="38"/>
  <c r="G49" i="38"/>
  <c r="G45" i="38"/>
  <c r="F46" i="38"/>
  <c r="J46" i="38"/>
  <c r="I47" i="38"/>
  <c r="I48" i="38"/>
  <c r="I49" i="38"/>
  <c r="H50" i="38"/>
  <c r="G51" i="38"/>
  <c r="G52" i="38"/>
  <c r="F48" i="38"/>
  <c r="J48" i="38"/>
  <c r="F49" i="38"/>
  <c r="J49" i="38"/>
  <c r="H52" i="38"/>
  <c r="H46" i="38"/>
  <c r="F50" i="38"/>
  <c r="J50" i="38"/>
  <c r="I51" i="38"/>
  <c r="I52" i="38"/>
  <c r="D3" i="38"/>
  <c r="D4" i="38"/>
  <c r="D8" i="38"/>
  <c r="D12" i="38"/>
  <c r="D5" i="38"/>
  <c r="D9" i="38"/>
  <c r="C20" i="39" l="1" a="1"/>
  <c r="G20" i="39" s="1"/>
  <c r="I59" i="38"/>
  <c r="G59" i="38"/>
  <c r="C313" i="45"/>
  <c r="H59" i="38"/>
  <c r="C20" i="39"/>
  <c r="E20" i="39"/>
  <c r="H60" i="38"/>
  <c r="G178" i="45" s="1"/>
  <c r="F61" i="38"/>
  <c r="F57" i="38" s="1"/>
  <c r="G60" i="38"/>
  <c r="G61" i="38"/>
  <c r="G57" i="38" s="1"/>
  <c r="H61" i="38"/>
  <c r="J61" i="38"/>
  <c r="J57" i="38" s="1"/>
  <c r="J39" i="38" s="1"/>
  <c r="I60" i="38"/>
  <c r="J60" i="38"/>
  <c r="I178" i="45" s="1"/>
  <c r="J59" i="38"/>
  <c r="I61" i="38"/>
  <c r="I57" i="38" s="1"/>
  <c r="F60" i="38"/>
  <c r="F59" i="38"/>
  <c r="D11" i="34"/>
  <c r="B12" i="11" a="1"/>
  <c r="B48" i="11" a="1"/>
  <c r="P11" i="37"/>
  <c r="P10" i="37"/>
  <c r="H41" i="37"/>
  <c r="G41" i="37"/>
  <c r="E37" i="37"/>
  <c r="F225" i="45" s="1"/>
  <c r="D37" i="37"/>
  <c r="E225" i="45" s="1"/>
  <c r="C37" i="37"/>
  <c r="D225" i="45" s="1"/>
  <c r="B37" i="37"/>
  <c r="C225" i="45" s="1"/>
  <c r="F36" i="37"/>
  <c r="G224" i="45" s="1"/>
  <c r="F35" i="37"/>
  <c r="G223" i="45" s="1"/>
  <c r="F34" i="37"/>
  <c r="G222" i="45" s="1"/>
  <c r="F33" i="37"/>
  <c r="G221" i="45" s="1"/>
  <c r="E30" i="37"/>
  <c r="F218" i="45" s="1"/>
  <c r="E29" i="37"/>
  <c r="F217" i="45" s="1"/>
  <c r="D29" i="37"/>
  <c r="E217" i="45" s="1"/>
  <c r="C29" i="37"/>
  <c r="D217" i="45" s="1"/>
  <c r="E28" i="37"/>
  <c r="F216" i="45" s="1"/>
  <c r="D28" i="37"/>
  <c r="E216" i="45" s="1"/>
  <c r="C28" i="37"/>
  <c r="D216" i="45" s="1"/>
  <c r="B28" i="37"/>
  <c r="C216" i="45" s="1"/>
  <c r="E27" i="37"/>
  <c r="F215" i="45" s="1"/>
  <c r="D27" i="37"/>
  <c r="E215" i="45" s="1"/>
  <c r="C27" i="37"/>
  <c r="D215" i="45" s="1"/>
  <c r="B27" i="37"/>
  <c r="C215" i="45" s="1"/>
  <c r="M15" i="37"/>
  <c r="F20" i="39" l="1"/>
  <c r="D20" i="39"/>
  <c r="G54" i="38"/>
  <c r="G39" i="38"/>
  <c r="I54" i="38"/>
  <c r="I39" i="38"/>
  <c r="F54" i="38"/>
  <c r="J54" i="38"/>
  <c r="I177" i="45"/>
  <c r="E178" i="45"/>
  <c r="E177" i="45"/>
  <c r="F178" i="45"/>
  <c r="F177" i="45"/>
  <c r="H178" i="45"/>
  <c r="H177" i="45"/>
  <c r="B12" i="11"/>
  <c r="H12" i="11"/>
  <c r="G12" i="11"/>
  <c r="F12" i="11"/>
  <c r="I12" i="11"/>
  <c r="D12" i="11"/>
  <c r="C12" i="11"/>
  <c r="J12" i="11"/>
  <c r="E12" i="11"/>
  <c r="K12" i="11"/>
  <c r="F30" i="37"/>
  <c r="G218" i="45" s="1"/>
  <c r="P12" i="37"/>
  <c r="B31" i="37"/>
  <c r="C219" i="45" s="1"/>
  <c r="B48" i="11"/>
  <c r="D48" i="11"/>
  <c r="G48" i="11"/>
  <c r="I48" i="11"/>
  <c r="C48" i="11"/>
  <c r="E48" i="11"/>
  <c r="J48" i="11"/>
  <c r="H48" i="11"/>
  <c r="K48" i="11"/>
  <c r="F48" i="11"/>
  <c r="G3" i="37"/>
  <c r="D31" i="37"/>
  <c r="E219" i="45" s="1"/>
  <c r="F28" i="37"/>
  <c r="G216" i="45" s="1"/>
  <c r="F29" i="37"/>
  <c r="G217" i="45" s="1"/>
  <c r="F37" i="37"/>
  <c r="G225" i="45" s="1"/>
  <c r="C31" i="37"/>
  <c r="D219" i="45" s="1"/>
  <c r="E31" i="37"/>
  <c r="F219" i="45" s="1"/>
  <c r="F27" i="37"/>
  <c r="G215" i="45" s="1"/>
  <c r="G895" i="45" l="1"/>
  <c r="I20" i="39"/>
  <c r="H174" i="45"/>
  <c r="F31" i="37"/>
  <c r="G219" i="45" s="1"/>
  <c r="O11" i="37"/>
  <c r="I175" i="45" l="1"/>
  <c r="H895" i="45"/>
  <c r="G199" i="45"/>
  <c r="G896" i="45"/>
  <c r="E896" i="45"/>
  <c r="E895" i="45"/>
  <c r="D896" i="45"/>
  <c r="D895" i="45"/>
  <c r="J63" i="38"/>
  <c r="J69" i="38" s="1"/>
  <c r="E174" i="45"/>
  <c r="I174" i="45"/>
  <c r="F174" i="45"/>
  <c r="C240" i="45"/>
  <c r="E240" i="45" s="1"/>
  <c r="H175" i="45"/>
  <c r="Q11" i="37"/>
  <c r="O13" i="37"/>
  <c r="Q13" i="37" s="1"/>
  <c r="O14" i="37"/>
  <c r="Q14" i="37" s="1"/>
  <c r="O12" i="37"/>
  <c r="Q12" i="37" s="1"/>
  <c r="O6" i="37"/>
  <c r="Q6" i="37" s="1"/>
  <c r="O5" i="37"/>
  <c r="Q5" i="37" s="1"/>
  <c r="O10" i="37"/>
  <c r="Q10" i="37" s="1"/>
  <c r="O8" i="37"/>
  <c r="Q8" i="37" s="1"/>
  <c r="O7" i="37"/>
  <c r="Q7" i="37" s="1"/>
  <c r="O9" i="37"/>
  <c r="Q9" i="37" s="1"/>
  <c r="E199" i="45" l="1"/>
  <c r="E175" i="45"/>
  <c r="F175" i="45"/>
  <c r="D199" i="45"/>
  <c r="H199" i="45"/>
  <c r="H896" i="45"/>
  <c r="O4" i="37"/>
  <c r="Q4" i="37" s="1"/>
  <c r="C12" i="37"/>
  <c r="C10" i="37"/>
  <c r="C13" i="37"/>
  <c r="D13" i="37" s="1"/>
  <c r="E13" i="37" s="1"/>
  <c r="C14" i="37"/>
  <c r="D14" i="37" s="1"/>
  <c r="E14" i="37" s="1"/>
  <c r="C9" i="37"/>
  <c r="C7" i="37"/>
  <c r="C6" i="37"/>
  <c r="C4" i="37"/>
  <c r="D4" i="37" s="1"/>
  <c r="E4" i="37" s="1"/>
  <c r="C11" i="37"/>
  <c r="C8" i="37"/>
  <c r="C5" i="37"/>
  <c r="B21" i="37"/>
  <c r="F4" i="37" l="1"/>
  <c r="D5" i="37"/>
  <c r="E5" i="37" s="1"/>
  <c r="D6" i="37"/>
  <c r="E6" i="37" s="1"/>
  <c r="D8" i="37"/>
  <c r="E8" i="37" s="1"/>
  <c r="D7" i="37"/>
  <c r="E7" i="37" s="1"/>
  <c r="D10" i="37"/>
  <c r="E10" i="37" s="1"/>
  <c r="D11" i="37"/>
  <c r="E11" i="37" s="1"/>
  <c r="D9" i="37"/>
  <c r="E9" i="37" s="1"/>
  <c r="D12" i="37"/>
  <c r="E12" i="37" s="1"/>
  <c r="G4" i="37" l="1"/>
  <c r="C79" i="37" s="1"/>
  <c r="E21" i="37"/>
  <c r="C80" i="37" l="1"/>
  <c r="C81" i="37" l="1"/>
  <c r="C82" i="37" l="1"/>
  <c r="C83" i="37" l="1"/>
  <c r="C84" i="37" l="1"/>
  <c r="C85" i="37" l="1"/>
  <c r="C86" i="37" l="1"/>
  <c r="C87" i="37" l="1"/>
  <c r="C88" i="37" l="1"/>
  <c r="C89" i="37" l="1"/>
  <c r="C90" i="37" l="1"/>
  <c r="D90" i="37" l="1"/>
  <c r="I4" i="37" s="1"/>
  <c r="J4" i="37" s="1"/>
  <c r="E90" i="37"/>
  <c r="F5" i="37" l="1"/>
  <c r="G5" i="37" s="1"/>
  <c r="C91" i="37" s="1"/>
  <c r="C92" i="37" s="1"/>
  <c r="D91" i="37"/>
  <c r="C93" i="37" l="1"/>
  <c r="C94" i="37" l="1"/>
  <c r="C95" i="37" l="1"/>
  <c r="C96" i="37" l="1"/>
  <c r="C97" i="37" l="1"/>
  <c r="C98" i="37" l="1"/>
  <c r="C99" i="37" l="1"/>
  <c r="C100" i="37" l="1"/>
  <c r="C101" i="37" l="1"/>
  <c r="C102" i="37" l="1"/>
  <c r="D102" i="37" s="1"/>
  <c r="I5" i="37" s="1"/>
  <c r="J5" i="37" s="1"/>
  <c r="E102" i="37" l="1"/>
  <c r="F6" i="37" s="1"/>
  <c r="G6" i="37" s="1"/>
  <c r="C103" i="37" s="1"/>
  <c r="C104" i="37" l="1"/>
  <c r="C105" i="37" l="1"/>
  <c r="C106" i="37" l="1"/>
  <c r="C107" i="37" l="1"/>
  <c r="C108" i="37" l="1"/>
  <c r="C109" i="37" l="1"/>
  <c r="C110" i="37" l="1"/>
  <c r="C111" i="37" l="1"/>
  <c r="C112" i="37" l="1"/>
  <c r="C113" i="37" s="1"/>
  <c r="C114" i="37" l="1"/>
  <c r="E114" i="37" l="1"/>
  <c r="F7" i="37" s="1"/>
  <c r="G7" i="37" s="1"/>
  <c r="D114" i="37"/>
  <c r="I6" i="37" s="1"/>
  <c r="J6" i="37" s="1"/>
  <c r="C115" i="37" l="1"/>
  <c r="C116" i="37" l="1"/>
  <c r="C117" i="37" l="1"/>
  <c r="C118" i="37" l="1"/>
  <c r="C119" i="37" l="1"/>
  <c r="C120" i="37" s="1"/>
  <c r="C121" i="37" l="1"/>
  <c r="C122" i="37" l="1"/>
  <c r="C123" i="37" l="1"/>
  <c r="C124" i="37" l="1"/>
  <c r="C125" i="37" l="1"/>
  <c r="C126" i="37" l="1"/>
  <c r="E126" i="37" l="1"/>
  <c r="F8" i="37" s="1"/>
  <c r="G8" i="37" s="1"/>
  <c r="D126" i="37"/>
  <c r="I7" i="37" s="1"/>
  <c r="J7" i="37" s="1"/>
  <c r="C127" i="37" l="1"/>
  <c r="C128" i="37" l="1"/>
  <c r="C129" i="37" l="1"/>
  <c r="C130" i="37" l="1"/>
  <c r="C131" i="37" l="1"/>
  <c r="C132" i="37" l="1"/>
  <c r="C133" i="37" l="1"/>
  <c r="C134" i="37" l="1"/>
  <c r="C135" i="37" l="1"/>
  <c r="C136" i="37" l="1"/>
  <c r="C137" i="37" l="1"/>
  <c r="C138" i="37" l="1"/>
  <c r="D138" i="37" l="1"/>
  <c r="I8" i="37" s="1"/>
  <c r="J8" i="37" s="1"/>
  <c r="E138" i="37"/>
  <c r="F9" i="37" s="1"/>
  <c r="G9" i="37" s="1"/>
  <c r="C139" i="37" s="1"/>
  <c r="C140" i="37" l="1"/>
  <c r="C141" i="37" l="1"/>
  <c r="C142" i="37" l="1"/>
  <c r="C143" i="37" l="1"/>
  <c r="C144" i="37" l="1"/>
  <c r="C145" i="37" l="1"/>
  <c r="C146" i="37" l="1"/>
  <c r="C147" i="37" l="1"/>
  <c r="C148" i="37" l="1"/>
  <c r="C149" i="37" l="1"/>
  <c r="C150" i="37" l="1"/>
  <c r="E150" i="37" s="1"/>
  <c r="F10" i="37" s="1"/>
  <c r="G10" i="37" s="1"/>
  <c r="D150" i="37" l="1"/>
  <c r="I9" i="37" s="1"/>
  <c r="J9" i="37" s="1"/>
  <c r="C151" i="37"/>
  <c r="C152" i="37" l="1"/>
  <c r="C153" i="37" l="1"/>
  <c r="C154" i="37" l="1"/>
  <c r="C155" i="37" l="1"/>
  <c r="C156" i="37" l="1"/>
  <c r="C157" i="37" l="1"/>
  <c r="C158" i="37" l="1"/>
  <c r="C159" i="37" l="1"/>
  <c r="C160" i="37" l="1"/>
  <c r="C161" i="37" l="1"/>
  <c r="C162" i="37" l="1"/>
  <c r="D162" i="37" l="1"/>
  <c r="I10" i="37" s="1"/>
  <c r="J10" i="37" s="1"/>
  <c r="E162" i="37"/>
  <c r="F11" i="37" s="1"/>
  <c r="G11" i="37" s="1"/>
  <c r="C163" i="37" s="1"/>
  <c r="C164" i="37" l="1"/>
  <c r="C165" i="37" l="1"/>
  <c r="C166" i="37" l="1"/>
  <c r="C167" i="37" l="1"/>
  <c r="C168" i="37" l="1"/>
  <c r="C169" i="37" l="1"/>
  <c r="C170" i="37" l="1"/>
  <c r="C171" i="37" s="1"/>
  <c r="C172" i="37" l="1"/>
  <c r="C173" i="37" l="1"/>
  <c r="C174" i="37" l="1"/>
  <c r="E174" i="37" l="1"/>
  <c r="F12" i="37" s="1"/>
  <c r="G12" i="37" s="1"/>
  <c r="D174" i="37"/>
  <c r="I11" i="37" s="1"/>
  <c r="J11" i="37" s="1"/>
  <c r="C175" i="37" l="1"/>
  <c r="C176" i="37" l="1"/>
  <c r="C177" i="37" l="1"/>
  <c r="C178" i="37" l="1"/>
  <c r="C179" i="37" l="1"/>
  <c r="C180" i="37" l="1"/>
  <c r="C181" i="37" l="1"/>
  <c r="C182" i="37" l="1"/>
  <c r="C183" i="37" s="1"/>
  <c r="C184" i="37" l="1"/>
  <c r="C185" i="37" l="1"/>
  <c r="C186" i="37" l="1"/>
  <c r="D186" i="37" l="1"/>
  <c r="I12" i="37" s="1"/>
  <c r="J12" i="37" s="1"/>
  <c r="E186" i="37"/>
  <c r="F13" i="37" s="1"/>
  <c r="G13" i="37" s="1"/>
  <c r="C187" i="37" l="1"/>
  <c r="C188" i="37" l="1"/>
  <c r="C189" i="37" l="1"/>
  <c r="C190" i="37" l="1"/>
  <c r="C191" i="37" l="1"/>
  <c r="C192" i="37" l="1"/>
  <c r="C193" i="37" l="1"/>
  <c r="C194" i="37" s="1"/>
  <c r="C195" i="37" l="1"/>
  <c r="C196" i="37" l="1"/>
  <c r="C197" i="37" l="1"/>
  <c r="C198" i="37" l="1"/>
  <c r="E198" i="37" l="1"/>
  <c r="F14" i="37" s="1"/>
  <c r="G14" i="37" s="1"/>
  <c r="D198" i="37"/>
  <c r="I13" i="37" s="1"/>
  <c r="J13" i="37" s="1"/>
  <c r="C199" i="37" l="1"/>
  <c r="C200" i="37" l="1"/>
  <c r="C201" i="37" l="1"/>
  <c r="C202" i="37" l="1"/>
  <c r="C203" i="37" l="1"/>
  <c r="C204" i="37" l="1"/>
  <c r="C205" i="37" l="1"/>
  <c r="C206" i="37" s="1"/>
  <c r="C207" i="37" l="1"/>
  <c r="C208" i="37" l="1"/>
  <c r="C209" i="37" l="1"/>
  <c r="C210" i="37" l="1"/>
  <c r="D210" i="37" l="1"/>
  <c r="I14" i="37" s="1"/>
  <c r="E210" i="37"/>
  <c r="F15" i="37" s="1"/>
  <c r="G15" i="37" s="1"/>
  <c r="C211" i="37" s="1"/>
  <c r="C212" i="37" l="1"/>
  <c r="I21" i="37"/>
  <c r="J21" i="37" s="1"/>
  <c r="J14" i="37"/>
  <c r="C213" i="37" l="1"/>
  <c r="B90" i="36"/>
  <c r="B256" i="36" s="1"/>
  <c r="A90" i="36" l="1"/>
  <c r="A256" i="36" s="1"/>
  <c r="J90" i="36"/>
  <c r="K90" i="36"/>
  <c r="K90" i="49" s="1"/>
  <c r="C214" i="37"/>
  <c r="B91" i="36"/>
  <c r="B257" i="36" s="1"/>
  <c r="L90" i="36"/>
  <c r="J90" i="49" l="1"/>
  <c r="V90" i="36"/>
  <c r="L256" i="36"/>
  <c r="V256" i="36" s="1"/>
  <c r="L90" i="49"/>
  <c r="A91" i="36"/>
  <c r="A257" i="36" s="1"/>
  <c r="J91" i="36"/>
  <c r="K91" i="36"/>
  <c r="K91" i="49" s="1"/>
  <c r="C215" i="37"/>
  <c r="B92" i="36"/>
  <c r="B258" i="36" s="1"/>
  <c r="L91" i="36"/>
  <c r="J91" i="49" l="1"/>
  <c r="V91" i="36"/>
  <c r="L257" i="36"/>
  <c r="V257" i="36" s="1"/>
  <c r="L91" i="49"/>
  <c r="A92" i="36"/>
  <c r="A258" i="36" s="1"/>
  <c r="J92" i="36"/>
  <c r="K92" i="36"/>
  <c r="K92" i="49" s="1"/>
  <c r="C216" i="37"/>
  <c r="B93" i="36"/>
  <c r="B259" i="36" s="1"/>
  <c r="L92" i="36"/>
  <c r="J92" i="49" l="1"/>
  <c r="V92" i="36"/>
  <c r="L258" i="36"/>
  <c r="V258" i="36" s="1"/>
  <c r="L92" i="49"/>
  <c r="A93" i="36"/>
  <c r="A259" i="36" s="1"/>
  <c r="J93" i="36"/>
  <c r="K93" i="36"/>
  <c r="K93" i="49" s="1"/>
  <c r="C217" i="37"/>
  <c r="B94" i="36"/>
  <c r="B260" i="36" s="1"/>
  <c r="L93" i="36"/>
  <c r="J93" i="49" l="1"/>
  <c r="V93" i="36"/>
  <c r="L259" i="36"/>
  <c r="V259" i="36" s="1"/>
  <c r="L93" i="49"/>
  <c r="A94" i="36"/>
  <c r="A260" i="36" s="1"/>
  <c r="J94" i="36"/>
  <c r="K94" i="36"/>
  <c r="K94" i="49" s="1"/>
  <c r="C218" i="37"/>
  <c r="B95" i="36"/>
  <c r="B261" i="36" s="1"/>
  <c r="L94" i="36"/>
  <c r="J94" i="49" l="1"/>
  <c r="V94" i="36"/>
  <c r="L260" i="36"/>
  <c r="V260" i="36" s="1"/>
  <c r="L94" i="49"/>
  <c r="A95" i="36"/>
  <c r="A261" i="36" s="1"/>
  <c r="J95" i="36"/>
  <c r="K95" i="36"/>
  <c r="K95" i="49" s="1"/>
  <c r="C219" i="37"/>
  <c r="B96" i="36"/>
  <c r="B262" i="36" s="1"/>
  <c r="L95" i="36"/>
  <c r="J95" i="49" l="1"/>
  <c r="V95" i="36"/>
  <c r="L261" i="36"/>
  <c r="V261" i="36" s="1"/>
  <c r="L95" i="49"/>
  <c r="A96" i="36"/>
  <c r="A262" i="36" s="1"/>
  <c r="J96" i="36"/>
  <c r="K96" i="36"/>
  <c r="K96" i="49" s="1"/>
  <c r="C220" i="37"/>
  <c r="B97" i="36"/>
  <c r="B263" i="36" s="1"/>
  <c r="L96" i="36"/>
  <c r="J96" i="49" l="1"/>
  <c r="V96" i="36"/>
  <c r="L262" i="36"/>
  <c r="V262" i="36" s="1"/>
  <c r="L96" i="49"/>
  <c r="A97" i="36"/>
  <c r="A263" i="36" s="1"/>
  <c r="J97" i="36"/>
  <c r="K97" i="36"/>
  <c r="K97" i="49" s="1"/>
  <c r="C221" i="37"/>
  <c r="B98" i="36"/>
  <c r="B264" i="36" s="1"/>
  <c r="L97" i="36"/>
  <c r="J97" i="49" l="1"/>
  <c r="V97" i="36"/>
  <c r="L263" i="36"/>
  <c r="V263" i="36" s="1"/>
  <c r="L97" i="49"/>
  <c r="A98" i="36"/>
  <c r="A264" i="36" s="1"/>
  <c r="J98" i="36"/>
  <c r="K98" i="36"/>
  <c r="K98" i="49" s="1"/>
  <c r="C222" i="37"/>
  <c r="B99" i="36"/>
  <c r="B265" i="36" s="1"/>
  <c r="L98" i="36"/>
  <c r="J98" i="49" l="1"/>
  <c r="V98" i="36"/>
  <c r="L264" i="36"/>
  <c r="V264" i="36" s="1"/>
  <c r="L98" i="49"/>
  <c r="A99" i="36"/>
  <c r="A265" i="36" s="1"/>
  <c r="J99" i="36"/>
  <c r="K99" i="36"/>
  <c r="K99" i="49" s="1"/>
  <c r="E222" i="37"/>
  <c r="F16" i="37" s="1"/>
  <c r="G16" i="37" s="1"/>
  <c r="C223" i="37" s="1"/>
  <c r="D222" i="37"/>
  <c r="I15" i="37" s="1"/>
  <c r="J15" i="37" s="1"/>
  <c r="B100" i="36"/>
  <c r="B266" i="36" s="1"/>
  <c r="L99" i="36"/>
  <c r="J99" i="49" l="1"/>
  <c r="V99" i="36"/>
  <c r="L265" i="36"/>
  <c r="V265" i="36" s="1"/>
  <c r="L99" i="49"/>
  <c r="A100" i="36"/>
  <c r="A266" i="36" s="1"/>
  <c r="J100" i="36"/>
  <c r="K100" i="36"/>
  <c r="K100" i="49" s="1"/>
  <c r="C224" i="37"/>
  <c r="B101" i="36"/>
  <c r="B267" i="36" s="1"/>
  <c r="L100" i="36"/>
  <c r="J100" i="49" l="1"/>
  <c r="V100" i="36"/>
  <c r="L266" i="36"/>
  <c r="V266" i="36" s="1"/>
  <c r="L100" i="49"/>
  <c r="A101" i="36"/>
  <c r="A267" i="36" s="1"/>
  <c r="J101" i="36"/>
  <c r="K101" i="36"/>
  <c r="K101" i="49" s="1"/>
  <c r="C225" i="37"/>
  <c r="B102" i="36"/>
  <c r="B268" i="36" s="1"/>
  <c r="L101" i="36"/>
  <c r="J101" i="49" l="1"/>
  <c r="V101" i="36"/>
  <c r="L267" i="36"/>
  <c r="L101" i="49"/>
  <c r="A102" i="36"/>
  <c r="A268" i="36" s="1"/>
  <c r="J102" i="36"/>
  <c r="K102" i="36"/>
  <c r="K102" i="49" s="1"/>
  <c r="C226" i="37"/>
  <c r="B103" i="36"/>
  <c r="B269" i="36" s="1"/>
  <c r="L102" i="36"/>
  <c r="J102" i="49" l="1"/>
  <c r="V102" i="36"/>
  <c r="L268" i="36"/>
  <c r="V268" i="36" s="1"/>
  <c r="L102" i="49"/>
  <c r="A103" i="36"/>
  <c r="A269" i="36" s="1"/>
  <c r="J103" i="36"/>
  <c r="K103" i="36"/>
  <c r="K103" i="49" s="1"/>
  <c r="C227" i="37"/>
  <c r="B104" i="36"/>
  <c r="B270" i="36" s="1"/>
  <c r="L103" i="36"/>
  <c r="J103" i="49" l="1"/>
  <c r="V103" i="36"/>
  <c r="L269" i="36"/>
  <c r="V269" i="36" s="1"/>
  <c r="L103" i="49"/>
  <c r="A104" i="36"/>
  <c r="A270" i="36" s="1"/>
  <c r="J104" i="36"/>
  <c r="K104" i="36"/>
  <c r="K104" i="49" s="1"/>
  <c r="C228" i="37"/>
  <c r="B105" i="36"/>
  <c r="B271" i="36" s="1"/>
  <c r="L104" i="36"/>
  <c r="J104" i="49" l="1"/>
  <c r="V104" i="36"/>
  <c r="L270" i="36"/>
  <c r="V270" i="36" s="1"/>
  <c r="L104" i="49"/>
  <c r="A105" i="36"/>
  <c r="A271" i="36" s="1"/>
  <c r="J105" i="36"/>
  <c r="K105" i="36"/>
  <c r="K105" i="49" s="1"/>
  <c r="C229" i="37"/>
  <c r="B106" i="36"/>
  <c r="B272" i="36" s="1"/>
  <c r="L105" i="36"/>
  <c r="J105" i="49" l="1"/>
  <c r="V105" i="36"/>
  <c r="L271" i="36"/>
  <c r="V271" i="36" s="1"/>
  <c r="L105" i="49"/>
  <c r="A106" i="36"/>
  <c r="A272" i="36" s="1"/>
  <c r="J106" i="36"/>
  <c r="K106" i="36"/>
  <c r="K106" i="49" s="1"/>
  <c r="C230" i="37"/>
  <c r="B107" i="36"/>
  <c r="B273" i="36" s="1"/>
  <c r="L106" i="36"/>
  <c r="J106" i="49" l="1"/>
  <c r="V106" i="36"/>
  <c r="L272" i="36"/>
  <c r="V272" i="36" s="1"/>
  <c r="L106" i="49"/>
  <c r="A107" i="36"/>
  <c r="A273" i="36" s="1"/>
  <c r="J107" i="36"/>
  <c r="K107" i="36"/>
  <c r="K107" i="49" s="1"/>
  <c r="C231" i="37"/>
  <c r="B108" i="36"/>
  <c r="B274" i="36" s="1"/>
  <c r="L107" i="36"/>
  <c r="J107" i="49" l="1"/>
  <c r="V107" i="36"/>
  <c r="L273" i="36"/>
  <c r="V273" i="36" s="1"/>
  <c r="L107" i="49"/>
  <c r="A108" i="36"/>
  <c r="A274" i="36" s="1"/>
  <c r="J108" i="36"/>
  <c r="K108" i="36"/>
  <c r="K108" i="49" s="1"/>
  <c r="C232" i="37"/>
  <c r="B109" i="36"/>
  <c r="B275" i="36" s="1"/>
  <c r="L108" i="36"/>
  <c r="J108" i="49" l="1"/>
  <c r="V108" i="36"/>
  <c r="L274" i="36"/>
  <c r="V274" i="36" s="1"/>
  <c r="L108" i="49"/>
  <c r="A109" i="36"/>
  <c r="A275" i="36" s="1"/>
  <c r="J109" i="36"/>
  <c r="K109" i="36"/>
  <c r="K109" i="49" s="1"/>
  <c r="C233" i="37"/>
  <c r="B110" i="36"/>
  <c r="B276" i="36" s="1"/>
  <c r="L109" i="36"/>
  <c r="J109" i="49" l="1"/>
  <c r="V109" i="36"/>
  <c r="L275" i="36"/>
  <c r="V275" i="36" s="1"/>
  <c r="L109" i="49"/>
  <c r="A110" i="36"/>
  <c r="A276" i="36" s="1"/>
  <c r="J110" i="36"/>
  <c r="K110" i="36"/>
  <c r="K110" i="49" s="1"/>
  <c r="C234" i="37"/>
  <c r="B111" i="36"/>
  <c r="B277" i="36" s="1"/>
  <c r="L110" i="36"/>
  <c r="J110" i="49" l="1"/>
  <c r="V110" i="36"/>
  <c r="L276" i="36"/>
  <c r="V276" i="36" s="1"/>
  <c r="L110" i="49"/>
  <c r="A111" i="36"/>
  <c r="A277" i="36" s="1"/>
  <c r="J111" i="36"/>
  <c r="K111" i="36"/>
  <c r="K111" i="49" s="1"/>
  <c r="E234" i="37"/>
  <c r="D234" i="37"/>
  <c r="I16" i="37" s="1"/>
  <c r="J16" i="37" s="1"/>
  <c r="B112" i="36"/>
  <c r="B278" i="36" s="1"/>
  <c r="L111" i="36"/>
  <c r="J111" i="49" l="1"/>
  <c r="V111" i="36"/>
  <c r="L277" i="36"/>
  <c r="V277" i="36" s="1"/>
  <c r="L111" i="49"/>
  <c r="A112" i="36"/>
  <c r="A278" i="36" s="1"/>
  <c r="J112" i="36"/>
  <c r="K112" i="36"/>
  <c r="K112" i="49" s="1"/>
  <c r="F17" i="37"/>
  <c r="G17" i="37" s="1"/>
  <c r="C235" i="37" s="1"/>
  <c r="B113" i="36"/>
  <c r="B279" i="36" s="1"/>
  <c r="L112" i="36"/>
  <c r="J112" i="49" l="1"/>
  <c r="V112" i="36"/>
  <c r="L278" i="36"/>
  <c r="V278" i="36" s="1"/>
  <c r="L112" i="49"/>
  <c r="A113" i="36"/>
  <c r="A279" i="36" s="1"/>
  <c r="J113" i="36"/>
  <c r="K113" i="36"/>
  <c r="K113" i="49" s="1"/>
  <c r="C236" i="37"/>
  <c r="B114" i="36"/>
  <c r="B280" i="36" s="1"/>
  <c r="L113" i="36"/>
  <c r="J113" i="49" l="1"/>
  <c r="V113" i="36"/>
  <c r="L279" i="36"/>
  <c r="L113" i="49"/>
  <c r="A114" i="36"/>
  <c r="A280" i="36" s="1"/>
  <c r="J114" i="36"/>
  <c r="K114" i="36"/>
  <c r="K114" i="49" s="1"/>
  <c r="C237" i="37"/>
  <c r="B115" i="36"/>
  <c r="B281" i="36" s="1"/>
  <c r="L114" i="36"/>
  <c r="L114" i="49" s="1"/>
  <c r="J114" i="49" l="1"/>
  <c r="V114" i="36"/>
  <c r="L280" i="36"/>
  <c r="V280" i="36" s="1"/>
  <c r="A115" i="36"/>
  <c r="A281" i="36" s="1"/>
  <c r="J115" i="36"/>
  <c r="K115" i="36"/>
  <c r="K115" i="49" s="1"/>
  <c r="C238" i="37"/>
  <c r="B116" i="36"/>
  <c r="B282" i="36" s="1"/>
  <c r="L115" i="36"/>
  <c r="J115" i="49" l="1"/>
  <c r="V115" i="36"/>
  <c r="L281" i="36"/>
  <c r="V281" i="36" s="1"/>
  <c r="L115" i="49"/>
  <c r="A116" i="36"/>
  <c r="A282" i="36" s="1"/>
  <c r="J116" i="36"/>
  <c r="K116" i="36"/>
  <c r="K116" i="49" s="1"/>
  <c r="C239" i="37"/>
  <c r="B117" i="36"/>
  <c r="B283" i="36" s="1"/>
  <c r="L116" i="36"/>
  <c r="J116" i="49" l="1"/>
  <c r="V116" i="36"/>
  <c r="L282" i="36"/>
  <c r="V282" i="36" s="1"/>
  <c r="L116" i="49"/>
  <c r="A117" i="36"/>
  <c r="A283" i="36" s="1"/>
  <c r="J117" i="36"/>
  <c r="K117" i="36"/>
  <c r="K117" i="49" s="1"/>
  <c r="C240" i="37"/>
  <c r="B118" i="36"/>
  <c r="B284" i="36" s="1"/>
  <c r="L117" i="36"/>
  <c r="J117" i="49" l="1"/>
  <c r="V117" i="36"/>
  <c r="L283" i="36"/>
  <c r="V283" i="36" s="1"/>
  <c r="L117" i="49"/>
  <c r="A118" i="36"/>
  <c r="A284" i="36" s="1"/>
  <c r="J118" i="36"/>
  <c r="K118" i="36"/>
  <c r="K118" i="49" s="1"/>
  <c r="C241" i="37"/>
  <c r="B119" i="36"/>
  <c r="B285" i="36" s="1"/>
  <c r="L118" i="36"/>
  <c r="J118" i="49" l="1"/>
  <c r="V118" i="36"/>
  <c r="L284" i="36"/>
  <c r="V284" i="36" s="1"/>
  <c r="L118" i="49"/>
  <c r="A119" i="36"/>
  <c r="A285" i="36" s="1"/>
  <c r="J119" i="36"/>
  <c r="K119" i="36"/>
  <c r="K119" i="49" s="1"/>
  <c r="C242" i="37"/>
  <c r="B120" i="36"/>
  <c r="B286" i="36" s="1"/>
  <c r="L119" i="36"/>
  <c r="J119" i="49" l="1"/>
  <c r="V119" i="36"/>
  <c r="L285" i="36"/>
  <c r="V285" i="36" s="1"/>
  <c r="L119" i="49"/>
  <c r="A120" i="36"/>
  <c r="A286" i="36" s="1"/>
  <c r="J120" i="36"/>
  <c r="K120" i="36"/>
  <c r="K120" i="49" s="1"/>
  <c r="C243" i="37"/>
  <c r="B121" i="36"/>
  <c r="B287" i="36" s="1"/>
  <c r="L120" i="36"/>
  <c r="J120" i="49" l="1"/>
  <c r="V120" i="36"/>
  <c r="L286" i="36"/>
  <c r="V286" i="36" s="1"/>
  <c r="L120" i="49"/>
  <c r="A121" i="36"/>
  <c r="A287" i="36" s="1"/>
  <c r="J121" i="36"/>
  <c r="K121" i="36"/>
  <c r="K121" i="49" s="1"/>
  <c r="C244" i="37"/>
  <c r="B122" i="36"/>
  <c r="B288" i="36" s="1"/>
  <c r="L121" i="36"/>
  <c r="J121" i="49" l="1"/>
  <c r="V121" i="36"/>
  <c r="L287" i="36"/>
  <c r="V287" i="36" s="1"/>
  <c r="L121" i="49"/>
  <c r="A122" i="36"/>
  <c r="A288" i="36" s="1"/>
  <c r="J122" i="36"/>
  <c r="K122" i="36"/>
  <c r="K122" i="49" s="1"/>
  <c r="C245" i="37"/>
  <c r="B123" i="36"/>
  <c r="B289" i="36" s="1"/>
  <c r="L122" i="36"/>
  <c r="J122" i="49" l="1"/>
  <c r="V122" i="36"/>
  <c r="L288" i="36"/>
  <c r="V288" i="36" s="1"/>
  <c r="L122" i="49"/>
  <c r="A123" i="36"/>
  <c r="A289" i="36" s="1"/>
  <c r="J123" i="36"/>
  <c r="K123" i="36"/>
  <c r="K123" i="49" s="1"/>
  <c r="C246" i="37"/>
  <c r="B124" i="36"/>
  <c r="B290" i="36" s="1"/>
  <c r="L123" i="36"/>
  <c r="J123" i="49" l="1"/>
  <c r="V123" i="36"/>
  <c r="L289" i="36"/>
  <c r="V289" i="36" s="1"/>
  <c r="L123" i="49"/>
  <c r="A124" i="36"/>
  <c r="A290" i="36" s="1"/>
  <c r="J124" i="36"/>
  <c r="K124" i="36"/>
  <c r="K124" i="49" s="1"/>
  <c r="E246" i="37"/>
  <c r="D246" i="37"/>
  <c r="I17" i="37" s="1"/>
  <c r="J17" i="37" s="1"/>
  <c r="B125" i="36"/>
  <c r="L124" i="36"/>
  <c r="J124" i="49" l="1"/>
  <c r="V124" i="36"/>
  <c r="L290" i="36"/>
  <c r="V290" i="36" s="1"/>
  <c r="L124" i="49"/>
  <c r="A125" i="36"/>
  <c r="B291" i="36"/>
  <c r="K125" i="36"/>
  <c r="F18" i="37"/>
  <c r="G18" i="37" s="1"/>
  <c r="C247" i="37" s="1"/>
  <c r="B126" i="36"/>
  <c r="L125" i="36"/>
  <c r="L126" i="36" l="1"/>
  <c r="B292" i="36"/>
  <c r="L126" i="49"/>
  <c r="K125" i="49"/>
  <c r="K151" i="36"/>
  <c r="C10" i="56"/>
  <c r="C9" i="56"/>
  <c r="C12" i="56"/>
  <c r="C8" i="56"/>
  <c r="C11" i="56"/>
  <c r="C7" i="56"/>
  <c r="C4" i="56"/>
  <c r="C3" i="56"/>
  <c r="C6" i="56"/>
  <c r="C5" i="56"/>
  <c r="L125" i="49"/>
  <c r="L291" i="36"/>
  <c r="A291" i="36"/>
  <c r="J16" i="39"/>
  <c r="L16" i="39"/>
  <c r="K16" i="39"/>
  <c r="J28" i="39"/>
  <c r="L28" i="39"/>
  <c r="M28" i="39"/>
  <c r="K28" i="39"/>
  <c r="N28" i="39"/>
  <c r="M16" i="39"/>
  <c r="N16" i="39"/>
  <c r="A126" i="36"/>
  <c r="A292" i="36" s="1"/>
  <c r="C248" i="37"/>
  <c r="B127" i="36"/>
  <c r="B293" i="36" s="1"/>
  <c r="AD176" i="36" l="1"/>
  <c r="AD180" i="36"/>
  <c r="AD172" i="36"/>
  <c r="AD175" i="36"/>
  <c r="AD181" i="36"/>
  <c r="AD179" i="36"/>
  <c r="AD174" i="36"/>
  <c r="AD173" i="36"/>
  <c r="AD177" i="36"/>
  <c r="AD178" i="36"/>
  <c r="L292" i="36"/>
  <c r="V292" i="36" s="1"/>
  <c r="V126" i="36"/>
  <c r="M17" i="39"/>
  <c r="M19" i="39" s="1"/>
  <c r="M23" i="39" s="1"/>
  <c r="N17" i="39"/>
  <c r="N19" i="39" s="1"/>
  <c r="N23" i="39" s="1"/>
  <c r="K17" i="39"/>
  <c r="K19" i="39" s="1"/>
  <c r="K23" i="39" s="1"/>
  <c r="L17" i="39"/>
  <c r="L19" i="39" s="1"/>
  <c r="L23" i="39" s="1"/>
  <c r="J17" i="39"/>
  <c r="J19" i="39" s="1"/>
  <c r="J23" i="39" s="1"/>
  <c r="L127" i="36"/>
  <c r="A127" i="36"/>
  <c r="A293" i="36" s="1"/>
  <c r="C249" i="37"/>
  <c r="B128" i="36"/>
  <c r="A128" i="36" l="1"/>
  <c r="A294" i="36" s="1"/>
  <c r="B294" i="36"/>
  <c r="L293" i="36"/>
  <c r="V293" i="36" s="1"/>
  <c r="V127" i="36"/>
  <c r="L127" i="49"/>
  <c r="M25" i="39"/>
  <c r="M27" i="39" s="1"/>
  <c r="K25" i="39"/>
  <c r="K27" i="39" s="1"/>
  <c r="N25" i="39"/>
  <c r="N27" i="39" s="1"/>
  <c r="J25" i="39"/>
  <c r="J27" i="39" s="1"/>
  <c r="L25" i="39"/>
  <c r="L27" i="39" s="1"/>
  <c r="C250" i="37"/>
  <c r="B129" i="36"/>
  <c r="L128" i="36"/>
  <c r="L294" i="36" l="1"/>
  <c r="V294" i="36" s="1"/>
  <c r="V128" i="36"/>
  <c r="A129" i="36"/>
  <c r="A295" i="36" s="1"/>
  <c r="B295" i="36"/>
  <c r="L128" i="49"/>
  <c r="C251" i="37"/>
  <c r="B130" i="36"/>
  <c r="L129" i="36"/>
  <c r="A130" i="36" l="1"/>
  <c r="A296" i="36" s="1"/>
  <c r="B296" i="36"/>
  <c r="L295" i="36"/>
  <c r="V295" i="36" s="1"/>
  <c r="V129" i="36"/>
  <c r="L129" i="49"/>
  <c r="C252" i="37"/>
  <c r="B131" i="36"/>
  <c r="L130" i="36"/>
  <c r="A131" i="36" l="1"/>
  <c r="A297" i="36" s="1"/>
  <c r="B297" i="36"/>
  <c r="L296" i="36"/>
  <c r="V296" i="36" s="1"/>
  <c r="V130" i="36"/>
  <c r="L130" i="49"/>
  <c r="C253" i="37"/>
  <c r="B132" i="36"/>
  <c r="L131" i="36"/>
  <c r="A132" i="36" l="1"/>
  <c r="A298" i="36" s="1"/>
  <c r="B298" i="36"/>
  <c r="L297" i="36"/>
  <c r="V297" i="36" s="1"/>
  <c r="V131" i="36"/>
  <c r="L131" i="49"/>
  <c r="C254" i="37"/>
  <c r="B133" i="36"/>
  <c r="L132" i="36"/>
  <c r="A133" i="36" l="1"/>
  <c r="A299" i="36" s="1"/>
  <c r="B299" i="36"/>
  <c r="L298" i="36"/>
  <c r="V298" i="36" s="1"/>
  <c r="V132" i="36"/>
  <c r="L132" i="49"/>
  <c r="C255" i="37"/>
  <c r="B134" i="36"/>
  <c r="L133" i="36"/>
  <c r="A134" i="36" l="1"/>
  <c r="A300" i="36" s="1"/>
  <c r="B300" i="36"/>
  <c r="L299" i="36"/>
  <c r="V299" i="36" s="1"/>
  <c r="V133" i="36"/>
  <c r="L133" i="49"/>
  <c r="C256" i="37"/>
  <c r="B135" i="36"/>
  <c r="L134" i="36"/>
  <c r="A135" i="36" l="1"/>
  <c r="A301" i="36" s="1"/>
  <c r="B301" i="36"/>
  <c r="L300" i="36"/>
  <c r="V300" i="36" s="1"/>
  <c r="V134" i="36"/>
  <c r="L134" i="49"/>
  <c r="C257" i="37"/>
  <c r="B136" i="36"/>
  <c r="L135" i="36"/>
  <c r="A136" i="36" l="1"/>
  <c r="A302" i="36" s="1"/>
  <c r="B302" i="36"/>
  <c r="L301" i="36"/>
  <c r="V301" i="36" s="1"/>
  <c r="V135" i="36"/>
  <c r="L135" i="49"/>
  <c r="C258" i="37"/>
  <c r="B137" i="36"/>
  <c r="L136" i="36"/>
  <c r="A137" i="36" l="1"/>
  <c r="B303" i="36"/>
  <c r="L302" i="36"/>
  <c r="V302" i="36" s="1"/>
  <c r="V136" i="36"/>
  <c r="L136" i="49"/>
  <c r="E258" i="37"/>
  <c r="F19" i="37" s="1"/>
  <c r="G19" i="37" s="1"/>
  <c r="C259" i="37" s="1"/>
  <c r="D258" i="37"/>
  <c r="I18" i="37" s="1"/>
  <c r="J18" i="37" s="1"/>
  <c r="B138" i="36"/>
  <c r="L137" i="36"/>
  <c r="L137" i="49" l="1"/>
  <c r="L303" i="36"/>
  <c r="V137" i="36"/>
  <c r="A303" i="36"/>
  <c r="AD182" i="36" s="1"/>
  <c r="C28" i="39"/>
  <c r="D28" i="39"/>
  <c r="C16" i="39"/>
  <c r="C17" i="39" s="1"/>
  <c r="C25" i="39" s="1"/>
  <c r="F16" i="39"/>
  <c r="E16" i="39"/>
  <c r="E28" i="39"/>
  <c r="I28" i="39" s="1"/>
  <c r="G28" i="39"/>
  <c r="G16" i="39"/>
  <c r="G17" i="39" s="1"/>
  <c r="G25" i="39" s="1"/>
  <c r="F28" i="39"/>
  <c r="D16" i="39"/>
  <c r="D17" i="39" s="1"/>
  <c r="D25" i="39" s="1"/>
  <c r="A138" i="36"/>
  <c r="A154" i="36" s="1"/>
  <c r="B154" i="36"/>
  <c r="C260" i="37"/>
  <c r="B139" i="36"/>
  <c r="L138" i="36"/>
  <c r="V138" i="36" s="1"/>
  <c r="H28" i="39" l="1"/>
  <c r="E17" i="39"/>
  <c r="I16" i="39"/>
  <c r="E25" i="39"/>
  <c r="H25" i="39" s="1"/>
  <c r="I25" i="39" s="1"/>
  <c r="F17" i="39"/>
  <c r="F25" i="39" s="1"/>
  <c r="F120" i="45"/>
  <c r="L138" i="49"/>
  <c r="K120" i="45"/>
  <c r="L154" i="36"/>
  <c r="V154" i="36" s="1"/>
  <c r="A139" i="36"/>
  <c r="A155" i="36" s="1"/>
  <c r="B155" i="36"/>
  <c r="C261" i="37"/>
  <c r="I138" i="45"/>
  <c r="B140" i="36"/>
  <c r="L139" i="36"/>
  <c r="I17" i="39" l="1"/>
  <c r="L139" i="49"/>
  <c r="V139" i="36"/>
  <c r="K138" i="45"/>
  <c r="K121" i="45"/>
  <c r="F121" i="45"/>
  <c r="A140" i="36"/>
  <c r="A156" i="36" s="1"/>
  <c r="B156" i="36"/>
  <c r="L155" i="36"/>
  <c r="V155" i="36" s="1"/>
  <c r="K139" i="45" s="1"/>
  <c r="I139" i="45"/>
  <c r="C262" i="37"/>
  <c r="B141" i="36"/>
  <c r="L140" i="36"/>
  <c r="L140" i="49" l="1"/>
  <c r="V140" i="36"/>
  <c r="K122" i="45" s="1"/>
  <c r="F122" i="45"/>
  <c r="L156" i="36"/>
  <c r="V156" i="36" s="1"/>
  <c r="K140" i="45" s="1"/>
  <c r="A141" i="36"/>
  <c r="A157" i="36" s="1"/>
  <c r="B157" i="36"/>
  <c r="C263" i="37"/>
  <c r="I140" i="45"/>
  <c r="B142" i="36"/>
  <c r="L141" i="36"/>
  <c r="L141" i="49" l="1"/>
  <c r="V141" i="36"/>
  <c r="K123" i="45" s="1"/>
  <c r="F123" i="45"/>
  <c r="A142" i="36"/>
  <c r="A158" i="36" s="1"/>
  <c r="B158" i="36"/>
  <c r="L157" i="36"/>
  <c r="V157" i="36" s="1"/>
  <c r="K141" i="45" s="1"/>
  <c r="I141" i="45"/>
  <c r="C264" i="37"/>
  <c r="B143" i="36"/>
  <c r="B159" i="36" s="1"/>
  <c r="L142" i="36"/>
  <c r="L142" i="49" l="1"/>
  <c r="V142" i="36"/>
  <c r="K124" i="45" s="1"/>
  <c r="F124" i="45"/>
  <c r="L158" i="36"/>
  <c r="V158" i="36" s="1"/>
  <c r="K142" i="45" s="1"/>
  <c r="L143" i="36"/>
  <c r="A143" i="36"/>
  <c r="A159" i="36" s="1"/>
  <c r="I142" i="45"/>
  <c r="C265" i="37"/>
  <c r="B144" i="36"/>
  <c r="L143" i="49" l="1"/>
  <c r="V143" i="36"/>
  <c r="K125" i="45" s="1"/>
  <c r="F125" i="45"/>
  <c r="L159" i="36"/>
  <c r="V159" i="36" s="1"/>
  <c r="K143" i="45" s="1"/>
  <c r="A144" i="36"/>
  <c r="A160" i="36" s="1"/>
  <c r="B160" i="36"/>
  <c r="I143" i="45"/>
  <c r="C266" i="37"/>
  <c r="B145" i="36"/>
  <c r="L144" i="36"/>
  <c r="L144" i="49" l="1"/>
  <c r="V144" i="36"/>
  <c r="K126" i="45" s="1"/>
  <c r="F126" i="45"/>
  <c r="L160" i="36"/>
  <c r="V160" i="36" s="1"/>
  <c r="K144" i="45" s="1"/>
  <c r="A145" i="36"/>
  <c r="A161" i="36" s="1"/>
  <c r="B161" i="36"/>
  <c r="C267" i="37"/>
  <c r="I144" i="45"/>
  <c r="B146" i="36"/>
  <c r="L145" i="36"/>
  <c r="L145" i="49" l="1"/>
  <c r="V145" i="36"/>
  <c r="K127" i="45" s="1"/>
  <c r="F127" i="45"/>
  <c r="A146" i="36"/>
  <c r="A162" i="36" s="1"/>
  <c r="B162" i="36"/>
  <c r="L161" i="36"/>
  <c r="V161" i="36" s="1"/>
  <c r="K145" i="45" s="1"/>
  <c r="I145" i="45"/>
  <c r="C268" i="37"/>
  <c r="B147" i="36"/>
  <c r="L146" i="36"/>
  <c r="L146" i="49" l="1"/>
  <c r="V146" i="36"/>
  <c r="K128" i="45"/>
  <c r="F128" i="45"/>
  <c r="L162" i="36"/>
  <c r="V162" i="36" s="1"/>
  <c r="K146" i="45" s="1"/>
  <c r="A147" i="36"/>
  <c r="A163" i="36" s="1"/>
  <c r="B163" i="36"/>
  <c r="I146" i="45"/>
  <c r="C269" i="37"/>
  <c r="B148" i="36"/>
  <c r="L147" i="36"/>
  <c r="L147" i="49" l="1"/>
  <c r="V147" i="36"/>
  <c r="K129" i="45"/>
  <c r="F129" i="45"/>
  <c r="A148" i="36"/>
  <c r="A164" i="36" s="1"/>
  <c r="B164" i="36"/>
  <c r="L163" i="36"/>
  <c r="V163" i="36" s="1"/>
  <c r="K147" i="45" s="1"/>
  <c r="I147" i="45"/>
  <c r="C270" i="37"/>
  <c r="B149" i="36"/>
  <c r="L148" i="36"/>
  <c r="L148" i="49" l="1"/>
  <c r="V148" i="36"/>
  <c r="K130" i="45" s="1"/>
  <c r="F130" i="45"/>
  <c r="L164" i="36"/>
  <c r="V164" i="36" s="1"/>
  <c r="K148" i="45" s="1"/>
  <c r="A149" i="36"/>
  <c r="B165" i="36"/>
  <c r="I148" i="45"/>
  <c r="E270" i="37"/>
  <c r="D270" i="37"/>
  <c r="I19" i="37" s="1"/>
  <c r="J19" i="37" s="1"/>
  <c r="L149" i="36"/>
  <c r="V149" i="36" s="1"/>
  <c r="AC38" i="36" s="1"/>
  <c r="B13" i="38" l="1"/>
  <c r="AC42" i="36"/>
  <c r="AC45" i="36"/>
  <c r="AC46" i="36"/>
  <c r="AC40" i="36"/>
  <c r="AC43" i="36"/>
  <c r="AC49" i="36"/>
  <c r="AC41" i="36"/>
  <c r="AC39" i="36"/>
  <c r="AC48" i="36"/>
  <c r="AC44" i="36"/>
  <c r="F131" i="45"/>
  <c r="L149" i="49"/>
  <c r="B6" i="38"/>
  <c r="B5" i="38"/>
  <c r="B3" i="38"/>
  <c r="B10" i="38"/>
  <c r="B4" i="38"/>
  <c r="B7" i="38"/>
  <c r="B11" i="38"/>
  <c r="B9" i="38"/>
  <c r="B8" i="38"/>
  <c r="B12" i="38"/>
  <c r="L151" i="36"/>
  <c r="A165" i="36"/>
  <c r="L165" i="36"/>
  <c r="I149" i="45"/>
  <c r="AD64" i="36" l="1"/>
  <c r="AC50" i="36"/>
  <c r="C13" i="38"/>
  <c r="B13" i="56"/>
  <c r="B10" i="56"/>
  <c r="D10" i="56"/>
  <c r="D3" i="56"/>
  <c r="B3" i="56"/>
  <c r="B12" i="56"/>
  <c r="D12" i="56"/>
  <c r="D5" i="56"/>
  <c r="B5" i="56"/>
  <c r="B8" i="56"/>
  <c r="D8" i="56"/>
  <c r="B6" i="56"/>
  <c r="D6" i="56"/>
  <c r="D7" i="56"/>
  <c r="B7" i="56"/>
  <c r="B4" i="56"/>
  <c r="D4" i="56"/>
  <c r="B9" i="56"/>
  <c r="D9" i="56"/>
  <c r="D11" i="56"/>
  <c r="B11" i="56"/>
  <c r="C9" i="38"/>
  <c r="C11" i="38"/>
  <c r="C7" i="38"/>
  <c r="C8" i="38"/>
  <c r="C12" i="38"/>
  <c r="C10" i="38"/>
  <c r="C3" i="38"/>
  <c r="C5" i="38"/>
  <c r="C4" i="38"/>
  <c r="C6" i="38"/>
  <c r="C19" i="38" l="1"/>
  <c r="C21" i="38"/>
  <c r="E10" i="56"/>
  <c r="E26" i="56" s="1"/>
  <c r="E9" i="56"/>
  <c r="E25" i="56" s="1"/>
  <c r="E5" i="56"/>
  <c r="E21" i="56" s="1"/>
  <c r="E11" i="56"/>
  <c r="E27" i="56" s="1"/>
  <c r="E6" i="56"/>
  <c r="E22" i="56" s="1"/>
  <c r="E4" i="56"/>
  <c r="E20" i="56" s="1"/>
  <c r="E8" i="56"/>
  <c r="E24" i="56" s="1"/>
  <c r="E7" i="56"/>
  <c r="E23" i="56" s="1"/>
  <c r="E3" i="56"/>
  <c r="E19" i="56" s="1"/>
  <c r="F139" i="45"/>
  <c r="F138" i="45"/>
  <c r="F140" i="45" l="1"/>
  <c r="F141" i="45" l="1"/>
  <c r="F142" i="45" l="1"/>
  <c r="F143" i="45" l="1"/>
  <c r="F144" i="45" l="1"/>
  <c r="F145" i="45" l="1"/>
  <c r="F146" i="45" l="1"/>
  <c r="F147" i="45" l="1"/>
  <c r="F148" i="45" l="1"/>
  <c r="F149" i="45" l="1"/>
  <c r="AM46" i="36" l="1"/>
  <c r="AM43" i="36"/>
  <c r="AM40" i="36"/>
  <c r="J174" i="37" l="1"/>
  <c r="K174" i="37" s="1"/>
  <c r="G174" i="37" s="1"/>
  <c r="J163" i="37"/>
  <c r="K163" i="37" s="1"/>
  <c r="G163" i="37" s="1"/>
  <c r="J164" i="37"/>
  <c r="K164" i="37" s="1"/>
  <c r="G164" i="37" s="1"/>
  <c r="J169" i="37"/>
  <c r="K169" i="37" s="1"/>
  <c r="G169" i="37" s="1"/>
  <c r="J172" i="37"/>
  <c r="K172" i="37" s="1"/>
  <c r="G172" i="37" s="1"/>
  <c r="J173" i="37"/>
  <c r="K173" i="37" s="1"/>
  <c r="G173" i="37" s="1"/>
  <c r="J165" i="37"/>
  <c r="K165" i="37" s="1"/>
  <c r="G165" i="37" s="1"/>
  <c r="J166" i="37"/>
  <c r="K166" i="37" s="1"/>
  <c r="G166" i="37" s="1"/>
  <c r="J167" i="37"/>
  <c r="K167" i="37" s="1"/>
  <c r="G167" i="37" s="1"/>
  <c r="J168" i="37"/>
  <c r="K168" i="37" s="1"/>
  <c r="G168" i="37" s="1"/>
  <c r="J170" i="37"/>
  <c r="K170" i="37" s="1"/>
  <c r="G170" i="37" s="1"/>
  <c r="J171" i="37"/>
  <c r="K171" i="37" s="1"/>
  <c r="G171" i="37" s="1"/>
  <c r="J158" i="37"/>
  <c r="K158" i="37" s="1"/>
  <c r="G158" i="37" s="1"/>
  <c r="J159" i="37"/>
  <c r="K159" i="37" s="1"/>
  <c r="G159" i="37" s="1"/>
  <c r="J160" i="37"/>
  <c r="K160" i="37" s="1"/>
  <c r="G160" i="37" s="1"/>
  <c r="J154" i="37"/>
  <c r="K154" i="37" s="1"/>
  <c r="G154" i="37" s="1"/>
  <c r="J156" i="37"/>
  <c r="K156" i="37" s="1"/>
  <c r="G156" i="37" s="1"/>
  <c r="J161" i="37"/>
  <c r="K161" i="37" s="1"/>
  <c r="G161" i="37" s="1"/>
  <c r="J162" i="37"/>
  <c r="K162" i="37" s="1"/>
  <c r="G162" i="37" s="1"/>
  <c r="J155" i="37"/>
  <c r="K155" i="37" s="1"/>
  <c r="G155" i="37" s="1"/>
  <c r="J151" i="37"/>
  <c r="K151" i="37" s="1"/>
  <c r="G151" i="37" s="1"/>
  <c r="J152" i="37"/>
  <c r="K152" i="37" s="1"/>
  <c r="G152" i="37" s="1"/>
  <c r="J153" i="37"/>
  <c r="K153" i="37" s="1"/>
  <c r="G153" i="37" s="1"/>
  <c r="J157" i="37"/>
  <c r="K157" i="37" s="1"/>
  <c r="G157" i="37" s="1"/>
  <c r="J175" i="37"/>
  <c r="K175" i="37" s="1"/>
  <c r="G175" i="37" s="1"/>
  <c r="J176" i="37"/>
  <c r="K176" i="37" s="1"/>
  <c r="G176" i="37" s="1"/>
  <c r="J179" i="37"/>
  <c r="K179" i="37" s="1"/>
  <c r="G179" i="37" s="1"/>
  <c r="J180" i="37"/>
  <c r="K180" i="37" s="1"/>
  <c r="G180" i="37" s="1"/>
  <c r="J185" i="37"/>
  <c r="K185" i="37" s="1"/>
  <c r="G185" i="37" s="1"/>
  <c r="J177" i="37"/>
  <c r="K177" i="37" s="1"/>
  <c r="G177" i="37" s="1"/>
  <c r="J178" i="37"/>
  <c r="K178" i="37" s="1"/>
  <c r="G178" i="37" s="1"/>
  <c r="J186" i="37"/>
  <c r="K186" i="37" s="1"/>
  <c r="G186" i="37" s="1"/>
  <c r="J181" i="37"/>
  <c r="K181" i="37" s="1"/>
  <c r="G181" i="37" s="1"/>
  <c r="J182" i="37"/>
  <c r="K182" i="37" s="1"/>
  <c r="G182" i="37" s="1"/>
  <c r="J183" i="37"/>
  <c r="K183" i="37" s="1"/>
  <c r="G183" i="37" s="1"/>
  <c r="J184" i="37"/>
  <c r="K184" i="37" s="1"/>
  <c r="G184" i="37" s="1"/>
  <c r="J190" i="37"/>
  <c r="K190" i="37" s="1"/>
  <c r="G190" i="37" s="1"/>
  <c r="J191" i="37"/>
  <c r="K191" i="37" s="1"/>
  <c r="G191" i="37" s="1"/>
  <c r="J192" i="37"/>
  <c r="K192" i="37" s="1"/>
  <c r="G192" i="37" s="1"/>
  <c r="J194" i="37"/>
  <c r="K194" i="37" s="1"/>
  <c r="G194" i="37" s="1"/>
  <c r="J187" i="37"/>
  <c r="K187" i="37" s="1"/>
  <c r="G187" i="37" s="1"/>
  <c r="J189" i="37"/>
  <c r="K189" i="37" s="1"/>
  <c r="G189" i="37" s="1"/>
  <c r="J193" i="37"/>
  <c r="K193" i="37" s="1"/>
  <c r="G193" i="37" s="1"/>
  <c r="J195" i="37"/>
  <c r="K195" i="37" s="1"/>
  <c r="G195" i="37" s="1"/>
  <c r="J196" i="37"/>
  <c r="K196" i="37" s="1"/>
  <c r="G196" i="37" s="1"/>
  <c r="J197" i="37"/>
  <c r="K197" i="37" s="1"/>
  <c r="G197" i="37" s="1"/>
  <c r="J198" i="37"/>
  <c r="K198" i="37" s="1"/>
  <c r="G198" i="37" s="1"/>
  <c r="J188" i="37"/>
  <c r="K188" i="37" s="1"/>
  <c r="G188" i="37" s="1"/>
  <c r="G126" i="37"/>
  <c r="H77" i="36" l="1"/>
  <c r="H37" i="36"/>
  <c r="H74" i="36"/>
  <c r="H59" i="36"/>
  <c r="H50" i="36"/>
  <c r="H65" i="36"/>
  <c r="H58" i="36"/>
  <c r="H54" i="36"/>
  <c r="AD42" i="36" s="1"/>
  <c r="AE42" i="36" s="1"/>
  <c r="AF42" i="36" s="1"/>
  <c r="AG42" i="36" s="1"/>
  <c r="H46" i="36"/>
  <c r="H75" i="36"/>
  <c r="H36" i="36"/>
  <c r="H45" i="36"/>
  <c r="H38" i="36"/>
  <c r="H32" i="36"/>
  <c r="H44" i="36"/>
  <c r="H57" i="36"/>
  <c r="H47" i="36"/>
  <c r="H70" i="36"/>
  <c r="H31" i="36"/>
  <c r="H52" i="36"/>
  <c r="H67" i="36"/>
  <c r="H64" i="36"/>
  <c r="H73" i="36"/>
  <c r="H69" i="36"/>
  <c r="H30" i="36"/>
  <c r="H51" i="36"/>
  <c r="H33" i="36"/>
  <c r="H72" i="36"/>
  <c r="H71" i="36"/>
  <c r="H63" i="36"/>
  <c r="H34" i="36"/>
  <c r="H48" i="36"/>
  <c r="H76" i="36"/>
  <c r="H55" i="36"/>
  <c r="H62" i="36"/>
  <c r="H41" i="36"/>
  <c r="H43" i="36"/>
  <c r="H56" i="36"/>
  <c r="H68" i="36"/>
  <c r="H61" i="36"/>
  <c r="H40" i="36"/>
  <c r="H42" i="36"/>
  <c r="H39" i="36"/>
  <c r="H49" i="36"/>
  <c r="H60" i="36"/>
  <c r="H35" i="36"/>
  <c r="H53" i="36"/>
  <c r="J223" i="37"/>
  <c r="K223" i="37" s="1"/>
  <c r="G223" i="37" s="1"/>
  <c r="J224" i="37"/>
  <c r="K224" i="37" s="1"/>
  <c r="G224" i="37" s="1"/>
  <c r="J226" i="37"/>
  <c r="K226" i="37" s="1"/>
  <c r="G226" i="37" s="1"/>
  <c r="J233" i="37"/>
  <c r="K233" i="37" s="1"/>
  <c r="G233" i="37" s="1"/>
  <c r="J225" i="37"/>
  <c r="K225" i="37" s="1"/>
  <c r="G225" i="37" s="1"/>
  <c r="J227" i="37"/>
  <c r="K227" i="37" s="1"/>
  <c r="G227" i="37" s="1"/>
  <c r="J228" i="37"/>
  <c r="K228" i="37" s="1"/>
  <c r="G228" i="37" s="1"/>
  <c r="J234" i="37"/>
  <c r="K234" i="37" s="1"/>
  <c r="G234" i="37" s="1"/>
  <c r="J229" i="37"/>
  <c r="K229" i="37" s="1"/>
  <c r="G229" i="37" s="1"/>
  <c r="J230" i="37"/>
  <c r="K230" i="37" s="1"/>
  <c r="G230" i="37" s="1"/>
  <c r="J231" i="37"/>
  <c r="K231" i="37" s="1"/>
  <c r="G231" i="37" s="1"/>
  <c r="J232" i="37"/>
  <c r="K232" i="37" s="1"/>
  <c r="G232" i="37" s="1"/>
  <c r="H126" i="37"/>
  <c r="I126" i="37" s="1"/>
  <c r="H114" i="37"/>
  <c r="I114" i="37" s="1"/>
  <c r="H102" i="37"/>
  <c r="I102" i="37" s="1"/>
  <c r="AD41" i="36" l="1"/>
  <c r="AE41" i="36" s="1"/>
  <c r="AF41" i="36" s="1"/>
  <c r="AG41" i="36" s="1"/>
  <c r="AD40" i="36"/>
  <c r="AE40" i="36" s="1"/>
  <c r="AF40" i="36" s="1"/>
  <c r="AG40" i="36" s="1"/>
  <c r="H220" i="36"/>
  <c r="H208" i="36"/>
  <c r="H196" i="36"/>
  <c r="F67" i="45"/>
  <c r="H210" i="36"/>
  <c r="E76" i="45"/>
  <c r="H207" i="36"/>
  <c r="G72" i="45"/>
  <c r="H227" i="36"/>
  <c r="G67" i="45"/>
  <c r="H222" i="36"/>
  <c r="F66" i="45"/>
  <c r="H209" i="36"/>
  <c r="G73" i="45"/>
  <c r="H228" i="36"/>
  <c r="G66" i="45"/>
  <c r="H221" i="36"/>
  <c r="F73" i="45"/>
  <c r="H216" i="36"/>
  <c r="F69" i="45"/>
  <c r="H212" i="36"/>
  <c r="F71" i="45"/>
  <c r="H214" i="36"/>
  <c r="E69" i="45"/>
  <c r="H200" i="36"/>
  <c r="G76" i="45"/>
  <c r="H231" i="36"/>
  <c r="E72" i="45"/>
  <c r="H203" i="36"/>
  <c r="E67" i="45"/>
  <c r="H198" i="36"/>
  <c r="F68" i="45"/>
  <c r="H211" i="36"/>
  <c r="E71" i="45"/>
  <c r="H202" i="36"/>
  <c r="G69" i="45"/>
  <c r="H224" i="36"/>
  <c r="G74" i="45"/>
  <c r="H229" i="36"/>
  <c r="G70" i="45"/>
  <c r="H225" i="36"/>
  <c r="E68" i="45"/>
  <c r="H199" i="36"/>
  <c r="F74" i="45"/>
  <c r="H217" i="36"/>
  <c r="E70" i="45"/>
  <c r="H201" i="36"/>
  <c r="G75" i="45"/>
  <c r="H230" i="36"/>
  <c r="G71" i="45"/>
  <c r="H226" i="36"/>
  <c r="F72" i="45"/>
  <c r="H215" i="36"/>
  <c r="F75" i="45"/>
  <c r="H218" i="36"/>
  <c r="E74" i="45"/>
  <c r="H205" i="36"/>
  <c r="E66" i="45"/>
  <c r="H197" i="36"/>
  <c r="G68" i="45"/>
  <c r="H223" i="36"/>
  <c r="E73" i="45"/>
  <c r="H204" i="36"/>
  <c r="F76" i="45"/>
  <c r="H219" i="36"/>
  <c r="E75" i="45"/>
  <c r="H206" i="36"/>
  <c r="F70" i="45"/>
  <c r="H213" i="36"/>
  <c r="H74" i="45"/>
  <c r="H241" i="36"/>
  <c r="H75" i="45"/>
  <c r="H242" i="36"/>
  <c r="H73" i="45"/>
  <c r="H240" i="36"/>
  <c r="H72" i="45"/>
  <c r="H239" i="36"/>
  <c r="H70" i="45"/>
  <c r="H237" i="36"/>
  <c r="H71" i="45"/>
  <c r="H238" i="36"/>
  <c r="H76" i="45"/>
  <c r="H243" i="36"/>
  <c r="H68" i="45"/>
  <c r="H235" i="36"/>
  <c r="H66" i="45"/>
  <c r="H233" i="36"/>
  <c r="H67" i="45"/>
  <c r="H234" i="36"/>
  <c r="H69" i="45"/>
  <c r="H236" i="36"/>
  <c r="W48" i="36"/>
  <c r="X48" i="36" s="1"/>
  <c r="Y48" i="36" s="1"/>
  <c r="W61" i="36"/>
  <c r="X61" i="36" s="1"/>
  <c r="Y61" i="36" s="1"/>
  <c r="W47" i="36"/>
  <c r="X47" i="36" s="1"/>
  <c r="Y47" i="36" s="1"/>
  <c r="W74" i="36"/>
  <c r="X74" i="36" s="1"/>
  <c r="Y74" i="36" s="1"/>
  <c r="W77" i="36"/>
  <c r="X77" i="36" s="1"/>
  <c r="Y77" i="36" s="1"/>
  <c r="W57" i="36"/>
  <c r="X57" i="36" s="1"/>
  <c r="Y57" i="36" s="1"/>
  <c r="W70" i="36"/>
  <c r="X70" i="36" s="1"/>
  <c r="Y70" i="36" s="1"/>
  <c r="W76" i="36"/>
  <c r="X76" i="36" s="1"/>
  <c r="Y76" i="36" s="1"/>
  <c r="W75" i="36"/>
  <c r="X75" i="36" s="1"/>
  <c r="Y75" i="36" s="1"/>
  <c r="W46" i="36"/>
  <c r="X46" i="36" s="1"/>
  <c r="Y46" i="36" s="1"/>
  <c r="W62" i="36"/>
  <c r="X62" i="36" s="1"/>
  <c r="Y62" i="36" s="1"/>
  <c r="W72" i="36"/>
  <c r="X72" i="36" s="1"/>
  <c r="Y72" i="36" s="1"/>
  <c r="W52" i="36"/>
  <c r="X52" i="36" s="1"/>
  <c r="Y52" i="36" s="1"/>
  <c r="W49" i="36"/>
  <c r="X49" i="36" s="1"/>
  <c r="Y49" i="36" s="1"/>
  <c r="W60" i="36"/>
  <c r="X60" i="36" s="1"/>
  <c r="Y60" i="36" s="1"/>
  <c r="W51" i="36"/>
  <c r="X51" i="36" s="1"/>
  <c r="Y51" i="36" s="1"/>
  <c r="W64" i="36"/>
  <c r="X64" i="36" s="1"/>
  <c r="Y64" i="36" s="1"/>
  <c r="W59" i="36"/>
  <c r="X59" i="36" s="1"/>
  <c r="Y59" i="36" s="1"/>
  <c r="H66" i="36"/>
  <c r="AD43" i="36" s="1"/>
  <c r="AE43" i="36" s="1"/>
  <c r="AF43" i="36" s="1"/>
  <c r="AG43" i="36" s="1"/>
  <c r="W58" i="36"/>
  <c r="X58" i="36" s="1"/>
  <c r="Y58" i="36" s="1"/>
  <c r="H106" i="36"/>
  <c r="W68" i="36"/>
  <c r="X68" i="36" s="1"/>
  <c r="Y68" i="36" s="1"/>
  <c r="H107" i="36"/>
  <c r="W63" i="36"/>
  <c r="X63" i="36" s="1"/>
  <c r="Y63" i="36" s="1"/>
  <c r="W53" i="36"/>
  <c r="X53" i="36" s="1"/>
  <c r="Y53" i="36" s="1"/>
  <c r="H112" i="36"/>
  <c r="H111" i="36"/>
  <c r="H108" i="36"/>
  <c r="H105" i="36"/>
  <c r="H109" i="36"/>
  <c r="H104" i="36"/>
  <c r="W71" i="36"/>
  <c r="X71" i="36" s="1"/>
  <c r="Y71" i="36" s="1"/>
  <c r="H113" i="36"/>
  <c r="H110" i="36"/>
  <c r="H103" i="36"/>
  <c r="W65" i="36"/>
  <c r="X65" i="36" s="1"/>
  <c r="Y65" i="36" s="1"/>
  <c r="W44" i="36"/>
  <c r="X44" i="36" s="1"/>
  <c r="Y44" i="36" s="1"/>
  <c r="W73" i="36"/>
  <c r="X73" i="36" s="1"/>
  <c r="Y73" i="36" s="1"/>
  <c r="W50" i="36"/>
  <c r="X50" i="36" s="1"/>
  <c r="Y50" i="36" s="1"/>
  <c r="G65" i="45"/>
  <c r="F65" i="45"/>
  <c r="W40" i="36"/>
  <c r="X40" i="36" s="1"/>
  <c r="Y40" i="36" s="1"/>
  <c r="W36" i="36"/>
  <c r="X36" i="36" s="1"/>
  <c r="Y36" i="36" s="1"/>
  <c r="W41" i="36"/>
  <c r="X41" i="36" s="1"/>
  <c r="Y41" i="36" s="1"/>
  <c r="W39" i="36"/>
  <c r="X39" i="36" s="1"/>
  <c r="Y39" i="36" s="1"/>
  <c r="W37" i="36"/>
  <c r="X37" i="36" s="1"/>
  <c r="Y37" i="36" s="1"/>
  <c r="W38" i="36"/>
  <c r="X38" i="36" s="1"/>
  <c r="Y38" i="36" s="1"/>
  <c r="W34" i="36"/>
  <c r="X34" i="36" s="1"/>
  <c r="Y34" i="36" s="1"/>
  <c r="W42" i="36"/>
  <c r="X42" i="36" s="1"/>
  <c r="Y42" i="36" s="1"/>
  <c r="W54" i="36"/>
  <c r="X54" i="36" s="1"/>
  <c r="Y54" i="36" s="1"/>
  <c r="H174" i="37"/>
  <c r="W235" i="36" l="1"/>
  <c r="X235" i="36" s="1"/>
  <c r="Y235" i="36" s="1"/>
  <c r="Z235" i="36"/>
  <c r="AA235" i="36" s="1"/>
  <c r="W213" i="36"/>
  <c r="X213" i="36" s="1"/>
  <c r="Y213" i="36" s="1"/>
  <c r="Z213" i="36"/>
  <c r="AA213" i="36" s="1"/>
  <c r="W215" i="36"/>
  <c r="X215" i="36" s="1"/>
  <c r="Y215" i="36" s="1"/>
  <c r="Z215" i="36"/>
  <c r="AA215" i="36" s="1"/>
  <c r="W224" i="36"/>
  <c r="X224" i="36" s="1"/>
  <c r="Y224" i="36" s="1"/>
  <c r="Z224" i="36"/>
  <c r="AA224" i="36" s="1"/>
  <c r="W212" i="36"/>
  <c r="X212" i="36" s="1"/>
  <c r="Y212" i="36" s="1"/>
  <c r="Z212" i="36"/>
  <c r="AA212" i="36" s="1"/>
  <c r="W209" i="36"/>
  <c r="X209" i="36" s="1"/>
  <c r="Y209" i="36" s="1"/>
  <c r="Z209" i="36"/>
  <c r="AA209" i="36" s="1"/>
  <c r="W206" i="36"/>
  <c r="X206" i="36" s="1"/>
  <c r="Y206" i="36" s="1"/>
  <c r="Z206" i="36"/>
  <c r="AA206" i="36" s="1"/>
  <c r="W226" i="36"/>
  <c r="X226" i="36" s="1"/>
  <c r="Y226" i="36" s="1"/>
  <c r="Z226" i="36"/>
  <c r="AA226" i="36" s="1"/>
  <c r="W233" i="36"/>
  <c r="X233" i="36" s="1"/>
  <c r="Y233" i="36" s="1"/>
  <c r="Z233" i="36"/>
  <c r="AA233" i="36" s="1"/>
  <c r="W237" i="36"/>
  <c r="X237" i="36" s="1"/>
  <c r="Y237" i="36" s="1"/>
  <c r="Z237" i="36"/>
  <c r="AA237" i="36" s="1"/>
  <c r="W241" i="36"/>
  <c r="X241" i="36" s="1"/>
  <c r="Y241" i="36" s="1"/>
  <c r="Z241" i="36"/>
  <c r="AA241" i="36" s="1"/>
  <c r="W204" i="36"/>
  <c r="X204" i="36" s="1"/>
  <c r="Y204" i="36" s="1"/>
  <c r="Z204" i="36"/>
  <c r="AA204" i="36" s="1"/>
  <c r="W218" i="36"/>
  <c r="X218" i="36" s="1"/>
  <c r="Y218" i="36" s="1"/>
  <c r="Z218" i="36"/>
  <c r="AA218" i="36" s="1"/>
  <c r="W201" i="36"/>
  <c r="X201" i="36" s="1"/>
  <c r="Y201" i="36" s="1"/>
  <c r="Z201" i="36"/>
  <c r="AA201" i="36" s="1"/>
  <c r="W229" i="36"/>
  <c r="X229" i="36" s="1"/>
  <c r="Y229" i="36" s="1"/>
  <c r="Z229" i="36"/>
  <c r="AA229" i="36" s="1"/>
  <c r="W198" i="36"/>
  <c r="X198" i="36" s="1"/>
  <c r="Y198" i="36" s="1"/>
  <c r="Z198" i="36"/>
  <c r="AA198" i="36" s="1"/>
  <c r="W214" i="36"/>
  <c r="X214" i="36" s="1"/>
  <c r="Y214" i="36" s="1"/>
  <c r="Z214" i="36"/>
  <c r="AA214" i="36" s="1"/>
  <c r="W228" i="36"/>
  <c r="X228" i="36" s="1"/>
  <c r="Y228" i="36" s="1"/>
  <c r="Z228" i="36"/>
  <c r="AA228" i="36" s="1"/>
  <c r="W239" i="36"/>
  <c r="X239" i="36" s="1"/>
  <c r="Y239" i="36" s="1"/>
  <c r="Z239" i="36"/>
  <c r="AA239" i="36" s="1"/>
  <c r="W223" i="36"/>
  <c r="X223" i="36" s="1"/>
  <c r="Y223" i="36" s="1"/>
  <c r="Z223" i="36"/>
  <c r="AA223" i="36" s="1"/>
  <c r="W217" i="36"/>
  <c r="X217" i="36" s="1"/>
  <c r="Y217" i="36" s="1"/>
  <c r="Z217" i="36"/>
  <c r="AA217" i="36" s="1"/>
  <c r="W203" i="36"/>
  <c r="X203" i="36" s="1"/>
  <c r="Y203" i="36" s="1"/>
  <c r="Z203" i="36"/>
  <c r="AA203" i="36" s="1"/>
  <c r="W210" i="36"/>
  <c r="X210" i="36" s="1"/>
  <c r="Y210" i="36" s="1"/>
  <c r="Z210" i="36"/>
  <c r="AA210" i="36" s="1"/>
  <c r="W236" i="36"/>
  <c r="X236" i="36" s="1"/>
  <c r="Y236" i="36" s="1"/>
  <c r="Z236" i="36"/>
  <c r="AA236" i="36" s="1"/>
  <c r="W240" i="36"/>
  <c r="X240" i="36" s="1"/>
  <c r="Y240" i="36" s="1"/>
  <c r="Z240" i="36"/>
  <c r="AA240" i="36" s="1"/>
  <c r="W197" i="36"/>
  <c r="X197" i="36" s="1"/>
  <c r="Y197" i="36" s="1"/>
  <c r="Z197" i="36"/>
  <c r="AA197" i="36" s="1"/>
  <c r="W199" i="36"/>
  <c r="X199" i="36" s="1"/>
  <c r="Y199" i="36" s="1"/>
  <c r="Z199" i="36"/>
  <c r="AA199" i="36" s="1"/>
  <c r="W202" i="36"/>
  <c r="X202" i="36" s="1"/>
  <c r="Y202" i="36" s="1"/>
  <c r="Z202" i="36"/>
  <c r="AA202" i="36" s="1"/>
  <c r="W216" i="36"/>
  <c r="X216" i="36" s="1"/>
  <c r="Y216" i="36" s="1"/>
  <c r="Z216" i="36"/>
  <c r="AA216" i="36" s="1"/>
  <c r="W222" i="36"/>
  <c r="X222" i="36" s="1"/>
  <c r="Y222" i="36" s="1"/>
  <c r="Z222" i="36"/>
  <c r="AA222" i="36" s="1"/>
  <c r="W196" i="36"/>
  <c r="X196" i="36" s="1"/>
  <c r="Y196" i="36" s="1"/>
  <c r="Z196" i="36"/>
  <c r="AA196" i="36" s="1"/>
  <c r="W208" i="36"/>
  <c r="X208" i="36" s="1"/>
  <c r="Y208" i="36" s="1"/>
  <c r="Z208" i="36"/>
  <c r="AA208" i="36" s="1"/>
  <c r="W234" i="36"/>
  <c r="X234" i="36" s="1"/>
  <c r="Y234" i="36" s="1"/>
  <c r="Z234" i="36"/>
  <c r="AA234" i="36" s="1"/>
  <c r="W238" i="36"/>
  <c r="X238" i="36" s="1"/>
  <c r="Y238" i="36" s="1"/>
  <c r="Z238" i="36"/>
  <c r="AA238" i="36" s="1"/>
  <c r="W242" i="36"/>
  <c r="X242" i="36" s="1"/>
  <c r="Y242" i="36" s="1"/>
  <c r="Z242" i="36"/>
  <c r="AA242" i="36" s="1"/>
  <c r="W205" i="36"/>
  <c r="X205" i="36" s="1"/>
  <c r="Y205" i="36" s="1"/>
  <c r="Z205" i="36"/>
  <c r="AA205" i="36" s="1"/>
  <c r="W230" i="36"/>
  <c r="X230" i="36" s="1"/>
  <c r="Y230" i="36" s="1"/>
  <c r="Z230" i="36"/>
  <c r="AA230" i="36" s="1"/>
  <c r="W225" i="36"/>
  <c r="X225" i="36" s="1"/>
  <c r="Y225" i="36" s="1"/>
  <c r="Z225" i="36"/>
  <c r="AA225" i="36" s="1"/>
  <c r="W211" i="36"/>
  <c r="X211" i="36" s="1"/>
  <c r="Y211" i="36" s="1"/>
  <c r="Z211" i="36"/>
  <c r="AA211" i="36" s="1"/>
  <c r="W200" i="36"/>
  <c r="X200" i="36" s="1"/>
  <c r="Y200" i="36" s="1"/>
  <c r="Z200" i="36"/>
  <c r="AA200" i="36" s="1"/>
  <c r="W221" i="36"/>
  <c r="X221" i="36" s="1"/>
  <c r="Y221" i="36" s="1"/>
  <c r="Z221" i="36"/>
  <c r="AA221" i="36" s="1"/>
  <c r="W227" i="36"/>
  <c r="X227" i="36" s="1"/>
  <c r="Y227" i="36" s="1"/>
  <c r="Z227" i="36"/>
  <c r="AA227" i="36" s="1"/>
  <c r="W220" i="36"/>
  <c r="X220" i="36" s="1"/>
  <c r="Y220" i="36" s="1"/>
  <c r="Z220" i="36"/>
  <c r="AA220" i="36" s="1"/>
  <c r="N71" i="45"/>
  <c r="N73" i="45"/>
  <c r="N68" i="45"/>
  <c r="N75" i="45"/>
  <c r="N76" i="45"/>
  <c r="N72" i="45"/>
  <c r="N67" i="45"/>
  <c r="N66" i="45"/>
  <c r="N74" i="45"/>
  <c r="F77" i="45"/>
  <c r="N69" i="45"/>
  <c r="N70" i="45"/>
  <c r="K76" i="45"/>
  <c r="H279" i="36"/>
  <c r="K71" i="45"/>
  <c r="H274" i="36"/>
  <c r="K73" i="45"/>
  <c r="H276" i="36"/>
  <c r="K70" i="45"/>
  <c r="H273" i="36"/>
  <c r="K72" i="45"/>
  <c r="H275" i="36"/>
  <c r="K66" i="45"/>
  <c r="H269" i="36"/>
  <c r="W66" i="36"/>
  <c r="X66" i="36" s="1"/>
  <c r="Y66" i="36" s="1"/>
  <c r="H232" i="36"/>
  <c r="K74" i="45"/>
  <c r="H277" i="36"/>
  <c r="K67" i="45"/>
  <c r="H270" i="36"/>
  <c r="K68" i="45"/>
  <c r="H271" i="36"/>
  <c r="K69" i="45"/>
  <c r="H272" i="36"/>
  <c r="K75" i="45"/>
  <c r="H278" i="36"/>
  <c r="H65" i="45"/>
  <c r="H77" i="45" s="1"/>
  <c r="W107" i="36"/>
  <c r="X107" i="36" s="1"/>
  <c r="Y107" i="36" s="1"/>
  <c r="H102" i="36"/>
  <c r="AD46" i="36" s="1"/>
  <c r="AE46" i="36" s="1"/>
  <c r="AF46" i="36" s="1"/>
  <c r="AG46" i="36" s="1"/>
  <c r="W106" i="36"/>
  <c r="X106" i="36" s="1"/>
  <c r="Y106" i="36" s="1"/>
  <c r="W109" i="36"/>
  <c r="X109" i="36" s="1"/>
  <c r="Y109" i="36" s="1"/>
  <c r="W104" i="36"/>
  <c r="X104" i="36" s="1"/>
  <c r="Y104" i="36" s="1"/>
  <c r="W111" i="36"/>
  <c r="X111" i="36" s="1"/>
  <c r="Y111" i="36" s="1"/>
  <c r="W108" i="36"/>
  <c r="X108" i="36" s="1"/>
  <c r="Y108" i="36" s="1"/>
  <c r="W112" i="36"/>
  <c r="X112" i="36" s="1"/>
  <c r="Y112" i="36" s="1"/>
  <c r="W110" i="36"/>
  <c r="X110" i="36" s="1"/>
  <c r="Y110" i="36" s="1"/>
  <c r="W113" i="36"/>
  <c r="X113" i="36" s="1"/>
  <c r="Y113" i="36" s="1"/>
  <c r="G77" i="45"/>
  <c r="N65" i="45"/>
  <c r="W270" i="36" l="1"/>
  <c r="X270" i="36" s="1"/>
  <c r="Y270" i="36" s="1"/>
  <c r="Z270" i="36"/>
  <c r="AA270" i="36" s="1"/>
  <c r="W275" i="36"/>
  <c r="X275" i="36" s="1"/>
  <c r="Y275" i="36" s="1"/>
  <c r="Z275" i="36"/>
  <c r="AA275" i="36" s="1"/>
  <c r="W232" i="36"/>
  <c r="X232" i="36" s="1"/>
  <c r="Y232" i="36" s="1"/>
  <c r="Z232" i="36"/>
  <c r="AA232" i="36" s="1"/>
  <c r="W278" i="36"/>
  <c r="X278" i="36" s="1"/>
  <c r="Y278" i="36" s="1"/>
  <c r="Z278" i="36"/>
  <c r="AA278" i="36" s="1"/>
  <c r="W277" i="36"/>
  <c r="X277" i="36" s="1"/>
  <c r="Y277" i="36" s="1"/>
  <c r="Z277" i="36"/>
  <c r="AA277" i="36" s="1"/>
  <c r="W273" i="36"/>
  <c r="X273" i="36" s="1"/>
  <c r="Y273" i="36" s="1"/>
  <c r="Z273" i="36"/>
  <c r="AA273" i="36" s="1"/>
  <c r="W272" i="36"/>
  <c r="X272" i="36" s="1"/>
  <c r="Y272" i="36" s="1"/>
  <c r="Z272" i="36"/>
  <c r="AA272" i="36" s="1"/>
  <c r="W276" i="36"/>
  <c r="X276" i="36" s="1"/>
  <c r="Y276" i="36" s="1"/>
  <c r="Z276" i="36"/>
  <c r="AA276" i="36" s="1"/>
  <c r="W271" i="36"/>
  <c r="X271" i="36" s="1"/>
  <c r="Y271" i="36" s="1"/>
  <c r="Z271" i="36"/>
  <c r="AA271" i="36" s="1"/>
  <c r="W269" i="36"/>
  <c r="X269" i="36" s="1"/>
  <c r="Y269" i="36" s="1"/>
  <c r="Z269" i="36"/>
  <c r="AA269" i="36" s="1"/>
  <c r="W274" i="36"/>
  <c r="X274" i="36" s="1"/>
  <c r="Y274" i="36" s="1"/>
  <c r="Z274" i="36"/>
  <c r="AA274" i="36" s="1"/>
  <c r="W102" i="36"/>
  <c r="X102" i="36" s="1"/>
  <c r="Y102" i="36" s="1"/>
  <c r="H268" i="36"/>
  <c r="K65" i="45"/>
  <c r="K77" i="45" s="1"/>
  <c r="N77" i="45"/>
  <c r="G78" i="45"/>
  <c r="D124" i="34"/>
  <c r="D123" i="34"/>
  <c r="D122" i="34"/>
  <c r="D120" i="34"/>
  <c r="D119" i="34"/>
  <c r="D118" i="34"/>
  <c r="D102" i="34"/>
  <c r="D101" i="34"/>
  <c r="D100" i="34"/>
  <c r="D98" i="34"/>
  <c r="D97" i="34"/>
  <c r="D96" i="34"/>
  <c r="F80" i="34"/>
  <c r="F79" i="34"/>
  <c r="F78" i="34"/>
  <c r="F77" i="34"/>
  <c r="F76" i="34"/>
  <c r="F70" i="34"/>
  <c r="F69" i="34"/>
  <c r="F68" i="34"/>
  <c r="F67" i="34"/>
  <c r="F66" i="34"/>
  <c r="B70" i="34"/>
  <c r="B80" i="34" s="1"/>
  <c r="B91" i="34" s="1"/>
  <c r="B102" i="34" s="1"/>
  <c r="B113" i="34" s="1"/>
  <c r="B69" i="34"/>
  <c r="B79" i="34" s="1"/>
  <c r="B90" i="34" s="1"/>
  <c r="B101" i="34" s="1"/>
  <c r="B112" i="34" s="1"/>
  <c r="B68" i="34"/>
  <c r="B78" i="34" s="1"/>
  <c r="B89" i="34" s="1"/>
  <c r="B100" i="34" s="1"/>
  <c r="B111" i="34" s="1"/>
  <c r="B67" i="34"/>
  <c r="B66" i="34"/>
  <c r="B76" i="34" s="1"/>
  <c r="B86" i="34" s="1"/>
  <c r="B97" i="34" s="1"/>
  <c r="B108" i="34" s="1"/>
  <c r="B65" i="34"/>
  <c r="B75" i="34" s="1"/>
  <c r="B85" i="34" s="1"/>
  <c r="B96" i="34" s="1"/>
  <c r="B107" i="34" s="1"/>
  <c r="W268" i="36" l="1"/>
  <c r="X268" i="36" s="1"/>
  <c r="Y268" i="36" s="1"/>
  <c r="Z268" i="36"/>
  <c r="AA268" i="36" s="1"/>
  <c r="B123" i="34"/>
  <c r="B118" i="34"/>
  <c r="B124" i="34"/>
  <c r="B119" i="34"/>
  <c r="B122" i="34"/>
  <c r="B98" i="34"/>
  <c r="Q37" i="32"/>
  <c r="P37" i="32"/>
  <c r="O37" i="32"/>
  <c r="N37" i="32"/>
  <c r="M37" i="32"/>
  <c r="L37" i="32"/>
  <c r="I37" i="32"/>
  <c r="H37" i="32"/>
  <c r="F37" i="32"/>
  <c r="D37" i="32"/>
  <c r="E37" i="32"/>
  <c r="C37" i="32"/>
  <c r="K37" i="32" l="1"/>
  <c r="J37" i="32"/>
  <c r="G37" i="32"/>
  <c r="G23" i="17" l="1"/>
  <c r="G34" i="17" s="1"/>
  <c r="G24" i="17"/>
  <c r="G25" i="17"/>
  <c r="G32" i="17" s="1"/>
  <c r="G26" i="17"/>
  <c r="G27" i="17"/>
  <c r="D562" i="45" l="1"/>
  <c r="E562" i="45" s="1"/>
  <c r="H200" i="45"/>
  <c r="H201" i="45" s="1"/>
  <c r="B39" i="11" a="1"/>
  <c r="J64" i="38"/>
  <c r="I10" i="17"/>
  <c r="I6" i="17"/>
  <c r="I8" i="17"/>
  <c r="I5" i="17"/>
  <c r="I9" i="17"/>
  <c r="I7" i="17"/>
  <c r="I11" i="17"/>
  <c r="F25" i="17"/>
  <c r="E25" i="17"/>
  <c r="C20" i="17"/>
  <c r="C34" i="17" s="1"/>
  <c r="D21" i="17"/>
  <c r="D20" i="17"/>
  <c r="D23" i="17"/>
  <c r="D24" i="17"/>
  <c r="E20" i="17"/>
  <c r="E21" i="17"/>
  <c r="E22" i="17"/>
  <c r="E23" i="17"/>
  <c r="F20" i="17"/>
  <c r="F21" i="17"/>
  <c r="F22" i="17"/>
  <c r="F23" i="17"/>
  <c r="F24" i="17"/>
  <c r="D22" i="17"/>
  <c r="F28" i="17"/>
  <c r="E4" i="18"/>
  <c r="D28" i="17"/>
  <c r="I261" i="45" l="1"/>
  <c r="J70" i="38"/>
  <c r="D39" i="11"/>
  <c r="C39" i="11"/>
  <c r="B39" i="11"/>
  <c r="M39" i="11"/>
  <c r="K39" i="11"/>
  <c r="G408" i="45" s="1"/>
  <c r="F39" i="11"/>
  <c r="E39" i="11"/>
  <c r="G39" i="11"/>
  <c r="L39" i="11"/>
  <c r="H408" i="45" s="1"/>
  <c r="H39" i="11"/>
  <c r="D408" i="45" s="1"/>
  <c r="I39" i="11"/>
  <c r="E408" i="45" s="1"/>
  <c r="J39" i="11"/>
  <c r="F408" i="45" s="1"/>
  <c r="O201" i="45"/>
  <c r="H209" i="45"/>
  <c r="I12" i="17"/>
  <c r="I13" i="17"/>
  <c r="S37" i="32"/>
  <c r="T37" i="32"/>
  <c r="C53" i="11"/>
  <c r="D53" i="11"/>
  <c r="B53" i="11"/>
  <c r="E12" i="18"/>
  <c r="M11" i="34" s="1"/>
  <c r="E10" i="18"/>
  <c r="E7" i="18"/>
  <c r="E9" i="18"/>
  <c r="E8" i="18"/>
  <c r="D25" i="17"/>
  <c r="F26" i="17"/>
  <c r="F34" i="17" s="1"/>
  <c r="F27" i="17"/>
  <c r="E6" i="18"/>
  <c r="E3" i="18"/>
  <c r="D26" i="17"/>
  <c r="D27" i="17"/>
  <c r="E27" i="17"/>
  <c r="E28" i="17"/>
  <c r="E11" i="18"/>
  <c r="E26" i="17"/>
  <c r="E35" i="17" s="1"/>
  <c r="D602" i="45" l="1"/>
  <c r="E602" i="45" s="1"/>
  <c r="F602" i="45" s="1"/>
  <c r="D415" i="45"/>
  <c r="C665" i="45"/>
  <c r="D412" i="45"/>
  <c r="C669" i="45" s="1"/>
  <c r="D411" i="45"/>
  <c r="C668" i="45" s="1"/>
  <c r="H415" i="45"/>
  <c r="D866" i="45"/>
  <c r="E866" i="45" s="1"/>
  <c r="F866" i="45" s="1"/>
  <c r="E34" i="17"/>
  <c r="F35" i="17"/>
  <c r="F32" i="17" s="1"/>
  <c r="D799" i="45"/>
  <c r="C866" i="45"/>
  <c r="G415" i="45"/>
  <c r="G412" i="45"/>
  <c r="G411" i="45"/>
  <c r="D35" i="17"/>
  <c r="D32" i="17" s="1"/>
  <c r="F412" i="45"/>
  <c r="C799" i="45"/>
  <c r="D732" i="45"/>
  <c r="F415" i="45"/>
  <c r="F411" i="45"/>
  <c r="C20" i="34"/>
  <c r="E9" i="33"/>
  <c r="I408" i="45"/>
  <c r="I415" i="45" s="1"/>
  <c r="D665" i="45"/>
  <c r="E665" i="45" s="1"/>
  <c r="F665" i="45" s="1"/>
  <c r="E411" i="45"/>
  <c r="C732" i="45"/>
  <c r="E415" i="45"/>
  <c r="E412" i="45"/>
  <c r="D34" i="17"/>
  <c r="G53" i="11"/>
  <c r="R37" i="32"/>
  <c r="F53" i="11"/>
  <c r="E53" i="11"/>
  <c r="E91" i="33"/>
  <c r="G91" i="33" s="1"/>
  <c r="E90" i="33"/>
  <c r="G90" i="33" s="1"/>
  <c r="E5" i="18"/>
  <c r="E732" i="45" l="1"/>
  <c r="F732" i="45" s="1"/>
  <c r="D736" i="45"/>
  <c r="C803" i="45"/>
  <c r="D802" i="45"/>
  <c r="E802" i="45" s="1"/>
  <c r="F802" i="45" s="1"/>
  <c r="C869" i="45"/>
  <c r="D669" i="45"/>
  <c r="E669" i="45" s="1"/>
  <c r="F669" i="45" s="1"/>
  <c r="C736" i="45"/>
  <c r="C870" i="45"/>
  <c r="D803" i="45"/>
  <c r="C802" i="45"/>
  <c r="D735" i="45"/>
  <c r="C735" i="45"/>
  <c r="D668" i="45"/>
  <c r="E668" i="45" s="1"/>
  <c r="F668" i="45" s="1"/>
  <c r="E799" i="45"/>
  <c r="F799" i="45" s="1"/>
  <c r="D501" i="45"/>
  <c r="E501" i="45" s="1"/>
  <c r="G92" i="33"/>
  <c r="C103" i="33" s="1"/>
  <c r="B20" i="11" a="1"/>
  <c r="E20" i="11" s="1"/>
  <c r="F63" i="38"/>
  <c r="H53" i="11"/>
  <c r="K53" i="11"/>
  <c r="I53" i="11"/>
  <c r="J53" i="11"/>
  <c r="E803" i="45" l="1"/>
  <c r="F803" i="45" s="1"/>
  <c r="E735" i="45"/>
  <c r="F735" i="45" s="1"/>
  <c r="E736" i="45"/>
  <c r="F736" i="45" s="1"/>
  <c r="I63" i="38"/>
  <c r="I69" i="38" s="1"/>
  <c r="D502" i="45"/>
  <c r="E502" i="45" s="1"/>
  <c r="I20" i="11"/>
  <c r="E347" i="45" s="1"/>
  <c r="L20" i="11"/>
  <c r="H347" i="45" s="1"/>
  <c r="D828" i="45" s="1"/>
  <c r="K20" i="11"/>
  <c r="G347" i="45" s="1"/>
  <c r="G20" i="11"/>
  <c r="B20" i="11"/>
  <c r="C20" i="11"/>
  <c r="D201" i="45"/>
  <c r="B24" i="11" a="1"/>
  <c r="B24" i="11" s="1"/>
  <c r="D20" i="11"/>
  <c r="H20" i="11"/>
  <c r="D347" i="45" s="1"/>
  <c r="J20" i="11"/>
  <c r="F347" i="45" s="1"/>
  <c r="M20" i="11"/>
  <c r="F20" i="11"/>
  <c r="F64" i="38"/>
  <c r="E140" i="34"/>
  <c r="G140" i="34" s="1"/>
  <c r="F69" i="38"/>
  <c r="I347" i="45" l="1"/>
  <c r="B34" i="11" a="1"/>
  <c r="D541" i="45"/>
  <c r="E200" i="45"/>
  <c r="E201" i="45" s="1"/>
  <c r="D761" i="45"/>
  <c r="C828" i="45"/>
  <c r="E828" i="45" s="1"/>
  <c r="F828" i="45" s="1"/>
  <c r="D694" i="45"/>
  <c r="C761" i="45"/>
  <c r="D627" i="45"/>
  <c r="C694" i="45"/>
  <c r="D576" i="45"/>
  <c r="C627" i="45"/>
  <c r="D354" i="45"/>
  <c r="G350" i="45"/>
  <c r="G354" i="45"/>
  <c r="E350" i="45"/>
  <c r="E354" i="45"/>
  <c r="H354" i="45"/>
  <c r="F354" i="45"/>
  <c r="F350" i="45"/>
  <c r="D350" i="45"/>
  <c r="I354" i="45"/>
  <c r="E5" i="33"/>
  <c r="C16" i="34"/>
  <c r="K24" i="11"/>
  <c r="G359" i="45" s="1"/>
  <c r="F24" i="11"/>
  <c r="G24" i="11"/>
  <c r="H24" i="11"/>
  <c r="D359" i="45" s="1"/>
  <c r="L24" i="11"/>
  <c r="C24" i="11"/>
  <c r="D24" i="11"/>
  <c r="E24" i="11"/>
  <c r="I24" i="11"/>
  <c r="E359" i="45" s="1"/>
  <c r="J24" i="11"/>
  <c r="F359" i="45" s="1"/>
  <c r="M24" i="11"/>
  <c r="K201" i="45"/>
  <c r="F70" i="38"/>
  <c r="E261" i="45"/>
  <c r="G63" i="38"/>
  <c r="I359" i="45" l="1"/>
  <c r="J34" i="11"/>
  <c r="F392" i="45" s="1"/>
  <c r="I34" i="11"/>
  <c r="E392" i="45" s="1"/>
  <c r="G34" i="11"/>
  <c r="K34" i="11"/>
  <c r="G392" i="45" s="1"/>
  <c r="F34" i="11"/>
  <c r="C34" i="11"/>
  <c r="H34" i="11"/>
  <c r="D392" i="45" s="1"/>
  <c r="L34" i="11"/>
  <c r="E34" i="11"/>
  <c r="M34" i="11"/>
  <c r="D34" i="11"/>
  <c r="B34" i="11"/>
  <c r="J541" i="45"/>
  <c r="K541" i="45" s="1"/>
  <c r="E541" i="45"/>
  <c r="D542" i="45"/>
  <c r="G200" i="45"/>
  <c r="G201" i="45" s="1"/>
  <c r="I64" i="38"/>
  <c r="E627" i="45"/>
  <c r="F627" i="45" s="1"/>
  <c r="E761" i="45"/>
  <c r="F761" i="45" s="1"/>
  <c r="E694" i="45"/>
  <c r="F694" i="45" s="1"/>
  <c r="D635" i="45"/>
  <c r="C702" i="45"/>
  <c r="E368" i="45"/>
  <c r="E6" i="33"/>
  <c r="H359" i="45"/>
  <c r="I368" i="45" s="1"/>
  <c r="D769" i="45"/>
  <c r="C836" i="45"/>
  <c r="G368" i="45"/>
  <c r="D764" i="45"/>
  <c r="C831" i="45"/>
  <c r="D702" i="45"/>
  <c r="C769" i="45"/>
  <c r="F368" i="45"/>
  <c r="C635" i="45"/>
  <c r="D581" i="45"/>
  <c r="D368" i="45"/>
  <c r="D697" i="45"/>
  <c r="C764" i="45"/>
  <c r="D630" i="45"/>
  <c r="C697" i="45"/>
  <c r="C630" i="45"/>
  <c r="C17" i="34"/>
  <c r="E576" i="45"/>
  <c r="G64" i="38"/>
  <c r="L201" i="45" s="1"/>
  <c r="G69" i="38"/>
  <c r="E542" i="45" l="1"/>
  <c r="J542" i="45"/>
  <c r="K542" i="45" s="1"/>
  <c r="D595" i="45"/>
  <c r="E595" i="45" s="1"/>
  <c r="F595" i="45" s="1"/>
  <c r="D401" i="45"/>
  <c r="C655" i="45"/>
  <c r="D398" i="45"/>
  <c r="C661" i="45" s="1"/>
  <c r="G398" i="45"/>
  <c r="D789" i="45"/>
  <c r="C856" i="45"/>
  <c r="G401" i="45"/>
  <c r="G209" i="45"/>
  <c r="N201" i="45"/>
  <c r="H392" i="45"/>
  <c r="E8" i="33"/>
  <c r="C19" i="34"/>
  <c r="I392" i="45"/>
  <c r="I401" i="45" s="1"/>
  <c r="E401" i="45"/>
  <c r="E398" i="45"/>
  <c r="C722" i="45"/>
  <c r="D655" i="45"/>
  <c r="I70" i="38"/>
  <c r="H261" i="45"/>
  <c r="D722" i="45"/>
  <c r="F401" i="45"/>
  <c r="C789" i="45"/>
  <c r="F398" i="45"/>
  <c r="E764" i="45"/>
  <c r="F764" i="45" s="1"/>
  <c r="E630" i="45"/>
  <c r="F630" i="45" s="1"/>
  <c r="E697" i="45"/>
  <c r="E769" i="45"/>
  <c r="F769" i="45" s="1"/>
  <c r="E702" i="45"/>
  <c r="D836" i="45"/>
  <c r="E836" i="45" s="1"/>
  <c r="F836" i="45" s="1"/>
  <c r="H368" i="45"/>
  <c r="E635" i="45"/>
  <c r="F635" i="45" s="1"/>
  <c r="F576" i="45"/>
  <c r="G70" i="38"/>
  <c r="F261" i="45"/>
  <c r="E655" i="45" l="1"/>
  <c r="F655" i="45" s="1"/>
  <c r="E789" i="45"/>
  <c r="F789" i="45" s="1"/>
  <c r="E722" i="45"/>
  <c r="F722" i="45" s="1"/>
  <c r="D795" i="45"/>
  <c r="C862" i="45"/>
  <c r="D856" i="45"/>
  <c r="E856" i="45" s="1"/>
  <c r="F856" i="45" s="1"/>
  <c r="H401" i="45"/>
  <c r="C795" i="45"/>
  <c r="D728" i="45"/>
  <c r="D661" i="45"/>
  <c r="E661" i="45" s="1"/>
  <c r="F661" i="45" s="1"/>
  <c r="C728" i="45"/>
  <c r="F697" i="45"/>
  <c r="F702" i="45"/>
  <c r="E581" i="45"/>
  <c r="F581" i="45" s="1"/>
  <c r="E588" i="45"/>
  <c r="E728" i="45" l="1"/>
  <c r="F728" i="45" s="1"/>
  <c r="E795" i="45"/>
  <c r="F795" i="45" s="1"/>
  <c r="F588" i="45"/>
  <c r="W56" i="36"/>
  <c r="X56" i="36" s="1"/>
  <c r="Y56" i="36" s="1"/>
  <c r="H140" i="45" l="1"/>
  <c r="W31" i="36" l="1"/>
  <c r="X31" i="36" s="1"/>
  <c r="Y31" i="36" s="1"/>
  <c r="W43" i="36"/>
  <c r="X43" i="36" s="1"/>
  <c r="Y43" i="36" s="1"/>
  <c r="W55" i="36"/>
  <c r="X55" i="36" s="1"/>
  <c r="Y55" i="36" s="1"/>
  <c r="W67" i="36"/>
  <c r="X67" i="36" s="1"/>
  <c r="Y67" i="36" s="1"/>
  <c r="W103" i="36"/>
  <c r="X103" i="36" s="1"/>
  <c r="Y103" i="36" s="1"/>
  <c r="H139" i="45" l="1"/>
  <c r="W35" i="36" l="1"/>
  <c r="X35" i="36" s="1"/>
  <c r="Y35" i="36" s="1"/>
  <c r="W33" i="36"/>
  <c r="W45" i="36"/>
  <c r="X45" i="36" s="1"/>
  <c r="Y45" i="36" s="1"/>
  <c r="W69" i="36"/>
  <c r="X69" i="36" s="1"/>
  <c r="Y69" i="36" s="1"/>
  <c r="W105" i="36"/>
  <c r="X105" i="36" s="1"/>
  <c r="Y105" i="36" s="1"/>
  <c r="X33" i="36" l="1"/>
  <c r="Y33" i="36" s="1"/>
  <c r="E65" i="45" l="1"/>
  <c r="E77" i="45" s="1"/>
  <c r="F78" i="45" s="1"/>
  <c r="W30" i="36"/>
  <c r="X30" i="36" s="1"/>
  <c r="Y30" i="36" s="1"/>
  <c r="J142" i="37" l="1"/>
  <c r="K142" i="37" s="1"/>
  <c r="G142" i="37" s="1"/>
  <c r="J143" i="37"/>
  <c r="K143" i="37" s="1"/>
  <c r="G143" i="37" s="1"/>
  <c r="J144" i="37"/>
  <c r="K144" i="37" s="1"/>
  <c r="G144" i="37" s="1"/>
  <c r="J146" i="37"/>
  <c r="K146" i="37" s="1"/>
  <c r="G146" i="37" s="1"/>
  <c r="J147" i="37"/>
  <c r="K147" i="37" s="1"/>
  <c r="G147" i="37" s="1"/>
  <c r="J148" i="37"/>
  <c r="K148" i="37" s="1"/>
  <c r="G148" i="37" s="1"/>
  <c r="J145" i="37"/>
  <c r="K145" i="37" s="1"/>
  <c r="G145" i="37" s="1"/>
  <c r="J141" i="37"/>
  <c r="K141" i="37" s="1"/>
  <c r="G141" i="37" s="1"/>
  <c r="J149" i="37"/>
  <c r="K149" i="37" s="1"/>
  <c r="G149" i="37" s="1"/>
  <c r="J150" i="37"/>
  <c r="K150" i="37" s="1"/>
  <c r="G150" i="37" s="1"/>
  <c r="J139" i="37"/>
  <c r="K139" i="37" s="1"/>
  <c r="G139" i="37" s="1"/>
  <c r="J140" i="37"/>
  <c r="K140" i="37" s="1"/>
  <c r="G140" i="37" s="1"/>
  <c r="H29" i="36" l="1"/>
  <c r="H195" i="36" s="1"/>
  <c r="H28" i="36"/>
  <c r="H24" i="36"/>
  <c r="H27" i="36"/>
  <c r="H26" i="36"/>
  <c r="H20" i="36"/>
  <c r="H25" i="36"/>
  <c r="H19" i="36"/>
  <c r="H23" i="36"/>
  <c r="H22" i="36"/>
  <c r="H18" i="36"/>
  <c r="AD39" i="36" s="1"/>
  <c r="AE39" i="36" s="1"/>
  <c r="AF39" i="36" s="1"/>
  <c r="AG39" i="36" s="1"/>
  <c r="H21" i="36"/>
  <c r="D76" i="45" l="1"/>
  <c r="W29" i="36"/>
  <c r="X29" i="36" s="1"/>
  <c r="Y29" i="36" s="1"/>
  <c r="H184" i="36"/>
  <c r="W21" i="36"/>
  <c r="X21" i="36" s="1"/>
  <c r="Y21" i="36" s="1"/>
  <c r="H187" i="36"/>
  <c r="W20" i="36"/>
  <c r="X20" i="36" s="1"/>
  <c r="Y20" i="36" s="1"/>
  <c r="H186" i="36"/>
  <c r="W22" i="36"/>
  <c r="X22" i="36" s="1"/>
  <c r="Y22" i="36" s="1"/>
  <c r="H188" i="36"/>
  <c r="D66" i="45"/>
  <c r="H185" i="36"/>
  <c r="W23" i="36"/>
  <c r="X23" i="36" s="1"/>
  <c r="Y23" i="36" s="1"/>
  <c r="H189" i="36"/>
  <c r="D73" i="45"/>
  <c r="H192" i="36"/>
  <c r="D72" i="45"/>
  <c r="H191" i="36"/>
  <c r="D74" i="45"/>
  <c r="H193" i="36"/>
  <c r="W24" i="36"/>
  <c r="X24" i="36" s="1"/>
  <c r="Y24" i="36" s="1"/>
  <c r="H190" i="36"/>
  <c r="D75" i="45"/>
  <c r="H194" i="36"/>
  <c r="W28" i="36"/>
  <c r="X28" i="36" s="1"/>
  <c r="Y28" i="36" s="1"/>
  <c r="D70" i="45"/>
  <c r="D71" i="45"/>
  <c r="D69" i="45"/>
  <c r="D68" i="45"/>
  <c r="W26" i="36"/>
  <c r="X26" i="36" s="1"/>
  <c r="Y26" i="36" s="1"/>
  <c r="W27" i="36"/>
  <c r="X27" i="36" s="1"/>
  <c r="Y27" i="36" s="1"/>
  <c r="W19" i="36"/>
  <c r="X19" i="36" s="1"/>
  <c r="Y19" i="36" s="1"/>
  <c r="D67" i="45"/>
  <c r="D65" i="45"/>
  <c r="W18" i="36"/>
  <c r="X18" i="36" s="1"/>
  <c r="Y18" i="36" s="1"/>
  <c r="H90" i="37"/>
  <c r="I90" i="37" s="1"/>
  <c r="W190" i="36" l="1"/>
  <c r="X190" i="36" s="1"/>
  <c r="Y190" i="36" s="1"/>
  <c r="Z190" i="36"/>
  <c r="AA190" i="36" s="1"/>
  <c r="W189" i="36"/>
  <c r="X189" i="36" s="1"/>
  <c r="Y189" i="36" s="1"/>
  <c r="Z189" i="36"/>
  <c r="AA189" i="36" s="1"/>
  <c r="W187" i="36"/>
  <c r="X187" i="36" s="1"/>
  <c r="Y187" i="36" s="1"/>
  <c r="Z187" i="36"/>
  <c r="AA187" i="36" s="1"/>
  <c r="W193" i="36"/>
  <c r="X193" i="36" s="1"/>
  <c r="Y193" i="36" s="1"/>
  <c r="Z193" i="36"/>
  <c r="AA193" i="36" s="1"/>
  <c r="W185" i="36"/>
  <c r="X185" i="36" s="1"/>
  <c r="Y185" i="36" s="1"/>
  <c r="Z185" i="36"/>
  <c r="AA185" i="36" s="1"/>
  <c r="W184" i="36"/>
  <c r="X184" i="36" s="1"/>
  <c r="Y184" i="36" s="1"/>
  <c r="Z184" i="36"/>
  <c r="AA184" i="36" s="1"/>
  <c r="W191" i="36"/>
  <c r="X191" i="36" s="1"/>
  <c r="Y191" i="36" s="1"/>
  <c r="Z191" i="36"/>
  <c r="AA191" i="36" s="1"/>
  <c r="W188" i="36"/>
  <c r="X188" i="36" s="1"/>
  <c r="Y188" i="36" s="1"/>
  <c r="Z188" i="36"/>
  <c r="AA188" i="36" s="1"/>
  <c r="W194" i="36"/>
  <c r="X194" i="36" s="1"/>
  <c r="Y194" i="36" s="1"/>
  <c r="Z194" i="36"/>
  <c r="AA194" i="36" s="1"/>
  <c r="W192" i="36"/>
  <c r="X192" i="36" s="1"/>
  <c r="Y192" i="36" s="1"/>
  <c r="Z192" i="36"/>
  <c r="AA192" i="36" s="1"/>
  <c r="W186" i="36"/>
  <c r="X186" i="36" s="1"/>
  <c r="Y186" i="36" s="1"/>
  <c r="Z186" i="36"/>
  <c r="AA186" i="36" s="1"/>
  <c r="D77" i="45"/>
  <c r="E78" i="45" l="1"/>
  <c r="J238" i="37"/>
  <c r="K238" i="37" s="1"/>
  <c r="G238" i="37" s="1"/>
  <c r="J239" i="37"/>
  <c r="K239" i="37" s="1"/>
  <c r="G239" i="37" s="1"/>
  <c r="J240" i="37"/>
  <c r="K240" i="37" s="1"/>
  <c r="G240" i="37" s="1"/>
  <c r="J243" i="37"/>
  <c r="K243" i="37" s="1"/>
  <c r="G243" i="37" s="1"/>
  <c r="J244" i="37"/>
  <c r="K244" i="37" s="1"/>
  <c r="G244" i="37" s="1"/>
  <c r="J235" i="37"/>
  <c r="K235" i="37" s="1"/>
  <c r="G235" i="37" s="1"/>
  <c r="J237" i="37"/>
  <c r="K237" i="37" s="1"/>
  <c r="G237" i="37" s="1"/>
  <c r="J241" i="37"/>
  <c r="K241" i="37" s="1"/>
  <c r="G241" i="37" s="1"/>
  <c r="J242" i="37"/>
  <c r="K242" i="37" s="1"/>
  <c r="G242" i="37" s="1"/>
  <c r="J245" i="37"/>
  <c r="K245" i="37" s="1"/>
  <c r="G245" i="37" s="1"/>
  <c r="J246" i="37"/>
  <c r="K246" i="37" s="1"/>
  <c r="G246" i="37" s="1"/>
  <c r="J236" i="37"/>
  <c r="K236" i="37" s="1"/>
  <c r="G236" i="37" s="1"/>
  <c r="H16" i="39"/>
  <c r="H115" i="36" l="1"/>
  <c r="H281" i="36" s="1"/>
  <c r="H116" i="36"/>
  <c r="H114" i="36"/>
  <c r="H123" i="36"/>
  <c r="H122" i="36"/>
  <c r="H121" i="36"/>
  <c r="H119" i="36"/>
  <c r="H118" i="36"/>
  <c r="H120" i="36"/>
  <c r="H117" i="36"/>
  <c r="L66" i="45"/>
  <c r="P66" i="45" s="1"/>
  <c r="E19" i="39"/>
  <c r="J206" i="37"/>
  <c r="K206" i="37" s="1"/>
  <c r="G206" i="37" s="1"/>
  <c r="J207" i="37"/>
  <c r="J208" i="37"/>
  <c r="K208" i="37" s="1"/>
  <c r="G208" i="37" s="1"/>
  <c r="J202" i="37"/>
  <c r="K202" i="37" s="1"/>
  <c r="G202" i="37" s="1"/>
  <c r="J204" i="37"/>
  <c r="K204" i="37" s="1"/>
  <c r="G204" i="37" s="1"/>
  <c r="J209" i="37"/>
  <c r="K209" i="37" s="1"/>
  <c r="G209" i="37" s="1"/>
  <c r="J210" i="37"/>
  <c r="K210" i="37" s="1"/>
  <c r="G210" i="37" s="1"/>
  <c r="J203" i="37"/>
  <c r="K203" i="37" s="1"/>
  <c r="G203" i="37" s="1"/>
  <c r="J199" i="37"/>
  <c r="K199" i="37" s="1"/>
  <c r="G199" i="37" s="1"/>
  <c r="J200" i="37"/>
  <c r="K200" i="37" s="1"/>
  <c r="G200" i="37" s="1"/>
  <c r="J201" i="37"/>
  <c r="K201" i="37" s="1"/>
  <c r="G201" i="37" s="1"/>
  <c r="J205" i="37"/>
  <c r="K205" i="37" s="1"/>
  <c r="G205" i="37" s="1"/>
  <c r="H78" i="45"/>
  <c r="H186" i="37"/>
  <c r="D19" i="39"/>
  <c r="W281" i="36" l="1"/>
  <c r="X281" i="36" s="1"/>
  <c r="Y281" i="36" s="1"/>
  <c r="Z281" i="36"/>
  <c r="AA281" i="36" s="1"/>
  <c r="W115" i="36"/>
  <c r="X115" i="36" s="1"/>
  <c r="Y115" i="36" s="1"/>
  <c r="H280" i="36"/>
  <c r="L70" i="45"/>
  <c r="P70" i="45" s="1"/>
  <c r="H285" i="36"/>
  <c r="W122" i="36"/>
  <c r="X122" i="36" s="1"/>
  <c r="Y122" i="36" s="1"/>
  <c r="H288" i="36"/>
  <c r="L68" i="45"/>
  <c r="P68" i="45" s="1"/>
  <c r="H283" i="36"/>
  <c r="L69" i="45"/>
  <c r="P69" i="45" s="1"/>
  <c r="H284" i="36"/>
  <c r="L71" i="45"/>
  <c r="P71" i="45" s="1"/>
  <c r="H286" i="36"/>
  <c r="W121" i="36"/>
  <c r="X121" i="36" s="1"/>
  <c r="Y121" i="36" s="1"/>
  <c r="H287" i="36"/>
  <c r="L74" i="45"/>
  <c r="P74" i="45" s="1"/>
  <c r="H289" i="36"/>
  <c r="L67" i="45"/>
  <c r="P67" i="45" s="1"/>
  <c r="H282" i="36"/>
  <c r="L72" i="45"/>
  <c r="P72" i="45" s="1"/>
  <c r="L73" i="45"/>
  <c r="P73" i="45" s="1"/>
  <c r="W117" i="36"/>
  <c r="X117" i="36" s="1"/>
  <c r="Y117" i="36" s="1"/>
  <c r="W116" i="36"/>
  <c r="X116" i="36" s="1"/>
  <c r="Y116" i="36" s="1"/>
  <c r="W123" i="36"/>
  <c r="X123" i="36" s="1"/>
  <c r="Y123" i="36" s="1"/>
  <c r="W120" i="36"/>
  <c r="X120" i="36" s="1"/>
  <c r="Y120" i="36" s="1"/>
  <c r="H79" i="36"/>
  <c r="H78" i="36"/>
  <c r="H80" i="36"/>
  <c r="H82" i="36"/>
  <c r="H85" i="36"/>
  <c r="H89" i="36"/>
  <c r="H87" i="36"/>
  <c r="W119" i="36"/>
  <c r="X119" i="36" s="1"/>
  <c r="Y119" i="36" s="1"/>
  <c r="H88" i="36"/>
  <c r="H84" i="36"/>
  <c r="H83" i="36"/>
  <c r="H81" i="36"/>
  <c r="K207" i="37"/>
  <c r="G207" i="37" s="1"/>
  <c r="L65" i="45"/>
  <c r="W114" i="36"/>
  <c r="X114" i="36" s="1"/>
  <c r="Y114" i="36" s="1"/>
  <c r="J222" i="37"/>
  <c r="K222" i="37" s="1"/>
  <c r="G222" i="37" s="1"/>
  <c r="J211" i="37"/>
  <c r="K211" i="37" s="1"/>
  <c r="G211" i="37" s="1"/>
  <c r="J212" i="37"/>
  <c r="K212" i="37" s="1"/>
  <c r="G212" i="37" s="1"/>
  <c r="J217" i="37"/>
  <c r="K217" i="37" s="1"/>
  <c r="G217" i="37" s="1"/>
  <c r="J220" i="37"/>
  <c r="K220" i="37" s="1"/>
  <c r="G220" i="37" s="1"/>
  <c r="J221" i="37"/>
  <c r="K221" i="37" s="1"/>
  <c r="G221" i="37" s="1"/>
  <c r="J213" i="37"/>
  <c r="K213" i="37" s="1"/>
  <c r="G213" i="37" s="1"/>
  <c r="J214" i="37"/>
  <c r="K214" i="37" s="1"/>
  <c r="G214" i="37" s="1"/>
  <c r="J215" i="37"/>
  <c r="K215" i="37" s="1"/>
  <c r="G215" i="37" s="1"/>
  <c r="J216" i="37"/>
  <c r="K216" i="37" s="1"/>
  <c r="G216" i="37" s="1"/>
  <c r="J218" i="37"/>
  <c r="K218" i="37" s="1"/>
  <c r="G218" i="37" s="1"/>
  <c r="J219" i="37"/>
  <c r="K219" i="37" s="1"/>
  <c r="G219" i="37" s="1"/>
  <c r="H162" i="37"/>
  <c r="W286" i="36" l="1"/>
  <c r="X286" i="36" s="1"/>
  <c r="Y286" i="36" s="1"/>
  <c r="Z286" i="36"/>
  <c r="AA286" i="36" s="1"/>
  <c r="W285" i="36"/>
  <c r="X285" i="36" s="1"/>
  <c r="Y285" i="36" s="1"/>
  <c r="Z285" i="36"/>
  <c r="AA285" i="36" s="1"/>
  <c r="W282" i="36"/>
  <c r="X282" i="36" s="1"/>
  <c r="Y282" i="36" s="1"/>
  <c r="Z282" i="36"/>
  <c r="AA282" i="36" s="1"/>
  <c r="W284" i="36"/>
  <c r="X284" i="36" s="1"/>
  <c r="Y284" i="36" s="1"/>
  <c r="Z284" i="36"/>
  <c r="AA284" i="36" s="1"/>
  <c r="W280" i="36"/>
  <c r="X280" i="36" s="1"/>
  <c r="Y280" i="36" s="1"/>
  <c r="Z280" i="36"/>
  <c r="AA280" i="36" s="1"/>
  <c r="W288" i="36"/>
  <c r="X288" i="36" s="1"/>
  <c r="Y288" i="36" s="1"/>
  <c r="Z288" i="36"/>
  <c r="AA288" i="36" s="1"/>
  <c r="W287" i="36"/>
  <c r="X287" i="36" s="1"/>
  <c r="Y287" i="36" s="1"/>
  <c r="Z287" i="36"/>
  <c r="AA287" i="36" s="1"/>
  <c r="W289" i="36"/>
  <c r="X289" i="36" s="1"/>
  <c r="Y289" i="36" s="1"/>
  <c r="Z289" i="36"/>
  <c r="AA289" i="36" s="1"/>
  <c r="W283" i="36"/>
  <c r="X283" i="36" s="1"/>
  <c r="Y283" i="36" s="1"/>
  <c r="Z283" i="36"/>
  <c r="AA283" i="36" s="1"/>
  <c r="H244" i="36"/>
  <c r="W88" i="36"/>
  <c r="X88" i="36" s="1"/>
  <c r="Y88" i="36" s="1"/>
  <c r="H254" i="36"/>
  <c r="I70" i="45"/>
  <c r="H249" i="36"/>
  <c r="W84" i="36"/>
  <c r="X84" i="36" s="1"/>
  <c r="Y84" i="36" s="1"/>
  <c r="H250" i="36"/>
  <c r="I74" i="45"/>
  <c r="H253" i="36"/>
  <c r="I76" i="45"/>
  <c r="H255" i="36"/>
  <c r="I72" i="45"/>
  <c r="H251" i="36"/>
  <c r="I69" i="45"/>
  <c r="H248" i="36"/>
  <c r="I67" i="45"/>
  <c r="H246" i="36"/>
  <c r="W79" i="36"/>
  <c r="X79" i="36" s="1"/>
  <c r="Y79" i="36" s="1"/>
  <c r="H245" i="36"/>
  <c r="I68" i="45"/>
  <c r="H247" i="36"/>
  <c r="W89" i="36"/>
  <c r="X89" i="36" s="1"/>
  <c r="Y89" i="36" s="1"/>
  <c r="I66" i="45"/>
  <c r="W83" i="36"/>
  <c r="X83" i="36" s="1"/>
  <c r="Y83" i="36" s="1"/>
  <c r="W82" i="36"/>
  <c r="X82" i="36" s="1"/>
  <c r="Y82" i="36" s="1"/>
  <c r="W80" i="36"/>
  <c r="X80" i="36" s="1"/>
  <c r="Y80" i="36" s="1"/>
  <c r="I71" i="45"/>
  <c r="H93" i="36"/>
  <c r="H92" i="36"/>
  <c r="I75" i="45"/>
  <c r="H90" i="36"/>
  <c r="AD45" i="36" s="1"/>
  <c r="AE45" i="36" s="1"/>
  <c r="AF45" i="36" s="1"/>
  <c r="AG45" i="36" s="1"/>
  <c r="H100" i="36"/>
  <c r="H101" i="36"/>
  <c r="H267" i="36" s="1"/>
  <c r="W85" i="36"/>
  <c r="X85" i="36" s="1"/>
  <c r="Y85" i="36" s="1"/>
  <c r="H94" i="36"/>
  <c r="H91" i="36"/>
  <c r="W87" i="36"/>
  <c r="X87" i="36" s="1"/>
  <c r="Y87" i="36" s="1"/>
  <c r="H96" i="36"/>
  <c r="H86" i="36"/>
  <c r="H252" i="36" s="1"/>
  <c r="H98" i="36"/>
  <c r="W81" i="36"/>
  <c r="X81" i="36" s="1"/>
  <c r="Y81" i="36" s="1"/>
  <c r="H97" i="36"/>
  <c r="H263" i="36" s="1"/>
  <c r="H99" i="36"/>
  <c r="H95" i="36"/>
  <c r="P65" i="45"/>
  <c r="I65" i="45"/>
  <c r="W78" i="36"/>
  <c r="X78" i="36" s="1"/>
  <c r="Y78" i="36" s="1"/>
  <c r="C19" i="39"/>
  <c r="H150" i="37"/>
  <c r="AD44" i="36" l="1"/>
  <c r="AE44" i="36" s="1"/>
  <c r="AF44" i="36" s="1"/>
  <c r="AG44" i="36" s="1"/>
  <c r="W247" i="36"/>
  <c r="X247" i="36" s="1"/>
  <c r="Y247" i="36" s="1"/>
  <c r="Z247" i="36"/>
  <c r="AA247" i="36" s="1"/>
  <c r="W251" i="36"/>
  <c r="X251" i="36" s="1"/>
  <c r="Y251" i="36" s="1"/>
  <c r="Z251" i="36"/>
  <c r="AA251" i="36" s="1"/>
  <c r="W249" i="36"/>
  <c r="X249" i="36" s="1"/>
  <c r="Y249" i="36" s="1"/>
  <c r="Z249" i="36"/>
  <c r="AA249" i="36" s="1"/>
  <c r="W245" i="36"/>
  <c r="X245" i="36" s="1"/>
  <c r="Y245" i="36" s="1"/>
  <c r="Z245" i="36"/>
  <c r="AA245" i="36" s="1"/>
  <c r="W254" i="36"/>
  <c r="X254" i="36" s="1"/>
  <c r="Y254" i="36" s="1"/>
  <c r="Z254" i="36"/>
  <c r="AA254" i="36" s="1"/>
  <c r="W263" i="36"/>
  <c r="X263" i="36" s="1"/>
  <c r="Y263" i="36" s="1"/>
  <c r="Z263" i="36"/>
  <c r="AA263" i="36" s="1"/>
  <c r="W246" i="36"/>
  <c r="X246" i="36" s="1"/>
  <c r="Y246" i="36" s="1"/>
  <c r="Z246" i="36"/>
  <c r="AA246" i="36" s="1"/>
  <c r="W253" i="36"/>
  <c r="X253" i="36" s="1"/>
  <c r="Y253" i="36" s="1"/>
  <c r="Z253" i="36"/>
  <c r="AA253" i="36" s="1"/>
  <c r="W244" i="36"/>
  <c r="X244" i="36" s="1"/>
  <c r="Y244" i="36" s="1"/>
  <c r="Z244" i="36"/>
  <c r="AA244" i="36" s="1"/>
  <c r="W252" i="36"/>
  <c r="X252" i="36" s="1"/>
  <c r="Y252" i="36" s="1"/>
  <c r="Z252" i="36"/>
  <c r="AA252" i="36" s="1"/>
  <c r="W248" i="36"/>
  <c r="X248" i="36" s="1"/>
  <c r="Y248" i="36" s="1"/>
  <c r="Z248" i="36"/>
  <c r="AA248" i="36" s="1"/>
  <c r="W250" i="36"/>
  <c r="X250" i="36" s="1"/>
  <c r="Y250" i="36" s="1"/>
  <c r="Z250" i="36"/>
  <c r="AA250" i="36" s="1"/>
  <c r="H256" i="36"/>
  <c r="W95" i="36"/>
  <c r="X95" i="36" s="1"/>
  <c r="Y95" i="36" s="1"/>
  <c r="H261" i="36"/>
  <c r="J74" i="45"/>
  <c r="O74" i="45" s="1"/>
  <c r="H265" i="36"/>
  <c r="J71" i="45"/>
  <c r="O71" i="45" s="1"/>
  <c r="H262" i="36"/>
  <c r="W98" i="36"/>
  <c r="X98" i="36" s="1"/>
  <c r="Y98" i="36" s="1"/>
  <c r="H264" i="36"/>
  <c r="W94" i="36"/>
  <c r="X94" i="36" s="1"/>
  <c r="Y94" i="36" s="1"/>
  <c r="H260" i="36"/>
  <c r="W100" i="36"/>
  <c r="X100" i="36" s="1"/>
  <c r="Y100" i="36" s="1"/>
  <c r="H266" i="36"/>
  <c r="J67" i="45"/>
  <c r="O67" i="45" s="1"/>
  <c r="H258" i="36"/>
  <c r="W91" i="36"/>
  <c r="X91" i="36" s="1"/>
  <c r="Y91" i="36" s="1"/>
  <c r="H257" i="36"/>
  <c r="J68" i="45"/>
  <c r="O68" i="45" s="1"/>
  <c r="H259" i="36"/>
  <c r="J70" i="45"/>
  <c r="O70" i="45" s="1"/>
  <c r="J72" i="45"/>
  <c r="O72" i="45" s="1"/>
  <c r="W97" i="36"/>
  <c r="X97" i="36" s="1"/>
  <c r="Y97" i="36" s="1"/>
  <c r="W93" i="36"/>
  <c r="X93" i="36" s="1"/>
  <c r="Y93" i="36" s="1"/>
  <c r="J66" i="45"/>
  <c r="O66" i="45" s="1"/>
  <c r="W96" i="36"/>
  <c r="X96" i="36" s="1"/>
  <c r="Y96" i="36" s="1"/>
  <c r="W92" i="36"/>
  <c r="X92" i="36" s="1"/>
  <c r="Y92" i="36" s="1"/>
  <c r="J69" i="45"/>
  <c r="O69" i="45" s="1"/>
  <c r="J73" i="45"/>
  <c r="J75" i="45"/>
  <c r="O75" i="45" s="1"/>
  <c r="W99" i="36"/>
  <c r="X99" i="36" s="1"/>
  <c r="Y99" i="36" s="1"/>
  <c r="I73" i="45"/>
  <c r="W86" i="36"/>
  <c r="X86" i="36" s="1"/>
  <c r="Y86" i="36" s="1"/>
  <c r="W101" i="36"/>
  <c r="X101" i="36" s="1"/>
  <c r="Y101" i="36" s="1"/>
  <c r="J76" i="45"/>
  <c r="O76" i="45" s="1"/>
  <c r="J65" i="45"/>
  <c r="W90" i="36"/>
  <c r="X90" i="36" s="1"/>
  <c r="Y90" i="36" s="1"/>
  <c r="H198" i="37"/>
  <c r="W258" i="36" l="1"/>
  <c r="X258" i="36" s="1"/>
  <c r="Y258" i="36" s="1"/>
  <c r="Z258" i="36"/>
  <c r="AA258" i="36" s="1"/>
  <c r="W262" i="36"/>
  <c r="X262" i="36" s="1"/>
  <c r="Y262" i="36" s="1"/>
  <c r="Z262" i="36"/>
  <c r="AA262" i="36" s="1"/>
  <c r="W265" i="36"/>
  <c r="X265" i="36" s="1"/>
  <c r="Y265" i="36" s="1"/>
  <c r="Z265" i="36"/>
  <c r="AA265" i="36" s="1"/>
  <c r="W259" i="36"/>
  <c r="X259" i="36" s="1"/>
  <c r="Y259" i="36" s="1"/>
  <c r="Z259" i="36"/>
  <c r="AA259" i="36" s="1"/>
  <c r="W266" i="36"/>
  <c r="X266" i="36" s="1"/>
  <c r="Y266" i="36" s="1"/>
  <c r="Z266" i="36"/>
  <c r="AA266" i="36" s="1"/>
  <c r="W260" i="36"/>
  <c r="X260" i="36" s="1"/>
  <c r="Y260" i="36" s="1"/>
  <c r="Z260" i="36"/>
  <c r="AA260" i="36" s="1"/>
  <c r="W261" i="36"/>
  <c r="X261" i="36" s="1"/>
  <c r="Y261" i="36" s="1"/>
  <c r="Z261" i="36"/>
  <c r="AA261" i="36" s="1"/>
  <c r="W257" i="36"/>
  <c r="X257" i="36" s="1"/>
  <c r="Y257" i="36" s="1"/>
  <c r="Z257" i="36"/>
  <c r="AA257" i="36" s="1"/>
  <c r="W264" i="36"/>
  <c r="X264" i="36" s="1"/>
  <c r="Y264" i="36" s="1"/>
  <c r="Z264" i="36"/>
  <c r="AA264" i="36" s="1"/>
  <c r="W256" i="36"/>
  <c r="X256" i="36" s="1"/>
  <c r="Y256" i="36" s="1"/>
  <c r="Z256" i="36"/>
  <c r="AA256" i="36" s="1"/>
  <c r="O73" i="45"/>
  <c r="I77" i="45"/>
  <c r="I78" i="45" s="1"/>
  <c r="O65" i="45"/>
  <c r="J77" i="45"/>
  <c r="H222" i="37"/>
  <c r="H234" i="37"/>
  <c r="H246" i="37"/>
  <c r="H210" i="37"/>
  <c r="K78" i="45" l="1"/>
  <c r="O77" i="45"/>
  <c r="J78" i="45"/>
  <c r="E102" i="34" l="1"/>
  <c r="E242" i="45" l="1"/>
  <c r="F242" i="45" l="1"/>
  <c r="E241" i="45" l="1"/>
  <c r="E97" i="34"/>
  <c r="E98" i="34" l="1"/>
  <c r="E96" i="34" l="1"/>
  <c r="S90" i="34" l="1"/>
  <c r="S89" i="34"/>
  <c r="S91" i="34" l="1"/>
  <c r="R90" i="34" l="1"/>
  <c r="R89" i="34"/>
  <c r="R91" i="34" l="1"/>
  <c r="E273" i="45" l="1"/>
  <c r="E243" i="45"/>
  <c r="D273" i="45"/>
  <c r="D243" i="45"/>
  <c r="F273" i="45"/>
  <c r="F243" i="45"/>
  <c r="C243" i="45" l="1"/>
  <c r="J273" i="45"/>
  <c r="D249" i="45" l="1"/>
  <c r="C249" i="45"/>
  <c r="E249" i="45" l="1"/>
  <c r="I249" i="45" s="1"/>
  <c r="G85" i="34" l="1"/>
  <c r="F90" i="34"/>
  <c r="G90" i="34" s="1"/>
  <c r="F89" i="34"/>
  <c r="G89" i="34" s="1"/>
  <c r="F87" i="34"/>
  <c r="G87" i="34" s="1"/>
  <c r="F88" i="34"/>
  <c r="G88" i="34" s="1"/>
  <c r="G86" i="34"/>
  <c r="F91" i="34"/>
  <c r="G91" i="34" s="1"/>
  <c r="G92" i="34" l="1"/>
  <c r="C147" i="34" s="1"/>
  <c r="F97" i="34" l="1"/>
  <c r="F98" i="34"/>
  <c r="F101" i="34"/>
  <c r="F102" i="34"/>
  <c r="F100" i="34"/>
  <c r="F99" i="34"/>
  <c r="F96" i="34"/>
  <c r="G102" i="34" l="1"/>
  <c r="G101" i="34"/>
  <c r="G96" i="34"/>
  <c r="G99" i="34"/>
  <c r="G100" i="34"/>
  <c r="G97" i="34"/>
  <c r="G98" i="34"/>
  <c r="G103" i="34" l="1"/>
  <c r="C148" i="34" s="1"/>
  <c r="D114" i="46" l="1"/>
  <c r="C143" i="46" l="1"/>
  <c r="E126" i="46"/>
  <c r="F126" i="46" l="1"/>
  <c r="E143" i="46"/>
  <c r="F143" i="46" s="1"/>
  <c r="E135" i="46" l="1"/>
  <c r="E130" i="46" l="1"/>
  <c r="F130" i="46" s="1"/>
  <c r="E128" i="46" l="1"/>
  <c r="F128" i="46" s="1"/>
  <c r="D113" i="46" l="1"/>
  <c r="C142" i="46"/>
  <c r="D116" i="46" l="1"/>
  <c r="D117" i="46" s="1"/>
  <c r="C145" i="46"/>
  <c r="C146" i="46" s="1"/>
  <c r="C147" i="46" l="1"/>
  <c r="E138" i="46"/>
  <c r="F138" i="46" s="1"/>
  <c r="E127" i="46" l="1"/>
  <c r="E144" i="46" s="1"/>
  <c r="F144" i="46" l="1"/>
  <c r="F127" i="46"/>
  <c r="D145" i="46" l="1"/>
  <c r="E134" i="46"/>
  <c r="F134" i="46" l="1"/>
  <c r="E145" i="46"/>
  <c r="F145" i="46" s="1"/>
  <c r="E125" i="46" l="1"/>
  <c r="D142" i="46"/>
  <c r="D146" i="46" s="1"/>
  <c r="F125" i="46" l="1"/>
  <c r="E142" i="46"/>
  <c r="F142" i="46" l="1"/>
  <c r="E146" i="46"/>
  <c r="F146" i="46" s="1"/>
  <c r="F131" i="34" l="1"/>
  <c r="F134" i="34"/>
  <c r="F132" i="34"/>
  <c r="F133" i="34"/>
  <c r="F130" i="34"/>
  <c r="F129" i="34" l="1"/>
  <c r="H135" i="34"/>
  <c r="C84" i="46" l="1"/>
  <c r="D55" i="46" l="1"/>
  <c r="E70" i="46" l="1"/>
  <c r="F70" i="46" s="1"/>
  <c r="E99" i="46"/>
  <c r="F99" i="46" s="1"/>
  <c r="E22" i="46"/>
  <c r="F22" i="46" s="1"/>
  <c r="C56" i="46"/>
  <c r="E108" i="46"/>
  <c r="E100" i="46"/>
  <c r="F100" i="46" s="1"/>
  <c r="E71" i="46"/>
  <c r="F71" i="46" s="1"/>
  <c r="E106" i="46"/>
  <c r="F106" i="46" s="1"/>
  <c r="E109" i="46"/>
  <c r="F109" i="46" s="1"/>
  <c r="E13" i="46"/>
  <c r="F13" i="46" s="1"/>
  <c r="C85" i="46"/>
  <c r="E19" i="46"/>
  <c r="E14" i="46"/>
  <c r="F14" i="46" s="1"/>
  <c r="E41" i="46"/>
  <c r="F41" i="46" s="1"/>
  <c r="E12" i="46"/>
  <c r="F12" i="46" s="1"/>
  <c r="E101" i="46"/>
  <c r="F101" i="46" s="1"/>
  <c r="E49" i="46"/>
  <c r="E18" i="46"/>
  <c r="E107" i="46"/>
  <c r="E79" i="46" l="1"/>
  <c r="E72" i="46"/>
  <c r="F72" i="46" s="1"/>
  <c r="E51" i="46"/>
  <c r="F51" i="46" s="1"/>
  <c r="E48" i="46"/>
  <c r="F48" i="46" s="1"/>
  <c r="E80" i="46"/>
  <c r="F80" i="46" s="1"/>
  <c r="E77" i="46"/>
  <c r="F77" i="46" s="1"/>
  <c r="C55" i="46"/>
  <c r="E38" i="46"/>
  <c r="E9" i="46"/>
  <c r="D26" i="46"/>
  <c r="E43" i="46"/>
  <c r="F43" i="46" s="1"/>
  <c r="E98" i="46"/>
  <c r="E115" i="46" s="1"/>
  <c r="E78" i="46"/>
  <c r="E69" i="46"/>
  <c r="E97" i="46"/>
  <c r="C114" i="46"/>
  <c r="E42" i="46"/>
  <c r="F42" i="46" s="1"/>
  <c r="D58" i="46"/>
  <c r="E47" i="46"/>
  <c r="F47" i="46" s="1"/>
  <c r="C87" i="46"/>
  <c r="E46" i="46"/>
  <c r="C58" i="46"/>
  <c r="D87" i="46"/>
  <c r="E76" i="46"/>
  <c r="F76" i="46" s="1"/>
  <c r="E96" i="46"/>
  <c r="C113" i="46"/>
  <c r="E11" i="46"/>
  <c r="E28" i="46" s="1"/>
  <c r="E50" i="46"/>
  <c r="D56" i="46"/>
  <c r="E39" i="46"/>
  <c r="D27" i="46"/>
  <c r="E10" i="46"/>
  <c r="D85" i="46"/>
  <c r="E85" i="46" s="1"/>
  <c r="F85" i="46" s="1"/>
  <c r="E68" i="46"/>
  <c r="F68" i="46" s="1"/>
  <c r="D29" i="46"/>
  <c r="E17" i="46"/>
  <c r="E29" i="46" s="1"/>
  <c r="F29" i="46" s="1"/>
  <c r="E105" i="46"/>
  <c r="C116" i="46"/>
  <c r="D84" i="46"/>
  <c r="E67" i="46"/>
  <c r="F67" i="46" s="1"/>
  <c r="E40" i="46"/>
  <c r="E57" i="46" s="1"/>
  <c r="F69" i="46" l="1"/>
  <c r="E86" i="46"/>
  <c r="F86" i="46" s="1"/>
  <c r="C117" i="46"/>
  <c r="C88" i="46"/>
  <c r="E87" i="46"/>
  <c r="F87" i="46" s="1"/>
  <c r="F28" i="46"/>
  <c r="F11" i="46"/>
  <c r="D88" i="46"/>
  <c r="E84" i="46"/>
  <c r="F98" i="46"/>
  <c r="F115" i="46"/>
  <c r="F39" i="46"/>
  <c r="E56" i="46"/>
  <c r="F56" i="46" s="1"/>
  <c r="D59" i="46"/>
  <c r="C89" i="46" s="1"/>
  <c r="E114" i="46"/>
  <c r="F114" i="46" s="1"/>
  <c r="F97" i="46"/>
  <c r="E26" i="46"/>
  <c r="F9" i="46"/>
  <c r="E27" i="46"/>
  <c r="F27" i="46" s="1"/>
  <c r="F10" i="46"/>
  <c r="E116" i="46"/>
  <c r="F116" i="46" s="1"/>
  <c r="F105" i="46"/>
  <c r="E58" i="46"/>
  <c r="F58" i="46" s="1"/>
  <c r="F38" i="46"/>
  <c r="E55" i="46"/>
  <c r="E113" i="46"/>
  <c r="F96" i="46"/>
  <c r="D30" i="46"/>
  <c r="F40" i="46"/>
  <c r="F57" i="46"/>
  <c r="C59" i="46"/>
  <c r="F113" i="46" l="1"/>
  <c r="E117" i="46"/>
  <c r="F117" i="46" s="1"/>
  <c r="E88" i="46"/>
  <c r="F88" i="46" s="1"/>
  <c r="F84" i="46"/>
  <c r="E30" i="46"/>
  <c r="F30" i="46" s="1"/>
  <c r="F26" i="46"/>
  <c r="F55" i="46"/>
  <c r="E59" i="46"/>
  <c r="F59" i="46" s="1"/>
  <c r="E17" i="45" l="1"/>
  <c r="E19" i="45" s="1"/>
  <c r="F17" i="45"/>
  <c r="F19" i="45" s="1"/>
  <c r="D17" i="45"/>
  <c r="D19" i="45" s="1"/>
  <c r="J125" i="36" l="1"/>
  <c r="J125" i="49" l="1"/>
  <c r="V125" i="36"/>
  <c r="AC47" i="36" s="1"/>
  <c r="J137" i="49"/>
  <c r="V165" i="36"/>
  <c r="W118" i="36"/>
  <c r="X118" i="36" s="1"/>
  <c r="Y118" i="36" s="1"/>
  <c r="D149" i="45"/>
  <c r="K149" i="45" l="1"/>
  <c r="K150" i="45" s="1"/>
  <c r="V152" i="36"/>
  <c r="V167" i="36"/>
  <c r="W25" i="36"/>
  <c r="X25" i="36" s="1"/>
  <c r="Y25" i="36" s="1"/>
  <c r="W32" i="36"/>
  <c r="X32" i="36" s="1"/>
  <c r="Y32" i="36" s="1"/>
  <c r="B14" i="38" l="1"/>
  <c r="AC183" i="36"/>
  <c r="J149" i="49"/>
  <c r="J151" i="36"/>
  <c r="J183" i="36"/>
  <c r="V183" i="36" s="1"/>
  <c r="D131" i="45"/>
  <c r="J195" i="36"/>
  <c r="V195" i="36" s="1"/>
  <c r="Z195" i="36" s="1"/>
  <c r="AA195" i="36" s="1"/>
  <c r="AC173" i="36" s="1"/>
  <c r="AE173" i="36" s="1"/>
  <c r="AF173" i="36" s="1"/>
  <c r="AG173" i="36" s="1"/>
  <c r="J243" i="36"/>
  <c r="V243" i="36" s="1"/>
  <c r="Z243" i="36" s="1"/>
  <c r="AA243" i="36" s="1"/>
  <c r="AC177" i="36" s="1"/>
  <c r="G19" i="39"/>
  <c r="AE177" i="36" l="1"/>
  <c r="AF177" i="36" s="1"/>
  <c r="AG177" i="36" s="1"/>
  <c r="AI177" i="36"/>
  <c r="K131" i="45"/>
  <c r="K132" i="45" s="1"/>
  <c r="J207" i="36"/>
  <c r="V207" i="36" s="1"/>
  <c r="Z207" i="36" s="1"/>
  <c r="AA207" i="36" s="1"/>
  <c r="AC174" i="36" s="1"/>
  <c r="AE174" i="36" s="1"/>
  <c r="AF174" i="36" s="1"/>
  <c r="AG174" i="36" s="1"/>
  <c r="W195" i="36"/>
  <c r="X195" i="36" s="1"/>
  <c r="Y195" i="36" s="1"/>
  <c r="J255" i="36"/>
  <c r="V255" i="36" s="1"/>
  <c r="Z255" i="36" s="1"/>
  <c r="AA255" i="36" s="1"/>
  <c r="AC178" i="36" s="1"/>
  <c r="AE178" i="36" l="1"/>
  <c r="AF178" i="36" s="1"/>
  <c r="AG178" i="36" s="1"/>
  <c r="AI178" i="36"/>
  <c r="D13" i="56"/>
  <c r="J219" i="36"/>
  <c r="V219" i="36" s="1"/>
  <c r="Z219" i="36" s="1"/>
  <c r="AA219" i="36" s="1"/>
  <c r="AC175" i="36" s="1"/>
  <c r="AE175" i="36" s="1"/>
  <c r="AF175" i="36" s="1"/>
  <c r="AG175" i="36" s="1"/>
  <c r="W207" i="36"/>
  <c r="X207" i="36" s="1"/>
  <c r="Y207" i="36" s="1"/>
  <c r="W243" i="36"/>
  <c r="X243" i="36" s="1"/>
  <c r="Y243" i="36" s="1"/>
  <c r="J267" i="36"/>
  <c r="V267" i="36" s="1"/>
  <c r="Z267" i="36" s="1"/>
  <c r="AA267" i="36" s="1"/>
  <c r="AC179" i="36" s="1"/>
  <c r="J127" i="37"/>
  <c r="K127" i="37" s="1"/>
  <c r="G127" i="37" s="1"/>
  <c r="AI179" i="36" l="1"/>
  <c r="AE179" i="36"/>
  <c r="AF179" i="36" s="1"/>
  <c r="AG179" i="36" s="1"/>
  <c r="J231" i="36"/>
  <c r="V231" i="36" s="1"/>
  <c r="Z231" i="36" s="1"/>
  <c r="AA231" i="36" s="1"/>
  <c r="AC176" i="36" s="1"/>
  <c r="AE176" i="36" s="1"/>
  <c r="AF176" i="36" s="1"/>
  <c r="AG176" i="36" s="1"/>
  <c r="W219" i="36"/>
  <c r="X219" i="36" s="1"/>
  <c r="Y219" i="36" s="1"/>
  <c r="W255" i="36"/>
  <c r="X255" i="36" s="1"/>
  <c r="Y255" i="36" s="1"/>
  <c r="J279" i="36"/>
  <c r="V279" i="36" s="1"/>
  <c r="Z279" i="36" s="1"/>
  <c r="AA279" i="36" s="1"/>
  <c r="AC180" i="36" s="1"/>
  <c r="J134" i="37"/>
  <c r="K134" i="37" s="1"/>
  <c r="G134" i="37" s="1"/>
  <c r="J136" i="37"/>
  <c r="K136" i="37" s="1"/>
  <c r="G136" i="37" s="1"/>
  <c r="J137" i="37"/>
  <c r="K137" i="37" s="1"/>
  <c r="G137" i="37" s="1"/>
  <c r="J130" i="37"/>
  <c r="K130" i="37" s="1"/>
  <c r="G130" i="37" s="1"/>
  <c r="J133" i="37"/>
  <c r="K133" i="37" s="1"/>
  <c r="G133" i="37" s="1"/>
  <c r="J135" i="37"/>
  <c r="K135" i="37" s="1"/>
  <c r="G135" i="37" s="1"/>
  <c r="J138" i="37"/>
  <c r="K138" i="37" s="1"/>
  <c r="G138" i="37" s="1"/>
  <c r="J128" i="37"/>
  <c r="K128" i="37" s="1"/>
  <c r="G128" i="37" s="1"/>
  <c r="J129" i="37"/>
  <c r="K129" i="37" s="1"/>
  <c r="G129" i="37" s="1"/>
  <c r="J131" i="37"/>
  <c r="K131" i="37" s="1"/>
  <c r="G131" i="37" s="1"/>
  <c r="J132" i="37"/>
  <c r="K132" i="37" s="1"/>
  <c r="G132" i="37" s="1"/>
  <c r="AI180" i="36" l="1"/>
  <c r="AE180" i="36"/>
  <c r="AF180" i="36" s="1"/>
  <c r="AG180" i="36" s="1"/>
  <c r="W231" i="36"/>
  <c r="X231" i="36" s="1"/>
  <c r="Y231" i="36" s="1"/>
  <c r="D25" i="56"/>
  <c r="F25" i="56" s="1"/>
  <c r="W267" i="36"/>
  <c r="X267" i="36" s="1"/>
  <c r="Y267" i="36" s="1"/>
  <c r="J291" i="36"/>
  <c r="H8" i="36"/>
  <c r="C67" i="45" s="1"/>
  <c r="H7" i="36"/>
  <c r="H14" i="36"/>
  <c r="C73" i="45" s="1"/>
  <c r="H17" i="36"/>
  <c r="C76" i="45" s="1"/>
  <c r="H16" i="36"/>
  <c r="C75" i="45" s="1"/>
  <c r="H11" i="36"/>
  <c r="C70" i="45" s="1"/>
  <c r="H15" i="36"/>
  <c r="C74" i="45" s="1"/>
  <c r="H10" i="36"/>
  <c r="C69" i="45" s="1"/>
  <c r="H13" i="36"/>
  <c r="C72" i="45" s="1"/>
  <c r="H12" i="36"/>
  <c r="C71" i="45" s="1"/>
  <c r="H9" i="36"/>
  <c r="C68" i="45" s="1"/>
  <c r="H138" i="37"/>
  <c r="H6" i="36"/>
  <c r="J303" i="36" l="1"/>
  <c r="V303" i="36" s="1"/>
  <c r="V291" i="36"/>
  <c r="AD38" i="36"/>
  <c r="AE38" i="36" s="1"/>
  <c r="AF38" i="36" s="1"/>
  <c r="AG38" i="36" s="1"/>
  <c r="C66" i="45"/>
  <c r="F54" i="56"/>
  <c r="D24" i="56"/>
  <c r="F24" i="56" s="1"/>
  <c r="H172" i="36"/>
  <c r="Z172" i="36" s="1"/>
  <c r="AA172" i="36" s="1"/>
  <c r="C65" i="45"/>
  <c r="C77" i="45" s="1"/>
  <c r="D78" i="45" s="1"/>
  <c r="D26" i="56"/>
  <c r="F26" i="56" s="1"/>
  <c r="W14" i="36"/>
  <c r="X14" i="36" s="1"/>
  <c r="Y14" i="36" s="1"/>
  <c r="H180" i="36"/>
  <c r="W16" i="36"/>
  <c r="X16" i="36" s="1"/>
  <c r="Y16" i="36" s="1"/>
  <c r="H182" i="36"/>
  <c r="W17" i="36"/>
  <c r="X17" i="36" s="1"/>
  <c r="Y17" i="36" s="1"/>
  <c r="H183" i="36"/>
  <c r="W8" i="36"/>
  <c r="X8" i="36" s="1"/>
  <c r="Y8" i="36" s="1"/>
  <c r="H174" i="36"/>
  <c r="W12" i="36"/>
  <c r="X12" i="36" s="1"/>
  <c r="Y12" i="36" s="1"/>
  <c r="H178" i="36"/>
  <c r="W7" i="36"/>
  <c r="X7" i="36" s="1"/>
  <c r="Y7" i="36" s="1"/>
  <c r="H173" i="36"/>
  <c r="W279" i="36"/>
  <c r="X279" i="36" s="1"/>
  <c r="Y279" i="36" s="1"/>
  <c r="W9" i="36"/>
  <c r="X9" i="36" s="1"/>
  <c r="Y9" i="36" s="1"/>
  <c r="H175" i="36"/>
  <c r="W13" i="36"/>
  <c r="X13" i="36" s="1"/>
  <c r="Y13" i="36" s="1"/>
  <c r="H179" i="36"/>
  <c r="W10" i="36"/>
  <c r="X10" i="36" s="1"/>
  <c r="Y10" i="36" s="1"/>
  <c r="H176" i="36"/>
  <c r="W15" i="36"/>
  <c r="X15" i="36" s="1"/>
  <c r="Y15" i="36" s="1"/>
  <c r="H181" i="36"/>
  <c r="W11" i="36"/>
  <c r="X11" i="36" s="1"/>
  <c r="Y11" i="36" s="1"/>
  <c r="H177" i="36"/>
  <c r="W6" i="36"/>
  <c r="X6" i="36" s="1"/>
  <c r="Y6" i="36" s="1"/>
  <c r="H17" i="39"/>
  <c r="H19" i="39" s="1"/>
  <c r="F19" i="39"/>
  <c r="I19" i="39" s="1"/>
  <c r="W175" i="36" l="1"/>
  <c r="X175" i="36" s="1"/>
  <c r="Y175" i="36" s="1"/>
  <c r="Z175" i="36"/>
  <c r="AA175" i="36" s="1"/>
  <c r="W174" i="36"/>
  <c r="X174" i="36" s="1"/>
  <c r="Y174" i="36" s="1"/>
  <c r="Z174" i="36"/>
  <c r="AA174" i="36" s="1"/>
  <c r="W177" i="36"/>
  <c r="X177" i="36" s="1"/>
  <c r="Y177" i="36" s="1"/>
  <c r="Z177" i="36"/>
  <c r="AA177" i="36" s="1"/>
  <c r="W181" i="36"/>
  <c r="X181" i="36" s="1"/>
  <c r="Y181" i="36" s="1"/>
  <c r="Z181" i="36"/>
  <c r="AA181" i="36" s="1"/>
  <c r="W183" i="36"/>
  <c r="X183" i="36" s="1"/>
  <c r="Y183" i="36" s="1"/>
  <c r="Z183" i="36"/>
  <c r="AA183" i="36" s="1"/>
  <c r="W173" i="36"/>
  <c r="X173" i="36" s="1"/>
  <c r="Y173" i="36" s="1"/>
  <c r="Z173" i="36"/>
  <c r="AA173" i="36" s="1"/>
  <c r="W182" i="36"/>
  <c r="X182" i="36" s="1"/>
  <c r="Y182" i="36" s="1"/>
  <c r="Z182" i="36"/>
  <c r="AA182" i="36" s="1"/>
  <c r="W176" i="36"/>
  <c r="X176" i="36" s="1"/>
  <c r="Y176" i="36" s="1"/>
  <c r="Z176" i="36"/>
  <c r="AA176" i="36" s="1"/>
  <c r="W178" i="36"/>
  <c r="X178" i="36" s="1"/>
  <c r="Y178" i="36" s="1"/>
  <c r="Z178" i="36"/>
  <c r="AA178" i="36" s="1"/>
  <c r="W180" i="36"/>
  <c r="X180" i="36" s="1"/>
  <c r="Y180" i="36" s="1"/>
  <c r="Z180" i="36"/>
  <c r="AA180" i="36" s="1"/>
  <c r="W179" i="36"/>
  <c r="X179" i="36" s="1"/>
  <c r="Y179" i="36" s="1"/>
  <c r="Z179" i="36"/>
  <c r="AA179" i="36" s="1"/>
  <c r="F55" i="56"/>
  <c r="F53" i="56"/>
  <c r="W172" i="36"/>
  <c r="X172" i="36" s="1"/>
  <c r="Y172" i="36" s="1"/>
  <c r="D27" i="56"/>
  <c r="F27" i="56" s="1"/>
  <c r="D21" i="56"/>
  <c r="F21" i="56" s="1"/>
  <c r="F50" i="56" s="1"/>
  <c r="D23" i="56"/>
  <c r="F23" i="56" s="1"/>
  <c r="F52" i="56" s="1"/>
  <c r="D22" i="56"/>
  <c r="F22" i="56" s="1"/>
  <c r="F51" i="56" s="1"/>
  <c r="D20" i="56"/>
  <c r="F20" i="56" s="1"/>
  <c r="F49" i="56" s="1"/>
  <c r="G66" i="56"/>
  <c r="G25" i="56" s="1"/>
  <c r="H66" i="56"/>
  <c r="I66" i="56"/>
  <c r="C22" i="39"/>
  <c r="D22" i="39"/>
  <c r="F22" i="39"/>
  <c r="E22" i="39"/>
  <c r="AC172" i="36" l="1"/>
  <c r="AE172" i="36" s="1"/>
  <c r="AF172" i="36" s="1"/>
  <c r="AG172" i="36" s="1"/>
  <c r="H65" i="56"/>
  <c r="H24" i="56" s="1"/>
  <c r="I65" i="56"/>
  <c r="I24" i="56" s="1"/>
  <c r="G65" i="56"/>
  <c r="H445" i="45"/>
  <c r="L445" i="45" s="1"/>
  <c r="F56" i="56"/>
  <c r="I61" i="56"/>
  <c r="I20" i="56" s="1"/>
  <c r="G61" i="56"/>
  <c r="H61" i="56"/>
  <c r="H20" i="56" s="1"/>
  <c r="H472" i="45" s="1"/>
  <c r="H64" i="56"/>
  <c r="H23" i="56" s="1"/>
  <c r="H475" i="45" s="1"/>
  <c r="G64" i="56"/>
  <c r="I64" i="56"/>
  <c r="I23" i="56" s="1"/>
  <c r="H63" i="56"/>
  <c r="H22" i="56" s="1"/>
  <c r="H474" i="45" s="1"/>
  <c r="I63" i="56"/>
  <c r="I22" i="56" s="1"/>
  <c r="G63" i="56"/>
  <c r="G62" i="56"/>
  <c r="H62" i="56"/>
  <c r="H21" i="56" s="1"/>
  <c r="H473" i="45" s="1"/>
  <c r="I62" i="56"/>
  <c r="I21" i="56" s="1"/>
  <c r="I25" i="56"/>
  <c r="H25" i="56"/>
  <c r="G67" i="56"/>
  <c r="G26" i="56" s="1"/>
  <c r="H67" i="56"/>
  <c r="I67" i="56"/>
  <c r="F66" i="56"/>
  <c r="E66" i="56" s="1"/>
  <c r="E23" i="39"/>
  <c r="E27" i="39" s="1"/>
  <c r="D23" i="39"/>
  <c r="D27" i="39" s="1"/>
  <c r="F23" i="39"/>
  <c r="F27" i="39" s="1"/>
  <c r="C23" i="39"/>
  <c r="C27" i="39" s="1"/>
  <c r="H20" i="39"/>
  <c r="H22" i="39" s="1"/>
  <c r="G22" i="39"/>
  <c r="I22" i="39" s="1"/>
  <c r="I23" i="39" s="1"/>
  <c r="I27" i="39" s="1"/>
  <c r="D19" i="56" l="1"/>
  <c r="F19" i="56" s="1"/>
  <c r="F48" i="56" s="1"/>
  <c r="H496" i="45"/>
  <c r="H497" i="45"/>
  <c r="L497" i="45" s="1"/>
  <c r="G24" i="56"/>
  <c r="F65" i="56"/>
  <c r="E65" i="56" s="1"/>
  <c r="I78" i="56"/>
  <c r="F78" i="56" s="1"/>
  <c r="H476" i="45"/>
  <c r="L476" i="45" s="1"/>
  <c r="H446" i="45"/>
  <c r="L446" i="45" s="1"/>
  <c r="M446" i="45" s="1"/>
  <c r="H477" i="45"/>
  <c r="L473" i="45"/>
  <c r="I473" i="45"/>
  <c r="L474" i="45"/>
  <c r="I474" i="45"/>
  <c r="I77" i="56"/>
  <c r="H495" i="45"/>
  <c r="L475" i="45"/>
  <c r="I475" i="45"/>
  <c r="L496" i="45"/>
  <c r="I497" i="45"/>
  <c r="I75" i="56"/>
  <c r="H493" i="45"/>
  <c r="I76" i="56"/>
  <c r="H494" i="45"/>
  <c r="L472" i="45"/>
  <c r="I74" i="56"/>
  <c r="P492" i="45" s="1"/>
  <c r="H492" i="45"/>
  <c r="I79" i="56"/>
  <c r="M25" i="56"/>
  <c r="N25" i="56" s="1"/>
  <c r="G21" i="56"/>
  <c r="H441" i="45" s="1"/>
  <c r="F62" i="56"/>
  <c r="E62" i="56" s="1"/>
  <c r="G22" i="56"/>
  <c r="H442" i="45" s="1"/>
  <c r="F63" i="56"/>
  <c r="E63" i="56" s="1"/>
  <c r="G20" i="56"/>
  <c r="H440" i="45" s="1"/>
  <c r="F61" i="56"/>
  <c r="E61" i="56" s="1"/>
  <c r="G23" i="56"/>
  <c r="H443" i="45" s="1"/>
  <c r="F64" i="56"/>
  <c r="E64" i="56" s="1"/>
  <c r="I26" i="56"/>
  <c r="H26" i="56"/>
  <c r="G68" i="56"/>
  <c r="G27" i="56" s="1"/>
  <c r="I68" i="56"/>
  <c r="H68" i="56"/>
  <c r="F67" i="56"/>
  <c r="E67" i="56" s="1"/>
  <c r="H23" i="39"/>
  <c r="H27" i="39" s="1"/>
  <c r="C20" i="38" s="1"/>
  <c r="C18" i="38" s="1"/>
  <c r="C14" i="38" s="1"/>
  <c r="G23" i="39"/>
  <c r="G27" i="39" s="1"/>
  <c r="I446" i="45" l="1"/>
  <c r="H60" i="56"/>
  <c r="H19" i="56" s="1"/>
  <c r="H471" i="45" s="1"/>
  <c r="G60" i="56"/>
  <c r="I60" i="56"/>
  <c r="I19" i="56" s="1"/>
  <c r="P496" i="45"/>
  <c r="T496" i="45" s="1"/>
  <c r="I477" i="45"/>
  <c r="L477" i="45"/>
  <c r="M477" i="45" s="1"/>
  <c r="H444" i="45"/>
  <c r="M24" i="56"/>
  <c r="N24" i="56" s="1"/>
  <c r="P497" i="45"/>
  <c r="T497" i="45" s="1"/>
  <c r="H447" i="45"/>
  <c r="I476" i="45"/>
  <c r="M497" i="45"/>
  <c r="M474" i="45"/>
  <c r="M475" i="45"/>
  <c r="M476" i="45"/>
  <c r="I80" i="56"/>
  <c r="H498" i="45"/>
  <c r="L492" i="45"/>
  <c r="L494" i="45"/>
  <c r="I494" i="45"/>
  <c r="L493" i="45"/>
  <c r="I493" i="45"/>
  <c r="L495" i="45"/>
  <c r="I495" i="45"/>
  <c r="M26" i="56"/>
  <c r="N26" i="56" s="1"/>
  <c r="H478" i="45"/>
  <c r="T492" i="45"/>
  <c r="F76" i="56"/>
  <c r="P494" i="45"/>
  <c r="F75" i="56"/>
  <c r="P493" i="45"/>
  <c r="I496" i="45"/>
  <c r="F77" i="56"/>
  <c r="P495" i="45"/>
  <c r="M473" i="45"/>
  <c r="M23" i="56"/>
  <c r="N23" i="56" s="1"/>
  <c r="M20" i="56"/>
  <c r="N20" i="56" s="1"/>
  <c r="M22" i="56"/>
  <c r="N22" i="56" s="1"/>
  <c r="M21" i="56"/>
  <c r="N21" i="56" s="1"/>
  <c r="F79" i="56"/>
  <c r="H27" i="56"/>
  <c r="I27" i="56"/>
  <c r="F68" i="56"/>
  <c r="E68" i="56" s="1"/>
  <c r="H491" i="45" l="1"/>
  <c r="I73" i="56"/>
  <c r="G19" i="56"/>
  <c r="F60" i="56"/>
  <c r="E60" i="56" s="1"/>
  <c r="L471" i="45"/>
  <c r="M472" i="45" s="1"/>
  <c r="I472" i="45"/>
  <c r="Q497" i="45"/>
  <c r="M9" i="11"/>
  <c r="M495" i="45"/>
  <c r="L444" i="45"/>
  <c r="M445" i="45" s="1"/>
  <c r="I445" i="45"/>
  <c r="M496" i="45"/>
  <c r="M493" i="45"/>
  <c r="I81" i="56"/>
  <c r="H499" i="45"/>
  <c r="H479" i="45"/>
  <c r="T495" i="45"/>
  <c r="Q495" i="45"/>
  <c r="Q496" i="45"/>
  <c r="L478" i="45"/>
  <c r="M478" i="45" s="1"/>
  <c r="I478" i="45"/>
  <c r="M494" i="45"/>
  <c r="U497" i="45"/>
  <c r="I498" i="45"/>
  <c r="L498" i="45"/>
  <c r="M498" i="45" s="1"/>
  <c r="Q493" i="45"/>
  <c r="T493" i="45"/>
  <c r="U493" i="45" s="1"/>
  <c r="T494" i="45"/>
  <c r="Q494" i="45"/>
  <c r="F80" i="56"/>
  <c r="P498" i="45"/>
  <c r="L441" i="45"/>
  <c r="I441" i="45"/>
  <c r="I442" i="45"/>
  <c r="L442" i="45"/>
  <c r="L440" i="45"/>
  <c r="I443" i="45"/>
  <c r="L443" i="45"/>
  <c r="I444" i="45"/>
  <c r="I447" i="45"/>
  <c r="L447" i="45"/>
  <c r="M447" i="45" s="1"/>
  <c r="M27" i="56"/>
  <c r="N27" i="56" s="1"/>
  <c r="H439" i="45" l="1"/>
  <c r="M19" i="56"/>
  <c r="N19" i="56" s="1"/>
  <c r="P491" i="45"/>
  <c r="F73" i="56"/>
  <c r="L491" i="45"/>
  <c r="M492" i="45" s="1"/>
  <c r="I492" i="45"/>
  <c r="D14" i="38"/>
  <c r="U495" i="45"/>
  <c r="U496" i="45"/>
  <c r="F81" i="56"/>
  <c r="P499" i="45"/>
  <c r="T498" i="45"/>
  <c r="U498" i="45" s="1"/>
  <c r="Q498" i="45"/>
  <c r="U494" i="45"/>
  <c r="L479" i="45"/>
  <c r="M479" i="45" s="1"/>
  <c r="I479" i="45"/>
  <c r="L499" i="45"/>
  <c r="M499" i="45" s="1"/>
  <c r="I499" i="45"/>
  <c r="M441" i="45"/>
  <c r="M443" i="45"/>
  <c r="M444" i="45"/>
  <c r="M442" i="45"/>
  <c r="E573" i="45"/>
  <c r="F573" i="45" s="1"/>
  <c r="E578" i="45"/>
  <c r="F578" i="45" s="1"/>
  <c r="E163" i="36"/>
  <c r="H163" i="36" s="1"/>
  <c r="E158" i="36"/>
  <c r="H158" i="36" s="1"/>
  <c r="E164" i="36"/>
  <c r="H164" i="36" s="1"/>
  <c r="E160" i="36"/>
  <c r="H160" i="36" s="1"/>
  <c r="E161" i="36"/>
  <c r="H161" i="36" s="1"/>
  <c r="E157" i="36"/>
  <c r="H157" i="36" s="1"/>
  <c r="T491" i="45" l="1"/>
  <c r="U492" i="45" s="1"/>
  <c r="Q492" i="45"/>
  <c r="L439" i="45"/>
  <c r="M440" i="45" s="1"/>
  <c r="I440" i="45"/>
  <c r="D14" i="56"/>
  <c r="T499" i="45"/>
  <c r="U499" i="45" s="1"/>
  <c r="Q499" i="45"/>
  <c r="D609" i="45"/>
  <c r="E609" i="45" s="1"/>
  <c r="F609" i="45" s="1"/>
  <c r="H139" i="36"/>
  <c r="E156" i="36"/>
  <c r="H156" i="36" s="1"/>
  <c r="E162" i="36"/>
  <c r="H162" i="36" s="1"/>
  <c r="E165" i="36"/>
  <c r="H165" i="36" s="1"/>
  <c r="E155" i="36"/>
  <c r="H155" i="36" s="1"/>
  <c r="E159" i="36"/>
  <c r="H159" i="36" s="1"/>
  <c r="H126" i="36"/>
  <c r="E154" i="36"/>
  <c r="H154" i="36" s="1"/>
  <c r="H138" i="36"/>
  <c r="H292" i="36" l="1"/>
  <c r="W126" i="36"/>
  <c r="X126" i="36" s="1"/>
  <c r="Y126" i="36" s="1"/>
  <c r="Z292" i="36"/>
  <c r="AA292" i="36" s="1"/>
  <c r="W292" i="36"/>
  <c r="X292" i="36" s="1"/>
  <c r="Y292" i="36" s="1"/>
  <c r="D611" i="45"/>
  <c r="E611" i="45" s="1"/>
  <c r="F611" i="45" s="1"/>
  <c r="E585" i="45"/>
  <c r="F585" i="45" s="1"/>
  <c r="H127" i="36"/>
  <c r="W127" i="36" s="1"/>
  <c r="X127" i="36" s="1"/>
  <c r="Y127" i="36" s="1"/>
  <c r="Q65" i="45"/>
  <c r="Q66" i="45" l="1"/>
  <c r="H293" i="36"/>
  <c r="H141" i="36"/>
  <c r="H129" i="36"/>
  <c r="H128" i="36"/>
  <c r="H295" i="36" l="1"/>
  <c r="W129" i="36"/>
  <c r="X129" i="36" s="1"/>
  <c r="Y129" i="36" s="1"/>
  <c r="H294" i="36"/>
  <c r="W128" i="36"/>
  <c r="X128" i="36" s="1"/>
  <c r="Y128" i="36" s="1"/>
  <c r="Z294" i="36"/>
  <c r="AA294" i="36" s="1"/>
  <c r="W294" i="36"/>
  <c r="X294" i="36" s="1"/>
  <c r="Y294" i="36" s="1"/>
  <c r="Z295" i="36"/>
  <c r="AA295" i="36" s="1"/>
  <c r="W295" i="36"/>
  <c r="X295" i="36" s="1"/>
  <c r="Y295" i="36" s="1"/>
  <c r="Z293" i="36"/>
  <c r="AA293" i="36" s="1"/>
  <c r="W293" i="36"/>
  <c r="X293" i="36" s="1"/>
  <c r="Y293" i="36" s="1"/>
  <c r="H140" i="36"/>
  <c r="Q67" i="45" s="1"/>
  <c r="Q68" i="45"/>
  <c r="H142" i="36"/>
  <c r="H130" i="36"/>
  <c r="I200" i="45"/>
  <c r="E139" i="34"/>
  <c r="G139" i="34" s="1"/>
  <c r="G141" i="34" s="1"/>
  <c r="C152" i="34" s="1"/>
  <c r="H14" i="17"/>
  <c r="I14" i="17" s="1"/>
  <c r="B16" i="11" a="1"/>
  <c r="M16" i="11" s="1"/>
  <c r="H296" i="36" l="1"/>
  <c r="W130" i="36"/>
  <c r="X130" i="36" s="1"/>
  <c r="Y130" i="36" s="1"/>
  <c r="Z296" i="36"/>
  <c r="AA296" i="36" s="1"/>
  <c r="W296" i="36"/>
  <c r="X296" i="36" s="1"/>
  <c r="Y296" i="36" s="1"/>
  <c r="C15" i="34"/>
  <c r="Q69" i="45"/>
  <c r="F16" i="11"/>
  <c r="F43" i="11" s="1"/>
  <c r="B16" i="11"/>
  <c r="B43" i="11" s="1"/>
  <c r="M43" i="11"/>
  <c r="I335" i="45"/>
  <c r="I420" i="45" s="1"/>
  <c r="L16" i="11"/>
  <c r="K16" i="11"/>
  <c r="J16" i="11"/>
  <c r="H16" i="11"/>
  <c r="I16" i="11"/>
  <c r="G16" i="11"/>
  <c r="G43" i="11" s="1"/>
  <c r="D16" i="11"/>
  <c r="D43" i="11" s="1"/>
  <c r="C16" i="11"/>
  <c r="C43" i="11" s="1"/>
  <c r="E16" i="11"/>
  <c r="E43" i="11" s="1"/>
  <c r="H15" i="17"/>
  <c r="B47" i="11" s="1" a="1"/>
  <c r="C21" i="34" l="1"/>
  <c r="H43" i="11"/>
  <c r="D335" i="45"/>
  <c r="E4" i="33"/>
  <c r="E10" i="33" s="1"/>
  <c r="H144" i="36"/>
  <c r="H131" i="36"/>
  <c r="I47" i="11"/>
  <c r="L47" i="11"/>
  <c r="J47" i="11"/>
  <c r="D47" i="11"/>
  <c r="D52" i="11" s="1"/>
  <c r="H47" i="11"/>
  <c r="H52" i="11" s="1"/>
  <c r="B47" i="11"/>
  <c r="B52" i="11" s="1"/>
  <c r="E47" i="11"/>
  <c r="E52" i="11" s="1"/>
  <c r="G47" i="11"/>
  <c r="G52" i="11" s="1"/>
  <c r="K47" i="11"/>
  <c r="F47" i="11"/>
  <c r="F52" i="11" s="1"/>
  <c r="C47" i="11"/>
  <c r="C52" i="11" s="1"/>
  <c r="E335" i="45"/>
  <c r="I43" i="11"/>
  <c r="F335" i="45"/>
  <c r="J43" i="11"/>
  <c r="K43" i="11"/>
  <c r="G335" i="45"/>
  <c r="C820" i="45" s="1"/>
  <c r="C874" i="45" s="1"/>
  <c r="I15" i="17"/>
  <c r="M47" i="11"/>
  <c r="M52" i="11" s="1"/>
  <c r="H335" i="45"/>
  <c r="L43" i="11"/>
  <c r="H297" i="36" l="1"/>
  <c r="W131" i="36"/>
  <c r="X131" i="36" s="1"/>
  <c r="Y131" i="36" s="1"/>
  <c r="Z297" i="36"/>
  <c r="AA297" i="36" s="1"/>
  <c r="W297" i="36"/>
  <c r="X297" i="36" s="1"/>
  <c r="Y297" i="36" s="1"/>
  <c r="D174" i="45"/>
  <c r="C895" i="45"/>
  <c r="H420" i="45"/>
  <c r="I427" i="45" s="1"/>
  <c r="D820" i="45"/>
  <c r="D686" i="45"/>
  <c r="D740" i="45" s="1"/>
  <c r="C753" i="45"/>
  <c r="C807" i="45" s="1"/>
  <c r="G420" i="45"/>
  <c r="D753" i="45"/>
  <c r="D619" i="45"/>
  <c r="D673" i="45" s="1"/>
  <c r="C686" i="45"/>
  <c r="C740" i="45" s="1"/>
  <c r="D571" i="45"/>
  <c r="D607" i="45" s="1"/>
  <c r="C619" i="45"/>
  <c r="C673" i="45" s="1"/>
  <c r="E420" i="45"/>
  <c r="E338" i="45"/>
  <c r="D338" i="45"/>
  <c r="F420" i="45"/>
  <c r="F338" i="45"/>
  <c r="D420" i="45"/>
  <c r="D342" i="45"/>
  <c r="H342" i="45"/>
  <c r="E342" i="45"/>
  <c r="F342" i="45"/>
  <c r="I342" i="45"/>
  <c r="G338" i="45"/>
  <c r="G342" i="45"/>
  <c r="H132" i="36"/>
  <c r="W132" i="36" s="1"/>
  <c r="X132" i="36" s="1"/>
  <c r="Y132" i="36" s="1"/>
  <c r="L52" i="11"/>
  <c r="H143" i="36"/>
  <c r="Q70" i="45" s="1"/>
  <c r="H145" i="36"/>
  <c r="H133" i="36"/>
  <c r="E63" i="38"/>
  <c r="E69" i="38" s="1"/>
  <c r="I52" i="11"/>
  <c r="K52" i="11"/>
  <c r="F29" i="45" a="1"/>
  <c r="F40" i="45" s="1"/>
  <c r="J52" i="11"/>
  <c r="H299" i="36" l="1"/>
  <c r="Z299" i="36" s="1"/>
  <c r="AA299" i="36" s="1"/>
  <c r="W133" i="36"/>
  <c r="X133" i="36" s="1"/>
  <c r="Y133" i="36" s="1"/>
  <c r="W299" i="36"/>
  <c r="X299" i="36" s="1"/>
  <c r="Y299" i="36" s="1"/>
  <c r="Q71" i="45"/>
  <c r="H298" i="36"/>
  <c r="E571" i="45"/>
  <c r="F571" i="45" s="1"/>
  <c r="D175" i="45"/>
  <c r="C896" i="45"/>
  <c r="H427" i="45"/>
  <c r="G427" i="45"/>
  <c r="D756" i="45"/>
  <c r="C823" i="45"/>
  <c r="D874" i="45"/>
  <c r="E874" i="45" s="1"/>
  <c r="F874" i="45" s="1"/>
  <c r="E820" i="45"/>
  <c r="F820" i="45" s="1"/>
  <c r="E686" i="45"/>
  <c r="E740" i="45"/>
  <c r="F740" i="45" s="1"/>
  <c r="D807" i="45"/>
  <c r="E807" i="45" s="1"/>
  <c r="F807" i="45" s="1"/>
  <c r="E753" i="45"/>
  <c r="F753" i="45" s="1"/>
  <c r="D689" i="45"/>
  <c r="C756" i="45"/>
  <c r="D622" i="45"/>
  <c r="C689" i="45"/>
  <c r="C622" i="45"/>
  <c r="E673" i="45"/>
  <c r="F673" i="45" s="1"/>
  <c r="E619" i="45"/>
  <c r="F619" i="45" s="1"/>
  <c r="E427" i="45"/>
  <c r="F427" i="45"/>
  <c r="D427" i="45"/>
  <c r="K420" i="45"/>
  <c r="C199" i="45"/>
  <c r="C201" i="45" s="1"/>
  <c r="H146" i="36"/>
  <c r="H134" i="36"/>
  <c r="Q72" i="45"/>
  <c r="F30" i="45"/>
  <c r="F35" i="45"/>
  <c r="F38" i="45"/>
  <c r="F29" i="45"/>
  <c r="F36" i="45"/>
  <c r="F34" i="45"/>
  <c r="F31" i="45"/>
  <c r="F39" i="45"/>
  <c r="F37" i="45"/>
  <c r="F33" i="45"/>
  <c r="F32" i="45"/>
  <c r="H300" i="36" l="1"/>
  <c r="W134" i="36"/>
  <c r="X134" i="36" s="1"/>
  <c r="Y134" i="36" s="1"/>
  <c r="Z298" i="36"/>
  <c r="AA298" i="36" s="1"/>
  <c r="W298" i="36"/>
  <c r="X298" i="36" s="1"/>
  <c r="Y298" i="36" s="1"/>
  <c r="Z300" i="36"/>
  <c r="AA300" i="36" s="1"/>
  <c r="W300" i="36"/>
  <c r="X300" i="36" s="1"/>
  <c r="Y300" i="36" s="1"/>
  <c r="F686" i="45"/>
  <c r="E756" i="45"/>
  <c r="F756" i="45" s="1"/>
  <c r="E689" i="45"/>
  <c r="F689" i="45" s="1"/>
  <c r="E622" i="45"/>
  <c r="F622" i="45" s="1"/>
  <c r="G32" i="45"/>
  <c r="H32" i="45" s="1"/>
  <c r="G38" i="45"/>
  <c r="H38" i="45" s="1"/>
  <c r="G39" i="45"/>
  <c r="H39" i="45" s="1"/>
  <c r="G35" i="45"/>
  <c r="H35" i="45" s="1"/>
  <c r="G36" i="45"/>
  <c r="H36" i="45" s="1"/>
  <c r="D261" i="45"/>
  <c r="E70" i="38"/>
  <c r="J201" i="45"/>
  <c r="G31" i="45"/>
  <c r="H31" i="45" s="1"/>
  <c r="H135" i="36"/>
  <c r="Q73" i="45"/>
  <c r="G34" i="45"/>
  <c r="H34" i="45" s="1"/>
  <c r="G30" i="45"/>
  <c r="H30" i="45" s="1"/>
  <c r="G40" i="45"/>
  <c r="H40" i="45" s="1"/>
  <c r="G37" i="45"/>
  <c r="H37" i="45" s="1"/>
  <c r="G33" i="45"/>
  <c r="H33" i="45" s="1"/>
  <c r="H301" i="36" l="1"/>
  <c r="W135" i="36"/>
  <c r="X135" i="36" s="1"/>
  <c r="Y135" i="36" s="1"/>
  <c r="Z301" i="36"/>
  <c r="AA301" i="36" s="1"/>
  <c r="W301" i="36"/>
  <c r="X301" i="36" s="1"/>
  <c r="Y301" i="36" s="1"/>
  <c r="H147" i="36"/>
  <c r="Q74" i="45" s="1"/>
  <c r="H125" i="36"/>
  <c r="H291" i="36" s="1"/>
  <c r="W291" i="36" l="1"/>
  <c r="X291" i="36" s="1"/>
  <c r="Y291" i="36" s="1"/>
  <c r="Z291" i="36"/>
  <c r="AA291" i="36" s="1"/>
  <c r="H124" i="36"/>
  <c r="L76" i="45"/>
  <c r="P76" i="45" s="1"/>
  <c r="W125" i="36"/>
  <c r="X125" i="36" s="1"/>
  <c r="Y125" i="36" s="1"/>
  <c r="H148" i="36"/>
  <c r="H136" i="36"/>
  <c r="H137" i="36"/>
  <c r="W137" i="36" s="1"/>
  <c r="X137" i="36" s="1"/>
  <c r="Y137" i="36" s="1"/>
  <c r="AD55" i="36" l="1"/>
  <c r="AD47" i="36"/>
  <c r="AE47" i="36" s="1"/>
  <c r="AF47" i="36" s="1"/>
  <c r="AG47" i="36" s="1"/>
  <c r="AM44" i="36"/>
  <c r="H302" i="36"/>
  <c r="W136" i="36"/>
  <c r="X136" i="36" s="1"/>
  <c r="Y136" i="36" s="1"/>
  <c r="H303" i="36"/>
  <c r="Z302" i="36"/>
  <c r="AA302" i="36" s="1"/>
  <c r="W302" i="36"/>
  <c r="X302" i="36" s="1"/>
  <c r="Y302" i="36" s="1"/>
  <c r="H290" i="36"/>
  <c r="H151" i="36"/>
  <c r="W124" i="36"/>
  <c r="X124" i="36" s="1"/>
  <c r="Y124" i="36" s="1"/>
  <c r="L75" i="45"/>
  <c r="P75" i="45" s="1"/>
  <c r="H149" i="36"/>
  <c r="AD48" i="36" s="1"/>
  <c r="B7" i="11" a="1"/>
  <c r="Q75" i="45"/>
  <c r="Y152" i="36"/>
  <c r="AE64" i="36" l="1"/>
  <c r="AE48" i="36"/>
  <c r="AF48" i="36" s="1"/>
  <c r="AG48" i="36" s="1"/>
  <c r="L6" i="11"/>
  <c r="B6" i="11" a="1"/>
  <c r="B6" i="11" s="1"/>
  <c r="W290" i="36"/>
  <c r="X290" i="36" s="1"/>
  <c r="Y290" i="36" s="1"/>
  <c r="Z290" i="36"/>
  <c r="AA290" i="36" s="1"/>
  <c r="AC181" i="36" s="1"/>
  <c r="Z303" i="36"/>
  <c r="AA303" i="36" s="1"/>
  <c r="AC182" i="36" s="1"/>
  <c r="W303" i="36"/>
  <c r="X303" i="36" s="1"/>
  <c r="Y303" i="36" s="1"/>
  <c r="L77" i="45"/>
  <c r="Q76" i="45"/>
  <c r="I7" i="11"/>
  <c r="D7" i="11"/>
  <c r="J7" i="11"/>
  <c r="G7" i="11"/>
  <c r="F7" i="11"/>
  <c r="H7" i="11"/>
  <c r="C7" i="11"/>
  <c r="L7" i="11"/>
  <c r="K7" i="11"/>
  <c r="E7" i="11"/>
  <c r="B7" i="11"/>
  <c r="M7" i="11"/>
  <c r="Q77" i="45"/>
  <c r="L31" i="11"/>
  <c r="D294" i="45"/>
  <c r="F250" i="45"/>
  <c r="L8" i="11" l="1"/>
  <c r="E6" i="11"/>
  <c r="K6" i="11"/>
  <c r="K8" i="11" s="1"/>
  <c r="I6" i="11"/>
  <c r="I8" i="11" s="1"/>
  <c r="H6" i="11"/>
  <c r="D6" i="11"/>
  <c r="D8" i="11" s="1"/>
  <c r="J6" i="11"/>
  <c r="J8" i="11" s="1"/>
  <c r="C6" i="11"/>
  <c r="C8" i="11" s="1"/>
  <c r="F6" i="11"/>
  <c r="G6" i="11"/>
  <c r="AE182" i="36"/>
  <c r="AF182" i="36" s="1"/>
  <c r="AG182" i="36" s="1"/>
  <c r="D29" i="56"/>
  <c r="AE181" i="36"/>
  <c r="AF181" i="36" s="1"/>
  <c r="AG181" i="36" s="1"/>
  <c r="AI181" i="36"/>
  <c r="D28" i="56"/>
  <c r="H8" i="11"/>
  <c r="E8" i="11"/>
  <c r="F8" i="11"/>
  <c r="G8" i="11"/>
  <c r="B8" i="11"/>
  <c r="P77" i="45"/>
  <c r="L79" i="45"/>
  <c r="D7" i="33"/>
  <c r="E83" i="33" s="1"/>
  <c r="G83" i="33" s="1"/>
  <c r="H378" i="45"/>
  <c r="L78" i="45"/>
  <c r="C14" i="18"/>
  <c r="E250" i="45"/>
  <c r="I250" i="45" s="1"/>
  <c r="M31" i="11" l="1"/>
  <c r="D295" i="45"/>
  <c r="D913" i="45"/>
  <c r="J84" i="56"/>
  <c r="H522" i="45"/>
  <c r="H379" i="45"/>
  <c r="D849" i="45"/>
  <c r="E849" i="45" s="1"/>
  <c r="F849" i="45" s="1"/>
  <c r="H387" i="45"/>
  <c r="H380" i="45"/>
  <c r="D851" i="45" s="1"/>
  <c r="E851" i="45" s="1"/>
  <c r="F851" i="45" s="1"/>
  <c r="M18" i="34"/>
  <c r="I378" i="45" l="1"/>
  <c r="N18" i="34"/>
  <c r="L522" i="45"/>
  <c r="M522" i="45" s="1"/>
  <c r="I522" i="45"/>
  <c r="D850" i="45"/>
  <c r="E850" i="45" s="1"/>
  <c r="F850" i="45" s="1"/>
  <c r="H381" i="45"/>
  <c r="D852" i="45" s="1"/>
  <c r="E852" i="45" s="1"/>
  <c r="F852" i="45" s="1"/>
  <c r="H388" i="45"/>
  <c r="E132" i="34"/>
  <c r="G132" i="34" s="1"/>
  <c r="I380" i="45" l="1"/>
  <c r="K378" i="45"/>
  <c r="I387" i="45"/>
  <c r="I379" i="45"/>
  <c r="I30" i="34"/>
  <c r="D51" i="61" s="1"/>
  <c r="O18" i="34"/>
  <c r="R18" i="34"/>
  <c r="I381" i="45" l="1"/>
  <c r="I388" i="45"/>
  <c r="F51" i="61"/>
  <c r="D66" i="61"/>
  <c r="F66" i="61" s="1"/>
  <c r="Q18" i="34"/>
  <c r="T18" i="34" s="1"/>
  <c r="U18" i="34" s="1"/>
  <c r="J30" i="34"/>
  <c r="H51" i="61" s="1"/>
  <c r="E110" i="34"/>
  <c r="E121" i="34" s="1"/>
  <c r="G121" i="34" s="1"/>
  <c r="E607" i="45"/>
  <c r="F607" i="45" s="1"/>
  <c r="E583" i="45"/>
  <c r="H66" i="61" l="1"/>
  <c r="J66" i="61" s="1"/>
  <c r="J51" i="61"/>
  <c r="F583" i="45"/>
  <c r="H340" i="45" l="1"/>
  <c r="D825" i="45" l="1"/>
  <c r="E825" i="45" l="1"/>
  <c r="F825" i="45" s="1"/>
  <c r="H399" i="45" l="1"/>
  <c r="H382" i="45"/>
  <c r="H413" i="45"/>
  <c r="H352" i="45"/>
  <c r="D833" i="45" l="1"/>
  <c r="D871" i="45"/>
  <c r="E871" i="45" s="1"/>
  <c r="F871" i="45" s="1"/>
  <c r="D853" i="45"/>
  <c r="E853" i="45" s="1"/>
  <c r="F853" i="45" s="1"/>
  <c r="D863" i="45"/>
  <c r="E863" i="45" s="1"/>
  <c r="F863" i="45" s="1"/>
  <c r="E833" i="45" l="1"/>
  <c r="F833" i="45" s="1"/>
  <c r="H366" i="45" l="1"/>
  <c r="I11" i="45"/>
  <c r="D843" i="45" l="1"/>
  <c r="H425" i="45"/>
  <c r="E843" i="45" l="1"/>
  <c r="F843" i="45" s="1"/>
  <c r="D879" i="45"/>
  <c r="E879" i="45" s="1"/>
  <c r="F879" i="45" s="1"/>
  <c r="I399" i="45" l="1"/>
  <c r="I382" i="45"/>
  <c r="I413" i="45" l="1"/>
  <c r="I352" i="45" l="1"/>
  <c r="I366" i="45"/>
  <c r="I340" i="45" l="1"/>
  <c r="I425" i="45" l="1"/>
  <c r="K425" i="45" s="1"/>
  <c r="K413" i="45" l="1"/>
  <c r="K399" i="45"/>
  <c r="K382" i="45"/>
  <c r="K366" i="45"/>
  <c r="K352" i="45"/>
  <c r="K340" i="45"/>
  <c r="K392" i="45" l="1"/>
  <c r="K375" i="45"/>
  <c r="K379" i="45" l="1"/>
  <c r="K408" i="45"/>
  <c r="K359" i="45" l="1"/>
  <c r="K347" i="45"/>
  <c r="K335" i="45" l="1"/>
  <c r="F74" i="56" l="1"/>
  <c r="J248" i="37"/>
  <c r="K248" i="37" s="1"/>
  <c r="G248" i="37" s="1"/>
  <c r="J250" i="37"/>
  <c r="K250" i="37" s="1"/>
  <c r="G250" i="37" s="1"/>
  <c r="J249" i="37"/>
  <c r="K249" i="37" s="1"/>
  <c r="G249" i="37" s="1"/>
  <c r="E12" i="56"/>
  <c r="E28" i="56" s="1"/>
  <c r="F28" i="56" s="1"/>
  <c r="J251" i="37"/>
  <c r="K251" i="37" s="1"/>
  <c r="G251" i="37" s="1"/>
  <c r="J253" i="37"/>
  <c r="K253" i="37" s="1"/>
  <c r="G253" i="37" s="1"/>
  <c r="J252" i="37"/>
  <c r="K252" i="37" s="1"/>
  <c r="G252" i="37" s="1"/>
  <c r="J255" i="37"/>
  <c r="K255" i="37" s="1"/>
  <c r="G255" i="37" s="1"/>
  <c r="J254" i="37"/>
  <c r="K254" i="37" s="1"/>
  <c r="G254" i="37" s="1"/>
  <c r="J256" i="37"/>
  <c r="K256" i="37" s="1"/>
  <c r="G256" i="37" s="1"/>
  <c r="J257" i="37"/>
  <c r="K257" i="37" s="1"/>
  <c r="G257" i="37" s="1"/>
  <c r="J258" i="37"/>
  <c r="K258" i="37" s="1"/>
  <c r="G258" i="37" s="1"/>
  <c r="J247" i="37"/>
  <c r="K247" i="37" s="1"/>
  <c r="G247" i="37" s="1"/>
  <c r="F57" i="56" l="1"/>
  <c r="I69" i="56" s="1"/>
  <c r="I28" i="56" s="1"/>
  <c r="H258" i="37"/>
  <c r="G69" i="56" l="1"/>
  <c r="G28" i="56" s="1"/>
  <c r="H69" i="56"/>
  <c r="H28" i="56" s="1"/>
  <c r="D361" i="45" a="1"/>
  <c r="H500" i="45"/>
  <c r="I82" i="56"/>
  <c r="E13" i="56"/>
  <c r="E29" i="56" s="1"/>
  <c r="F29" i="56" s="1"/>
  <c r="F58" i="56" s="1"/>
  <c r="D15" i="33"/>
  <c r="J260" i="37"/>
  <c r="K260" i="37" s="1"/>
  <c r="G260" i="37" s="1"/>
  <c r="J262" i="37"/>
  <c r="K262" i="37" s="1"/>
  <c r="G262" i="37" s="1"/>
  <c r="J264" i="37"/>
  <c r="K264" i="37" s="1"/>
  <c r="G264" i="37" s="1"/>
  <c r="J266" i="37"/>
  <c r="K266" i="37" s="1"/>
  <c r="G266" i="37" s="1"/>
  <c r="J268" i="37"/>
  <c r="K268" i="37" s="1"/>
  <c r="G268" i="37" s="1"/>
  <c r="J270" i="37"/>
  <c r="K270" i="37" s="1"/>
  <c r="G270" i="37" s="1"/>
  <c r="J261" i="37"/>
  <c r="K261" i="37" s="1"/>
  <c r="G261" i="37" s="1"/>
  <c r="J263" i="37"/>
  <c r="K263" i="37" s="1"/>
  <c r="G263" i="37" s="1"/>
  <c r="J265" i="37"/>
  <c r="K265" i="37" s="1"/>
  <c r="G265" i="37" s="1"/>
  <c r="J267" i="37"/>
  <c r="K267" i="37" s="1"/>
  <c r="G267" i="37" s="1"/>
  <c r="J269" i="37"/>
  <c r="K269" i="37" s="1"/>
  <c r="G269" i="37" s="1"/>
  <c r="J259" i="37"/>
  <c r="K259" i="37" s="1"/>
  <c r="G259" i="37" s="1"/>
  <c r="D349" i="45" a="1"/>
  <c r="H480" i="45"/>
  <c r="E14" i="56"/>
  <c r="D65" i="34"/>
  <c r="C27" i="34"/>
  <c r="G70" i="56" l="1"/>
  <c r="H70" i="56"/>
  <c r="H29" i="56" s="1"/>
  <c r="I70" i="56"/>
  <c r="I29" i="56" s="1"/>
  <c r="I83" i="56" s="1"/>
  <c r="F69" i="56"/>
  <c r="E69" i="56" s="1"/>
  <c r="C28" i="34"/>
  <c r="C29" i="34" s="1"/>
  <c r="C30" i="34" s="1"/>
  <c r="C31" i="34" s="1"/>
  <c r="C32" i="34" s="1"/>
  <c r="C39" i="34"/>
  <c r="M48" i="11"/>
  <c r="M12" i="11"/>
  <c r="D75" i="34"/>
  <c r="D66" i="34"/>
  <c r="H270" i="37"/>
  <c r="E349" i="45"/>
  <c r="D349" i="45"/>
  <c r="F349" i="45"/>
  <c r="G349" i="45"/>
  <c r="L48" i="11"/>
  <c r="L12" i="11"/>
  <c r="L500" i="45"/>
  <c r="M500" i="45" s="1"/>
  <c r="M503" i="45" s="1"/>
  <c r="I500" i="45"/>
  <c r="I503" i="45" s="1"/>
  <c r="D337" i="45" a="1"/>
  <c r="M28" i="56"/>
  <c r="N28" i="56" s="1"/>
  <c r="H448" i="45"/>
  <c r="L480" i="45"/>
  <c r="M480" i="45" s="1"/>
  <c r="M483" i="45" s="1"/>
  <c r="I480" i="45"/>
  <c r="I483" i="45" s="1"/>
  <c r="D25" i="33"/>
  <c r="D16" i="33"/>
  <c r="D363" i="45" a="1"/>
  <c r="F82" i="56"/>
  <c r="P500" i="45"/>
  <c r="E361" i="45"/>
  <c r="D361" i="45"/>
  <c r="F361" i="45"/>
  <c r="G361" i="45"/>
  <c r="G29" i="56" l="1"/>
  <c r="F70" i="56"/>
  <c r="E70" i="56" s="1"/>
  <c r="C40" i="34"/>
  <c r="I29" i="45" a="1"/>
  <c r="D704" i="45"/>
  <c r="C771" i="45"/>
  <c r="F370" i="45"/>
  <c r="E370" i="45"/>
  <c r="D637" i="45"/>
  <c r="C704" i="45"/>
  <c r="D26" i="33"/>
  <c r="D17" i="33"/>
  <c r="G370" i="45"/>
  <c r="C838" i="45"/>
  <c r="D771" i="45"/>
  <c r="C637" i="45"/>
  <c r="D370" i="45"/>
  <c r="T500" i="45"/>
  <c r="U500" i="45" s="1"/>
  <c r="U503" i="45" s="1"/>
  <c r="Q500" i="45"/>
  <c r="Q503" i="45" s="1"/>
  <c r="E363" i="45"/>
  <c r="D363" i="45"/>
  <c r="F363" i="45"/>
  <c r="G363" i="45"/>
  <c r="D696" i="45"/>
  <c r="F356" i="45"/>
  <c r="C763" i="45"/>
  <c r="F351" i="45"/>
  <c r="D629" i="45"/>
  <c r="C696" i="45"/>
  <c r="E351" i="45"/>
  <c r="E356" i="45"/>
  <c r="D76" i="34"/>
  <c r="D67" i="34"/>
  <c r="L448" i="45"/>
  <c r="M448" i="45" s="1"/>
  <c r="M451" i="45" s="1"/>
  <c r="I448" i="45"/>
  <c r="I451" i="45" s="1"/>
  <c r="F337" i="45"/>
  <c r="E337" i="45"/>
  <c r="D337" i="45"/>
  <c r="G337" i="45"/>
  <c r="G356" i="45"/>
  <c r="D763" i="45"/>
  <c r="C830" i="45"/>
  <c r="G351" i="45"/>
  <c r="C629" i="45"/>
  <c r="D351" i="45"/>
  <c r="C631" i="45" s="1"/>
  <c r="D356" i="45"/>
  <c r="E763" i="45" l="1"/>
  <c r="F763" i="45" s="1"/>
  <c r="C41" i="34"/>
  <c r="E696" i="45"/>
  <c r="F696" i="45" s="1"/>
  <c r="E771" i="45"/>
  <c r="F771" i="45" s="1"/>
  <c r="I37" i="45"/>
  <c r="C37" i="45" s="1"/>
  <c r="I36" i="45"/>
  <c r="C36" i="45" s="1"/>
  <c r="I31" i="45"/>
  <c r="C31" i="45" s="1"/>
  <c r="I30" i="45"/>
  <c r="C30" i="45" s="1"/>
  <c r="I38" i="45"/>
  <c r="C38" i="45" s="1"/>
  <c r="I32" i="45"/>
  <c r="C32" i="45" s="1"/>
  <c r="I34" i="45"/>
  <c r="C34" i="45" s="1"/>
  <c r="I33" i="45"/>
  <c r="C33" i="45" s="1"/>
  <c r="I35" i="45"/>
  <c r="C35" i="45" s="1"/>
  <c r="I29" i="45"/>
  <c r="C29" i="45" s="1"/>
  <c r="I40" i="45"/>
  <c r="C40" i="45" s="1"/>
  <c r="I39" i="45"/>
  <c r="C39" i="45" s="1"/>
  <c r="C698" i="45"/>
  <c r="D631" i="45"/>
  <c r="E631" i="45" s="1"/>
  <c r="F631" i="45" s="1"/>
  <c r="E629" i="45"/>
  <c r="F629" i="45" s="1"/>
  <c r="F365" i="45"/>
  <c r="D706" i="45"/>
  <c r="F424" i="45"/>
  <c r="C773" i="45"/>
  <c r="C811" i="45" s="1"/>
  <c r="F372" i="45"/>
  <c r="D639" i="45"/>
  <c r="E365" i="45"/>
  <c r="E424" i="45"/>
  <c r="C706" i="45"/>
  <c r="C744" i="45" s="1"/>
  <c r="E372" i="45"/>
  <c r="D27" i="33"/>
  <c r="D18" i="33"/>
  <c r="C832" i="45"/>
  <c r="D765" i="45"/>
  <c r="D339" i="45"/>
  <c r="C623" i="45" s="1"/>
  <c r="D422" i="45"/>
  <c r="D344" i="45"/>
  <c r="C621" i="45"/>
  <c r="C675" i="45" s="1"/>
  <c r="F422" i="45"/>
  <c r="C755" i="45"/>
  <c r="C809" i="45" s="1"/>
  <c r="F339" i="45"/>
  <c r="D688" i="45"/>
  <c r="F344" i="45"/>
  <c r="D77" i="34"/>
  <c r="D68" i="34"/>
  <c r="C822" i="45"/>
  <c r="C876" i="45" s="1"/>
  <c r="G344" i="45"/>
  <c r="G422" i="45"/>
  <c r="D755" i="45"/>
  <c r="G339" i="45"/>
  <c r="E339" i="45"/>
  <c r="D621" i="45"/>
  <c r="C688" i="45"/>
  <c r="C742" i="45" s="1"/>
  <c r="E344" i="45"/>
  <c r="E422" i="45"/>
  <c r="D698" i="45"/>
  <c r="E698" i="45" s="1"/>
  <c r="F698" i="45" s="1"/>
  <c r="C765" i="45"/>
  <c r="C840" i="45"/>
  <c r="C878" i="45" s="1"/>
  <c r="G372" i="45"/>
  <c r="G365" i="45"/>
  <c r="D773" i="45"/>
  <c r="G424" i="45"/>
  <c r="C639" i="45"/>
  <c r="C677" i="45" s="1"/>
  <c r="D424" i="45"/>
  <c r="D365" i="45"/>
  <c r="C641" i="45" s="1"/>
  <c r="D372" i="45"/>
  <c r="E637" i="45"/>
  <c r="F637" i="45" s="1"/>
  <c r="E704" i="45"/>
  <c r="F704" i="45" s="1"/>
  <c r="D38" i="45" l="1"/>
  <c r="E38" i="45" s="1"/>
  <c r="D35" i="45"/>
  <c r="E35" i="45" s="1"/>
  <c r="G431" i="45"/>
  <c r="E429" i="45"/>
  <c r="C42" i="34"/>
  <c r="D33" i="45"/>
  <c r="E33" i="45" s="1"/>
  <c r="D39" i="45"/>
  <c r="E39" i="45" s="1"/>
  <c r="D32" i="45"/>
  <c r="E32" i="45" s="1"/>
  <c r="G429" i="45"/>
  <c r="D30" i="45"/>
  <c r="E30" i="45" s="1"/>
  <c r="D36" i="45"/>
  <c r="E36" i="45" s="1"/>
  <c r="D40" i="45"/>
  <c r="E40" i="45" s="1"/>
  <c r="D34" i="45"/>
  <c r="E34" i="45" s="1"/>
  <c r="D31" i="45"/>
  <c r="E31" i="45" s="1"/>
  <c r="D37" i="45"/>
  <c r="E37" i="45" s="1"/>
  <c r="E773" i="45"/>
  <c r="F773" i="45" s="1"/>
  <c r="D811" i="45"/>
  <c r="E811" i="45" s="1"/>
  <c r="F811" i="45" s="1"/>
  <c r="E621" i="45"/>
  <c r="F621" i="45" s="1"/>
  <c r="D675" i="45"/>
  <c r="E675" i="45" s="1"/>
  <c r="F675" i="45" s="1"/>
  <c r="D757" i="45"/>
  <c r="C824" i="45"/>
  <c r="D78" i="34"/>
  <c r="D69" i="34"/>
  <c r="E688" i="45"/>
  <c r="F688" i="45" s="1"/>
  <c r="D742" i="45"/>
  <c r="E742" i="45" s="1"/>
  <c r="F742" i="45" s="1"/>
  <c r="E765" i="45"/>
  <c r="F765" i="45" s="1"/>
  <c r="C708" i="45"/>
  <c r="D641" i="45"/>
  <c r="E641" i="45" s="1"/>
  <c r="F641" i="45" s="1"/>
  <c r="F431" i="45"/>
  <c r="C775" i="45"/>
  <c r="D708" i="45"/>
  <c r="D431" i="45"/>
  <c r="C842" i="45"/>
  <c r="D775" i="45"/>
  <c r="D623" i="45"/>
  <c r="E623" i="45" s="1"/>
  <c r="F623" i="45" s="1"/>
  <c r="C690" i="45"/>
  <c r="D809" i="45"/>
  <c r="E809" i="45" s="1"/>
  <c r="F809" i="45" s="1"/>
  <c r="E755" i="45"/>
  <c r="F755" i="45" s="1"/>
  <c r="D690" i="45"/>
  <c r="C757" i="45"/>
  <c r="F429" i="45"/>
  <c r="D429" i="45"/>
  <c r="D29" i="33"/>
  <c r="D28" i="33"/>
  <c r="D19" i="33"/>
  <c r="E431" i="45"/>
  <c r="E639" i="45"/>
  <c r="F639" i="45" s="1"/>
  <c r="D677" i="45"/>
  <c r="E677" i="45" s="1"/>
  <c r="F677" i="45" s="1"/>
  <c r="E706" i="45"/>
  <c r="F706" i="45" s="1"/>
  <c r="D744" i="45"/>
  <c r="E744" i="45" s="1"/>
  <c r="F744" i="45" s="1"/>
  <c r="C43" i="34" l="1"/>
  <c r="E690" i="45"/>
  <c r="F690" i="45" s="1"/>
  <c r="E708" i="45"/>
  <c r="F708" i="45" s="1"/>
  <c r="E775" i="45"/>
  <c r="F775" i="45" s="1"/>
  <c r="D30" i="33"/>
  <c r="D20" i="33"/>
  <c r="D31" i="33" s="1"/>
  <c r="E757" i="45"/>
  <c r="F757" i="45" s="1"/>
  <c r="D79" i="34"/>
  <c r="D70" i="34"/>
  <c r="D80" i="34" s="1"/>
  <c r="C44" i="34" l="1"/>
  <c r="H69" i="38" l="1"/>
  <c r="H64" i="38"/>
  <c r="D63" i="38"/>
  <c r="K69" i="38" l="1"/>
  <c r="D73" i="38"/>
  <c r="G261" i="45"/>
  <c r="H70" i="38"/>
  <c r="D64" i="38"/>
  <c r="D74" i="38" l="1"/>
  <c r="D79" i="38" s="1"/>
  <c r="K70" i="38"/>
  <c r="J261" i="45"/>
  <c r="D78" i="38"/>
  <c r="J73" i="38"/>
  <c r="J78" i="38" s="1"/>
  <c r="E73" i="38"/>
  <c r="F73" i="38"/>
  <c r="F78" i="38" s="1"/>
  <c r="G73" i="38"/>
  <c r="G78" i="38" s="1"/>
  <c r="I73" i="38"/>
  <c r="I78" i="38" s="1"/>
  <c r="H73" i="38"/>
  <c r="H78" i="38" s="1"/>
  <c r="H74" i="38" l="1"/>
  <c r="G265" i="45" s="1"/>
  <c r="G269" i="45" s="1"/>
  <c r="G277" i="45" s="1"/>
  <c r="N277" i="45" s="1"/>
  <c r="G174" i="45"/>
  <c r="D312" i="45"/>
  <c r="F521" i="45"/>
  <c r="L30" i="11"/>
  <c r="F481" i="45"/>
  <c r="L21" i="11"/>
  <c r="K73" i="38"/>
  <c r="L73" i="38" s="1"/>
  <c r="E78" i="38"/>
  <c r="I74" i="38"/>
  <c r="J74" i="38"/>
  <c r="E74" i="38"/>
  <c r="F74" i="38"/>
  <c r="G74" i="38"/>
  <c r="F561" i="45"/>
  <c r="L40" i="11"/>
  <c r="E312" i="45" l="1"/>
  <c r="H79" i="38"/>
  <c r="H14" i="38" s="1"/>
  <c r="M41" i="34" a="1"/>
  <c r="M41" i="34" s="1"/>
  <c r="C312" i="45"/>
  <c r="F895" i="45"/>
  <c r="H481" i="45"/>
  <c r="L481" i="45" s="1"/>
  <c r="M481" i="45" s="1"/>
  <c r="C7" i="33"/>
  <c r="H376" i="45"/>
  <c r="E265" i="45"/>
  <c r="E269" i="45" s="1"/>
  <c r="E277" i="45" s="1"/>
  <c r="L277" i="45" s="1"/>
  <c r="D205" i="45"/>
  <c r="D209" i="45" s="1"/>
  <c r="F79" i="38"/>
  <c r="F14" i="38" s="1"/>
  <c r="H265" i="45"/>
  <c r="H269" i="45" s="1"/>
  <c r="H277" i="45" s="1"/>
  <c r="O277" i="45" s="1"/>
  <c r="I79" i="38"/>
  <c r="H348" i="45"/>
  <c r="C5" i="33"/>
  <c r="G521" i="45"/>
  <c r="J521" i="45"/>
  <c r="K521" i="45" s="1"/>
  <c r="C205" i="45"/>
  <c r="D265" i="45"/>
  <c r="K74" i="38"/>
  <c r="L74" i="38" s="1"/>
  <c r="E79" i="38"/>
  <c r="H541" i="45"/>
  <c r="E294" i="45"/>
  <c r="K83" i="56"/>
  <c r="E912" i="45"/>
  <c r="G481" i="45"/>
  <c r="J481" i="45"/>
  <c r="K481" i="45" s="1"/>
  <c r="K78" i="38"/>
  <c r="L78" i="38" s="1"/>
  <c r="D48" i="34" a="1"/>
  <c r="I265" i="45"/>
  <c r="I269" i="45" s="1"/>
  <c r="I277" i="45" s="1"/>
  <c r="P277" i="45" s="1"/>
  <c r="J79" i="38"/>
  <c r="J14" i="38" s="1"/>
  <c r="H409" i="45"/>
  <c r="C9" i="33"/>
  <c r="L35" i="11"/>
  <c r="N501" i="45"/>
  <c r="C294" i="45"/>
  <c r="C912" i="45"/>
  <c r="E13" i="18"/>
  <c r="F265" i="45"/>
  <c r="F269" i="45" s="1"/>
  <c r="F277" i="45" s="1"/>
  <c r="M277" i="45" s="1"/>
  <c r="E205" i="45"/>
  <c r="E209" i="45" s="1"/>
  <c r="G79" i="38"/>
  <c r="G561" i="45"/>
  <c r="H561" i="45"/>
  <c r="I561" i="45" s="1"/>
  <c r="F501" i="45"/>
  <c r="L25" i="11"/>
  <c r="C31" i="18" l="1"/>
  <c r="D313" i="45" s="1"/>
  <c r="F522" i="45"/>
  <c r="G522" i="45" s="1"/>
  <c r="J30" i="56"/>
  <c r="H39" i="38"/>
  <c r="F896" i="45" s="1"/>
  <c r="M30" i="11"/>
  <c r="M42" i="34"/>
  <c r="I42" i="34" s="1"/>
  <c r="J42" i="34" s="1"/>
  <c r="H141" i="61" s="1"/>
  <c r="M43" i="34"/>
  <c r="H501" i="45"/>
  <c r="L501" i="45" s="1"/>
  <c r="M501" i="45" s="1"/>
  <c r="D48" i="34"/>
  <c r="D40" i="34"/>
  <c r="D41" i="34"/>
  <c r="D42" i="34"/>
  <c r="D43" i="34"/>
  <c r="D44" i="34"/>
  <c r="I481" i="45"/>
  <c r="M45" i="34"/>
  <c r="K41" i="34"/>
  <c r="L41" i="34" s="1"/>
  <c r="F294" i="45"/>
  <c r="P501" i="45"/>
  <c r="F83" i="56"/>
  <c r="J265" i="45"/>
  <c r="D269" i="45"/>
  <c r="C209" i="45"/>
  <c r="I205" i="45"/>
  <c r="H416" i="45"/>
  <c r="H410" i="45"/>
  <c r="D867" i="45"/>
  <c r="E867" i="45" s="1"/>
  <c r="F867" i="45" s="1"/>
  <c r="H411" i="45"/>
  <c r="D869" i="45" s="1"/>
  <c r="E869" i="45" s="1"/>
  <c r="F869" i="45" s="1"/>
  <c r="F482" i="45"/>
  <c r="M21" i="11"/>
  <c r="H30" i="56"/>
  <c r="C8" i="33"/>
  <c r="H393" i="45"/>
  <c r="C20" i="33"/>
  <c r="E20" i="33" s="1"/>
  <c r="E85" i="33"/>
  <c r="G85" i="33" s="1"/>
  <c r="F562" i="45"/>
  <c r="M40" i="11"/>
  <c r="L30" i="56"/>
  <c r="G14" i="38"/>
  <c r="B14" i="18" s="1"/>
  <c r="C16" i="33"/>
  <c r="E16" i="33" s="1"/>
  <c r="E81" i="33"/>
  <c r="G81" i="33" s="1"/>
  <c r="C6" i="33"/>
  <c r="H360" i="45"/>
  <c r="G501" i="45"/>
  <c r="J501" i="45"/>
  <c r="K501" i="45" s="1"/>
  <c r="O501" i="45"/>
  <c r="R501" i="45"/>
  <c r="S501" i="45" s="1"/>
  <c r="F449" i="45"/>
  <c r="K13" i="38"/>
  <c r="L17" i="11"/>
  <c r="I541" i="45"/>
  <c r="L541" i="45"/>
  <c r="M541" i="45" s="1"/>
  <c r="H355" i="45"/>
  <c r="H349" i="45"/>
  <c r="H350" i="45"/>
  <c r="D831" i="45" s="1"/>
  <c r="E831" i="45" s="1"/>
  <c r="F831" i="45" s="1"/>
  <c r="D829" i="45"/>
  <c r="E829" i="45" s="1"/>
  <c r="F829" i="45" s="1"/>
  <c r="H377" i="45"/>
  <c r="H385" i="45"/>
  <c r="D847" i="45"/>
  <c r="E847" i="45" s="1"/>
  <c r="F847" i="45" s="1"/>
  <c r="E14" i="38"/>
  <c r="K79" i="38"/>
  <c r="L79" i="38" s="1"/>
  <c r="I14" i="38"/>
  <c r="D14" i="18" s="1"/>
  <c r="C18" i="33"/>
  <c r="E18" i="33" s="1"/>
  <c r="D141" i="61" l="1"/>
  <c r="B26" i="11" a="1"/>
  <c r="J26" i="11" s="1"/>
  <c r="F199" i="45"/>
  <c r="F201" i="45" s="1"/>
  <c r="I201" i="45" s="1"/>
  <c r="G175" i="45"/>
  <c r="J522" i="45"/>
  <c r="K522" i="45" s="1"/>
  <c r="D18" i="34"/>
  <c r="E18" i="34" s="1"/>
  <c r="F18" i="34" s="1"/>
  <c r="I376" i="45"/>
  <c r="K376" i="45" s="1"/>
  <c r="I501" i="45"/>
  <c r="H482" i="45"/>
  <c r="L482" i="45" s="1"/>
  <c r="M482" i="45" s="1"/>
  <c r="D55" i="34"/>
  <c r="D39" i="34"/>
  <c r="C295" i="45"/>
  <c r="B36" i="11" a="1"/>
  <c r="H36" i="11" s="1"/>
  <c r="D395" i="45" s="1"/>
  <c r="E295" i="45"/>
  <c r="F450" i="45"/>
  <c r="K14" i="38"/>
  <c r="G30" i="56"/>
  <c r="M17" i="11"/>
  <c r="C26" i="33"/>
  <c r="E26" i="33" s="1"/>
  <c r="G26" i="33" s="1"/>
  <c r="G482" i="45"/>
  <c r="J482" i="45"/>
  <c r="K482" i="45" s="1"/>
  <c r="G16" i="33"/>
  <c r="H336" i="45"/>
  <c r="C4" i="33"/>
  <c r="L44" i="11"/>
  <c r="L53" i="11" s="1"/>
  <c r="F502" i="45"/>
  <c r="M25" i="11"/>
  <c r="I30" i="56"/>
  <c r="G20" i="33"/>
  <c r="J269" i="45"/>
  <c r="D277" i="45"/>
  <c r="H361" i="45"/>
  <c r="D837" i="45"/>
  <c r="E837" i="45" s="1"/>
  <c r="F837" i="45" s="1"/>
  <c r="H369" i="45"/>
  <c r="N502" i="45"/>
  <c r="C913" i="45"/>
  <c r="E14" i="18"/>
  <c r="I84" i="56"/>
  <c r="C31" i="33"/>
  <c r="E31" i="33" s="1"/>
  <c r="G31" i="33" s="1"/>
  <c r="D868" i="45"/>
  <c r="E868" i="45" s="1"/>
  <c r="F868" i="45" s="1"/>
  <c r="H412" i="45"/>
  <c r="D870" i="45" s="1"/>
  <c r="E870" i="45" s="1"/>
  <c r="F870" i="45" s="1"/>
  <c r="H417" i="45"/>
  <c r="G18" i="33"/>
  <c r="C17" i="33"/>
  <c r="E17" i="33" s="1"/>
  <c r="H402" i="45"/>
  <c r="D857" i="45"/>
  <c r="E857" i="45" s="1"/>
  <c r="F857" i="45" s="1"/>
  <c r="H394" i="45"/>
  <c r="M35" i="11"/>
  <c r="K30" i="56"/>
  <c r="H351" i="45"/>
  <c r="D832" i="45" s="1"/>
  <c r="E832" i="45" s="1"/>
  <c r="F832" i="45" s="1"/>
  <c r="D830" i="45"/>
  <c r="E830" i="45" s="1"/>
  <c r="F830" i="45" s="1"/>
  <c r="H356" i="45"/>
  <c r="H449" i="45"/>
  <c r="D20" i="34"/>
  <c r="I409" i="45"/>
  <c r="C19" i="33"/>
  <c r="E19" i="33" s="1"/>
  <c r="T501" i="45"/>
  <c r="U501" i="45" s="1"/>
  <c r="Q501" i="45"/>
  <c r="F209" i="45"/>
  <c r="I209" i="45" s="1"/>
  <c r="C29" i="33"/>
  <c r="E29" i="33" s="1"/>
  <c r="G29" i="33" s="1"/>
  <c r="H542" i="45"/>
  <c r="E913" i="45"/>
  <c r="K84" i="56"/>
  <c r="G449" i="45"/>
  <c r="J449" i="45"/>
  <c r="K449" i="45" s="1"/>
  <c r="G562" i="45"/>
  <c r="H562" i="45"/>
  <c r="I562" i="45" s="1"/>
  <c r="D848" i="45"/>
  <c r="E848" i="45" s="1"/>
  <c r="F848" i="45" s="1"/>
  <c r="H386" i="45"/>
  <c r="I348" i="45"/>
  <c r="D16" i="34"/>
  <c r="M201" i="45" l="1"/>
  <c r="D30" i="34"/>
  <c r="I385" i="45"/>
  <c r="I377" i="45"/>
  <c r="I386" i="45" s="1"/>
  <c r="I482" i="45"/>
  <c r="H502" i="45"/>
  <c r="I502" i="45" s="1"/>
  <c r="E36" i="11"/>
  <c r="F36" i="11"/>
  <c r="D26" i="11"/>
  <c r="D36" i="11"/>
  <c r="C36" i="11"/>
  <c r="L26" i="11"/>
  <c r="D6" i="33" s="1"/>
  <c r="E26" i="11"/>
  <c r="G26" i="11"/>
  <c r="B36" i="11"/>
  <c r="F26" i="11"/>
  <c r="F45" i="11" s="1"/>
  <c r="H26" i="11"/>
  <c r="D362" i="45" s="1"/>
  <c r="M26" i="11"/>
  <c r="I362" i="45" s="1"/>
  <c r="G36" i="11"/>
  <c r="C26" i="11"/>
  <c r="I26" i="11"/>
  <c r="J36" i="11"/>
  <c r="F395" i="45" s="1"/>
  <c r="E59" i="33"/>
  <c r="E70" i="33" s="1"/>
  <c r="G70" i="33" s="1"/>
  <c r="K36" i="11"/>
  <c r="G395" i="45" s="1"/>
  <c r="G397" i="45" s="1"/>
  <c r="B26" i="11"/>
  <c r="I36" i="11"/>
  <c r="E395" i="45" s="1"/>
  <c r="D658" i="45" s="1"/>
  <c r="K26" i="11"/>
  <c r="G362" i="45" s="1"/>
  <c r="M36" i="11"/>
  <c r="I395" i="45" s="1"/>
  <c r="L36" i="11"/>
  <c r="D8" i="33" s="1"/>
  <c r="E84" i="33" s="1"/>
  <c r="G84" i="33" s="1"/>
  <c r="F295" i="45"/>
  <c r="D397" i="45"/>
  <c r="C660" i="45" s="1"/>
  <c r="D404" i="45"/>
  <c r="D598" i="45"/>
  <c r="E598" i="45" s="1"/>
  <c r="F598" i="45" s="1"/>
  <c r="C658" i="45"/>
  <c r="F362" i="45"/>
  <c r="B49" i="11" a="1"/>
  <c r="I542" i="45"/>
  <c r="L542" i="45"/>
  <c r="M542" i="45" s="1"/>
  <c r="C30" i="33"/>
  <c r="E30" i="33" s="1"/>
  <c r="G30" i="33" s="1"/>
  <c r="G19" i="33"/>
  <c r="O502" i="45"/>
  <c r="R502" i="45"/>
  <c r="S502" i="45" s="1"/>
  <c r="E64" i="33"/>
  <c r="I411" i="45"/>
  <c r="I416" i="45"/>
  <c r="I410" i="45"/>
  <c r="K409" i="45"/>
  <c r="C28" i="33"/>
  <c r="E28" i="33" s="1"/>
  <c r="I350" i="45"/>
  <c r="I355" i="45"/>
  <c r="I349" i="45"/>
  <c r="K348" i="45"/>
  <c r="E134" i="34"/>
  <c r="G134" i="34" s="1"/>
  <c r="E20" i="34"/>
  <c r="D32" i="34"/>
  <c r="G17" i="33"/>
  <c r="I360" i="45"/>
  <c r="D17" i="34"/>
  <c r="C78" i="34"/>
  <c r="E78" i="34" s="1"/>
  <c r="G78" i="34" s="1"/>
  <c r="H18" i="34"/>
  <c r="K18" i="34" s="1"/>
  <c r="E30" i="34"/>
  <c r="C68" i="34"/>
  <c r="E68" i="34" s="1"/>
  <c r="I18" i="34"/>
  <c r="E42" i="34" s="1"/>
  <c r="I32" i="60" s="1"/>
  <c r="C27" i="33"/>
  <c r="E27" i="33" s="1"/>
  <c r="G27" i="33" s="1"/>
  <c r="P502" i="45"/>
  <c r="F84" i="56"/>
  <c r="H370" i="45"/>
  <c r="D838" i="45"/>
  <c r="E838" i="45" s="1"/>
  <c r="F838" i="45" s="1"/>
  <c r="G502" i="45"/>
  <c r="J502" i="45"/>
  <c r="K502" i="45" s="1"/>
  <c r="I336" i="45"/>
  <c r="K336" i="45" s="1"/>
  <c r="D15" i="34"/>
  <c r="M44" i="11"/>
  <c r="L449" i="45"/>
  <c r="M449" i="45" s="1"/>
  <c r="I449" i="45"/>
  <c r="D19" i="34"/>
  <c r="I393" i="45"/>
  <c r="E62" i="33"/>
  <c r="H450" i="45"/>
  <c r="F30" i="56"/>
  <c r="E130" i="34"/>
  <c r="G130" i="34" s="1"/>
  <c r="E16" i="34"/>
  <c r="D28" i="34"/>
  <c r="H403" i="45"/>
  <c r="D858" i="45"/>
  <c r="E858" i="45" s="1"/>
  <c r="F858" i="45" s="1"/>
  <c r="J277" i="45"/>
  <c r="Q277" i="45" s="1"/>
  <c r="K277" i="45"/>
  <c r="C10" i="33"/>
  <c r="E80" i="33"/>
  <c r="G80" i="33" s="1"/>
  <c r="C15" i="33"/>
  <c r="K269" i="45"/>
  <c r="H338" i="45"/>
  <c r="D823" i="45" s="1"/>
  <c r="E823" i="45" s="1"/>
  <c r="F823" i="45" s="1"/>
  <c r="D821" i="45"/>
  <c r="H343" i="45"/>
  <c r="H337" i="45"/>
  <c r="H421" i="45"/>
  <c r="G450" i="45"/>
  <c r="J450" i="45"/>
  <c r="K450" i="45" s="1"/>
  <c r="G59" i="33" l="1"/>
  <c r="L502" i="45"/>
  <c r="M502" i="45" s="1"/>
  <c r="K377" i="45"/>
  <c r="E45" i="11"/>
  <c r="M17" i="34"/>
  <c r="Z17" i="34" s="1"/>
  <c r="AA17" i="34" s="1"/>
  <c r="L29" i="34" s="1"/>
  <c r="H45" i="11"/>
  <c r="C859" i="45"/>
  <c r="D45" i="11"/>
  <c r="E397" i="45"/>
  <c r="C727" i="45" s="1"/>
  <c r="D792" i="45"/>
  <c r="K45" i="11"/>
  <c r="H362" i="45"/>
  <c r="H363" i="45" s="1"/>
  <c r="C45" i="11"/>
  <c r="B45" i="11"/>
  <c r="M45" i="11"/>
  <c r="M19" i="34"/>
  <c r="N19" i="34" s="1"/>
  <c r="I45" i="11"/>
  <c r="L45" i="11"/>
  <c r="E362" i="45"/>
  <c r="D638" i="45" s="1"/>
  <c r="E404" i="45"/>
  <c r="M53" i="11"/>
  <c r="G404" i="45"/>
  <c r="G45" i="11"/>
  <c r="D111" i="61"/>
  <c r="D16" i="61"/>
  <c r="F16" i="61" s="1"/>
  <c r="C725" i="45"/>
  <c r="F20" i="34"/>
  <c r="F16" i="34"/>
  <c r="H395" i="45"/>
  <c r="D859" i="45" s="1"/>
  <c r="E63" i="33"/>
  <c r="G63" i="33" s="1"/>
  <c r="F404" i="45"/>
  <c r="D725" i="45"/>
  <c r="C792" i="45"/>
  <c r="F397" i="45"/>
  <c r="D727" i="45" s="1"/>
  <c r="J45" i="11"/>
  <c r="E658" i="45"/>
  <c r="F658" i="45" s="1"/>
  <c r="F30" i="34"/>
  <c r="H30" i="34" s="1"/>
  <c r="G49" i="11"/>
  <c r="C49" i="11"/>
  <c r="E49" i="11"/>
  <c r="K49" i="11"/>
  <c r="B49" i="11"/>
  <c r="F49" i="11"/>
  <c r="F54" i="11" s="1"/>
  <c r="D49" i="11"/>
  <c r="I49" i="11"/>
  <c r="H49" i="11"/>
  <c r="J49" i="11"/>
  <c r="L49" i="11"/>
  <c r="E82" i="33"/>
  <c r="G82" i="33" s="1"/>
  <c r="G86" i="33" s="1"/>
  <c r="D10" i="33"/>
  <c r="M49" i="11"/>
  <c r="G364" i="45"/>
  <c r="G423" i="45"/>
  <c r="D772" i="45"/>
  <c r="G371" i="45"/>
  <c r="C839" i="45"/>
  <c r="C877" i="45" s="1"/>
  <c r="C861" i="45"/>
  <c r="D794" i="45"/>
  <c r="L18" i="34"/>
  <c r="C772" i="45"/>
  <c r="F423" i="45"/>
  <c r="D705" i="45"/>
  <c r="F364" i="45"/>
  <c r="D371" i="45"/>
  <c r="D364" i="45"/>
  <c r="C640" i="45" s="1"/>
  <c r="D423" i="45"/>
  <c r="D430" i="45" s="1"/>
  <c r="C638" i="45"/>
  <c r="C676" i="45" s="1"/>
  <c r="D584" i="45"/>
  <c r="I402" i="45"/>
  <c r="I394" i="45"/>
  <c r="K393" i="45"/>
  <c r="I412" i="45"/>
  <c r="I417" i="45"/>
  <c r="K410" i="45"/>
  <c r="E19" i="34"/>
  <c r="F19" i="34" s="1"/>
  <c r="D31" i="34"/>
  <c r="E60" i="33"/>
  <c r="I351" i="45"/>
  <c r="I356" i="45"/>
  <c r="K349" i="45"/>
  <c r="T502" i="45"/>
  <c r="U502" i="45" s="1"/>
  <c r="Q502" i="45"/>
  <c r="E111" i="34"/>
  <c r="G68" i="34"/>
  <c r="L450" i="45"/>
  <c r="M450" i="45" s="1"/>
  <c r="I450" i="45"/>
  <c r="C70" i="34"/>
  <c r="E70" i="34" s="1"/>
  <c r="I20" i="34"/>
  <c r="E44" i="34" s="1"/>
  <c r="E32" i="34"/>
  <c r="E821" i="45"/>
  <c r="F821" i="45" s="1"/>
  <c r="D875" i="45"/>
  <c r="E875" i="45" s="1"/>
  <c r="F875" i="45" s="1"/>
  <c r="H428" i="45"/>
  <c r="I396" i="45"/>
  <c r="I397" i="45"/>
  <c r="I363" i="45"/>
  <c r="I364" i="45"/>
  <c r="I423" i="45"/>
  <c r="E75" i="33"/>
  <c r="G75" i="33" s="1"/>
  <c r="G64" i="33"/>
  <c r="C21" i="33"/>
  <c r="E15" i="33"/>
  <c r="H422" i="45"/>
  <c r="H339" i="45"/>
  <c r="D824" i="45" s="1"/>
  <c r="E824" i="45" s="1"/>
  <c r="F824" i="45" s="1"/>
  <c r="D822" i="45"/>
  <c r="H344" i="45"/>
  <c r="C25" i="33"/>
  <c r="E15" i="34"/>
  <c r="E129" i="34"/>
  <c r="G129" i="34" s="1"/>
  <c r="D27" i="34"/>
  <c r="D21" i="34"/>
  <c r="G17" i="34"/>
  <c r="J17" i="34" s="1"/>
  <c r="G41" i="34" s="1"/>
  <c r="D29" i="34"/>
  <c r="E17" i="34"/>
  <c r="F17" i="34" s="1"/>
  <c r="V17" i="34"/>
  <c r="E61" i="33"/>
  <c r="E72" i="33" s="1"/>
  <c r="G72" i="33" s="1"/>
  <c r="I28" i="33"/>
  <c r="K28" i="33" s="1"/>
  <c r="M28" i="33" s="1"/>
  <c r="G28" i="33" s="1"/>
  <c r="E28" i="34"/>
  <c r="I16" i="34"/>
  <c r="E40" i="34" s="1"/>
  <c r="C66" i="34"/>
  <c r="E66" i="34" s="1"/>
  <c r="E73" i="33"/>
  <c r="G73" i="33" s="1"/>
  <c r="G62" i="33"/>
  <c r="I421" i="45"/>
  <c r="I428" i="45" s="1"/>
  <c r="I338" i="45"/>
  <c r="I343" i="45"/>
  <c r="I337" i="45"/>
  <c r="K337" i="45" s="1"/>
  <c r="I369" i="45"/>
  <c r="I361" i="45"/>
  <c r="K360" i="45"/>
  <c r="E54" i="11" l="1"/>
  <c r="H364" i="45"/>
  <c r="D841" i="45" s="1"/>
  <c r="D54" i="11"/>
  <c r="H54" i="11"/>
  <c r="E131" i="34"/>
  <c r="G131" i="34" s="1"/>
  <c r="P17" i="34"/>
  <c r="S17" i="34" s="1"/>
  <c r="N17" i="34"/>
  <c r="O17" i="34" s="1"/>
  <c r="E725" i="45"/>
  <c r="F725" i="45" s="1"/>
  <c r="D839" i="45"/>
  <c r="E839" i="45" s="1"/>
  <c r="F839" i="45" s="1"/>
  <c r="I371" i="45"/>
  <c r="K362" i="45"/>
  <c r="H371" i="45"/>
  <c r="E792" i="45"/>
  <c r="F792" i="45" s="1"/>
  <c r="E859" i="45"/>
  <c r="F859" i="45" s="1"/>
  <c r="K54" i="11"/>
  <c r="B54" i="11"/>
  <c r="D660" i="45"/>
  <c r="E660" i="45" s="1"/>
  <c r="F660" i="45" s="1"/>
  <c r="C54" i="11"/>
  <c r="C705" i="45"/>
  <c r="C743" i="45" s="1"/>
  <c r="M21" i="34"/>
  <c r="E133" i="34"/>
  <c r="G133" i="34" s="1"/>
  <c r="I54" i="11"/>
  <c r="K395" i="45"/>
  <c r="I404" i="45"/>
  <c r="L54" i="11"/>
  <c r="M54" i="11"/>
  <c r="H404" i="45"/>
  <c r="C810" i="45"/>
  <c r="E423" i="45"/>
  <c r="F430" i="45" s="1"/>
  <c r="H20" i="34"/>
  <c r="K20" i="34" s="1"/>
  <c r="L20" i="34" s="1"/>
  <c r="F371" i="45"/>
  <c r="E371" i="45"/>
  <c r="E364" i="45"/>
  <c r="C707" i="45" s="1"/>
  <c r="E74" i="33"/>
  <c r="G74" i="33" s="1"/>
  <c r="G54" i="11"/>
  <c r="H397" i="45"/>
  <c r="D861" i="45" s="1"/>
  <c r="E861" i="45" s="1"/>
  <c r="F861" i="45" s="1"/>
  <c r="H396" i="45"/>
  <c r="D860" i="45" s="1"/>
  <c r="E860" i="45" s="1"/>
  <c r="F860" i="45" s="1"/>
  <c r="H423" i="45"/>
  <c r="H430" i="45" s="1"/>
  <c r="D139" i="61"/>
  <c r="I30" i="60"/>
  <c r="I15" i="34"/>
  <c r="E39" i="34" s="1"/>
  <c r="F39" i="34" s="1"/>
  <c r="H138" i="61" s="1"/>
  <c r="D143" i="61"/>
  <c r="I34" i="60"/>
  <c r="F31" i="60"/>
  <c r="G45" i="34"/>
  <c r="H16" i="34"/>
  <c r="K16" i="34" s="1"/>
  <c r="L16" i="34" s="1"/>
  <c r="C80" i="34"/>
  <c r="E80" i="34" s="1"/>
  <c r="G80" i="34" s="1"/>
  <c r="C76" i="34"/>
  <c r="E76" i="34" s="1"/>
  <c r="G76" i="34" s="1"/>
  <c r="F15" i="34"/>
  <c r="O19" i="34"/>
  <c r="P29" i="34"/>
  <c r="P31" i="34" s="1"/>
  <c r="H55" i="61"/>
  <c r="C794" i="45"/>
  <c r="E794" i="45" s="1"/>
  <c r="F794" i="45" s="1"/>
  <c r="J54" i="11"/>
  <c r="E727" i="45"/>
  <c r="F727" i="45" s="1"/>
  <c r="I86" i="33"/>
  <c r="C102" i="33"/>
  <c r="C774" i="45"/>
  <c r="D707" i="45"/>
  <c r="D743" i="45"/>
  <c r="E584" i="45"/>
  <c r="F584" i="45" s="1"/>
  <c r="D610" i="45"/>
  <c r="E610" i="45" s="1"/>
  <c r="F610" i="45" s="1"/>
  <c r="F32" i="34"/>
  <c r="H32" i="34" s="1"/>
  <c r="E638" i="45"/>
  <c r="F638" i="45" s="1"/>
  <c r="D676" i="45"/>
  <c r="E676" i="45" s="1"/>
  <c r="F676" i="45" s="1"/>
  <c r="E772" i="45"/>
  <c r="F772" i="45" s="1"/>
  <c r="D810" i="45"/>
  <c r="G430" i="45"/>
  <c r="D774" i="45"/>
  <c r="C841" i="45"/>
  <c r="D840" i="45"/>
  <c r="H365" i="45"/>
  <c r="D842" i="45" s="1"/>
  <c r="E842" i="45" s="1"/>
  <c r="F842" i="45" s="1"/>
  <c r="H372" i="45"/>
  <c r="G70" i="34"/>
  <c r="E71" i="33"/>
  <c r="G71" i="33" s="1"/>
  <c r="G60" i="33"/>
  <c r="H17" i="34"/>
  <c r="K17" i="34" s="1"/>
  <c r="C77" i="34"/>
  <c r="E77" i="34" s="1"/>
  <c r="G77" i="34" s="1"/>
  <c r="H429" i="45"/>
  <c r="I398" i="45"/>
  <c r="AA22" i="34"/>
  <c r="K29" i="34"/>
  <c r="O65" i="34" s="1"/>
  <c r="C67" i="34"/>
  <c r="E67" i="34" s="1"/>
  <c r="I17" i="34"/>
  <c r="E41" i="34" s="1"/>
  <c r="E29" i="34"/>
  <c r="E122" i="34"/>
  <c r="G122" i="34" s="1"/>
  <c r="G111" i="34"/>
  <c r="C79" i="34"/>
  <c r="E79" i="34" s="1"/>
  <c r="G79" i="34" s="1"/>
  <c r="H19" i="34"/>
  <c r="K19" i="34" s="1"/>
  <c r="I370" i="45"/>
  <c r="K361" i="45"/>
  <c r="G66" i="34"/>
  <c r="K421" i="45"/>
  <c r="I31" i="34"/>
  <c r="R19" i="34"/>
  <c r="I43" i="34" s="1"/>
  <c r="E31" i="34"/>
  <c r="I19" i="34"/>
  <c r="E43" i="34" s="1"/>
  <c r="C69" i="34"/>
  <c r="E69" i="34" s="1"/>
  <c r="W17" i="34"/>
  <c r="W22" i="34" s="1"/>
  <c r="E21" i="34"/>
  <c r="C65" i="34"/>
  <c r="E27" i="34"/>
  <c r="F28" i="34"/>
  <c r="H28" i="34" s="1"/>
  <c r="I344" i="45"/>
  <c r="I422" i="45"/>
  <c r="I429" i="45" s="1"/>
  <c r="I339" i="45"/>
  <c r="G21" i="34"/>
  <c r="G29" i="34"/>
  <c r="N21" i="34"/>
  <c r="C32" i="33"/>
  <c r="E25" i="33"/>
  <c r="E58" i="33" s="1"/>
  <c r="G15" i="33"/>
  <c r="G21" i="33" s="1"/>
  <c r="E21" i="33"/>
  <c r="I424" i="45"/>
  <c r="I365" i="45"/>
  <c r="I372" i="45"/>
  <c r="K363" i="45"/>
  <c r="D33" i="34"/>
  <c r="D45" i="34" s="1"/>
  <c r="I403" i="45"/>
  <c r="K394" i="45"/>
  <c r="E822" i="45"/>
  <c r="F822" i="45" s="1"/>
  <c r="D876" i="45"/>
  <c r="E876" i="45" s="1"/>
  <c r="F876" i="45" s="1"/>
  <c r="E841" i="45" l="1"/>
  <c r="F841" i="45" s="1"/>
  <c r="R17" i="34"/>
  <c r="I41" i="34" s="1"/>
  <c r="G135" i="34"/>
  <c r="P21" i="34"/>
  <c r="D877" i="45"/>
  <c r="E877" i="45" s="1"/>
  <c r="F877" i="45" s="1"/>
  <c r="E705" i="45"/>
  <c r="F705" i="45" s="1"/>
  <c r="I29" i="34"/>
  <c r="N29" i="34" s="1"/>
  <c r="I405" i="45"/>
  <c r="E810" i="45"/>
  <c r="F810" i="45" s="1"/>
  <c r="E430" i="45"/>
  <c r="I430" i="45"/>
  <c r="H405" i="45"/>
  <c r="E743" i="45"/>
  <c r="F743" i="45" s="1"/>
  <c r="D640" i="45"/>
  <c r="E640" i="45" s="1"/>
  <c r="F640" i="45" s="1"/>
  <c r="Q19" i="34"/>
  <c r="T19" i="34" s="1"/>
  <c r="U19" i="34" s="1"/>
  <c r="H424" i="45"/>
  <c r="H431" i="45" s="1"/>
  <c r="K396" i="45"/>
  <c r="H398" i="45"/>
  <c r="D862" i="45" s="1"/>
  <c r="E862" i="45" s="1"/>
  <c r="F862" i="45" s="1"/>
  <c r="K423" i="45"/>
  <c r="F43" i="34"/>
  <c r="H43" i="34" s="1"/>
  <c r="H33" i="60" s="1"/>
  <c r="I33" i="60"/>
  <c r="J41" i="34"/>
  <c r="H140" i="61" s="1"/>
  <c r="D140" i="61"/>
  <c r="J43" i="34"/>
  <c r="H142" i="61" s="1"/>
  <c r="D142" i="61"/>
  <c r="F41" i="34"/>
  <c r="H41" i="34" s="1"/>
  <c r="H31" i="60" s="1"/>
  <c r="I31" i="60"/>
  <c r="D138" i="61"/>
  <c r="I29" i="60"/>
  <c r="D52" i="61"/>
  <c r="F52" i="61" s="1"/>
  <c r="D109" i="61"/>
  <c r="D14" i="61"/>
  <c r="F14" i="61" s="1"/>
  <c r="D113" i="61"/>
  <c r="D18" i="61"/>
  <c r="F18" i="61" s="1"/>
  <c r="E108" i="34"/>
  <c r="E119" i="34" s="1"/>
  <c r="G119" i="34" s="1"/>
  <c r="F21" i="34"/>
  <c r="F40" i="34"/>
  <c r="O21" i="34"/>
  <c r="Q17" i="34"/>
  <c r="J29" i="34"/>
  <c r="O29" i="34" s="1"/>
  <c r="J31" i="34"/>
  <c r="F42" i="34"/>
  <c r="H42" i="34" s="1"/>
  <c r="H32" i="60" s="1"/>
  <c r="C75" i="34"/>
  <c r="E75" i="34" s="1"/>
  <c r="H39" i="34"/>
  <c r="H29" i="60" s="1"/>
  <c r="E113" i="34"/>
  <c r="E124" i="34" s="1"/>
  <c r="G124" i="34" s="1"/>
  <c r="H15" i="34"/>
  <c r="K15" i="34" s="1"/>
  <c r="L15" i="34" s="1"/>
  <c r="F40" i="60"/>
  <c r="G45" i="60"/>
  <c r="H95" i="61" s="1"/>
  <c r="H70" i="61"/>
  <c r="J70" i="61" s="1"/>
  <c r="J55" i="61"/>
  <c r="E774" i="45"/>
  <c r="F774" i="45" s="1"/>
  <c r="E707" i="45"/>
  <c r="F707" i="45" s="1"/>
  <c r="F29" i="34"/>
  <c r="H29" i="34" s="1"/>
  <c r="D878" i="45"/>
  <c r="E878" i="45" s="1"/>
  <c r="F878" i="45" s="1"/>
  <c r="E840" i="45"/>
  <c r="F840" i="45" s="1"/>
  <c r="G69" i="34"/>
  <c r="E112" i="34"/>
  <c r="K422" i="45"/>
  <c r="L19" i="34"/>
  <c r="E65" i="33"/>
  <c r="E69" i="33"/>
  <c r="G58" i="33"/>
  <c r="G65" i="33" s="1"/>
  <c r="C100" i="33" s="1"/>
  <c r="G33" i="34"/>
  <c r="F31" i="34"/>
  <c r="H31" i="34" s="1"/>
  <c r="E65" i="34"/>
  <c r="C71" i="34"/>
  <c r="L17" i="34"/>
  <c r="E33" i="34"/>
  <c r="E45" i="34" s="1"/>
  <c r="F27" i="34"/>
  <c r="E32" i="33"/>
  <c r="G25" i="33"/>
  <c r="G32" i="33" s="1"/>
  <c r="C97" i="33" s="1"/>
  <c r="I135" i="34"/>
  <c r="C151" i="34"/>
  <c r="E109" i="34"/>
  <c r="G67" i="34"/>
  <c r="I33" i="34" l="1"/>
  <c r="Q21" i="34"/>
  <c r="I431" i="45"/>
  <c r="K424" i="45"/>
  <c r="D67" i="61"/>
  <c r="F67" i="61" s="1"/>
  <c r="H21" i="34"/>
  <c r="C81" i="34"/>
  <c r="G108" i="34"/>
  <c r="G113" i="34"/>
  <c r="H108" i="61"/>
  <c r="H13" i="61"/>
  <c r="J13" i="61" s="1"/>
  <c r="H52" i="61"/>
  <c r="J52" i="61" s="1"/>
  <c r="D108" i="61"/>
  <c r="D13" i="61"/>
  <c r="F13" i="61" s="1"/>
  <c r="H50" i="61"/>
  <c r="H65" i="61" s="1"/>
  <c r="J65" i="61" s="1"/>
  <c r="H57" i="60"/>
  <c r="L57" i="60" s="1"/>
  <c r="J30" i="61" s="1"/>
  <c r="H40" i="34"/>
  <c r="H30" i="60" s="1"/>
  <c r="H139" i="61"/>
  <c r="D110" i="61"/>
  <c r="D15" i="61"/>
  <c r="F15" i="61" s="1"/>
  <c r="D112" i="61"/>
  <c r="D17" i="61"/>
  <c r="F17" i="61" s="1"/>
  <c r="D50" i="61"/>
  <c r="D65" i="61" s="1"/>
  <c r="F65" i="61" s="1"/>
  <c r="H111" i="61"/>
  <c r="H16" i="61"/>
  <c r="J16" i="61" s="1"/>
  <c r="L32" i="60"/>
  <c r="H58" i="60"/>
  <c r="L58" i="60" s="1"/>
  <c r="J31" i="61" s="1"/>
  <c r="H110" i="61"/>
  <c r="H15" i="61"/>
  <c r="J15" i="61" s="1"/>
  <c r="H112" i="61"/>
  <c r="H17" i="61"/>
  <c r="J17" i="61" s="1"/>
  <c r="T17" i="34"/>
  <c r="U17" i="34" s="1"/>
  <c r="J33" i="34"/>
  <c r="J34" i="34" s="1"/>
  <c r="I40" i="60"/>
  <c r="L31" i="60"/>
  <c r="F44" i="34"/>
  <c r="H143" i="61" s="1"/>
  <c r="H59" i="60"/>
  <c r="L59" i="60" s="1"/>
  <c r="J32" i="61" s="1"/>
  <c r="L33" i="60"/>
  <c r="L45" i="60"/>
  <c r="G50" i="60"/>
  <c r="G75" i="34"/>
  <c r="G81" i="34" s="1"/>
  <c r="E81" i="34"/>
  <c r="E76" i="33"/>
  <c r="G69" i="33"/>
  <c r="G76" i="33" s="1"/>
  <c r="C101" i="33" s="1"/>
  <c r="C105" i="33" s="1"/>
  <c r="C107" i="33" s="1"/>
  <c r="G65" i="34"/>
  <c r="G71" i="34" s="1"/>
  <c r="E107" i="34"/>
  <c r="E71" i="34"/>
  <c r="O31" i="34"/>
  <c r="F33" i="34"/>
  <c r="H27" i="34"/>
  <c r="N31" i="34"/>
  <c r="I45" i="34" s="1"/>
  <c r="Q29" i="34"/>
  <c r="E123" i="34"/>
  <c r="G123" i="34" s="1"/>
  <c r="G112" i="34"/>
  <c r="G109" i="34"/>
  <c r="E120" i="34"/>
  <c r="G120" i="34" s="1"/>
  <c r="F50" i="61" l="1"/>
  <c r="H67" i="61"/>
  <c r="J67" i="61" s="1"/>
  <c r="J50" i="61"/>
  <c r="H109" i="61"/>
  <c r="H14" i="61"/>
  <c r="J14" i="61" s="1"/>
  <c r="H56" i="60"/>
  <c r="L56" i="60" s="1"/>
  <c r="J29" i="61" s="1"/>
  <c r="L30" i="60"/>
  <c r="L50" i="60"/>
  <c r="J39" i="61"/>
  <c r="P32" i="34"/>
  <c r="J45" i="34"/>
  <c r="J46" i="34" s="1"/>
  <c r="H44" i="34"/>
  <c r="F45" i="34"/>
  <c r="H33" i="34"/>
  <c r="H34" i="34" s="1"/>
  <c r="E114" i="34"/>
  <c r="E118" i="34"/>
  <c r="G107" i="34"/>
  <c r="G114" i="34" s="1"/>
  <c r="C149" i="34" s="1"/>
  <c r="C146" i="34"/>
  <c r="Q31" i="34"/>
  <c r="H45" i="34" l="1"/>
  <c r="H46" i="34" s="1"/>
  <c r="H34" i="60"/>
  <c r="H55" i="60"/>
  <c r="L29" i="60"/>
  <c r="G118" i="34"/>
  <c r="G125" i="34" s="1"/>
  <c r="C150" i="34" s="1"/>
  <c r="C154" i="34" s="1"/>
  <c r="C156" i="34" s="1"/>
  <c r="E125" i="34"/>
  <c r="H113" i="61" l="1"/>
  <c r="H18" i="61"/>
  <c r="J18" i="61" s="1"/>
  <c r="L34" i="60"/>
  <c r="L40" i="60" s="1"/>
  <c r="H60" i="60"/>
  <c r="L60" i="60" s="1"/>
  <c r="J33" i="61" s="1"/>
  <c r="H40" i="60"/>
  <c r="L55" i="60"/>
  <c r="H66" i="60"/>
  <c r="I14" i="45"/>
  <c r="J14" i="45"/>
  <c r="L67" i="60" l="1"/>
  <c r="J28" i="61"/>
  <c r="J16" i="45"/>
  <c r="I16" i="45"/>
  <c r="J13" i="45"/>
  <c r="I13" i="45"/>
  <c r="J15" i="45" l="1"/>
  <c r="J17" i="45" s="1"/>
  <c r="I15" i="45"/>
  <c r="I17" i="45" s="1"/>
  <c r="I19" i="45" s="1"/>
  <c r="H79" i="61" l="1"/>
  <c r="J79" i="61" s="1"/>
  <c r="H49" i="61"/>
  <c r="H124" i="61"/>
  <c r="J124" i="61" s="1"/>
  <c r="H128" i="61"/>
  <c r="J128" i="61" s="1"/>
  <c r="H53" i="61"/>
  <c r="H83" i="61"/>
  <c r="J83" i="61" s="1"/>
  <c r="H126" i="61"/>
  <c r="J126" i="61" s="1"/>
  <c r="H81" i="61"/>
  <c r="J81" i="61" s="1"/>
  <c r="J53" i="61" l="1"/>
  <c r="H68" i="61"/>
  <c r="J68" i="61" s="1"/>
  <c r="H127" i="61"/>
  <c r="J127" i="61" s="1"/>
  <c r="H82" i="61"/>
  <c r="J82" i="61" s="1"/>
  <c r="H64" i="61"/>
  <c r="J64" i="61" s="1"/>
  <c r="J49" i="61"/>
  <c r="H48" i="61" l="1"/>
  <c r="H123" i="61"/>
  <c r="J123" i="61" s="1"/>
  <c r="H78" i="61"/>
  <c r="J78" i="61" s="1"/>
  <c r="H63" i="61" l="1"/>
  <c r="J63" i="61" s="1"/>
  <c r="J74" i="61" s="1"/>
  <c r="J48" i="61"/>
  <c r="J59" i="61" s="1"/>
  <c r="J24" i="61"/>
  <c r="H80" i="61"/>
  <c r="J80" i="61" s="1"/>
  <c r="J89" i="61" s="1"/>
  <c r="H125" i="61"/>
  <c r="J125" i="61" s="1"/>
  <c r="J134" i="61" s="1"/>
  <c r="D123" i="61"/>
  <c r="F123" i="61" s="1"/>
  <c r="D48" i="61"/>
  <c r="D78" i="61"/>
  <c r="F78" i="61" s="1"/>
  <c r="D81" i="61" l="1"/>
  <c r="F81" i="61" s="1"/>
  <c r="D126" i="61"/>
  <c r="F126" i="61" s="1"/>
  <c r="D79" i="61"/>
  <c r="F79" i="61" s="1"/>
  <c r="D49" i="61"/>
  <c r="D124" i="61"/>
  <c r="F124" i="61" s="1"/>
  <c r="F48" i="61"/>
  <c r="D63" i="61"/>
  <c r="F63" i="61" s="1"/>
  <c r="D53" i="61"/>
  <c r="D83" i="61"/>
  <c r="F83" i="61" s="1"/>
  <c r="D128" i="61"/>
  <c r="F128" i="61" s="1"/>
  <c r="D68" i="61" l="1"/>
  <c r="F68" i="61" s="1"/>
  <c r="F53" i="61"/>
  <c r="D125" i="61"/>
  <c r="F125" i="61" s="1"/>
  <c r="D80" i="61"/>
  <c r="F80" i="61" s="1"/>
  <c r="D127" i="61"/>
  <c r="F127" i="61" s="1"/>
  <c r="D82" i="61"/>
  <c r="F82" i="61" s="1"/>
  <c r="D64" i="61"/>
  <c r="F64" i="61" s="1"/>
  <c r="F49" i="61"/>
  <c r="F74" i="61" l="1"/>
  <c r="K74" i="61" s="1"/>
  <c r="E175" i="61" s="1"/>
  <c r="I175" i="61" s="1"/>
  <c r="F89" i="61"/>
  <c r="K89" i="61" s="1"/>
  <c r="F24" i="61"/>
  <c r="F134" i="61"/>
  <c r="K134" i="61" s="1"/>
  <c r="F59" i="61"/>
  <c r="K59" i="61" s="1"/>
  <c r="E174" i="61" s="1"/>
  <c r="I174" i="61" s="1"/>
  <c r="N14" i="61" l="1"/>
  <c r="K24" i="61"/>
  <c r="L24" i="61" s="1"/>
  <c r="N16" i="61"/>
  <c r="N18" i="61"/>
  <c r="N13" i="61"/>
  <c r="N15" i="61"/>
  <c r="N17" i="61"/>
  <c r="E171" i="61" l="1"/>
  <c r="I171" i="61" s="1"/>
  <c r="N24" i="61"/>
  <c r="J34" i="61"/>
  <c r="J36" i="61"/>
  <c r="F139" i="61" l="1"/>
  <c r="I139" i="61"/>
  <c r="J139" i="61" s="1"/>
  <c r="I141" i="61"/>
  <c r="J141" i="61" s="1"/>
  <c r="F141" i="61"/>
  <c r="F142" i="61"/>
  <c r="I142" i="61"/>
  <c r="J142" i="61" s="1"/>
  <c r="F140" i="61"/>
  <c r="I140" i="61"/>
  <c r="J140" i="61" s="1"/>
  <c r="F143" i="61"/>
  <c r="I143" i="61"/>
  <c r="J143" i="61" s="1"/>
  <c r="I138" i="61"/>
  <c r="J138" i="61" s="1"/>
  <c r="F138" i="61"/>
  <c r="F149" i="61" l="1"/>
  <c r="J149" i="61"/>
  <c r="K149" i="61" l="1"/>
  <c r="E176" i="61" s="1"/>
  <c r="I176" i="61" s="1"/>
  <c r="J111" i="61" l="1"/>
  <c r="J113" i="61"/>
  <c r="J109" i="61"/>
  <c r="J112" i="61" l="1"/>
  <c r="J110" i="61" l="1"/>
  <c r="J108" i="61"/>
  <c r="J119" i="61" l="1"/>
  <c r="F108" i="61"/>
  <c r="F113" i="61" l="1"/>
  <c r="F111" i="61"/>
  <c r="F109" i="61"/>
  <c r="J95" i="61" l="1"/>
  <c r="J104" i="61" s="1"/>
  <c r="K104" i="61" s="1"/>
  <c r="F110" i="61"/>
  <c r="F112" i="61"/>
  <c r="F119" i="61" l="1"/>
  <c r="K119" i="61" l="1"/>
  <c r="E173" i="61" s="1"/>
  <c r="I173" i="61" s="1"/>
  <c r="J44" i="61" l="1"/>
  <c r="K44" i="61" l="1"/>
  <c r="E172" i="61" s="1"/>
  <c r="I172" i="61" s="1"/>
  <c r="J163" i="61"/>
  <c r="J165" i="61" l="1"/>
  <c r="J7" i="45" l="1"/>
  <c r="J6" i="45"/>
  <c r="J8" i="45" l="1"/>
  <c r="J9" i="45"/>
  <c r="J10" i="45"/>
  <c r="J5" i="45" l="1"/>
  <c r="J11" i="45" s="1"/>
  <c r="J19" i="45" s="1"/>
  <c r="C48" i="34" l="1" a="1"/>
  <c r="C50" i="34" s="1"/>
  <c r="B70" i="17"/>
  <c r="H53" i="17"/>
  <c r="B67" i="17"/>
  <c r="B69" i="17"/>
  <c r="B54" i="17" s="1"/>
  <c r="H54" i="17" s="1"/>
  <c r="C49" i="34" l="1"/>
  <c r="D154" i="61" s="1"/>
  <c r="F154" i="61" s="1"/>
  <c r="C51" i="34"/>
  <c r="C53" i="34"/>
  <c r="C48" i="34"/>
  <c r="D153" i="61" s="1"/>
  <c r="F153" i="61" s="1"/>
  <c r="F161" i="61" s="1"/>
  <c r="C52" i="34"/>
  <c r="F163" i="61" l="1"/>
  <c r="K161" i="61"/>
  <c r="E177" i="61" s="1"/>
  <c r="I177" i="61" l="1"/>
  <c r="K163" i="61"/>
  <c r="F164" i="61"/>
  <c r="F165" i="61" s="1"/>
  <c r="O16" i="61" l="1"/>
  <c r="P16" i="61" s="1"/>
  <c r="R16" i="61" s="1"/>
  <c r="O17" i="61"/>
  <c r="P17" i="61" s="1"/>
  <c r="R17" i="61" s="1"/>
  <c r="O13" i="61"/>
  <c r="O26" i="61"/>
  <c r="K164" i="61"/>
  <c r="E178" i="61" s="1"/>
  <c r="O18" i="61"/>
  <c r="P18" i="61" s="1"/>
  <c r="O15" i="61"/>
  <c r="P15" i="61" s="1"/>
  <c r="R15" i="61" s="1"/>
  <c r="O14" i="61"/>
  <c r="P14" i="61" s="1"/>
  <c r="R14" i="61" l="1"/>
  <c r="O24" i="61"/>
  <c r="P13" i="61"/>
  <c r="I178" i="61"/>
  <c r="P26" i="61"/>
  <c r="E179" i="61"/>
  <c r="K165" i="61"/>
  <c r="E180" i="61" l="1"/>
  <c r="I179" i="61"/>
  <c r="P24" i="61"/>
  <c r="R13" i="61"/>
  <c r="R24"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 RSLU</author>
    <author>jrs</author>
    <author>Jane</author>
  </authors>
  <commentList>
    <comment ref="C5" authorId="0" shapeId="0" xr:uid="{00000000-0006-0000-0100-000001000000}">
      <text>
        <r>
          <rPr>
            <b/>
            <sz val="9"/>
            <color indexed="81"/>
            <rFont val="Tahoma"/>
            <family val="2"/>
          </rPr>
          <t>Jane RSLU:</t>
        </r>
        <r>
          <rPr>
            <sz val="9"/>
            <color indexed="81"/>
            <rFont val="Tahoma"/>
            <family val="2"/>
          </rPr>
          <t xml:space="preserve">
From settlement Rate Design Model, consistent with Decision</t>
        </r>
      </text>
    </comment>
    <comment ref="E192" authorId="1" shapeId="0" xr:uid="{00000000-0006-0000-0100-000002000000}">
      <text>
        <r>
          <rPr>
            <sz val="8"/>
            <color indexed="81"/>
            <rFont val="Tahoma"/>
            <family val="2"/>
          </rPr>
          <t>Jane:
From Hydro One weather sensitivity study.</t>
        </r>
      </text>
    </comment>
    <comment ref="D242" authorId="2" shapeId="0" xr:uid="{00000000-0006-0000-0100-000003000000}">
      <text>
        <r>
          <rPr>
            <b/>
            <sz val="9"/>
            <color indexed="81"/>
            <rFont val="Tahoma"/>
            <family val="2"/>
          </rPr>
          <t>Jane:</t>
        </r>
        <r>
          <rPr>
            <sz val="9"/>
            <color indexed="81"/>
            <rFont val="Tahoma"/>
            <family val="2"/>
          </rPr>
          <t xml:space="preserve">
Allocation is based on customer segments of 2015-2020 CDM plan</t>
        </r>
      </text>
    </comment>
    <comment ref="B366" authorId="0" shapeId="0" xr:uid="{00000000-0006-0000-0100-000004000000}">
      <text>
        <r>
          <rPr>
            <b/>
            <sz val="9"/>
            <color indexed="81"/>
            <rFont val="Tahoma"/>
            <family val="2"/>
          </rPr>
          <t>Jane RSLU:</t>
        </r>
        <r>
          <rPr>
            <sz val="9"/>
            <color indexed="81"/>
            <rFont val="Tahoma"/>
            <family val="2"/>
          </rPr>
          <t xml:space="preserve">
Net, Distribution - Transformor</t>
        </r>
      </text>
    </comment>
    <comment ref="E382" authorId="0" shapeId="0" xr:uid="{00000000-0006-0000-0100-000005000000}">
      <text>
        <r>
          <rPr>
            <b/>
            <sz val="9"/>
            <color indexed="81"/>
            <rFont val="Tahoma"/>
            <family val="2"/>
          </rPr>
          <t>Jane RSLU:</t>
        </r>
        <r>
          <rPr>
            <sz val="9"/>
            <color indexed="81"/>
            <rFont val="Tahoma"/>
            <family val="2"/>
          </rPr>
          <t xml:space="preserve">
2017 ST revenue was over stated by $5,714 = 1711*3.34. 2017 fixed rate was still in use in 2018. Using effective rate 2017-01-01 to 2017-12-31 for period 2018-2 did not filer out 2018 February amount. So 2017 unbilled included 2017 unbilled (2 months, 2017 December billing for ST was skipped) and 2018 February which did not belong to 2017.
2018 revenue was understated by$5,714. 2017 Unbilled was taken out from 2018.</t>
        </r>
      </text>
    </comment>
    <comment ref="F382" authorId="0" shapeId="0" xr:uid="{00000000-0006-0000-0100-000006000000}">
      <text>
        <r>
          <rPr>
            <b/>
            <sz val="9"/>
            <color indexed="81"/>
            <rFont val="Tahoma"/>
            <family val="2"/>
          </rPr>
          <t>Jane RSLU:</t>
        </r>
        <r>
          <rPr>
            <sz val="9"/>
            <color indexed="81"/>
            <rFont val="Tahoma"/>
            <family val="2"/>
          </rPr>
          <t xml:space="preserve">
Understated by $5,714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Jane RSLU</author>
  </authors>
  <commentList>
    <comment ref="A16" authorId="0" shapeId="0" xr:uid="{00000000-0006-0000-0E00-000001000000}">
      <text>
        <r>
          <rPr>
            <b/>
            <sz val="8"/>
            <color indexed="81"/>
            <rFont val="Tahoma"/>
            <family val="2"/>
          </rPr>
          <t>Jane RSLU:</t>
        </r>
        <r>
          <rPr>
            <sz val="8"/>
            <color indexed="81"/>
            <rFont val="Tahoma"/>
            <family val="2"/>
          </rPr>
          <t xml:space="preserve">
KWh: NS42 bill code=A1000 or A35
$ NS42 bill code=ClassA or category=I by 2/3/2, look for bill code classA</t>
        </r>
      </text>
    </comment>
    <comment ref="E67" authorId="0" shapeId="0" xr:uid="{00000000-0006-0000-0E00-000002000000}">
      <text>
        <r>
          <rPr>
            <b/>
            <sz val="8"/>
            <color indexed="81"/>
            <rFont val="Tahoma"/>
            <family val="2"/>
          </rPr>
          <t>Jane RSLU:</t>
        </r>
        <r>
          <rPr>
            <sz val="8"/>
            <color indexed="81"/>
            <rFont val="Tahoma"/>
            <family val="2"/>
          </rPr>
          <t xml:space="preserve">
Total customer; Non RPP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Jane</author>
    <author>Jane Wei</author>
  </authors>
  <commentList>
    <comment ref="F15" authorId="0" shapeId="0" xr:uid="{00000000-0006-0000-0F00-000001000000}">
      <text>
        <r>
          <rPr>
            <b/>
            <sz val="9"/>
            <color indexed="81"/>
            <rFont val="Tahoma"/>
            <family val="2"/>
          </rPr>
          <t>Jane:</t>
        </r>
        <r>
          <rPr>
            <sz val="9"/>
            <color indexed="81"/>
            <rFont val="Tahoma"/>
            <family val="2"/>
          </rPr>
          <t xml:space="preserve">
From OEB Regulated Price Plan Price Report page 2 Table ES-1 last line </t>
        </r>
      </text>
    </comment>
    <comment ref="E36" authorId="1" shapeId="0" xr:uid="{00000000-0006-0000-0F00-000002000000}">
      <text>
        <r>
          <rPr>
            <b/>
            <sz val="8"/>
            <color indexed="81"/>
            <rFont val="Tahoma"/>
            <family val="2"/>
          </rPr>
          <t xml:space="preserve">Jane Wei
Use billed kWh and kW from RTSR model. May not equial to load forecast kWh and kW. Only the cost is required for COP </t>
        </r>
      </text>
    </comment>
    <comment ref="R38" authorId="0" shapeId="0" xr:uid="{00000000-0006-0000-0F00-000003000000}">
      <text>
        <r>
          <rPr>
            <b/>
            <sz val="9"/>
            <color indexed="81"/>
            <rFont val="Tahoma"/>
            <family val="2"/>
          </rPr>
          <t>Jane:</t>
        </r>
        <r>
          <rPr>
            <sz val="9"/>
            <color indexed="81"/>
            <rFont val="Tahoma"/>
            <family val="2"/>
          </rPr>
          <t xml:space="preserve">
RTST model / final RTS rates </t>
        </r>
      </text>
    </comment>
    <comment ref="G43" authorId="1" shapeId="0" xr:uid="{00000000-0006-0000-0F00-000004000000}">
      <text>
        <r>
          <rPr>
            <b/>
            <sz val="8"/>
            <color indexed="81"/>
            <rFont val="Tahoma"/>
            <family val="2"/>
          </rPr>
          <t>Jane Wei:</t>
        </r>
        <r>
          <rPr>
            <sz val="8"/>
            <color indexed="81"/>
            <rFont val="Tahoma"/>
            <family val="2"/>
          </rPr>
          <t xml:space="preserve">
Consistent with RTST model. This is wholesale charge paid out to Hydro One</t>
        </r>
      </text>
    </comment>
    <comment ref="F58" authorId="0" shapeId="0" xr:uid="{00000000-0006-0000-0F00-000005000000}">
      <text>
        <r>
          <rPr>
            <b/>
            <sz val="9"/>
            <color indexed="81"/>
            <rFont val="Tahoma"/>
            <family val="2"/>
          </rPr>
          <t>Jane:</t>
        </r>
        <r>
          <rPr>
            <sz val="9"/>
            <color indexed="81"/>
            <rFont val="Tahoma"/>
            <family val="2"/>
          </rPr>
          <t xml:space="preserve">
From 2015 IRM tariff sheet </t>
        </r>
      </text>
    </comment>
    <comment ref="F69" authorId="0" shapeId="0" xr:uid="{00000000-0006-0000-0F00-000006000000}">
      <text>
        <r>
          <rPr>
            <b/>
            <sz val="9"/>
            <color indexed="81"/>
            <rFont val="Tahoma"/>
            <family val="2"/>
          </rPr>
          <t>Jane:</t>
        </r>
        <r>
          <rPr>
            <sz val="9"/>
            <color indexed="81"/>
            <rFont val="Tahoma"/>
            <family val="2"/>
          </rPr>
          <t xml:space="preserve">
From 2015 IRM tariff sheet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Jane RSLU</author>
    <author>Author</author>
  </authors>
  <commentList>
    <comment ref="F5" authorId="0" shapeId="0" xr:uid="{00000000-0006-0000-1300-000001000000}">
      <text>
        <r>
          <rPr>
            <b/>
            <sz val="8"/>
            <color indexed="81"/>
            <rFont val="Tahoma"/>
            <family val="2"/>
          </rPr>
          <t>Jane RSLU:</t>
        </r>
        <r>
          <rPr>
            <sz val="8"/>
            <color indexed="81"/>
            <rFont val="Tahoma"/>
            <family val="2"/>
          </rPr>
          <t xml:space="preserve">
Billing reduction in 2019.11 for Westport Streetlight</t>
        </r>
      </text>
    </comment>
    <comment ref="C6" authorId="1" shapeId="0" xr:uid="{00000000-0006-0000-1300-000002000000}">
      <text>
        <r>
          <rPr>
            <b/>
            <sz val="9"/>
            <color indexed="81"/>
            <rFont val="Tahoma"/>
            <family val="2"/>
          </rPr>
          <t>Author:</t>
        </r>
        <r>
          <rPr>
            <sz val="9"/>
            <color indexed="81"/>
            <rFont val="Tahoma"/>
            <family val="2"/>
          </rPr>
          <t xml:space="preserve">
2005-2010 purchase is from 2012 COS. Purchase in 2005.01-2006.01 is 2012 COS kWh plus St Lawrence, i.e. unadjusted.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RSLU</author>
    <author>Author</author>
  </authors>
  <commentList>
    <comment ref="F5" authorId="0" shapeId="0" xr:uid="{00000000-0006-0000-0400-000001000000}">
      <text>
        <r>
          <rPr>
            <b/>
            <sz val="8"/>
            <color indexed="81"/>
            <rFont val="Tahoma"/>
            <family val="2"/>
          </rPr>
          <t>Jane RSLU:</t>
        </r>
        <r>
          <rPr>
            <sz val="8"/>
            <color indexed="81"/>
            <rFont val="Tahoma"/>
            <family val="2"/>
          </rPr>
          <t xml:space="preserve">
Billing reduction in 2019.11 for Westport Streetlight. Project is not through RSL, not included in the IESO reports.</t>
        </r>
      </text>
    </comment>
    <comment ref="O5" authorId="0" shapeId="0" xr:uid="{00000000-0006-0000-0400-000002000000}">
      <text>
        <r>
          <rPr>
            <b/>
            <sz val="9"/>
            <color indexed="81"/>
            <rFont val="Tahoma"/>
            <family val="2"/>
          </rPr>
          <t>Jane RSLU:</t>
        </r>
        <r>
          <rPr>
            <sz val="9"/>
            <color indexed="81"/>
            <rFont val="Tahoma"/>
            <family val="2"/>
          </rPr>
          <t xml:space="preserve">
Elenchus’ view is that the trend variable accounts for any energy
16 consumption trends that are not reflected in the variables within the model.
17 This may include energy conservation efforts that are not reflected in the
18 IESO’s results, changes in energy-consuming technologies, improved
19 building code and standards, and changes to the composition of
20 customers within a class or end users within customer accounts (ie. the
21 average number of individuals within a household/residential account).</t>
        </r>
      </text>
    </comment>
    <comment ref="P5" authorId="0" shapeId="0" xr:uid="{00000000-0006-0000-0400-000003000000}">
      <text>
        <r>
          <rPr>
            <b/>
            <sz val="8"/>
            <color indexed="81"/>
            <rFont val="Tahoma"/>
            <family val="2"/>
          </rPr>
          <t>Jane RSLU:</t>
        </r>
        <r>
          <rPr>
            <sz val="8"/>
            <color indexed="81"/>
            <rFont val="Tahoma"/>
            <family val="2"/>
          </rPr>
          <t xml:space="preserve">
May be related to humidity, tourism, life style, etc. Prescott has the highest humidity and peak tourism in August. </t>
        </r>
      </text>
    </comment>
    <comment ref="S14" authorId="0" shapeId="0" xr:uid="{00000000-0006-0000-0400-000005000000}">
      <text>
        <r>
          <rPr>
            <b/>
            <sz val="8"/>
            <color indexed="81"/>
            <rFont val="Tahoma"/>
            <family val="2"/>
          </rPr>
          <t>Jane RSLU:</t>
        </r>
        <r>
          <rPr>
            <sz val="8"/>
            <color indexed="81"/>
            <rFont val="Tahoma"/>
            <family val="2"/>
          </rPr>
          <t xml:space="preserve">
Take September out, =0, if using spring fall flag</t>
        </r>
      </text>
    </comment>
    <comment ref="AL43" authorId="1" shapeId="0" xr:uid="{00000000-0006-0000-0400-000006000000}">
      <text>
        <r>
          <rPr>
            <b/>
            <sz val="9"/>
            <color indexed="81"/>
            <rFont val="Tahoma"/>
            <family val="2"/>
          </rPr>
          <t>Jane:</t>
        </r>
        <r>
          <rPr>
            <sz val="9"/>
            <color indexed="81"/>
            <rFont val="Tahoma"/>
            <family val="2"/>
          </rPr>
          <t xml:space="preserve">
Standard error of estimate, small is good</t>
        </r>
      </text>
    </comment>
    <comment ref="F171" authorId="0" shapeId="0" xr:uid="{00000000-0006-0000-0400-000007000000}">
      <text>
        <r>
          <rPr>
            <b/>
            <sz val="8"/>
            <color indexed="81"/>
            <rFont val="Tahoma"/>
            <family val="2"/>
          </rPr>
          <t>Jane RSLU:</t>
        </r>
        <r>
          <rPr>
            <sz val="8"/>
            <color indexed="81"/>
            <rFont val="Tahoma"/>
            <family val="2"/>
          </rPr>
          <t xml:space="preserve">
Billing reduction in 2019.11 for Westport Streetlight. Project is not through RSL, not included in the IESO reports.</t>
        </r>
      </text>
    </comment>
    <comment ref="P171" authorId="0" shapeId="0" xr:uid="{00000000-0006-0000-0400-000008000000}">
      <text>
        <r>
          <rPr>
            <b/>
            <sz val="8"/>
            <color indexed="81"/>
            <rFont val="Tahoma"/>
            <family val="2"/>
          </rPr>
          <t>Jane RSLU:</t>
        </r>
        <r>
          <rPr>
            <sz val="8"/>
            <color indexed="81"/>
            <rFont val="Tahoma"/>
            <family val="2"/>
          </rPr>
          <t xml:space="preserve">
May be related to humidity, tourism, life style, etc. Prescott has the highest humidity and peak tourism in August.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tc={D4CDE0B5-D46E-4B6E-83CC-3BFED706E8D6}</author>
    <author>tc={7B38661D-FE88-4350-9CDD-F6B718329B0D}</author>
    <author>tc={AB2FF379-AFBC-4C0D-880E-56422450C01C}</author>
    <author>tc={414754B4-A27D-4746-9E8F-2E2236D9BE7C}</author>
    <author>tc={C273A4BB-D02A-42FD-BCE3-DD72568FB113}</author>
    <author>tc={11868F2A-7485-4AE7-BBE6-8A4AB1AC2D92}</author>
    <author>Jane</author>
    <author>tc={1A530C7D-5383-411E-B900-2BA0EBD4899F}</author>
    <author>Jane RSLU</author>
    <author>jrs</author>
  </authors>
  <commentList>
    <comment ref="C3" authorId="0" shapeId="0" xr:uid="{D4CDE0B5-D46E-4B6E-83CC-3BFED706E8D6}">
      <text>
        <t>[Threaded comment]
Your version of Excel allows you to read this threaded comment; however, any edits to it will get removed if the file is opened in a newer version of Excel. Learn more: https://go.microsoft.com/fwlink/?linkid=870924
Comment:
    =IESO purchase/Billed. This calculation is used in Tab Loss Factors in Ch2</t>
      </text>
    </comment>
    <comment ref="H7" authorId="1" shapeId="0" xr:uid="{7B38661D-FE88-4350-9CDD-F6B718329B0D}">
      <text>
        <t>[Threaded comment]
Your version of Excel allows you to read this threaded comment; however, any edits to it will get removed if the file is opened in a newer version of Excel. Learn more: https://go.microsoft.com/fwlink/?linkid=870924
Comment:
    Reduction due to CDM</t>
      </text>
    </comment>
    <comment ref="H47" authorId="2" shapeId="0" xr:uid="{AB2FF379-AFBC-4C0D-880E-56422450C01C}">
      <text>
        <t>[Threaded comment]
Your version of Excel allows you to read this threaded comment; however, any edits to it will get removed if the file is opened in a newer version of Excel. Learn more: https://go.microsoft.com/fwlink/?linkid=870924
Comment:
    Reduced usage due to CDM</t>
      </text>
    </comment>
    <comment ref="E52" authorId="3" shapeId="0" xr:uid="{414754B4-A27D-4746-9E8F-2E2236D9BE7C}">
      <text>
        <t>[Threaded comment]
Your version of Excel allows you to read this threaded comment; however, any edits to it will get removed if the file is opened in a newer version of Excel. Learn more: https://go.microsoft.com/fwlink/?linkid=870924
Comment:
    Hot summer drove higher consumption for residential. But commercial consumption dropped due to shut down in the pandemic.</t>
      </text>
    </comment>
    <comment ref="E55" authorId="4" shapeId="0" xr:uid="{C273A4BB-D02A-42FD-BCE3-DD72568FB113}">
      <text>
        <t>[Threaded comment]
Your version of Excel allows you to read this threaded comment; however, any edits to it will get removed if the file is opened in a newer version of Excel. Learn more: https://go.microsoft.com/fwlink/?linkid=870924
Comment:
    To exclude COVID effect</t>
      </text>
    </comment>
    <comment ref="F55" authorId="5" shapeId="0" xr:uid="{11868F2A-7485-4AE7-BBE6-8A4AB1AC2D92}">
      <text>
        <t>[Threaded comment]
Your version of Excel allows you to read this threaded comment; however, any edits to it will get removed if the file is opened in a newer version of Excel. Learn more: https://go.microsoft.com/fwlink/?linkid=870924
Comment:
    To exclude COVID effect</t>
      </text>
    </comment>
    <comment ref="K57" authorId="6" shapeId="0" xr:uid="{59C909AF-3392-478B-B2E2-56EB391B8482}">
      <text>
        <r>
          <rPr>
            <b/>
            <sz val="9"/>
            <color indexed="81"/>
            <rFont val="Tahoma"/>
            <family val="2"/>
          </rPr>
          <t>Jane:</t>
        </r>
        <r>
          <rPr>
            <sz val="9"/>
            <color indexed="81"/>
            <rFont val="Tahoma"/>
            <family val="2"/>
          </rPr>
          <t xml:space="preserve">
Most recent to reflect the trend
to exclude pandemic impact on usage by rate class</t>
        </r>
      </text>
    </comment>
    <comment ref="H63" authorId="7" shapeId="0" xr:uid="{1A530C7D-5383-411E-B900-2BA0EBD4899F}">
      <text>
        <t>[Threaded comment]
Your version of Excel allows you to read this threaded comment; however, any edits to it will get removed if the file is opened in a newer version of Excel. Learn more: https://go.microsoft.com/fwlink/?linkid=870924
Comment:
    Use 2020 actual with adjustment for 28 days in 2022 February. 2020 February is 29 days. = 644,750 - 57,866 + 57,866/29*28</t>
      </text>
    </comment>
    <comment ref="E68" authorId="8" shapeId="0" xr:uid="{00000000-0006-0000-0500-000004000000}">
      <text>
        <r>
          <rPr>
            <b/>
            <sz val="9"/>
            <color indexed="81"/>
            <rFont val="Tahoma"/>
            <family val="2"/>
          </rPr>
          <t>Jane RSLU:</t>
        </r>
        <r>
          <rPr>
            <sz val="9"/>
            <color indexed="81"/>
            <rFont val="Tahoma"/>
            <family val="2"/>
          </rPr>
          <t xml:space="preserve">
0.66</t>
        </r>
      </text>
    </comment>
    <comment ref="F68" authorId="8" shapeId="0" xr:uid="{00000000-0006-0000-0500-000005000000}">
      <text>
        <r>
          <rPr>
            <b/>
            <sz val="9"/>
            <color indexed="81"/>
            <rFont val="Tahoma"/>
            <family val="2"/>
          </rPr>
          <t>Jane RSLU:</t>
        </r>
        <r>
          <rPr>
            <sz val="9"/>
            <color indexed="81"/>
            <rFont val="Tahoma"/>
            <family val="2"/>
          </rPr>
          <t xml:space="preserve">
0.66</t>
        </r>
      </text>
    </comment>
    <comment ref="G68" authorId="9" shapeId="0" xr:uid="{00000000-0006-0000-0500-000006000000}">
      <text>
        <r>
          <rPr>
            <sz val="8"/>
            <color indexed="81"/>
            <rFont val="Tahoma"/>
            <family val="2"/>
          </rPr>
          <t>Jane:
From Hydro One weather sensitivity study.0.32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author>
    <author>jrs</author>
    <author>tc={DAD2581D-7181-4A36-8EF3-1343AB2539FC}</author>
  </authors>
  <commentList>
    <comment ref="E4" authorId="0" shapeId="0" xr:uid="{00000000-0006-0000-0700-000001000000}">
      <text>
        <r>
          <rPr>
            <b/>
            <sz val="9"/>
            <color indexed="81"/>
            <rFont val="Tahoma"/>
            <family val="2"/>
          </rPr>
          <t xml:space="preserve">Jane: </t>
        </r>
        <r>
          <rPr>
            <sz val="9"/>
            <color indexed="81"/>
            <rFont val="Tahoma"/>
            <family val="2"/>
          </rPr>
          <t>Allan
Found under billing for 24 lights in Westport &amp; added 36 lights for SD&amp;G (account 1261) ( - was in Unmetered loads account1320 and 6279
Agrees with RRR Dec 31/10</t>
        </r>
      </text>
    </comment>
    <comment ref="K4" authorId="1" shapeId="0" xr:uid="{00000000-0006-0000-0700-000002000000}">
      <text>
        <r>
          <rPr>
            <sz val="8"/>
            <color indexed="81"/>
            <rFont val="Tahoma"/>
            <family val="2"/>
          </rPr>
          <t>Jane:
Reduce 2 accounts to be reclassified in street lighting in 2010 for 2005-2009. And add 10 accounts from the cable company for 2005-2010</t>
        </r>
      </text>
    </comment>
    <comment ref="G5" authorId="0" shapeId="0" xr:uid="{00000000-0006-0000-0700-000003000000}">
      <text>
        <r>
          <rPr>
            <b/>
            <sz val="9"/>
            <color indexed="81"/>
            <rFont val="Tahoma"/>
            <family val="2"/>
          </rPr>
          <t>Jane</t>
        </r>
        <r>
          <rPr>
            <sz val="9"/>
            <color indexed="81"/>
            <rFont val="Tahoma"/>
            <family val="2"/>
          </rPr>
          <t xml:space="preserve">
10 unmetered scattered load accounts were added from a cable company in early 2011</t>
        </r>
      </text>
    </comment>
    <comment ref="B14" authorId="2" shapeId="0" xr:uid="{DAD2581D-7181-4A36-8EF3-1343AB2539FC}">
      <text>
        <t>[Threaded comment]
Your version of Excel allows you to read this threaded comment; however, any edits to it will get removed if the file is opened in a newer version of Excel. Learn more: https://go.microsoft.com/fwlink/?linkid=870924
Comment:
    2020 is actual. Use 2020 actual for 2021 test</t>
      </text>
    </comment>
    <comment ref="G20" authorId="1" shapeId="0" xr:uid="{00000000-0006-0000-0700-000004000000}">
      <text>
        <r>
          <rPr>
            <b/>
            <sz val="8"/>
            <color indexed="81"/>
            <rFont val="Tahoma"/>
            <family val="2"/>
          </rPr>
          <t>jane</t>
        </r>
        <r>
          <rPr>
            <sz val="8"/>
            <color indexed="81"/>
            <rFont val="Tahoma"/>
            <family val="2"/>
          </rPr>
          <t xml:space="preserve">
Due to one time increase from the cable company</t>
        </r>
      </text>
    </comment>
    <comment ref="E32" authorId="0" shapeId="0" xr:uid="{77006A14-0BE8-4184-A74E-A4DE9022BD51}">
      <text>
        <r>
          <rPr>
            <b/>
            <sz val="9"/>
            <color indexed="81"/>
            <rFont val="Tahoma"/>
            <family val="2"/>
          </rPr>
          <t xml:space="preserve">Jane:
</t>
        </r>
        <r>
          <rPr>
            <sz val="9"/>
            <color indexed="81"/>
            <rFont val="Tahoma"/>
            <family val="2"/>
          </rPr>
          <t>Use 2019 actual. Has been stable in the last 5 years. Don't expect a change in bridge and test year.</t>
        </r>
      </text>
    </comment>
    <comment ref="G32" authorId="0" shapeId="0" xr:uid="{1D8EAA1A-4CD8-4D53-9637-51F022FDA512}">
      <text>
        <r>
          <rPr>
            <b/>
            <sz val="9"/>
            <color indexed="81"/>
            <rFont val="Tahoma"/>
            <family val="2"/>
          </rPr>
          <t xml:space="preserve">Jane:
</t>
        </r>
        <r>
          <rPr>
            <sz val="9"/>
            <color indexed="81"/>
            <rFont val="Tahoma"/>
            <family val="2"/>
          </rPr>
          <t>Use 2019 actual. Has been stable in the last 3 years. Don't expect a change in bridge and test year.</t>
        </r>
      </text>
    </comment>
    <comment ref="G34" authorId="0" shapeId="0" xr:uid="{58978344-74EE-4EF9-9F4D-8292AF200FCA}">
      <text>
        <r>
          <rPr>
            <b/>
            <sz val="9"/>
            <color indexed="81"/>
            <rFont val="Tahoma"/>
            <family val="2"/>
          </rPr>
          <t>Jane:</t>
        </r>
        <r>
          <rPr>
            <sz val="9"/>
            <color indexed="81"/>
            <rFont val="Tahoma"/>
            <family val="2"/>
          </rPr>
          <t xml:space="preserve">
one time event from a cable company. It is not likely to happy again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RSLU</author>
    <author>tc={6E65ED0B-0504-4FEC-9CF3-8D6901ECE3C8}</author>
    <author>tc={EFC95695-134D-4D13-9C23-707E8CDCB1C9}</author>
  </authors>
  <commentList>
    <comment ref="D9" authorId="0" shapeId="0" xr:uid="{30757C2C-21EF-4680-A625-62BE9E50D202}">
      <text>
        <r>
          <rPr>
            <b/>
            <sz val="9"/>
            <color indexed="81"/>
            <rFont val="Tahoma"/>
            <family val="2"/>
          </rPr>
          <t>Jane RSLU:</t>
        </r>
        <r>
          <rPr>
            <sz val="9"/>
            <color indexed="81"/>
            <rFont val="Tahoma"/>
            <family val="2"/>
          </rPr>
          <t xml:space="preserve">
276 is correct number for 2017. RRR was overstated by 22.4 kW. Related to prior unbilled. Found the mistake while reviewing  load forecast.
Talked to Peter, Agreed to use correct numbers  </t>
        </r>
      </text>
    </comment>
    <comment ref="D10" authorId="0" shapeId="0" xr:uid="{A72E6743-1966-4BBD-9D52-DE719326F64A}">
      <text>
        <r>
          <rPr>
            <b/>
            <sz val="9"/>
            <color indexed="81"/>
            <rFont val="Tahoma"/>
            <family val="2"/>
          </rPr>
          <t>Jane RSLU:</t>
        </r>
        <r>
          <rPr>
            <sz val="9"/>
            <color indexed="81"/>
            <rFont val="Tahoma"/>
            <family val="2"/>
          </rPr>
          <t xml:space="preserve">
270 is correct number for 2018. RRR was overstated by 22.4 kW. Related to prior unbilled. Found the mistake while reviewing  load forecast.  </t>
        </r>
      </text>
    </comment>
    <comment ref="C12" authorId="0" shapeId="0" xr:uid="{25E07A35-AC94-485D-B042-57B99A42969E}">
      <text>
        <r>
          <rPr>
            <b/>
            <sz val="8"/>
            <color indexed="81"/>
            <rFont val="Tahoma"/>
            <family val="2"/>
          </rPr>
          <t xml:space="preserve">Jane RSL
</t>
        </r>
        <r>
          <rPr>
            <sz val="8"/>
            <color indexed="81"/>
            <rFont val="Tahoma"/>
            <family val="2"/>
          </rPr>
          <t>Decreased because of Westport Streetlight savings since 2019.11. Actual monthly billing in 2019.11-12. No change is expected. See "Streetlight Forecast"</t>
        </r>
      </text>
    </comment>
    <comment ref="C13" authorId="1" shapeId="0" xr:uid="{6E65ED0B-0504-4FEC-9CF3-8D6901ECE3C8}">
      <text>
        <t>[Threaded comment]
Your version of Excel allows you to read this threaded comment; however, any edits to it will get removed if the file is opened in a newer version of Excel. Learn more: https://go.microsoft.com/fwlink/?linkid=870924
Comment:
    Use 2021 Actual for 2022. No change is expected.</t>
      </text>
    </comment>
    <comment ref="D28" authorId="0" shapeId="0" xr:uid="{00000000-0006-0000-0800-000004000000}">
      <text>
        <r>
          <rPr>
            <b/>
            <sz val="8"/>
            <color indexed="81"/>
            <rFont val="Tahoma"/>
            <family val="2"/>
          </rPr>
          <t xml:space="preserve">Jane RSLU:
</t>
        </r>
        <r>
          <rPr>
            <sz val="8"/>
            <color indexed="81"/>
            <rFont val="Tahoma"/>
            <family val="2"/>
          </rPr>
          <t>Ratio was affected by LTLT before 2019</t>
        </r>
      </text>
    </comment>
    <comment ref="C30" authorId="2" shapeId="0" xr:uid="{EFC95695-134D-4D13-9C23-707E8CDCB1C9}">
      <text>
        <t>[Threaded comment]
Your version of Excel allows you to read this threaded comment; however, any edits to it will get removed if the file is opened in a newer version of Excel. Learn more: https://go.microsoft.com/fwlink/?linkid=870924
Comment:
    Use 2020 actual. This is how we blll.</t>
      </text>
    </comment>
    <comment ref="D33" authorId="0" shapeId="0" xr:uid="{00000000-0006-0000-0800-000005000000}">
      <text>
        <r>
          <rPr>
            <b/>
            <sz val="8"/>
            <color indexed="81"/>
            <rFont val="Tahoma"/>
            <family val="2"/>
          </rPr>
          <t>Jane RSLU:</t>
        </r>
        <r>
          <rPr>
            <sz val="8"/>
            <color indexed="81"/>
            <rFont val="Tahoma"/>
            <family val="2"/>
          </rPr>
          <t xml:space="preserve">
=1/360. Use 2020 actual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Jane</author>
  </authors>
  <commentList>
    <comment ref="W5" authorId="0" shapeId="0" xr:uid="{1FFDAF4B-AF76-4E78-8644-2FA40696F30B}">
      <text>
        <r>
          <rPr>
            <b/>
            <sz val="9"/>
            <color indexed="81"/>
            <rFont val="Tahoma"/>
            <family val="2"/>
          </rPr>
          <t xml:space="preserve">Jane: </t>
        </r>
        <r>
          <rPr>
            <sz val="9"/>
            <color indexed="81"/>
            <rFont val="Tahoma"/>
            <family val="2"/>
          </rPr>
          <t xml:space="preserve">
For 2016. For both 2015 and 2016 if there is no actual for 2015
</t>
        </r>
      </text>
    </comment>
    <comment ref="W23" authorId="0" shapeId="0" xr:uid="{518D71E2-E9F2-4A1B-80A0-C9A6AF9E0769}">
      <text>
        <r>
          <rPr>
            <b/>
            <sz val="9"/>
            <color indexed="81"/>
            <rFont val="Tahoma"/>
            <family val="2"/>
          </rPr>
          <t xml:space="preserve">Jane: </t>
        </r>
        <r>
          <rPr>
            <sz val="9"/>
            <color indexed="81"/>
            <rFont val="Tahoma"/>
            <family val="2"/>
          </rPr>
          <t xml:space="preserve">
For 2016. For both 2015 and 2016 if there is no actual for 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Jane RSLU</author>
    <author>Jane</author>
  </authors>
  <commentList>
    <comment ref="A56" authorId="0" shapeId="0" xr:uid="{00000000-0006-0000-0B00-000001000000}">
      <text>
        <r>
          <rPr>
            <b/>
            <sz val="8"/>
            <color indexed="81"/>
            <rFont val="Tahoma"/>
            <family val="2"/>
          </rPr>
          <t>Jane RSLU:</t>
        </r>
        <r>
          <rPr>
            <sz val="8"/>
            <color indexed="81"/>
            <rFont val="Tahoma"/>
            <family val="2"/>
          </rPr>
          <t xml:space="preserve">
2015-2017 Adjustment 1 are from 2017 IESO Final Results</t>
        </r>
      </text>
    </comment>
    <comment ref="S62" authorId="0" shapeId="0" xr:uid="{00000000-0006-0000-0B00-000002000000}">
      <text>
        <r>
          <rPr>
            <b/>
            <sz val="8"/>
            <color indexed="81"/>
            <rFont val="Tahoma"/>
            <family val="2"/>
          </rPr>
          <t>Jane RSLU:</t>
        </r>
        <r>
          <rPr>
            <sz val="8"/>
            <color indexed="81"/>
            <rFont val="Tahoma"/>
            <family val="2"/>
          </rPr>
          <t xml:space="preserve">
Persistence is calculated with persistence rate form the IESO P &amp; C report</t>
        </r>
      </text>
    </comment>
    <comment ref="A63" authorId="0" shapeId="0" xr:uid="{00000000-0006-0000-0B00-000003000000}">
      <text>
        <r>
          <rPr>
            <b/>
            <sz val="8"/>
            <color indexed="81"/>
            <rFont val="Tahoma"/>
            <family val="2"/>
          </rPr>
          <t>Jane RSLU:</t>
        </r>
        <r>
          <rPr>
            <sz val="8"/>
            <color indexed="81"/>
            <rFont val="Tahoma"/>
            <family val="2"/>
          </rPr>
          <t xml:space="preserve">
Not in the P &amp; C Report. Have Burman report. Loblaw Mortinsburg</t>
        </r>
      </text>
    </comment>
    <comment ref="C78" authorId="1" shapeId="0" xr:uid="{00000000-0006-0000-0B00-000004000000}">
      <text>
        <r>
          <rPr>
            <b/>
            <sz val="9"/>
            <color indexed="81"/>
            <rFont val="Tahoma"/>
            <family val="2"/>
          </rPr>
          <t>Jane:</t>
        </r>
        <r>
          <rPr>
            <sz val="9"/>
            <color indexed="81"/>
            <rFont val="Tahoma"/>
            <family val="2"/>
          </rPr>
          <t xml:space="preserve">
Ne need to adjust CDM for loss to be used as a variable</t>
        </r>
      </text>
    </comment>
    <comment ref="G78" authorId="1" shapeId="0" xr:uid="{00000000-0006-0000-0B00-000005000000}">
      <text>
        <r>
          <rPr>
            <b/>
            <sz val="9"/>
            <color indexed="81"/>
            <rFont val="Tahoma"/>
            <family val="2"/>
          </rPr>
          <t>Jane:</t>
        </r>
        <r>
          <rPr>
            <sz val="9"/>
            <color indexed="81"/>
            <rFont val="Tahoma"/>
            <family val="2"/>
          </rPr>
          <t xml:space="preserve">
Ne need to adjust CDM for loss to be used as a variable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tc={F408F423-FEAA-42AF-9C1E-C601D10DEBF7}</author>
    <author>tc={0E4A43E7-3E27-4727-9901-02224C7D4711}</author>
    <author>tc={1B1A5641-4494-4033-95D0-9FF37349F6B4}</author>
    <author>tc={75791F7F-C6B8-4D01-998D-B708E246158C}</author>
    <author>tc={90DB116B-B66F-496C-8301-C66B1497A469}</author>
    <author>tc={0A205D0C-BF87-4E82-B658-685C94920C85}</author>
    <author>Jane</author>
    <author>Jane Wei</author>
  </authors>
  <commentList>
    <comment ref="V17" authorId="0" shapeId="0" xr:uid="{F408F423-FEAA-42AF-9C1E-C601D10DEBF7}">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Y17" authorId="1" shapeId="0" xr:uid="{0E4A43E7-3E27-4727-9901-02224C7D4711}">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L26" authorId="2" shapeId="0" xr:uid="{1B1A5641-4494-4033-95D0-9FF37349F6B4}">
      <text>
        <t>[Threaded comment]
Your version of Excel allows you to read this threaded comment; however, any edits to it will get removed if the file is opened in a newer version of Excel. Learn more: https://go.microsoft.com/fwlink/?linkid=870924
Comment:
    All interval customers are Non RPP according to 2021.7 Customer account</t>
      </text>
    </comment>
    <comment ref="K29" authorId="3" shapeId="0" xr:uid="{75791F7F-C6B8-4D01-998D-B708E246158C}">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L38" authorId="4" shapeId="0" xr:uid="{90DB116B-B66F-496C-8301-C66B1497A469}">
      <text>
        <t>[Threaded comment]
Your version of Excel allows you to read this threaded comment; however, any edits to it will get removed if the file is opened in a newer version of Excel. Learn more: https://go.microsoft.com/fwlink/?linkid=870924
Comment:
    All interval customers are Non RPP according to 2021.7 Customer account</t>
      </text>
    </comment>
    <comment ref="K41" authorId="5" shapeId="0" xr:uid="{0A205D0C-BF87-4E82-B658-685C94920C85}">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F65" authorId="6" shapeId="0" xr:uid="{00000000-0006-0000-0D00-000005000000}">
      <text>
        <r>
          <rPr>
            <b/>
            <sz val="9"/>
            <color indexed="81"/>
            <rFont val="Tahoma"/>
            <family val="2"/>
          </rPr>
          <t>Jane:</t>
        </r>
        <r>
          <rPr>
            <sz val="9"/>
            <color indexed="81"/>
            <rFont val="Tahoma"/>
            <family val="2"/>
          </rPr>
          <t xml:space="preserve">
From OEB Regulated Price Plan Price Report page 2 Table ES-1 last line </t>
        </r>
      </text>
    </comment>
    <comment ref="E85" authorId="7" shapeId="0" xr:uid="{00000000-0006-0000-0D00-000006000000}">
      <text>
        <r>
          <rPr>
            <b/>
            <sz val="8"/>
            <color indexed="81"/>
            <rFont val="Tahoma"/>
            <family val="2"/>
          </rPr>
          <t xml:space="preserve">Jane Wei
Use billed kWh and kW from RTSR model. May not equial to load forecast kWh and kW. Only the cost is required for COP </t>
        </r>
      </text>
    </comment>
    <comment ref="R89" authorId="6" shapeId="0" xr:uid="{00000000-0006-0000-0D00-000007000000}">
      <text>
        <r>
          <rPr>
            <b/>
            <sz val="9"/>
            <color indexed="81"/>
            <rFont val="Tahoma"/>
            <family val="2"/>
          </rPr>
          <t>Jane:</t>
        </r>
        <r>
          <rPr>
            <sz val="9"/>
            <color indexed="81"/>
            <rFont val="Tahoma"/>
            <family val="2"/>
          </rPr>
          <t xml:space="preserve">
RTST model / final RTS rates </t>
        </r>
      </text>
    </comment>
    <comment ref="G92" authorId="7" shapeId="0" xr:uid="{00000000-0006-0000-0D00-000008000000}">
      <text>
        <r>
          <rPr>
            <b/>
            <sz val="8"/>
            <color indexed="81"/>
            <rFont val="Tahoma"/>
            <family val="2"/>
          </rPr>
          <t>Jane Wei:</t>
        </r>
        <r>
          <rPr>
            <sz val="8"/>
            <color indexed="81"/>
            <rFont val="Tahoma"/>
            <family val="2"/>
          </rPr>
          <t xml:space="preserve">
Consistent with RTST model. This is wholesale charge paid out to Hydro One</t>
        </r>
      </text>
    </comment>
    <comment ref="F107" authorId="6" shapeId="0" xr:uid="{00000000-0006-0000-0D00-000009000000}">
      <text>
        <r>
          <rPr>
            <b/>
            <sz val="9"/>
            <color indexed="81"/>
            <rFont val="Tahoma"/>
            <family val="2"/>
          </rPr>
          <t>Jane:</t>
        </r>
        <r>
          <rPr>
            <sz val="9"/>
            <color indexed="81"/>
            <rFont val="Tahoma"/>
            <family val="2"/>
          </rPr>
          <t xml:space="preserve">
From 2015 IRM tariff sheet </t>
        </r>
      </text>
    </comment>
    <comment ref="F118" authorId="6" shapeId="0" xr:uid="{00000000-0006-0000-0D00-00000A000000}">
      <text>
        <r>
          <rPr>
            <b/>
            <sz val="9"/>
            <color indexed="81"/>
            <rFont val="Tahoma"/>
            <family val="2"/>
          </rPr>
          <t>Jane:</t>
        </r>
        <r>
          <rPr>
            <sz val="9"/>
            <color indexed="81"/>
            <rFont val="Tahoma"/>
            <family val="2"/>
          </rPr>
          <t xml:space="preserve">
From 2015 IRM tariff 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tc={BD629FB7-8A3F-4DF6-A3A9-077E3D5EBB1D}</author>
    <author>tc={D71457D9-909E-4922-A315-72B61F206E2D}</author>
    <author>tc={E97A483B-F282-44D9-9733-94A2CB41D501}</author>
    <author>tc={A3C33CD3-77EC-40BC-BEB9-C3FC36CB821D}</author>
    <author>tc={CDF3FD81-5138-4D16-A713-2DD36768F09D}</author>
    <author>tc={F7B140D8-6C69-41CA-B7BB-85071B807BB6}</author>
    <author>tc={041DB469-F854-43C5-8B25-C1433F13DB0C}</author>
    <author>tc={EF113EF9-1615-40C7-987D-A905DC5A597F}</author>
    <author>tc={A6A006C4-A7E4-4D7A-BA09-4E732EED65B7}</author>
    <author>tc={427A8AEB-4102-423A-B8BC-6E405D4BE902}</author>
    <author>tc={027D5D03-5F07-4E38-B755-A61CE1B6CF8B}</author>
    <author>tc={DE1A3C4C-AA42-475A-A490-E6B80D252CEF}</author>
    <author>tc={D52F266F-473C-4035-A858-A752D79D4AA8}</author>
  </authors>
  <commentList>
    <comment ref="O24" authorId="0" shapeId="0" xr:uid="{BD629FB7-8A3F-4DF6-A3A9-077E3D5EBB1D}">
      <text>
        <t>[Threaded comment]
Your version of Excel allows you to read this threaded comment; however, any edits to it will get removed if the file is opened in a newer version of Excel. Learn more: https://go.microsoft.com/fwlink/?linkid=870924
Comment:
    Allocate all credit to RPP energy cost</t>
      </text>
    </comment>
    <comment ref="D50" authorId="1" shapeId="0" xr:uid="{D71457D9-909E-4922-A315-72B61F206E2D}">
      <text>
        <t>[Threaded comment]
Your version of Excel allows you to read this threaded comment; however, any edits to it will get removed if the file is opened in a newer version of Excel. Learn more: https://go.microsoft.com/fwlink/?linkid=870924
Comment:
    RPP are non interval</t>
      </text>
    </comment>
    <comment ref="H50" authorId="2" shapeId="0" xr:uid="{E97A483B-F282-44D9-9733-94A2CB41D501}">
      <text>
        <t>[Threaded comment]
Your version of Excel allows you to read this threaded comment; however, any edits to it will get removed if the file is opened in a newer version of Excel. Learn more: https://go.microsoft.com/fwlink/?linkid=870924
Comment:
    Non RPP Industrial customers can be non interval or interval. This is non interval.</t>
      </text>
    </comment>
    <comment ref="I50" authorId="3" shapeId="0" xr:uid="{A3C33CD3-77EC-40BC-BEB9-C3FC36CB821D}">
      <text>
        <t>[Threaded comment]
Your version of Excel allows you to read this threaded comment; however, any edits to it will get removed if the file is opened in a newer version of Excel. Learn more: https://go.microsoft.com/fwlink/?linkid=870924
Comment:
    Non Interval rate</t>
      </text>
    </comment>
    <comment ref="H55" authorId="4" shapeId="0" xr:uid="{CDF3FD81-5138-4D16-A713-2DD36768F09D}">
      <text>
        <t>[Threaded comment]
Your version of Excel allows you to read this threaded comment; however, any edits to it will get removed if the file is opened in a newer version of Excel. Learn more: https://go.microsoft.com/fwlink/?linkid=870924
Comment:
    Interval. All interval are Non RPP</t>
      </text>
    </comment>
    <comment ref="I55" authorId="5" shapeId="0" xr:uid="{F7B140D8-6C69-41CA-B7BB-85071B807BB6}">
      <text>
        <t>[Threaded comment]
Your version of Excel allows you to read this threaded comment; however, any edits to it will get removed if the file is opened in a newer version of Excel. Learn more: https://go.microsoft.com/fwlink/?linkid=870924
Comment:
    Intercal rate</t>
      </text>
    </comment>
    <comment ref="D65" authorId="6" shapeId="0" xr:uid="{041DB469-F854-43C5-8B25-C1433F13DB0C}">
      <text>
        <t>[Threaded comment]
Your version of Excel allows you to read this threaded comment; however, any edits to it will get removed if the file is opened in a newer version of Excel. Learn more: https://go.microsoft.com/fwlink/?linkid=870924
Comment:
    RPP are non interval</t>
      </text>
    </comment>
    <comment ref="H65" authorId="7" shapeId="0" xr:uid="{EF113EF9-1615-40C7-987D-A905DC5A597F}">
      <text>
        <t>[Threaded comment]
Your version of Excel allows you to read this threaded comment; however, any edits to it will get removed if the file is opened in a newer version of Excel. Learn more: https://go.microsoft.com/fwlink/?linkid=870924
Comment:
    Non RPP Industrial customers can be non interval or interval. This is non interval.</t>
      </text>
    </comment>
    <comment ref="I65" authorId="8" shapeId="0" xr:uid="{A6A006C4-A7E4-4D7A-BA09-4E732EED65B7}">
      <text>
        <t>[Threaded comment]
Your version of Excel allows you to read this threaded comment; however, any edits to it will get removed if the file is opened in a newer version of Excel. Learn more: https://go.microsoft.com/fwlink/?linkid=870924
Comment:
    Non Interval rate</t>
      </text>
    </comment>
    <comment ref="H70" authorId="9" shapeId="0" xr:uid="{427A8AEB-4102-423A-B8BC-6E405D4BE902}">
      <text>
        <t>[Threaded comment]
Your version of Excel allows you to read this threaded comment; however, any edits to it will get removed if the file is opened in a newer version of Excel. Learn more: https://go.microsoft.com/fwlink/?linkid=870924
Comment:
    Interval. All interval are Non RPP</t>
      </text>
    </comment>
    <comment ref="I70" authorId="10" shapeId="0" xr:uid="{027D5D03-5F07-4E38-B755-A61CE1B6CF8B}">
      <text>
        <t>[Threaded comment]
Your version of Excel allows you to read this threaded comment; however, any edits to it will get removed if the file is opened in a newer version of Excel. Learn more: https://go.microsoft.com/fwlink/?linkid=870924
Comment:
    Intercal rate</t>
      </text>
    </comment>
    <comment ref="E138" authorId="11" shapeId="0" xr:uid="{DE1A3C4C-AA42-475A-A490-E6B80D252CEF}">
      <text>
        <t>[Threaded comment]
Your version of Excel allows you to read this threaded comment; however, any edits to it will get removed if the file is opened in a newer version of Excel. Learn more: https://go.microsoft.com/fwlink/?linkid=870924
Comment:
    Update</t>
      </text>
    </comment>
    <comment ref="H153" authorId="12" shapeId="0" xr:uid="{D52F266F-473C-4035-A858-A752D79D4AA8}">
      <text>
        <t>[Threaded comment]
Your version of Excel allows you to read this threaded comment; however, any edits to it will get removed if the file is opened in a newer version of Excel. Learn more: https://go.microsoft.com/fwlink/?linkid=870924
Comment:
    Use 2020 year end actual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<sst xmlns="http://schemas.openxmlformats.org/spreadsheetml/2006/main" count="2414" uniqueCount="770">
  <si>
    <t>Loss Factor</t>
  </si>
  <si>
    <t xml:space="preserve">Residential </t>
  </si>
  <si>
    <t xml:space="preserve">Unmetered Loads </t>
  </si>
  <si>
    <t>Number of Days in Month</t>
  </si>
  <si>
    <t>% Difference</t>
  </si>
  <si>
    <t>Total</t>
  </si>
  <si>
    <t>Variances (kWh)</t>
  </si>
  <si>
    <t>% Variance</t>
  </si>
  <si>
    <t xml:space="preserve">Geomean </t>
  </si>
  <si>
    <t>Usage Per Customer</t>
  </si>
  <si>
    <t>Check</t>
  </si>
  <si>
    <t xml:space="preserve">Total </t>
  </si>
  <si>
    <t xml:space="preserve">Used </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</si>
  <si>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</si>
  <si>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</si>
  <si>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</si>
  <si>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</si>
  <si>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</si>
  <si>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</si>
  <si>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</si>
  <si>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</si>
  <si>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</si>
  <si>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</si>
  <si>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</si>
  <si>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</si>
  <si>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</si>
  <si>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</si>
  <si>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</si>
  <si>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</si>
  <si>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</si>
  <si>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</si>
  <si>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</si>
  <si>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</si>
  <si>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</si>
  <si>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 Weather Sensitive</t>
  </si>
  <si>
    <t>Allocation of Weather Sensitive Amount</t>
  </si>
  <si>
    <t xml:space="preserve">  Customers</t>
  </si>
  <si>
    <t xml:space="preserve">  kWh</t>
  </si>
  <si>
    <t xml:space="preserve">  kW</t>
  </si>
  <si>
    <t xml:space="preserve">2005 Actual </t>
  </si>
  <si>
    <t xml:space="preserve">2006 Actual </t>
  </si>
  <si>
    <t xml:space="preserve">2007 Actual </t>
  </si>
  <si>
    <t xml:space="preserve">  Connections</t>
  </si>
  <si>
    <t xml:space="preserve">  kW from applicable classes</t>
  </si>
  <si>
    <t xml:space="preserve">  Customer/Connections</t>
  </si>
  <si>
    <t>Actual kWh Purchases</t>
  </si>
  <si>
    <t>Predicted kWh Purchases</t>
  </si>
  <si>
    <t>By Class</t>
  </si>
  <si>
    <t>Used</t>
  </si>
  <si>
    <t>kW/kWh</t>
  </si>
  <si>
    <t>Jan</t>
  </si>
  <si>
    <t>Feb</t>
  </si>
  <si>
    <t>Mar</t>
  </si>
  <si>
    <t>Apr</t>
  </si>
  <si>
    <t>May</t>
  </si>
  <si>
    <t>Jun</t>
  </si>
  <si>
    <t>Jul</t>
  </si>
  <si>
    <t>Aug</t>
  </si>
  <si>
    <t>Sep</t>
  </si>
  <si>
    <t>Oct</t>
  </si>
  <si>
    <t>Nov</t>
  </si>
  <si>
    <t>Dec</t>
  </si>
  <si>
    <t>`</t>
  </si>
  <si>
    <t>kWh</t>
  </si>
  <si>
    <t>kW</t>
  </si>
  <si>
    <t>TOTAL</t>
  </si>
  <si>
    <t>Electricity - Commodity RPP</t>
  </si>
  <si>
    <t>Class per Load Forecast RPP</t>
  </si>
  <si>
    <t>Electricity - Commodity Non-RPP</t>
  </si>
  <si>
    <t>Class per Load Forecast</t>
  </si>
  <si>
    <t>Transmission - Network</t>
  </si>
  <si>
    <t>Volume</t>
  </si>
  <si>
    <t>Metric</t>
  </si>
  <si>
    <t>Transmission - Connection</t>
  </si>
  <si>
    <t>Wholesale Market Service</t>
  </si>
  <si>
    <t>Rural Rate Assistance</t>
  </si>
  <si>
    <t>4705-Power Purchased</t>
  </si>
  <si>
    <t>4708-Charges-WMS</t>
  </si>
  <si>
    <t>4714-Charges-NW</t>
  </si>
  <si>
    <t>4716-Charges-CN</t>
  </si>
  <si>
    <t xml:space="preserve">4730-Rural Rate Assistance </t>
  </si>
  <si>
    <t xml:space="preserve">4750-Low Voltage </t>
  </si>
  <si>
    <t>% Variance (Abs)</t>
  </si>
  <si>
    <t xml:space="preserve">2008 Actual </t>
  </si>
  <si>
    <t xml:space="preserve">2010 Actual </t>
  </si>
  <si>
    <t xml:space="preserve">2011 Actual </t>
  </si>
  <si>
    <t>2011 Programs</t>
  </si>
  <si>
    <t>2012 Programs</t>
  </si>
  <si>
    <t>2013 Programs</t>
  </si>
  <si>
    <t>2014 Programs</t>
  </si>
  <si>
    <t xml:space="preserve">2009 Actual </t>
  </si>
  <si>
    <t xml:space="preserve">2012 Actual </t>
  </si>
  <si>
    <t>CDM Purchase Adjustment</t>
  </si>
  <si>
    <t xml:space="preserve">Billed kWh </t>
  </si>
  <si>
    <t>Summary of Degree Day Information</t>
  </si>
  <si>
    <t>Month</t>
  </si>
  <si>
    <t>20 Year Trend</t>
  </si>
  <si>
    <t>January</t>
  </si>
  <si>
    <t>February</t>
  </si>
  <si>
    <t>March</t>
  </si>
  <si>
    <t>April</t>
  </si>
  <si>
    <t>June</t>
  </si>
  <si>
    <t>July</t>
  </si>
  <si>
    <t>August</t>
  </si>
  <si>
    <t>September</t>
  </si>
  <si>
    <t>October</t>
  </si>
  <si>
    <t>November</t>
  </si>
  <si>
    <t>December</t>
  </si>
  <si>
    <t>20 Year Avg</t>
  </si>
  <si>
    <t>4751 - Smart Metering Entity charge</t>
  </si>
  <si>
    <t>General Service &lt; 50 kW</t>
  </si>
  <si>
    <t xml:space="preserve">2013 Actual </t>
  </si>
  <si>
    <t xml:space="preserve">2014 Actual </t>
  </si>
  <si>
    <t>2015 Programs</t>
  </si>
  <si>
    <t>2016 Programs</t>
  </si>
  <si>
    <t>Lower 95.0%</t>
  </si>
  <si>
    <t>Upper 95.0%</t>
  </si>
  <si>
    <t>Regression Analysis</t>
  </si>
  <si>
    <t xml:space="preserve">Notes: </t>
  </si>
  <si>
    <t xml:space="preserve">Adjustment for Microfit </t>
  </si>
  <si>
    <t>Adjustment</t>
  </si>
  <si>
    <t>HDD</t>
  </si>
  <si>
    <t>CDD</t>
  </si>
  <si>
    <t>Spring/Fall Flag</t>
  </si>
  <si>
    <t>Year</t>
  </si>
  <si>
    <t>Assess the model</t>
  </si>
  <si>
    <t>1)</t>
  </si>
  <si>
    <r>
      <t>R</t>
    </r>
    <r>
      <rPr>
        <vertAlign val="superscript"/>
        <sz val="10"/>
        <rFont val="Arial"/>
        <family val="2"/>
      </rPr>
      <t xml:space="preserve">2 </t>
    </r>
    <r>
      <rPr>
        <sz val="10"/>
        <rFont val="Arial"/>
        <family val="2"/>
      </rPr>
      <t xml:space="preserve"> </t>
    </r>
  </si>
  <si>
    <t>Close to 1</t>
  </si>
  <si>
    <t>higher is better</t>
  </si>
  <si>
    <t>Good</t>
  </si>
  <si>
    <t>2)</t>
  </si>
  <si>
    <r>
      <t>S</t>
    </r>
    <r>
      <rPr>
        <vertAlign val="subscript"/>
        <sz val="10"/>
        <rFont val="Arial"/>
        <family val="2"/>
      </rPr>
      <t>E</t>
    </r>
  </si>
  <si>
    <t>Small</t>
  </si>
  <si>
    <t>smaller is better</t>
  </si>
  <si>
    <t>3)</t>
  </si>
  <si>
    <t>P value, i.e. Significance F Close 0</t>
  </si>
  <si>
    <t>Assess the Variables</t>
  </si>
  <si>
    <t>Enough evidence of a linear relationship between each variable and purchased kWh</t>
  </si>
  <si>
    <t>Note: Statistically, MAPE is defined as the average of percentage errors</t>
  </si>
  <si>
    <t>Note: the median is the numerical value separating the higher half of a data sample, from the lower half</t>
  </si>
  <si>
    <t>%</t>
  </si>
  <si>
    <t>Variance</t>
  </si>
  <si>
    <t>Heating Degree Days ( HDD)</t>
  </si>
  <si>
    <t>Use this</t>
  </si>
  <si>
    <t>20 year</t>
  </si>
  <si>
    <t>Monthly Increment (Year/78)</t>
  </si>
  <si>
    <t>2006 Programs</t>
  </si>
  <si>
    <t>2007 Programs</t>
  </si>
  <si>
    <t>2008 Programs</t>
  </si>
  <si>
    <t>2009 Programs</t>
  </si>
  <si>
    <t>2010 Programs</t>
  </si>
  <si>
    <t>CDM Activity Variable at Billed Level</t>
  </si>
  <si>
    <t>CDM Activity Variable at Purchased Level</t>
  </si>
  <si>
    <t xml:space="preserve">Monthly savings </t>
  </si>
  <si>
    <t xml:space="preserve">Annual savings </t>
  </si>
  <si>
    <t>Persisting to next year</t>
  </si>
  <si>
    <t>RSL 4 Year (2011-2014) kWh Target</t>
  </si>
  <si>
    <t>Billed kWh at the Meter (no loss)</t>
  </si>
  <si>
    <t>Sentinel Lights</t>
  </si>
  <si>
    <t>5 year average</t>
  </si>
  <si>
    <t xml:space="preserve">5 year average from Appendix </t>
  </si>
  <si>
    <t>Usage Growth</t>
  </si>
  <si>
    <t>5 year</t>
  </si>
  <si>
    <t xml:space="preserve">Non Weather Corrected Forecast Billed </t>
  </si>
  <si>
    <t>Mean Average Percentage Error (Mape) Annually:</t>
  </si>
  <si>
    <t>Mean Average Percentage Error (Mape) Monthly :</t>
  </si>
  <si>
    <t>Predicted Purchases(kWh)</t>
  </si>
  <si>
    <t>Weight Factor for Inclusion in CDM Adjustment to 2016 Load Forecast</t>
  </si>
  <si>
    <t>Manual CDM Adjustment kWh</t>
  </si>
  <si>
    <t>Total in Year</t>
  </si>
  <si>
    <t>2017 Programs</t>
  </si>
  <si>
    <t>2018 Programs</t>
  </si>
  <si>
    <t>2019 Programs</t>
  </si>
  <si>
    <t>2020 Programs</t>
  </si>
  <si>
    <t xml:space="preserve">Street lights </t>
  </si>
  <si>
    <t>Rerun regression analysis when input changes and just before submission</t>
  </si>
  <si>
    <t>B</t>
  </si>
  <si>
    <t>E</t>
  </si>
  <si>
    <t xml:space="preserve">Street Lights </t>
  </si>
  <si>
    <t>Actual Purchases</t>
  </si>
  <si>
    <t>File Number:</t>
  </si>
  <si>
    <t>Jane:</t>
  </si>
  <si>
    <t>Notes in red apply to RSL</t>
  </si>
  <si>
    <t>Exhibit:</t>
  </si>
  <si>
    <t>Tab:</t>
  </si>
  <si>
    <t>Schedule:</t>
  </si>
  <si>
    <t>Page:</t>
  </si>
  <si>
    <t>Date:</t>
  </si>
  <si>
    <t>Appendix 2-R</t>
  </si>
  <si>
    <t>Loss Factors</t>
  </si>
  <si>
    <t>Historical Years</t>
  </si>
  <si>
    <t>5-Year Average</t>
  </si>
  <si>
    <t>Losses Within Distributor's System</t>
  </si>
  <si>
    <t>A(1)</t>
  </si>
  <si>
    <t>"Wholesale" kWh delivered to distributor (higher value)</t>
  </si>
  <si>
    <t>A(2)</t>
  </si>
  <si>
    <t>"Wholesale" kWh delivered to distributor (lower value)</t>
  </si>
  <si>
    <t>Portion of "Wholesale" kWh delivered to distributor for its Large Use Customer(s)</t>
  </si>
  <si>
    <t>C</t>
  </si>
  <si>
    <r>
      <t xml:space="preserve">Net "Wholesale" kWh delivered to distributor  = </t>
    </r>
    <r>
      <rPr>
        <b/>
        <sz val="10"/>
        <rFont val="Arial"/>
        <family val="2"/>
      </rPr>
      <t>A(2) - B</t>
    </r>
  </si>
  <si>
    <t>D</t>
  </si>
  <si>
    <t>"Retail" kWh delivered by distributor</t>
  </si>
  <si>
    <t>Portion of "Retail" kWh delivered by distributor to its Large Use Customer(s)</t>
  </si>
  <si>
    <r>
      <t xml:space="preserve">Net "Retail" kWh delivered by distributor = </t>
    </r>
    <r>
      <rPr>
        <b/>
        <sz val="10"/>
        <rFont val="Arial"/>
        <family val="2"/>
      </rPr>
      <t>D - E</t>
    </r>
  </si>
  <si>
    <t>G</t>
  </si>
  <si>
    <r>
      <t xml:space="preserve">Loss Factor in Distributor's system = </t>
    </r>
    <r>
      <rPr>
        <b/>
        <sz val="10"/>
        <rFont val="Arial"/>
        <family val="2"/>
      </rPr>
      <t>C / F</t>
    </r>
  </si>
  <si>
    <t>Losses Upstream of Distributor's System</t>
  </si>
  <si>
    <t>H</t>
  </si>
  <si>
    <t>Supply Facilities Loss Factor</t>
  </si>
  <si>
    <t>Total Losses</t>
  </si>
  <si>
    <t>I</t>
  </si>
  <si>
    <r>
      <t xml:space="preserve">Total Loss Factor = </t>
    </r>
    <r>
      <rPr>
        <b/>
        <sz val="10"/>
        <rFont val="Arial"/>
        <family val="2"/>
      </rPr>
      <t>G x H</t>
    </r>
  </si>
  <si>
    <t>Notes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</si>
  <si>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</si>
  <si>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t>
    </r>
    <r>
      <rPr>
        <sz val="10"/>
        <color rgb="FFFF0000"/>
        <rFont val="Arial"/>
        <family val="2"/>
      </rPr>
      <t>if the host distributor is Hydro One Networks Inc., kWh from the Hydro One Networks' invoice corresponding to "Total kWh w Losses" should be reported</t>
    </r>
    <r>
      <rPr>
        <sz val="10"/>
        <rFont val="Arial"/>
        <family val="2"/>
      </rPr>
      <t xml:space="preserve">.  This corresponds to the </t>
    </r>
    <r>
      <rPr>
        <u/>
        <sz val="10"/>
        <rFont val="Arial"/>
        <family val="2"/>
      </rPr>
      <t>higher</t>
    </r>
    <r>
      <rPr>
        <sz val="10"/>
        <rFont val="Arial"/>
        <family val="2"/>
      </rPr>
      <t xml:space="preserve"> of the two kWh values provided in Hydro One Networks' invoice.</t>
    </r>
  </si>
  <si>
    <t>If partially embedded, kWh pertains to the sum of the above.</t>
  </si>
  <si>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</si>
  <si>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If fully embedded with the host distributor, kWh pertains to a metering installation on the secondary or low voltage side of the transformer at the interface between the embedded distributor and the host distributor.  For example, </t>
    </r>
    <r>
      <rPr>
        <sz val="10"/>
        <color rgb="FFFF0000"/>
        <rFont val="Arial"/>
        <family val="2"/>
      </rPr>
      <t>if the host distributor is Hydro One Networks Inc., kWh from the Hydro One Networks' invoice corresponding to "Total kWh" should be reported</t>
    </r>
    <r>
      <rPr>
        <sz val="10"/>
        <rFont val="Arial"/>
        <family val="2"/>
      </rPr>
      <t xml:space="preserve">.  This corresponds to the </t>
    </r>
    <r>
      <rPr>
        <u/>
        <sz val="10"/>
        <rFont val="Arial"/>
        <family val="2"/>
      </rPr>
      <t>lower</t>
    </r>
    <r>
      <rPr>
        <sz val="10"/>
        <rFont val="Arial"/>
        <family val="2"/>
      </rPr>
      <t xml:space="preserve"> of the two kWh values provided in Hydro One Networks' invoice.</t>
    </r>
  </si>
  <si>
    <r>
      <t xml:space="preserve">Additionally, kWh pertaining to distributed generation directly connected to the distributor's own distribution network should be included in </t>
    </r>
    <r>
      <rPr>
        <b/>
        <sz val="10"/>
        <color rgb="FFFF0000"/>
        <rFont val="Arial"/>
        <family val="2"/>
      </rPr>
      <t>A(2)</t>
    </r>
    <r>
      <rPr>
        <sz val="10"/>
        <color rgb="FFFF0000"/>
        <rFont val="Arial"/>
        <family val="2"/>
      </rPr>
      <t>.</t>
    </r>
  </si>
  <si>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t>
    </r>
  </si>
  <si>
    <t>kWh corresponding to D should equal metered or estimated kWh at the customer’s delivery point.</t>
  </si>
  <si>
    <r>
      <t>G</t>
    </r>
    <r>
      <rPr>
        <sz val="10"/>
        <rFont val="Arial"/>
        <family val="2"/>
      </rPr>
      <t xml:space="preserve"> and </t>
    </r>
    <r>
      <rPr>
        <b/>
        <sz val="10"/>
        <rFont val="Arial"/>
        <family val="2"/>
      </rPr>
      <t>I</t>
    </r>
  </si>
  <si>
    <t>These loss factors pertain to secondary-metered customers with demand less than 5,000 kW.</t>
  </si>
  <si>
    <t>If directly connected to the IESO-controlled grid, SFLF = 1.0045.</t>
  </si>
  <si>
    <r>
      <t xml:space="preserve">If fully embedded within a host distributor, SFLF = loss factor re losses in transformer at grid interface X loss factor re losses in host distributor's system. </t>
    </r>
    <r>
      <rPr>
        <sz val="10"/>
        <color rgb="FFFF0000"/>
        <rFont val="Arial"/>
        <family val="2"/>
      </rPr>
      <t xml:space="preserve"> If the host distributor is Hydro One Networks Inc., SFLF = 1.0060 X 1.0278 = 1.0340</t>
    </r>
    <r>
      <rPr>
        <sz val="10"/>
        <rFont val="Arial"/>
        <family val="2"/>
      </rPr>
      <t>. If partially embedded, SFLF should be calculated as the weighted average of above.</t>
    </r>
  </si>
  <si>
    <t>Distributors that wish to propose a different SFLF should provide appropriate justification for any such proposal including supporting</t>
  </si>
  <si>
    <t>calculations and any other relevant material.</t>
  </si>
  <si>
    <t>20 year trend</t>
  </si>
  <si>
    <t>LV</t>
  </si>
  <si>
    <t>Customers</t>
  </si>
  <si>
    <t>Add back to purchase</t>
  </si>
  <si>
    <t>Network</t>
  </si>
  <si>
    <t>Connection</t>
  </si>
  <si>
    <t>GS&gt;50 Interval metered</t>
  </si>
  <si>
    <t>GS&gt;50 excluding interval metered</t>
  </si>
  <si>
    <t>2014 kW</t>
  </si>
  <si>
    <t>Weighted average transmission rate</t>
  </si>
  <si>
    <t>Transmission Rate</t>
  </si>
  <si>
    <t>GS&gt;50</t>
  </si>
  <si>
    <t>IESO Smart Meter Entity Charge</t>
  </si>
  <si>
    <t xml:space="preserve">kWh Variance </t>
  </si>
  <si>
    <t xml:space="preserve">% Variance </t>
  </si>
  <si>
    <t>% Variance Abs</t>
  </si>
  <si>
    <t>Se/Average purchase</t>
  </si>
  <si>
    <t>Net Energy Savings (kWh)</t>
  </si>
  <si>
    <t>RSL 6 Year (2015-2020) kWh Target</t>
  </si>
  <si>
    <t xml:space="preserve"> </t>
  </si>
  <si>
    <t>Half Year Rule to New Programs</t>
  </si>
  <si>
    <t>General Service 50 to 4,999 kW</t>
  </si>
  <si>
    <t>General Service 50 to 4,999 kW – Interval Metered</t>
  </si>
  <si>
    <t>Unmetered Scattered Load</t>
  </si>
  <si>
    <t>Sentinel Lighting</t>
  </si>
  <si>
    <t>Street Lighting</t>
  </si>
  <si>
    <t>Rate Class</t>
  </si>
  <si>
    <t>Unit</t>
  </si>
  <si>
    <t>Residential</t>
  </si>
  <si>
    <t>General Service Less Than 50 kW</t>
  </si>
  <si>
    <t>Half of Incremental Savings</t>
  </si>
  <si>
    <t>Half year pattern</t>
  </si>
  <si>
    <t>See Kitchener-Wilmot Hydro Inc.’s 2014 COS Application, EB-2013-0147, Exhibit 3, Tab 1, Schedule 4</t>
  </si>
  <si>
    <t>Not Used</t>
  </si>
  <si>
    <t>Average of year beginning and ending</t>
  </si>
  <si>
    <t>From 2016 RTSR Model</t>
  </si>
  <si>
    <t>Cooling Degree Days (CDD)</t>
  </si>
  <si>
    <t>Full year Incremental Savings (over prior year)</t>
  </si>
  <si>
    <t>Annual Savings</t>
  </si>
  <si>
    <t>Predicted Purchased kWh is 230,000 kWh smaller</t>
  </si>
  <si>
    <t>Check update</t>
  </si>
  <si>
    <t>Don't delete this</t>
  </si>
  <si>
    <t>Proposed Rates</t>
  </si>
  <si>
    <t>Half 2014 impact is included in 2014 CDM variable. Full 2014 persistence is included in 2015 and 2016 CDM variable</t>
  </si>
  <si>
    <t>General Service 50 - 4,999 kW Interval</t>
  </si>
  <si>
    <t>General Service  50 to 4,999 kW</t>
  </si>
  <si>
    <t>Actual Purchases kWh</t>
  </si>
  <si>
    <t>From IESO (OPA) 2011-2014 Final Report</t>
  </si>
  <si>
    <t xml:space="preserve"> Annual Increment (net of persistence from prior year)</t>
  </si>
  <si>
    <t>Reported Savings Adjusted for Half Year Rule</t>
  </si>
  <si>
    <t xml:space="preserve">Reported Savings (kWh) Net </t>
  </si>
  <si>
    <t>Table 3.1: Summary of Operating Revenue</t>
  </si>
  <si>
    <t>2012 Board Approved</t>
  </si>
  <si>
    <t>2012 Actual</t>
  </si>
  <si>
    <t>2013 Actual</t>
  </si>
  <si>
    <t>2014 Actual</t>
  </si>
  <si>
    <t>2016 Test Year</t>
  </si>
  <si>
    <t>Base Revenue</t>
  </si>
  <si>
    <t>GS &lt; 50 kW</t>
  </si>
  <si>
    <t>GS &gt;50 to 4999 kW</t>
  </si>
  <si>
    <t>Unmetered and Scattered</t>
  </si>
  <si>
    <t>Subtotal</t>
  </si>
  <si>
    <t>Other Distribution Revenue</t>
  </si>
  <si>
    <t>Specific Service Charges</t>
  </si>
  <si>
    <t>Late Payment Charges</t>
  </si>
  <si>
    <t>Other Operating Revenues</t>
  </si>
  <si>
    <t>Other Income or Deductions</t>
  </si>
  <si>
    <t xml:space="preserve">Service Revenue Total </t>
  </si>
  <si>
    <t>Change %</t>
  </si>
  <si>
    <t>2006 through 2014 Final Results - kWh</t>
  </si>
  <si>
    <t>2015-2016 Forecast - kWh</t>
  </si>
  <si>
    <t>RSL 2011-2014 Target :5.1MkWh, 2011-2014 Actual: 7.251 MkWh</t>
  </si>
  <si>
    <t>Non-Normal Weather Billed Energy Forecast (kWh)</t>
  </si>
  <si>
    <t>Adjustment for Weather (kWh)</t>
  </si>
  <si>
    <t>Weather Normalized Billed Energy Forecast (kWh)</t>
  </si>
  <si>
    <t>Target</t>
  </si>
  <si>
    <t>2016 CDM kWh Target</t>
  </si>
  <si>
    <t>Split Excluding Street Lights</t>
  </si>
  <si>
    <t xml:space="preserve">KWh Allocation </t>
  </si>
  <si>
    <t>2016 LRAMVA kWh</t>
  </si>
  <si>
    <t>2016 LRAMVA kW</t>
  </si>
  <si>
    <t>Adjustment for CDM (kWh)</t>
  </si>
  <si>
    <t>Revenue</t>
  </si>
  <si>
    <t xml:space="preserve">2015 Actual </t>
  </si>
  <si>
    <t>2015 Actual</t>
  </si>
  <si>
    <t>USoA #</t>
  </si>
  <si>
    <t>USoA Description</t>
  </si>
  <si>
    <t>Reporting Basis</t>
  </si>
  <si>
    <t>Retail Services Revenues</t>
  </si>
  <si>
    <t>Service Transaction Requests</t>
  </si>
  <si>
    <t>SSS Administration Revenue</t>
  </si>
  <si>
    <t>Rent from Electric Property</t>
  </si>
  <si>
    <t xml:space="preserve">Gain on Disposition </t>
  </si>
  <si>
    <t>Loss on Disposition</t>
  </si>
  <si>
    <t>Revenues from Non-Utility Operations</t>
  </si>
  <si>
    <t>Expenses of Non-Utility Operations</t>
  </si>
  <si>
    <t>Miscellaneous Non-Operating Income</t>
  </si>
  <si>
    <t>Interest and Dividend Income</t>
  </si>
  <si>
    <t>$</t>
  </si>
  <si>
    <t>Table 3.2</t>
  </si>
  <si>
    <t>2011-2010</t>
  </si>
  <si>
    <t>2013-2012</t>
  </si>
  <si>
    <t>2015-2014</t>
  </si>
  <si>
    <t>2008-2007</t>
  </si>
  <si>
    <t>Table 3.11:  Forecast using a twenty year trend weather normalization</t>
  </si>
  <si>
    <t>Table 3.12 Customer/Connection Data</t>
  </si>
  <si>
    <t>Table 3.14: Annual kWh Usage per Customer/Connection</t>
  </si>
  <si>
    <t>Table 3.13 Growth Rate in Customer Numbers</t>
  </si>
  <si>
    <t xml:space="preserve">Jan to May </t>
  </si>
  <si>
    <t xml:space="preserve">Table 3.13: Growth Rate in Customer Numbers </t>
  </si>
  <si>
    <t>Ch2 Filing Requirement, Tab 2-ILF CDM</t>
  </si>
  <si>
    <t>Rate</t>
  </si>
  <si>
    <t>Amount</t>
  </si>
  <si>
    <t xml:space="preserve">Year </t>
  </si>
  <si>
    <t xml:space="preserve">Billed (GWh) </t>
  </si>
  <si>
    <t>Growth (GWh)</t>
  </si>
  <si>
    <t>Percent Change (%)</t>
  </si>
  <si>
    <t xml:space="preserve"> Growth</t>
  </si>
  <si>
    <t>Customer /Connection Count</t>
  </si>
  <si>
    <t xml:space="preserve">Percent Change </t>
  </si>
  <si>
    <t>2016 Weather Normalized</t>
  </si>
  <si>
    <t>Table 3.2:  Customer and Volume Trend Table</t>
  </si>
  <si>
    <t>Table 3.: Summary of Load and Customer/Connection Forecast</t>
  </si>
  <si>
    <t xml:space="preserve">See Tab Summary </t>
  </si>
  <si>
    <t xml:space="preserve"> Table 3.5:  HDD and CDD </t>
  </si>
  <si>
    <t>See Tab HDD &amp; CDD</t>
  </si>
  <si>
    <t>Table 3.10:  Forecast Using A Ten Year Average Weather Normalization</t>
  </si>
  <si>
    <t>Predicted Purchases (kWh)</t>
  </si>
  <si>
    <t>See Tab Purchased Power Model</t>
  </si>
  <si>
    <t xml:space="preserve">Table 3.8:  Predicted Purchases vs Actual Purchased  </t>
  </si>
  <si>
    <t>Table 3.9:  Predicted VS Actual</t>
  </si>
  <si>
    <t xml:space="preserve">Table 3.12 Number of Customers/Connections </t>
  </si>
  <si>
    <t>See Tab Rate Class Customer Model</t>
  </si>
  <si>
    <t>Ch2 Filing Requirement Appendix, Tab 2-ILF CDM</t>
  </si>
  <si>
    <t xml:space="preserve"> see Tab Summary</t>
  </si>
  <si>
    <t>See Rate design model, Tab "2016 Test Yr on Existing Rates"</t>
  </si>
  <si>
    <t>Table 3.37:  OEB Appendix 2-H Other Operating Revenue</t>
  </si>
  <si>
    <t>Split of kW</t>
  </si>
  <si>
    <t>Ontario Real GDP</t>
  </si>
  <si>
    <t>Customer Count (R+C+I)</t>
  </si>
  <si>
    <t xml:space="preserve">Load-Weighted Price for RPP Consumers ($ / MWh) </t>
  </si>
  <si>
    <t xml:space="preserve">Impact of the Global Adjustment ($ / MWh) </t>
  </si>
  <si>
    <t xml:space="preserve">+ </t>
  </si>
  <si>
    <t xml:space="preserve">Adjustment to Address Bias Towards Unfavourable Variance ($ / MWh) </t>
  </si>
  <si>
    <t>=</t>
  </si>
  <si>
    <t xml:space="preserve">Average Supply Cost for RPP Consumers ($ / MWh) </t>
  </si>
  <si>
    <t xml:space="preserve">       Forecast Wholesale Electricity Price </t>
  </si>
  <si>
    <t>Uplifted kWh</t>
  </si>
  <si>
    <t>GRAND TOTAL</t>
  </si>
  <si>
    <t>Ontario Energy Board</t>
  </si>
  <si>
    <t>Regulated Price Plan Price Report</t>
  </si>
  <si>
    <t>Table 2. – Summary of Commodity Price</t>
  </si>
  <si>
    <t>Customer/Connection</t>
  </si>
  <si>
    <t>Annual Usage Per Customer/Connection</t>
  </si>
  <si>
    <t xml:space="preserve">                         Adjustment for Weather (kWh)</t>
  </si>
  <si>
    <t>Weather Normalized kWh before CDM Adjustment</t>
  </si>
  <si>
    <t>2015 Adjustment 1</t>
  </si>
  <si>
    <t>2015 Adjustment 2</t>
  </si>
  <si>
    <t>2016 Adjustment 1</t>
  </si>
  <si>
    <t>2017 Adjustment 1</t>
  </si>
  <si>
    <t>2011</t>
  </si>
  <si>
    <t>2012</t>
  </si>
  <si>
    <t>2013</t>
  </si>
  <si>
    <t>2014</t>
  </si>
  <si>
    <t>2015</t>
  </si>
  <si>
    <t>2016</t>
  </si>
  <si>
    <t>2017</t>
  </si>
  <si>
    <t>2018</t>
  </si>
  <si>
    <t>2019</t>
  </si>
  <si>
    <t>Adjustment for CDM</t>
  </si>
  <si>
    <t>Trend</t>
  </si>
  <si>
    <t>Shoulder Flag</t>
  </si>
  <si>
    <t>August Flag</t>
  </si>
  <si>
    <t xml:space="preserve">Adjusted R2  </t>
  </si>
  <si>
    <t>1.981, or &lt; -1.981</t>
  </si>
  <si>
    <t>to +/- on result of Regression Equation</t>
  </si>
  <si>
    <t>Therefore analysis IS Significant</t>
  </si>
  <si>
    <t>2020</t>
  </si>
  <si>
    <t>2021</t>
  </si>
  <si>
    <t>Predicted Purchase</t>
  </si>
  <si>
    <t>Actual Purchase</t>
  </si>
  <si>
    <t>Actual Loss Factor</t>
  </si>
  <si>
    <t>Uplifted 2</t>
  </si>
  <si>
    <t>2017 Adjustment 2</t>
  </si>
  <si>
    <t>Winter/Summer Flag</t>
  </si>
  <si>
    <t xml:space="preserve"> IESO Purchases kWh</t>
  </si>
  <si>
    <t xml:space="preserve">Weather Corrected Forecast </t>
  </si>
  <si>
    <t>Actual Billing</t>
  </si>
  <si>
    <t>Microfit</t>
  </si>
  <si>
    <t>Source</t>
  </si>
  <si>
    <t>2019 P&amp;C Report</t>
  </si>
  <si>
    <t>2017 IESO Final Results</t>
  </si>
  <si>
    <t>2011-2014 Persistence</t>
  </si>
  <si>
    <t>Pre 2011 Persistence</t>
  </si>
  <si>
    <t>Number of Workdays in Month</t>
  </si>
  <si>
    <t>Use Year End</t>
  </si>
  <si>
    <t>Don't use this</t>
  </si>
  <si>
    <t xml:space="preserve"> Used</t>
  </si>
  <si>
    <t>Average Ratio</t>
  </si>
  <si>
    <t xml:space="preserve">Add Streetlight Savings </t>
  </si>
  <si>
    <t>CDM Savings Schedule</t>
  </si>
  <si>
    <t>Calculated</t>
  </si>
  <si>
    <t>Billed</t>
  </si>
  <si>
    <t>2019 Burman Letters</t>
  </si>
  <si>
    <t>2021 Load Forecast</t>
  </si>
  <si>
    <t>Need Update</t>
  </si>
  <si>
    <t>2021 Loss Factor</t>
  </si>
  <si>
    <t>Wholesale Electricity Cost - RPP-Weighted</t>
  </si>
  <si>
    <t>Non-RPP Supply Cost Summary - Class A</t>
  </si>
  <si>
    <t xml:space="preserve"> %RPP</t>
  </si>
  <si>
    <t>% Non RPP Class B</t>
  </si>
  <si>
    <t>Class A</t>
  </si>
  <si>
    <t xml:space="preserve">%Class B </t>
  </si>
  <si>
    <t>%Class A</t>
  </si>
  <si>
    <t>General Service 50 to 4,999 kW - Class B</t>
  </si>
  <si>
    <t>GA</t>
  </si>
  <si>
    <t>Energy Price</t>
  </si>
  <si>
    <t>Energy Cost</t>
  </si>
  <si>
    <t xml:space="preserve">General Service 50 to 4,999 kW </t>
  </si>
  <si>
    <t>2019 Actual</t>
  </si>
  <si>
    <t xml:space="preserve">Actual </t>
  </si>
  <si>
    <t>Forecast</t>
  </si>
  <si>
    <t>N/A</t>
  </si>
  <si>
    <t>Not used</t>
  </si>
  <si>
    <t xml:space="preserve">Total: 2021 Cost of Power Expenses </t>
  </si>
  <si>
    <t>Used Average</t>
  </si>
  <si>
    <t>2020 Load Forecast</t>
  </si>
  <si>
    <t>Table 2.17: Cost of Power Calculation for 2020 Bridge Year</t>
  </si>
  <si>
    <t>2020 Forecasted Metered kWh</t>
  </si>
  <si>
    <t>2020 Loss Factor</t>
  </si>
  <si>
    <t xml:space="preserve">Total: 2020 Cost of Power Expenses </t>
  </si>
  <si>
    <t>Adjustment 2</t>
  </si>
  <si>
    <t>Adjustment 3</t>
  </si>
  <si>
    <t>Proposed</t>
  </si>
  <si>
    <t xml:space="preserve">Customer Count is forecast </t>
  </si>
  <si>
    <t>Need update</t>
  </si>
  <si>
    <t>Weather Normalized</t>
  </si>
  <si>
    <t>Table Weather Normalized vs Actual</t>
  </si>
  <si>
    <t>Actual</t>
  </si>
  <si>
    <t>Weather Sensitive Amount</t>
  </si>
  <si>
    <t>Allocation of Weather Normalization Variance</t>
  </si>
  <si>
    <t>For Appendix 2-IB Load Forecast Analysis</t>
  </si>
  <si>
    <t>RPP</t>
  </si>
  <si>
    <t>Load-Weighted Price for RPP Consumers</t>
  </si>
  <si>
    <t>Actual GA Sales</t>
  </si>
  <si>
    <t>Use Effective Date and Not Bill Code = A1000 And Not Bill Code =A35 And Not Bill Code =ClassA</t>
  </si>
  <si>
    <t>Commercial</t>
  </si>
  <si>
    <t>kwh</t>
  </si>
  <si>
    <t>Ratio</t>
  </si>
  <si>
    <t>Report</t>
  </si>
  <si>
    <t>42 Total</t>
  </si>
  <si>
    <t>9860 RPP</t>
  </si>
  <si>
    <t>Non-RPP</t>
  </si>
  <si>
    <t>Industrial</t>
  </si>
  <si>
    <t>Subtract Class A GA 9888</t>
  </si>
  <si>
    <t>Scattered</t>
  </si>
  <si>
    <t>Sentinel</t>
  </si>
  <si>
    <t>Street</t>
  </si>
  <si>
    <t>42 Total net Class A</t>
  </si>
  <si>
    <t>Non RPP Class B</t>
  </si>
  <si>
    <t xml:space="preserve">Non RPP kWh </t>
  </si>
  <si>
    <t>Non RPP $</t>
  </si>
  <si>
    <t>Actual Sales</t>
  </si>
  <si>
    <t>Scattered Loads</t>
  </si>
  <si>
    <t>Street Lights</t>
  </si>
  <si>
    <t>Actual Unbilled</t>
  </si>
  <si>
    <t>4006.4120.0000</t>
  </si>
  <si>
    <t>4010.4120.0000</t>
  </si>
  <si>
    <t>4015.4120.0000</t>
  </si>
  <si>
    <t>4025.4120.0000</t>
  </si>
  <si>
    <t>4030.4120.0000</t>
  </si>
  <si>
    <t>2020 Jan - Apr</t>
  </si>
  <si>
    <t>IESO Purcchase</t>
  </si>
  <si>
    <t>Microfit Purchase</t>
  </si>
  <si>
    <t>Total Purchase</t>
  </si>
  <si>
    <t>3-Year Average</t>
  </si>
  <si>
    <t>App.2-R</t>
  </si>
  <si>
    <t>Purchase</t>
  </si>
  <si>
    <t>Use Test Year HDD &amp; CDD for Historical Years</t>
  </si>
  <si>
    <t>Total Billed</t>
  </si>
  <si>
    <t>Weather Normalized Historical Demand kW</t>
  </si>
  <si>
    <t>Weather Normalized Purchase</t>
  </si>
  <si>
    <t>RPP kWh</t>
  </si>
  <si>
    <t>Non RPP kWh</t>
  </si>
  <si>
    <t>Class A kWh</t>
  </si>
  <si>
    <t xml:space="preserve"> % RPP</t>
  </si>
  <si>
    <t xml:space="preserve">Interval kWh </t>
  </si>
  <si>
    <t>RPP kW</t>
  </si>
  <si>
    <t>Non RPP kW</t>
  </si>
  <si>
    <t>Class A kW</t>
  </si>
  <si>
    <t>Class A kWh %</t>
  </si>
  <si>
    <t>Interval kWh %</t>
  </si>
  <si>
    <t>RPP kW %</t>
  </si>
  <si>
    <t>Non RPP Class B kWh</t>
  </si>
  <si>
    <t>For DVAD Model</t>
  </si>
  <si>
    <t xml:space="preserve"> kWh</t>
  </si>
  <si>
    <t>Loss Adjusted</t>
  </si>
  <si>
    <t>Non Loss Adjusted</t>
  </si>
  <si>
    <t>For Cost of Power</t>
  </si>
  <si>
    <t>Weather Normalized Purchases(kWh)</t>
  </si>
  <si>
    <t>2016 IESO Final Results</t>
  </si>
  <si>
    <t>2016 Board Approved</t>
  </si>
  <si>
    <t>2016 Actual</t>
  </si>
  <si>
    <t>2017 Actual</t>
  </si>
  <si>
    <t>2018 Actual</t>
  </si>
  <si>
    <t>Lower R square</t>
  </si>
  <si>
    <t xml:space="preserve">Constant of </t>
  </si>
  <si>
    <t>Heating Degree</t>
  </si>
  <si>
    <t>+</t>
  </si>
  <si>
    <t>*</t>
  </si>
  <si>
    <t>Cooling Degree</t>
  </si>
  <si>
    <t>RSL Monthly Predicted kWh Purchases</t>
  </si>
  <si>
    <t>Table 3.7: Regression Equation</t>
  </si>
  <si>
    <t>Table 3.6:  Correlation/Regression Results</t>
  </si>
  <si>
    <t xml:space="preserve">2019 Actual </t>
  </si>
  <si>
    <t>See Tab Streetlight</t>
  </si>
  <si>
    <t>Table 3.: 2011-2014 Net Saving (kWh) Target</t>
  </si>
  <si>
    <t>Table 3.: Allocation of CDM Adjustment</t>
  </si>
  <si>
    <t>Table 3.: 2016 Expected CDM Savings by Rate Class for LRAM Variance Account</t>
  </si>
  <si>
    <t>Table 3.: Alignment of Non-Normal to Weather Normal Forecast</t>
  </si>
  <si>
    <t>kWh - actual</t>
  </si>
  <si>
    <t># of Customers</t>
  </si>
  <si>
    <t>kWh - weather normalized</t>
  </si>
  <si>
    <t>Variance Analysis - Year-over-year</t>
  </si>
  <si>
    <t xml:space="preserve">2016 Actual </t>
  </si>
  <si>
    <t xml:space="preserve">2017 Actual </t>
  </si>
  <si>
    <t xml:space="preserve">2018 Actual </t>
  </si>
  <si>
    <t>2020 Bridge</t>
  </si>
  <si>
    <t>2021 Test</t>
  </si>
  <si>
    <t>kW - actual</t>
  </si>
  <si>
    <t>kW - weather normalized</t>
  </si>
  <si>
    <t>Consumption (kWh) per Customer - actual</t>
  </si>
  <si>
    <t>Consumption (kWh) per Customer - weather normalized</t>
  </si>
  <si>
    <t>Consumption (kW) per Customer - actual</t>
  </si>
  <si>
    <t>Consumption (kW) per Customer - weather normalized</t>
  </si>
  <si>
    <t>Consistent with Appendix 2-IB</t>
  </si>
  <si>
    <t>Table 3.29: 2017 Actual vs 2016 Actual</t>
  </si>
  <si>
    <t>Table 3.30: 2018 Actual vs 2017 Actual</t>
  </si>
  <si>
    <t>Table 3.31: 2019 Actual vs 2018 Actual</t>
  </si>
  <si>
    <t>Table 3.32: 2020 Bridge vs 2019 Actual</t>
  </si>
  <si>
    <t>Customer*</t>
  </si>
  <si>
    <t>% Change</t>
  </si>
  <si>
    <t>kWh** - normalized</t>
  </si>
  <si>
    <t xml:space="preserve">Usage per Customer - actual </t>
  </si>
  <si>
    <t>Usage per Customer - Normalized</t>
  </si>
  <si>
    <t>kWh** -    actual</t>
  </si>
  <si>
    <t>OEB-approved</t>
  </si>
  <si>
    <t>Table 3.22: Residential Variance</t>
  </si>
  <si>
    <t>10 Year Average</t>
  </si>
  <si>
    <t>Non Interval kW</t>
  </si>
  <si>
    <t>Table 3.27: Residential Variance</t>
  </si>
  <si>
    <t>X</t>
  </si>
  <si>
    <t>Table 3.28: General Service  &lt; 50 kW Variance</t>
  </si>
  <si>
    <t>Table 3.29: General Service  50 to 4,999 kW Variance</t>
  </si>
  <si>
    <t>kW** -    actual</t>
  </si>
  <si>
    <t>kW** - normalized</t>
  </si>
  <si>
    <t>Connections</t>
  </si>
  <si>
    <t xml:space="preserve">kW-actual </t>
  </si>
  <si>
    <t>Table 30: Street LIghts Variance</t>
  </si>
  <si>
    <t>kW per Connection</t>
  </si>
  <si>
    <t>kWh per Connection</t>
  </si>
  <si>
    <t>Table 31: Sentinel LIghts Variance</t>
  </si>
  <si>
    <t>Table 32: Unmetered Loads Variance</t>
  </si>
  <si>
    <t>Table 3.33: 2016 Actual vs 2016 Board Approved</t>
  </si>
  <si>
    <t>Table 3.33 - Average kWh per Customer / Connection</t>
  </si>
  <si>
    <t>Table 3.34 - Average kW per Customer / Connection</t>
  </si>
  <si>
    <t>Other Electric revenues</t>
  </si>
  <si>
    <t xml:space="preserve"> Analysis Is Significant</t>
  </si>
  <si>
    <t>2022</t>
  </si>
  <si>
    <t>2022 Normal -20 year trend</t>
  </si>
  <si>
    <t xml:space="preserve">10 year average </t>
  </si>
  <si>
    <t>Consistent with 2016</t>
  </si>
  <si>
    <t>2020 Actual</t>
  </si>
  <si>
    <t xml:space="preserve">5 Year </t>
  </si>
  <si>
    <t>Table 2.17: Cost of Power Calculation for 2022 Test Year</t>
  </si>
  <si>
    <t>2020 Actual without Loss, RRR2.1.5</t>
  </si>
  <si>
    <t>2022 Load Forecast</t>
  </si>
  <si>
    <t>2022 Forecasted Metered kWh</t>
  </si>
  <si>
    <t>Customer count is not a valid varant. Customer count and trend are dependent. Customer count is buried in trend.</t>
  </si>
  <si>
    <t>Intuitive</t>
  </si>
  <si>
    <t>Population data after 2016 is not available. Did not test it.</t>
  </si>
  <si>
    <t xml:space="preserve">for the period from May 1, 2021 through April 30, 2022 </t>
  </si>
  <si>
    <t>$/MWh</t>
  </si>
  <si>
    <t>Published April 22, 2021</t>
  </si>
  <si>
    <t>May 1, 2021 to April 30, 2022</t>
  </si>
  <si>
    <t>Global Adjustment</t>
  </si>
  <si>
    <t>Adjustment to Clear Existing Variances</t>
  </si>
  <si>
    <t>Adjustment to Address Bias Towards Unfavourable Variance</t>
  </si>
  <si>
    <t>Non-RPP- Class B</t>
  </si>
  <si>
    <t>Non-RPP - Class A</t>
  </si>
  <si>
    <t>Total kWh</t>
  </si>
  <si>
    <t>Total kW</t>
  </si>
  <si>
    <t>Non RPP kW Class B</t>
  </si>
  <si>
    <t>Class A kW  %</t>
  </si>
  <si>
    <t>Non RPP Class B kW%</t>
  </si>
  <si>
    <t>Forecast kW</t>
  </si>
  <si>
    <t xml:space="preserve">Non Interval kWh </t>
  </si>
  <si>
    <t>Non Interval kWh %</t>
  </si>
  <si>
    <t xml:space="preserve"> Interval kW</t>
  </si>
  <si>
    <t>Non Interval kW %</t>
  </si>
  <si>
    <t xml:space="preserve"> Interval kW %</t>
  </si>
  <si>
    <t xml:space="preserve">Non RPP </t>
  </si>
  <si>
    <t>Non RPP</t>
  </si>
  <si>
    <t>Transformer Connection</t>
  </si>
  <si>
    <t xml:space="preserve">Interval kW </t>
  </si>
  <si>
    <t>For cost of power</t>
  </si>
  <si>
    <t xml:space="preserve"> Interval </t>
  </si>
  <si>
    <t xml:space="preserve"> Non Interval</t>
  </si>
  <si>
    <t>Transformer Network</t>
  </si>
  <si>
    <t>2022 Test Year</t>
  </si>
  <si>
    <t>2021 Bridge Year</t>
  </si>
  <si>
    <t>ch2 Other revenue</t>
  </si>
  <si>
    <t>Table 3.3: Unadjusted Wholesale Purchases 2011-2020 (kWh)</t>
  </si>
  <si>
    <t>Table 3.4: Adjusted Wholesale Purchases 2011-2020 (kWh)</t>
  </si>
  <si>
    <t>Table 3.: CDM Summary</t>
  </si>
  <si>
    <t>Table 3.15: Weather Sensitivity</t>
  </si>
  <si>
    <t>Table 3.: 2021 Test Year Demand of Street Lighting</t>
  </si>
  <si>
    <t>Table 3.: 2021 Test Year Billed Energy of Street Lighting</t>
  </si>
  <si>
    <t>Table 3.16: Billed Consumption Forecast Adjusted for Weather</t>
  </si>
  <si>
    <t>2022 Non-Normal Weather Billed kWh</t>
  </si>
  <si>
    <t>Table 3.17: 2019-2020 CDM Activities (Appendix 2-I)</t>
  </si>
  <si>
    <t>Table 3.18: Weight Factor for Inclusion in CDM Adjustment to 2021 Load Forecast</t>
  </si>
  <si>
    <t>Table 3.19: CDM Impact and LRAMVA Threshold</t>
  </si>
  <si>
    <t>Table 3.20: Historical Annual kW</t>
  </si>
  <si>
    <t>2022 Test</t>
  </si>
  <si>
    <t>Table 3.21: kW/kWh Ratio</t>
  </si>
  <si>
    <t>Table 3.22: RSL Weather Normalized Load Forecast for 2021 Rate Application</t>
  </si>
  <si>
    <t>Table 3.23: 2022 Test Year Revenue at Existing Rates</t>
  </si>
  <si>
    <t>Table 3.24: 2022 Test Year Distribution Revenue at Proposed Rates</t>
  </si>
  <si>
    <t>Table 3.25: Historical Analysis of Distribution Revenue and Billing Determinants</t>
  </si>
  <si>
    <t>% Weather Sensitive by Rate Class</t>
  </si>
  <si>
    <t>Table 3.35: 2016 Actual vs 2012 Board Approved</t>
  </si>
  <si>
    <t>Table 3.37: 2017 Actual vs 2016 Actual</t>
  </si>
  <si>
    <t>4086</t>
  </si>
  <si>
    <t xml:space="preserve">Table 3.42: 2021 Bridge Year vs 2020 Actual </t>
  </si>
  <si>
    <t xml:space="preserve">Table 3.42: 2022 Test vs 2021 Bridge Year </t>
  </si>
  <si>
    <t>2022 Test ear</t>
  </si>
  <si>
    <t>EB-2021-0056</t>
  </si>
  <si>
    <t xml:space="preserve">Commodity Expense </t>
  </si>
  <si>
    <t>Step 1:</t>
  </si>
  <si>
    <t>Commodity Pricing</t>
  </si>
  <si>
    <t> </t>
  </si>
  <si>
    <t>Forecasted Commodity Prices</t>
  </si>
  <si>
    <t xml:space="preserve"> Table 1: Average RPP Supply Cost Summary*</t>
  </si>
  <si>
    <t>non-RPP</t>
  </si>
  <si>
    <t>HOEP ($/MWh)</t>
  </si>
  <si>
    <t>Global Adjustment ($/MWh)</t>
  </si>
  <si>
    <t>Impact of the Global Adjustment</t>
  </si>
  <si>
    <t>Adjustments ($/MWh)</t>
  </si>
  <si>
    <t>TOTAL ($/MWh)</t>
  </si>
  <si>
    <t>Average Supply Cost for RPP Consumers</t>
  </si>
  <si>
    <t>Step 2:</t>
  </si>
  <si>
    <t>Commodity Expense</t>
  </si>
  <si>
    <t>(volumes for the test year is loss adjusted)</t>
  </si>
  <si>
    <t>Commodity</t>
  </si>
  <si>
    <t>Customer</t>
  </si>
  <si>
    <t>Expense</t>
  </si>
  <si>
    <t>Class Name</t>
  </si>
  <si>
    <t>UoM</t>
  </si>
  <si>
    <t>USA #</t>
  </si>
  <si>
    <t>Class A Non-RPP Volume**</t>
  </si>
  <si>
    <t>Class B Non-RPP Volume**</t>
  </si>
  <si>
    <t>Class B RPP Volume**</t>
  </si>
  <si>
    <t>Average HOEP</t>
  </si>
  <si>
    <t>Average RPP Rate</t>
  </si>
  <si>
    <t>Class A - non-RPP Global Adjustment</t>
  </si>
  <si>
    <t>kWh Volume</t>
  </si>
  <si>
    <t>Hist. Avg GA/kWh ***</t>
  </si>
  <si>
    <t>Class B - non-RPP Global Adjustment</t>
  </si>
  <si>
    <t>Class B Non-RPP Volume</t>
  </si>
  <si>
    <t>GA Rate/kWh</t>
  </si>
  <si>
    <t>Total Volume</t>
  </si>
  <si>
    <t>*Regulated Price Plan Prices for the Period May 1, 2021 to April 30, 2022, p. 2</t>
  </si>
  <si>
    <t>** Enter 2022 load forecast data by class based on the most recent 12-month historic Class A and Class B RPP/Non-RPP proportions</t>
  </si>
  <si>
    <t>*** Based on average $ GA per kWh billed to class A customers for most recent 12-month historical year.</t>
  </si>
  <si>
    <t>Cost of Power Calculation</t>
  </si>
  <si>
    <t>All Volume should be loss adjusted with the exception of:</t>
  </si>
  <si>
    <t>1. Volume for Electricity Commodity, Wholesale Market Services, Class A and B should loss adjusted less WMP</t>
  </si>
  <si>
    <t>2. Low Voltage Charges - No loss adjustment for kWh</t>
  </si>
  <si>
    <t xml:space="preserve">TB Acct #4006 - 4030 in Cost Allocation </t>
  </si>
  <si>
    <t>Electricity Commodity</t>
  </si>
  <si>
    <t>Units</t>
  </si>
  <si>
    <t xml:space="preserve">$ </t>
  </si>
  <si>
    <t>% RPP $</t>
  </si>
  <si>
    <t>Credit Allocation</t>
  </si>
  <si>
    <t>Total $</t>
  </si>
  <si>
    <t>SUB-TOTAL</t>
  </si>
  <si>
    <t>OK</t>
  </si>
  <si>
    <t>Global Adjustment non-RPP</t>
  </si>
  <si>
    <t xml:space="preserve">Class per Load Forecast </t>
  </si>
  <si>
    <t xml:space="preserve"> Volume</t>
  </si>
  <si>
    <t>General Service 50 to 4,999 kW-Interval</t>
  </si>
  <si>
    <t xml:space="preserve">Class A CBR </t>
  </si>
  <si>
    <t xml:space="preserve">Class B CBR </t>
  </si>
  <si>
    <t>RRRP</t>
  </si>
  <si>
    <t>Low Voltage - No TLF adjustment</t>
  </si>
  <si>
    <t>Smart Meter Entity Charge</t>
  </si>
  <si>
    <t>SUB- TOTAL</t>
  </si>
  <si>
    <t>OER CREDIT</t>
  </si>
  <si>
    <t xml:space="preserve">3.The OER Credit of 18.9% will only apply to RPP proportion of the listed components. Impacts on distribution charges are excluded for the purpose of calculating the cost of power. </t>
  </si>
  <si>
    <t>4. Class A CBR: use the average CBR per kWh, similar to how the Class A GA cost is calculated</t>
  </si>
  <si>
    <t>4705 -Power Purchased</t>
  </si>
  <si>
    <t>4707- Global Adjustment</t>
  </si>
  <si>
    <t>4750-Charges-LV</t>
  </si>
  <si>
    <t>4751-IESO SME</t>
  </si>
  <si>
    <t>Misc A/R or A/P</t>
  </si>
  <si>
    <t>Bridge Year</t>
  </si>
  <si>
    <t>Test Year</t>
  </si>
  <si>
    <t xml:space="preserve"> Supply Cost Summary</t>
  </si>
  <si>
    <t>Billed kWh Forecast</t>
  </si>
  <si>
    <t>Customer Count</t>
  </si>
  <si>
    <t>Table 3.34: 2022 Test Year vs 2021 Bridge Year</t>
  </si>
  <si>
    <t xml:space="preserve">See Tab Summary. Need to hide columns and lines and then copy </t>
  </si>
  <si>
    <t>Calculated Geomean</t>
  </si>
  <si>
    <t>Adopted Growth Rate</t>
  </si>
  <si>
    <t>Table 3.38: 2018 Actual vs 2017 Actual</t>
  </si>
  <si>
    <t>Table 3.39: 2019 Actual vs 2018 Actual</t>
  </si>
  <si>
    <t>Table 3.40: 2020 Actual vs 2019 Actual</t>
  </si>
  <si>
    <t>GS 50 to 4999 kW</t>
  </si>
  <si>
    <t>COVID Flag</t>
  </si>
  <si>
    <t>11 Year Average</t>
  </si>
  <si>
    <t>11 year</t>
  </si>
  <si>
    <t>Winter/ Summer Flag</t>
  </si>
  <si>
    <t>Adjusted Actual Purchases kWh</t>
  </si>
  <si>
    <t>2022 Normal -11 year average</t>
  </si>
  <si>
    <t>2015 - 2019</t>
  </si>
  <si>
    <t>2021 Actual</t>
  </si>
  <si>
    <t xml:space="preserve">Table 3.9:  Predicted VS Actual </t>
  </si>
  <si>
    <t xml:space="preserve">Weather Customer A </t>
  </si>
  <si>
    <t>Total Weather Purchase</t>
  </si>
  <si>
    <t>Other Adjustment</t>
  </si>
  <si>
    <t xml:space="preserve">Table 3.8.1:  Predicted vs Actual </t>
  </si>
  <si>
    <t xml:space="preserve"> of the change in Purchase can be explained by the change in the 8 independent variables</t>
  </si>
  <si>
    <t>Year over Year</t>
  </si>
  <si>
    <t xml:space="preserve"> Forecasted Purchases kWh</t>
  </si>
  <si>
    <t>Actual Purchased kWh</t>
  </si>
  <si>
    <t xml:space="preserve">Base Year </t>
  </si>
  <si>
    <r>
      <t>&gt;&gt;F</t>
    </r>
    <r>
      <rPr>
        <vertAlign val="subscript"/>
        <sz val="10"/>
        <rFont val="Arial"/>
        <family val="2"/>
      </rPr>
      <t>0.05,8,132-8-1</t>
    </r>
    <r>
      <rPr>
        <sz val="10"/>
        <rFont val="Arial"/>
        <family val="2"/>
      </rPr>
      <t xml:space="preserve"> =</t>
    </r>
  </si>
  <si>
    <r>
      <t>All t &gt; t</t>
    </r>
    <r>
      <rPr>
        <vertAlign val="subscript"/>
        <sz val="10"/>
        <rFont val="Arial"/>
        <family val="2"/>
      </rPr>
      <t xml:space="preserve"> 0.05/2,132-8-1 </t>
    </r>
    <r>
      <rPr>
        <sz val="10"/>
        <rFont val="Arial"/>
        <family val="2"/>
      </rPr>
      <t xml:space="preserve"> = </t>
    </r>
  </si>
  <si>
    <t>Table 3.26: RSL Weather Normalized Load Forecast for 2022 Rate Application</t>
  </si>
  <si>
    <t>2020 Calculatd</t>
  </si>
  <si>
    <t xml:space="preserve">2021 Calculated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</si>
</sst>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7">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0.0"/>
    <numFmt numFmtId="173" formatCode="#,##0;\(#,##0\)"/>
    <numFmt numFmtId="174" formatCode="0.0000"/>
    <numFmt numFmtId="175" formatCode="#,##0.0000"/>
    <numFmt numFmtId="176" formatCode="0.0000%"/>
    <numFmt numFmtId="177" formatCode="#,##0.0000_);\(#,##0.0000\)"/>
    <numFmt numFmtId="178" formatCode="_(* #,##0_);_(* \(#,##0\);_(* &quot;-&quot;??_);_(@_)"/>
    <numFmt numFmtId="179" formatCode="_(* #,##0.0_);_(* \(#,##0.0\);_(* &quot;-&quot;??_);_(@_)"/>
    <numFmt numFmtId="180" formatCode="_(* #,##0.0000_);_(* \(#,##0.0000\);_(* &quot;-&quot;??_);_(@_)"/>
    <numFmt numFmtId="181" formatCode="_-* #,##0_-;\-* #,##0_-;_-* &quot;-&quot;??_-;_-@_-"/>
    <numFmt numFmtId="182" formatCode="&quot;$&quot;#,##0.00000_);\(&quot;$&quot;#,##0.00000\)"/>
    <numFmt numFmtId="183" formatCode="#,##0.00000_);\(#,##0.00000\)"/>
    <numFmt numFmtId="184" formatCode="&quot;$&quot;#,##0.0000_);\(&quot;$&quot;#,##0.0000\)"/>
    <numFmt numFmtId="185" formatCode="_-* #,##0.0_-;\-* #,##0.0_-;_-* &quot;-&quot;??_-;_-@_-"/>
    <numFmt numFmtId="186" formatCode="_-* #,##0.0000000_-;\-* #,##0.0000000_-;_-* &quot;-&quot;??_-;_-@_-"/>
    <numFmt numFmtId="187" formatCode="#,##0.0"/>
    <numFmt numFmtId="188" formatCode="mm/dd/yyyy"/>
    <numFmt numFmtId="189" formatCode="0\-0"/>
    <numFmt numFmtId="190" formatCode="##\-#"/>
    <numFmt numFmtId="191" formatCode="&quot;£ &quot;#,##0.00;[Red]\-&quot;£ &quot;#,##0.00"/>
    <numFmt numFmtId="192" formatCode="[$-F800]dddd\,\ mmmm\ dd\,\ yyyy"/>
    <numFmt numFmtId="193" formatCode="_-* #,##0.0000_-;\-* #,##0.0000_-;_-* &quot;-&quot;????_-;_-@_-"/>
    <numFmt numFmtId="194" formatCode="#,##0.000"/>
    <numFmt numFmtId="195" formatCode="_(&quot;$&quot;* #,##0_);_(&quot;$&quot;* \(#,##0\);_(&quot;$&quot;* &quot;-&quot;??_);_(@_)"/>
    <numFmt numFmtId="196" formatCode="#,##0.0_);[Red]\(#,##0.0\)"/>
    <numFmt numFmtId="197" formatCode="#,##0.0_);\(#,##0.0\)"/>
    <numFmt numFmtId="198" formatCode="&quot;$&quot;_(#,##0.00_);&quot;$&quot;\(#,##0.00\)"/>
    <numFmt numFmtId="199" formatCode="_(&quot;$&quot;* #,##0.00000000000000000_);_(&quot;$&quot;* \(#,##0.00000000000000000\);_(&quot;$&quot;* &quot;-&quot;??_);_(@_)"/>
    <numFmt numFmtId="200" formatCode="_-&quot;£&quot;* #,##0.00_-;\-&quot;£&quot;* #,##0.00_-;_-&quot;£&quot;* &quot;-&quot;??_-;_-@_-"/>
    <numFmt numFmtId="201" formatCode="#,##0.0_)\x;\(#,##0.0\)\x"/>
    <numFmt numFmtId="202" formatCode="_(&quot;$&quot;* #,##0.00000000_);_(&quot;$&quot;* \(#,##0.00000000\);_(&quot;$&quot;* &quot;-&quot;??_);_(@_)"/>
    <numFmt numFmtId="203" formatCode="_(&quot;$&quot;* #,##0.00000000000_);_(&quot;$&quot;* \(#,##0.00000000000\);_(&quot;$&quot;* &quot;-&quot;??_);_(@_)"/>
    <numFmt numFmtId="204" formatCode="_(&quot;$&quot;* #,##0.000000000000_);_(&quot;$&quot;* \(#,##0.000000000000\);_(&quot;$&quot;* &quot;-&quot;??_);_(@_)"/>
    <numFmt numFmtId="205" formatCode="_-&quot;£&quot;* #,##0_-;\-&quot;£&quot;* #,##0_-;_-&quot;£&quot;* &quot;-&quot;_-;_-@_-"/>
    <numFmt numFmtId="206" formatCode="#,##0.0_)_x;\(#,##0.0\)_x"/>
    <numFmt numFmtId="207" formatCode="_(* #,##0.0_);_(* \(#,##0.0\);_(* &quot;-&quot;?_);_(@_)"/>
    <numFmt numFmtId="208" formatCode="#,##0.0_)_x;\(#,##0.0\)_x;0.0_)_x;@_)_x"/>
    <numFmt numFmtId="209" formatCode="_(&quot;$&quot;* #,##0.00000000000000_);_(&quot;$&quot;* \(#,##0.00000000000000\);_(&quot;$&quot;* &quot;-&quot;??_);_(@_)"/>
    <numFmt numFmtId="210" formatCode="0.0_)\%;\(0.0\)\%"/>
    <numFmt numFmtId="211" formatCode="_(&quot;$&quot;* #,##0.000000000000000_);_(&quot;$&quot;* \(#,##0.000000000000000\);_(&quot;$&quot;* &quot;-&quot;??_);_(@_)"/>
    <numFmt numFmtId="212" formatCode="#,##0.0_)_%;\(#,##0.0\)_%"/>
    <numFmt numFmtId="213" formatCode="_(* #,##0.000_);_(* \(#,##0.000\);_(* &quot;-&quot;??_);_(@_)"/>
    <numFmt numFmtId="214" formatCode="#,##0.0_);\(#,##0.0\);0_._0_)"/>
    <numFmt numFmtId="215" formatCode="\¥\ #,##0_);[Red]\(\¥\ #,##0\)"/>
    <numFmt numFmtId="216" formatCode="0.000000"/>
    <numFmt numFmtId="217" formatCode="[&gt;1]&quot;10Q: &quot;0&quot; qtrs&quot;;&quot;10Q: &quot;0&quot; qtr&quot;"/>
    <numFmt numFmtId="218" formatCode="0.0%;[Red]\(0.0%\)"/>
    <numFmt numFmtId="219" formatCode="#,##0.0\ \ \ _);\(#,##0.0\)\ \ "/>
    <numFmt numFmtId="220" formatCode="#,##0.00;[Red]\(#,##0.00\)"/>
    <numFmt numFmtId="221" formatCode="_-* #,##0.00\ _F_-;\-* #,##0.00\ _F_-;_-* &quot;-&quot;??\ _F_-;_-@_-"/>
    <numFmt numFmtId="222" formatCode="m\-d\-yy"/>
    <numFmt numFmtId="223" formatCode="&quot;£&quot;#,##0.00_);[Red]\(&quot;£&quot;#,##0.00\)"/>
    <numFmt numFmtId="224" formatCode="0.0_)"/>
    <numFmt numFmtId="225" formatCode="m/yy"/>
    <numFmt numFmtId="226" formatCode="#,###.0#"/>
    <numFmt numFmtId="227" formatCode="#,###.#"/>
    <numFmt numFmtId="228" formatCode="&quot;$&quot;#,##0.00"/>
    <numFmt numFmtId="229" formatCode="0000\ \-\ 0000"/>
    <numFmt numFmtId="230" formatCode="[Red][&gt;0.0000001]\+#,##0.?#;[Red][&lt;-0.0000001]\-#,##0.?#;[Green]&quot;=  &quot;"/>
    <numFmt numFmtId="231" formatCode="#.#######\x"/>
    <numFmt numFmtId="232" formatCode="0.00000E+00"/>
    <numFmt numFmtId="233" formatCode="_(* #,##0.0_);_(* \(#,##0.0\);_(* &quot;-&quot;_);_(@_)"/>
    <numFmt numFmtId="234" formatCode="_-* #,##0.00\ _D_M_-;\-* #,##0.00\ _D_M_-;_-* &quot;-&quot;??\ _D_M_-;_-@_-"/>
    <numFmt numFmtId="235" formatCode="#,##0_%_);\(#,##0\)_%;#,##0_%_);@_%_)"/>
    <numFmt numFmtId="236" formatCode="#,##0.00_%_);\(#,##0.00\)_%;**;@_%_)"/>
    <numFmt numFmtId="237" formatCode="0.000\x"/>
    <numFmt numFmtId="238" formatCode="&quot;$&quot;#,##0.00_);[Red]\(&quot;$&quot;#,##0.00\);&quot;--  &quot;;_(@_)"/>
    <numFmt numFmtId="239" formatCode="_(&quot;$&quot;* #,##0.0_);_(&quot;$&quot;* \(#,##0.0\);_(&quot;$&quot;* &quot;-&quot;_);_(@_)"/>
    <numFmt numFmtId="240" formatCode="&quot;$&quot;#,##0.00_%_);\(&quot;$&quot;#,##0.00\)_%;**;@_%_)"/>
    <numFmt numFmtId="241" formatCode="&quot;$&quot;#,##0.00_%_);\(&quot;$&quot;#,##0.00\)_%;&quot;$&quot;###0.00_%_);@_%_)"/>
    <numFmt numFmtId="242" formatCode="_(\§\ #,##0_)\ ;[Red]\(\§\ #,##0\)\ ;&quot; - &quot;;_(@\ _)"/>
    <numFmt numFmtId="243" formatCode="_(\§\ #,##0.00_);[Red]\(\§\ #,##0.00\);&quot; - &quot;_0_0;_(@_)"/>
    <numFmt numFmtId="244" formatCode="###0.00_)"/>
    <numFmt numFmtId="245" formatCode="m/d/yy_%_)"/>
    <numFmt numFmtId="246" formatCode="mmm\-dd\-yyyy"/>
    <numFmt numFmtId="247" formatCode="mmm\-d\-yyyy"/>
    <numFmt numFmtId="248" formatCode="mmm\-yyyy"/>
    <numFmt numFmtId="249" formatCode="m/d/yy_%_);;**"/>
    <numFmt numFmtId="250" formatCode="_([$€-2]* #,##0.00_);_([$€-2]* \(#,##0.00\);_([$€-2]* &quot;-&quot;??_)"/>
    <numFmt numFmtId="251" formatCode="&quot;$&quot;#,##0.000_);[Red]\(&quot;$&quot;#,##0.000\)"/>
    <numFmt numFmtId="252" formatCode="0.0000000000000"/>
    <numFmt numFmtId="253" formatCode="0_)"/>
    <numFmt numFmtId="254" formatCode="[$-409]d\-mmm\-yy;@"/>
    <numFmt numFmtId="255" formatCode="#,##0.00_);[Red]\(#,##0.00\);\-\-\ \ \ "/>
    <numFmt numFmtId="256" formatCode="General_)"/>
    <numFmt numFmtId="257" formatCode="&quot;&quot;"/>
    <numFmt numFmtId="258" formatCode="#,##0.0\ ;\(#,##0.0\ \)"/>
    <numFmt numFmtId="259" formatCode="0.0%;0.0%;\-\ "/>
    <numFmt numFmtId="260" formatCode="0.0%\ ;\(0.0%\)"/>
    <numFmt numFmtId="261" formatCode="_ * #,##0.00_)\ _$_ ;_ * \(#,##0.00\)\ _$_ ;_ * &quot;-&quot;??_)\ _$_ ;_ @_ "/>
    <numFmt numFmtId="262" formatCode="#,##0.00000\ ;\(#,##0.00000\ \)"/>
    <numFmt numFmtId="263" formatCode="0.000000000000"/>
    <numFmt numFmtId="264" formatCode="_ * #,##0.00_)\ &quot;$&quot;_ ;_ * \(#,##0.00\)\ &quot;$&quot;_ ;_ * &quot;-&quot;??_)\ &quot;$&quot;_ ;_ @_ "/>
    <numFmt numFmtId="265" formatCode="#,##0.0000\ ;\(#,##0.0000\ \)"/>
    <numFmt numFmtId="266" formatCode="0.000%\ ;\(0.000%\)"/>
    <numFmt numFmtId="267" formatCode="#,##0.0\x_)_);\(#,##0.0\x\)_);#,##0.0\x_)_);@_%_)"/>
    <numFmt numFmtId="268" formatCode="_(* #,##0.00000_);_(* \(#,##0.00000\);_(* &quot;-&quot;?_);_(@_)"/>
    <numFmt numFmtId="269" formatCode="#,##0.0_);[Red]\(#,##0.0\);&quot;--  &quot;"/>
    <numFmt numFmtId="270" formatCode="0.00_)"/>
    <numFmt numFmtId="271" formatCode="#,##0.000_);[Red]\(#,##0.000\)"/>
    <numFmt numFmtId="272" formatCode="0_);\(0\)"/>
    <numFmt numFmtId="273" formatCode="[$-1009]d\-mmm\-yy;@"/>
    <numFmt numFmtId="274" formatCode="#,##0.00&quot;x&quot;_);[Red]\(#,##0.00&quot;x&quot;\)"/>
    <numFmt numFmtId="275" formatCode="#,##0_);\(#,##0\);&quot;-  &quot;"/>
    <numFmt numFmtId="276" formatCode="#,##0.0_);\(#,##0.0\);&quot;-  &quot;"/>
    <numFmt numFmtId="277" formatCode="#,##0.0_);\(#,##0.0\);\-_)"/>
    <numFmt numFmtId="278" formatCode="0.00000000"/>
    <numFmt numFmtId="279" formatCode="#,##0.0%_);[Red]\(#,##0.0%\)"/>
    <numFmt numFmtId="280" formatCode="#,##0.00%_);[Red]\(#,##0.00%\)"/>
    <numFmt numFmtId="281" formatCode="0.0%_);\(0.0%\);&quot;-  &quot;"/>
    <numFmt numFmtId="282" formatCode="#,##0.0\%_);\(#,##0.0\%\);#,##0.0\%_);@_%_)"/>
    <numFmt numFmtId="283" formatCode="mm/dd/yy"/>
    <numFmt numFmtId="284" formatCode="0.00\ ;\-0.00\ ;&quot;- &quot;"/>
    <numFmt numFmtId="285" formatCode="#,##0\ ;[Red]\(#,##0\);\ \-\ "/>
    <numFmt numFmtId="286" formatCode="#,##0.00_);\(#,##0.00\);#,##0.00_);@_)"/>
    <numFmt numFmtId="287" formatCode="[White]General"/>
    <numFmt numFmtId="288" formatCode="#,###.##"/>
    <numFmt numFmtId="289" formatCode="&quot;$&quot;#,##0.000000_);[Red]\(&quot;$&quot;#,##0.000000\)"/>
    <numFmt numFmtId="290" formatCode="&quot;Table &quot;0"/>
    <numFmt numFmtId="291" formatCode="_(General_)"/>
    <numFmt numFmtId="292" formatCode="0.00\ "/>
    <numFmt numFmtId="293" formatCode="_-&quot;L.&quot;\ * #,##0.00_-;\-&quot;L.&quot;\ * #,##0.00_-;_-&quot;L.&quot;\ * &quot;-&quot;??_-;_-@_-"/>
    <numFmt numFmtId="294" formatCode="0_%_);\(0\)_%;0_%_);@_%_)"/>
    <numFmt numFmtId="295" formatCode="0,000\x"/>
    <numFmt numFmtId="296" formatCode="yyyy&quot;A&quot;"/>
    <numFmt numFmtId="297" formatCode="_-* #,##0\ _D_M_-;\-* #,##0\ _D_M_-;_-* &quot;-&quot;\ _D_M_-;_-@_-"/>
    <numFmt numFmtId="298" formatCode="&quot;@ &quot;0.00"/>
    <numFmt numFmtId="299" formatCode="&quot;Yes&quot;_%_);&quot;Error&quot;_%_);&quot;No&quot;_%_);&quot;--&quot;_%_)"/>
    <numFmt numFmtId="300" formatCode="0.00000"/>
    <numFmt numFmtId="301" formatCode="0.000"/>
    <numFmt numFmtId="302" formatCode="_-&quot;$&quot;* #,##0_-;\-&quot;$&quot;* #,##0_-;_-&quot;$&quot;* &quot;-&quot;??_-;_-@_-"/>
    <numFmt numFmtId="303" formatCode="[$-409]mmmm\ d\,\ yyyy;@"/>
    <numFmt numFmtId="304" formatCode="_(* #,##0.0_);_(* \(#,##0.0\);_(* \-??_);_(@_)"/>
    <numFmt numFmtId="305" formatCode="_-* #,##0.00_-;\-* #,##0.00_-;_-* \-??_-;_-@_-"/>
    <numFmt numFmtId="306" formatCode="_(* #,##0.00_);_(* \(#,##0.00\);_(* \-??_);_(@_)"/>
    <numFmt numFmtId="307" formatCode="_-\$* #,##0.00_-;&quot;-$&quot;* #,##0.00_-;_-\$* \-??_-;_-@_-"/>
    <numFmt numFmtId="308" formatCode="_(\$* #,##0.00_);_(\$* \(#,##0.00\);_(\$* \-??_);_(@_)"/>
    <numFmt numFmtId="309" formatCode="\$#,##0_);&quot;($&quot;#,##0\)"/>
    <numFmt numFmtId="310" formatCode="_(* #,##0_);_(* \(#,##0\);_(* \-??_);_(@_)"/>
    <numFmt numFmtId="311" formatCode="&quot;£ &quot;#,##0.00;[Red]&quot;-£ &quot;#,##0.00"/>
    <numFmt numFmtId="312" formatCode="\$#,##0.00_);&quot;($&quot;#,##0.00\)"/>
    <numFmt numFmtId="313" formatCode="_(&quot;$&quot;* #,##0.00000_);_(&quot;$&quot;* \(#,##0.00000\);_(&quot;$&quot;* &quot;-&quot;??_);_(@_)"/>
    <numFmt numFmtId="314" formatCode="\$#,##0"/>
    <numFmt numFmtId="315" formatCode="_-* #,##0_-;\-* #,##0_-;_-* \-??_-;_-@_-"/>
  </numFmts>
  <fonts count="3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name val="Arial"/>
      <family val="2"/>
    </font>
    <font>
      <b/>
      <sz val="10"/>
      <name val="Arial"/>
      <family val="2"/>
    </font>
    <font>
      <b/>
      <sz val="12"/>
      <name val="Arial"/>
      <family val="2"/>
    </font>
    <font>
      <i/>
      <sz val="10"/>
      <name val="Arial"/>
      <family val="2"/>
    </font>
    <font>
      <sz val="8"/>
      <name val="Arial"/>
      <family val="2"/>
    </font>
    <font>
      <sz val="10"/>
      <name val="Arial"/>
      <family val="2"/>
    </font>
    <font>
      <b/>
      <i/>
      <u/>
      <sz val="10"/>
      <name val="Arial"/>
      <family val="2"/>
    </font>
    <font>
      <sz val="10"/>
      <color rgb="FFFF0000"/>
      <name val="Arial"/>
      <family val="2"/>
    </font>
    <font>
      <sz val="10"/>
      <name val="Arial"/>
      <family val="2"/>
    </font>
    <font>
      <i/>
      <sz val="8"/>
      <name val="Arial"/>
      <family val="2"/>
    </font>
    <font>
      <b/>
      <u/>
      <sz val="8"/>
      <name val="Arial"/>
      <family val="2"/>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Times New Roman"/>
      <family val="1"/>
    </font>
    <font>
      <sz val="10"/>
      <name val="Times New Roman"/>
      <family val="1"/>
    </font>
    <font>
      <b/>
      <sz val="18"/>
      <color rgb="FF000000"/>
      <name val="Arial"/>
      <family val="2"/>
    </font>
    <font>
      <b/>
      <i/>
      <u/>
      <sz val="12"/>
      <color rgb="FF000000"/>
      <name val="Arial"/>
      <family val="2"/>
    </font>
    <font>
      <sz val="11"/>
      <name val="Arial"/>
      <family val="2"/>
    </font>
    <font>
      <b/>
      <sz val="10"/>
      <name val="Times New Roman"/>
      <family val="1"/>
    </font>
    <font>
      <vertAlign val="superscript"/>
      <sz val="10"/>
      <name val="Arial"/>
      <family val="2"/>
    </font>
    <font>
      <vertAlign val="subscript"/>
      <sz val="10"/>
      <name val="Arial"/>
      <family val="2"/>
    </font>
    <font>
      <i/>
      <sz val="9"/>
      <name val="Arial"/>
      <family val="2"/>
    </font>
    <font>
      <sz val="10"/>
      <color theme="9" tint="-0.249977111117893"/>
      <name val="Arial"/>
      <family val="2"/>
    </font>
    <font>
      <sz val="10"/>
      <color theme="0" tint="-0.499984740745262"/>
      <name val="Arial"/>
      <family val="2"/>
    </font>
    <font>
      <sz val="11"/>
      <color theme="0" tint="-0.499984740745262"/>
      <name val="Arial"/>
      <family val="2"/>
    </font>
    <font>
      <b/>
      <sz val="9"/>
      <color indexed="81"/>
      <name val="Tahoma"/>
      <family val="2"/>
    </font>
    <font>
      <sz val="9"/>
      <color indexed="81"/>
      <name val="Tahoma"/>
      <family val="2"/>
    </font>
    <font>
      <sz val="10"/>
      <color theme="1"/>
      <name val="Arial"/>
      <family val="2"/>
    </font>
    <font>
      <sz val="11"/>
      <color indexed="8"/>
      <name val="Calibri"/>
      <family val="2"/>
    </font>
    <font>
      <sz val="10"/>
      <color theme="0"/>
      <name val="Arial"/>
      <family val="2"/>
    </font>
    <font>
      <sz val="11"/>
      <color indexed="9"/>
      <name val="Calibri"/>
      <family val="2"/>
    </font>
    <font>
      <sz val="10"/>
      <color rgb="FF9C0006"/>
      <name val="Arial"/>
      <family val="2"/>
    </font>
    <font>
      <sz val="11"/>
      <color indexed="20"/>
      <name val="Calibri"/>
      <family val="2"/>
    </font>
    <font>
      <b/>
      <sz val="10"/>
      <color rgb="FFFA7D00"/>
      <name val="Arial"/>
      <family val="2"/>
    </font>
    <font>
      <b/>
      <sz val="11"/>
      <color indexed="52"/>
      <name val="Calibri"/>
      <family val="2"/>
    </font>
    <font>
      <b/>
      <sz val="10"/>
      <color theme="0"/>
      <name val="Arial"/>
      <family val="2"/>
    </font>
    <font>
      <b/>
      <sz val="11"/>
      <color indexed="9"/>
      <name val="Calibri"/>
      <family val="2"/>
    </font>
    <font>
      <i/>
      <sz val="10"/>
      <color rgb="FF7F7F7F"/>
      <name val="Arial"/>
      <family val="2"/>
    </font>
    <font>
      <i/>
      <sz val="11"/>
      <color indexed="23"/>
      <name val="Calibri"/>
      <family val="2"/>
    </font>
    <font>
      <sz val="10"/>
      <color rgb="FF006100"/>
      <name val="Arial"/>
      <family val="2"/>
    </font>
    <font>
      <sz val="11"/>
      <color indexed="17"/>
      <name val="Calibri"/>
      <family val="2"/>
    </font>
    <font>
      <b/>
      <sz val="15"/>
      <color theme="3"/>
      <name val="Arial"/>
      <family val="2"/>
    </font>
    <font>
      <b/>
      <sz val="15"/>
      <color indexed="56"/>
      <name val="Calibri"/>
      <family val="2"/>
    </font>
    <font>
      <b/>
      <sz val="13"/>
      <color theme="3"/>
      <name val="Arial"/>
      <family val="2"/>
    </font>
    <font>
      <b/>
      <sz val="13"/>
      <color indexed="56"/>
      <name val="Calibri"/>
      <family val="2"/>
    </font>
    <font>
      <b/>
      <sz val="11"/>
      <color theme="3"/>
      <name val="Arial"/>
      <family val="2"/>
    </font>
    <font>
      <b/>
      <sz val="11"/>
      <color indexed="56"/>
      <name val="Calibri"/>
      <family val="2"/>
    </font>
    <font>
      <u/>
      <sz val="10"/>
      <color theme="10"/>
      <name val="Times New Roman"/>
      <family val="1"/>
    </font>
    <font>
      <u/>
      <sz val="10"/>
      <color theme="10"/>
      <name val="Arial"/>
      <family val="2"/>
    </font>
    <font>
      <u/>
      <sz val="10"/>
      <color indexed="12"/>
      <name val="Arial"/>
      <family val="2"/>
    </font>
    <font>
      <sz val="10"/>
      <color rgb="FF3F3F76"/>
      <name val="Arial"/>
      <family val="2"/>
    </font>
    <font>
      <sz val="11"/>
      <color indexed="62"/>
      <name val="Calibri"/>
      <family val="2"/>
    </font>
    <font>
      <sz val="10"/>
      <color rgb="FFFA7D00"/>
      <name val="Arial"/>
      <family val="2"/>
    </font>
    <font>
      <sz val="11"/>
      <color indexed="52"/>
      <name val="Calibri"/>
      <family val="2"/>
    </font>
    <font>
      <sz val="10"/>
      <color rgb="FF9C6500"/>
      <name val="Arial"/>
      <family val="2"/>
    </font>
    <font>
      <sz val="11"/>
      <color indexed="60"/>
      <name val="Calibri"/>
      <family val="2"/>
    </font>
    <font>
      <sz val="10"/>
      <color indexed="8"/>
      <name val="Arial"/>
      <family val="2"/>
    </font>
    <font>
      <b/>
      <sz val="10"/>
      <color rgb="FF3F3F3F"/>
      <name val="Arial"/>
      <family val="2"/>
    </font>
    <font>
      <b/>
      <sz val="11"/>
      <color indexed="63"/>
      <name val="Calibri"/>
      <family val="2"/>
    </font>
    <font>
      <b/>
      <sz val="18"/>
      <color indexed="56"/>
      <name val="Cambria"/>
      <family val="2"/>
    </font>
    <font>
      <b/>
      <sz val="10"/>
      <color theme="1"/>
      <name val="Arial"/>
      <family val="2"/>
    </font>
    <font>
      <b/>
      <sz val="11"/>
      <color indexed="8"/>
      <name val="Calibri"/>
      <family val="2"/>
    </font>
    <font>
      <sz val="11"/>
      <color indexed="10"/>
      <name val="Calibri"/>
      <family val="2"/>
    </font>
    <font>
      <sz val="10"/>
      <name val="Calibri"/>
      <family val="2"/>
      <scheme val="minor"/>
    </font>
    <font>
      <b/>
      <sz val="11"/>
      <name val="Arial"/>
      <family val="2"/>
    </font>
    <font>
      <sz val="12"/>
      <name val="Arial"/>
      <family val="2"/>
    </font>
    <font>
      <b/>
      <sz val="14"/>
      <name val="Arial"/>
      <family val="2"/>
    </font>
    <font>
      <b/>
      <u/>
      <sz val="10"/>
      <name val="Arial"/>
      <family val="2"/>
    </font>
    <font>
      <b/>
      <i/>
      <sz val="10"/>
      <name val="Arial"/>
      <family val="2"/>
    </font>
    <font>
      <b/>
      <sz val="10"/>
      <color rgb="FFFF0000"/>
      <name val="Arial"/>
      <family val="2"/>
    </font>
    <font>
      <b/>
      <sz val="10"/>
      <name val="Calibri"/>
      <family val="2"/>
      <scheme val="minor"/>
    </font>
    <font>
      <sz val="8"/>
      <color indexed="81"/>
      <name val="Tahoma"/>
      <family val="2"/>
    </font>
    <font>
      <b/>
      <sz val="8"/>
      <color indexed="81"/>
      <name val="Tahoma"/>
      <family val="2"/>
    </font>
    <font>
      <sz val="10"/>
      <name val="Arial"/>
      <family val="2"/>
    </font>
    <font>
      <sz val="11"/>
      <color rgb="FF000000"/>
      <name val="Calibri"/>
      <family val="2"/>
      <scheme val="minor"/>
    </font>
    <font>
      <u/>
      <sz val="11"/>
      <color theme="10"/>
      <name val="Calibri"/>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sz val="11"/>
      <color theme="1"/>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sz val="12"/>
      <color indexed="8"/>
      <name val="Arial"/>
      <family val="2"/>
    </font>
    <font>
      <sz val="12"/>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11"/>
      <color theme="10"/>
      <name val="Calibri"/>
      <family val="2"/>
      <scheme val="minor"/>
    </font>
    <font>
      <u/>
      <sz val="11"/>
      <color indexed="12"/>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b/>
      <sz val="12"/>
      <color theme="1"/>
      <name val="Arial"/>
      <family val="2"/>
    </font>
    <font>
      <sz val="9"/>
      <color theme="1"/>
      <name val="Arial"/>
      <family val="2"/>
    </font>
    <font>
      <sz val="10"/>
      <color theme="0" tint="-0.34998626667073579"/>
      <name val="Arial"/>
      <family val="2"/>
    </font>
    <font>
      <b/>
      <sz val="12"/>
      <name val="Calibri"/>
      <family val="2"/>
    </font>
    <font>
      <b/>
      <sz val="9"/>
      <color theme="1"/>
      <name val="Arial"/>
      <family val="2"/>
    </font>
    <font>
      <b/>
      <u/>
      <sz val="11"/>
      <name val="Arial"/>
      <family val="2"/>
    </font>
    <font>
      <sz val="8"/>
      <color theme="1"/>
      <name val="Arial"/>
      <family val="2"/>
    </font>
    <font>
      <sz val="12"/>
      <color theme="1"/>
      <name val="Calibri"/>
      <family val="2"/>
      <scheme val="minor"/>
    </font>
    <font>
      <b/>
      <sz val="9"/>
      <name val="Arial"/>
      <family val="2"/>
    </font>
    <font>
      <i/>
      <sz val="10"/>
      <color theme="0" tint="-0.499984740745262"/>
      <name val="Arial"/>
      <family val="2"/>
    </font>
    <font>
      <b/>
      <sz val="10"/>
      <color theme="0" tint="-0.499984740745262"/>
      <name val="Arial"/>
      <family val="2"/>
    </font>
    <font>
      <sz val="8"/>
      <color theme="0" tint="-0.499984740745262"/>
      <name val="Arial"/>
      <family val="2"/>
    </font>
    <font>
      <sz val="10"/>
      <name val="Arial"/>
      <family val="2"/>
      <charset val="1"/>
    </font>
    <font>
      <b/>
      <sz val="11"/>
      <color theme="0" tint="-0.34998626667073579"/>
      <name val="Arial"/>
      <family val="2"/>
    </font>
    <font>
      <b/>
      <sz val="10"/>
      <name val="Arial Black"/>
      <family val="2"/>
    </font>
    <font>
      <sz val="10"/>
      <color indexed="9"/>
      <name val="Arial"/>
      <family val="2"/>
    </font>
    <font>
      <sz val="10"/>
      <color indexed="10"/>
      <name val="Arial"/>
      <family val="2"/>
    </font>
    <font>
      <sz val="10"/>
      <color rgb="FF000000"/>
      <name val="Arial"/>
      <family val="2"/>
    </font>
    <font>
      <sz val="10"/>
      <color indexed="52"/>
      <name val="Arial"/>
      <family val="2"/>
    </font>
    <font>
      <sz val="11"/>
      <color indexed="8"/>
      <name val="Calibri"/>
      <family val="2"/>
      <charset val="1"/>
    </font>
    <font>
      <sz val="10"/>
      <color indexed="8"/>
      <name val="Arial"/>
      <family val="2"/>
      <charset val="1"/>
    </font>
    <font>
      <sz val="11"/>
      <color indexed="9"/>
      <name val="Calibri"/>
      <family val="2"/>
      <charset val="1"/>
    </font>
    <font>
      <sz val="10"/>
      <color indexed="9"/>
      <name val="Arial"/>
      <family val="2"/>
      <charset val="1"/>
    </font>
    <font>
      <sz val="11"/>
      <color indexed="16"/>
      <name val="Calibri"/>
      <family val="2"/>
      <charset val="1"/>
    </font>
    <font>
      <sz val="11"/>
      <color indexed="34"/>
      <name val="Calibri"/>
      <family val="2"/>
      <charset val="1"/>
    </font>
    <font>
      <sz val="10"/>
      <color indexed="34"/>
      <name val="Arial"/>
      <family val="2"/>
      <charset val="1"/>
    </font>
    <font>
      <b/>
      <sz val="11"/>
      <color indexed="59"/>
      <name val="Calibri"/>
      <family val="2"/>
      <charset val="1"/>
    </font>
    <font>
      <b/>
      <sz val="11"/>
      <color indexed="52"/>
      <name val="Calibri"/>
      <family val="2"/>
      <charset val="1"/>
    </font>
    <font>
      <b/>
      <sz val="10"/>
      <color indexed="52"/>
      <name val="Arial"/>
      <family val="2"/>
      <charset val="1"/>
    </font>
    <font>
      <b/>
      <sz val="11"/>
      <color indexed="9"/>
      <name val="Calibri"/>
      <family val="2"/>
      <charset val="1"/>
    </font>
    <font>
      <b/>
      <sz val="10"/>
      <color indexed="9"/>
      <name val="Arial"/>
      <family val="2"/>
      <charset val="1"/>
    </font>
    <font>
      <sz val="10"/>
      <name val="Mangal"/>
      <family val="2"/>
      <charset val="1"/>
    </font>
    <font>
      <sz val="10"/>
      <name val="Mangal"/>
      <family val="2"/>
    </font>
    <font>
      <i/>
      <sz val="11"/>
      <color indexed="19"/>
      <name val="Calibri"/>
      <family val="2"/>
      <charset val="1"/>
    </font>
    <font>
      <i/>
      <sz val="11"/>
      <color indexed="23"/>
      <name val="Calibri"/>
      <family val="2"/>
      <charset val="1"/>
    </font>
    <font>
      <i/>
      <sz val="10"/>
      <color indexed="23"/>
      <name val="Arial"/>
      <family val="2"/>
      <charset val="1"/>
    </font>
    <font>
      <sz val="11"/>
      <color indexed="56"/>
      <name val="Calibri"/>
      <family val="2"/>
      <charset val="1"/>
    </font>
    <font>
      <sz val="10"/>
      <color indexed="56"/>
      <name val="Arial"/>
      <family val="2"/>
      <charset val="1"/>
    </font>
    <font>
      <sz val="8"/>
      <name val="Arial"/>
      <family val="2"/>
      <charset val="1"/>
    </font>
    <font>
      <b/>
      <sz val="15"/>
      <color indexed="62"/>
      <name val="Calibri"/>
      <family val="2"/>
      <charset val="1"/>
    </font>
    <font>
      <b/>
      <sz val="15"/>
      <color indexed="11"/>
      <name val="Calibri"/>
      <family val="2"/>
      <charset val="1"/>
    </font>
    <font>
      <b/>
      <sz val="13"/>
      <color indexed="62"/>
      <name val="Calibri"/>
      <family val="2"/>
      <charset val="1"/>
    </font>
    <font>
      <b/>
      <sz val="13"/>
      <color indexed="11"/>
      <name val="Calibri"/>
      <family val="2"/>
      <charset val="1"/>
    </font>
    <font>
      <b/>
      <sz val="11"/>
      <color indexed="62"/>
      <name val="Calibri"/>
      <family val="2"/>
      <charset val="1"/>
    </font>
    <font>
      <b/>
      <sz val="11"/>
      <color indexed="11"/>
      <name val="Calibri"/>
      <family val="2"/>
      <charset val="1"/>
    </font>
    <font>
      <b/>
      <sz val="11"/>
      <color indexed="11"/>
      <name val="Arial"/>
      <family val="2"/>
      <charset val="1"/>
    </font>
    <font>
      <u/>
      <sz val="7.5"/>
      <color indexed="12"/>
      <name val="Arial"/>
      <family val="2"/>
      <charset val="1"/>
    </font>
    <font>
      <u/>
      <sz val="10"/>
      <color indexed="12"/>
      <name val="Arial"/>
      <family val="2"/>
      <charset val="1"/>
    </font>
    <font>
      <sz val="11"/>
      <color indexed="62"/>
      <name val="Calibri"/>
      <family val="2"/>
      <charset val="1"/>
    </font>
    <font>
      <sz val="11"/>
      <color indexed="63"/>
      <name val="Calibri"/>
      <family val="2"/>
      <charset val="1"/>
    </font>
    <font>
      <sz val="10"/>
      <color indexed="62"/>
      <name val="Arial"/>
      <family val="2"/>
      <charset val="1"/>
    </font>
    <font>
      <sz val="11"/>
      <color indexed="59"/>
      <name val="Calibri"/>
      <family val="2"/>
      <charset val="1"/>
    </font>
    <font>
      <sz val="11"/>
      <color indexed="52"/>
      <name val="Calibri"/>
      <family val="2"/>
      <charset val="1"/>
    </font>
    <font>
      <sz val="10"/>
      <color indexed="52"/>
      <name val="Arial"/>
      <family val="2"/>
      <charset val="1"/>
    </font>
    <font>
      <sz val="11"/>
      <color indexed="60"/>
      <name val="Calibri"/>
      <family val="2"/>
      <charset val="1"/>
    </font>
    <font>
      <sz val="11"/>
      <color indexed="23"/>
      <name val="Calibri"/>
      <family val="2"/>
      <charset val="1"/>
    </font>
    <font>
      <sz val="10"/>
      <color indexed="23"/>
      <name val="Arial"/>
      <family val="2"/>
      <charset val="1"/>
    </font>
    <font>
      <sz val="10"/>
      <color indexed="8"/>
      <name val="Courier New"/>
      <family val="2"/>
      <charset val="1"/>
    </font>
    <font>
      <b/>
      <sz val="11"/>
      <color indexed="63"/>
      <name val="Calibri"/>
      <family val="2"/>
      <charset val="1"/>
    </font>
    <font>
      <b/>
      <sz val="10"/>
      <color indexed="63"/>
      <name val="Arial"/>
      <family val="2"/>
      <charset val="1"/>
    </font>
    <font>
      <b/>
      <sz val="18"/>
      <color indexed="62"/>
      <name val="Cambria"/>
      <family val="2"/>
      <charset val="1"/>
    </font>
    <font>
      <b/>
      <sz val="18"/>
      <color indexed="11"/>
      <name val="Cambria"/>
      <family val="2"/>
      <charset val="1"/>
    </font>
    <font>
      <b/>
      <sz val="11"/>
      <color indexed="8"/>
      <name val="Calibri"/>
      <family val="2"/>
      <charset val="1"/>
    </font>
    <font>
      <sz val="11"/>
      <color indexed="10"/>
      <name val="Calibri"/>
      <family val="2"/>
      <charset val="1"/>
    </font>
    <font>
      <sz val="10"/>
      <color indexed="10"/>
      <name val="Arial"/>
      <family val="2"/>
      <charset val="1"/>
    </font>
    <font>
      <b/>
      <sz val="18"/>
      <name val="Arial"/>
      <family val="2"/>
    </font>
    <font>
      <b/>
      <sz val="12"/>
      <color rgb="FF000000"/>
      <name val="Arial"/>
      <family val="2"/>
    </font>
    <font>
      <u/>
      <sz val="7.5"/>
      <color indexed="12"/>
      <name val="Arial"/>
      <family val="2"/>
    </font>
    <font>
      <sz val="10"/>
      <color theme="1"/>
      <name val="Courier"/>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60"/>
      <name val="Arial"/>
      <family val="2"/>
    </font>
    <font>
      <b/>
      <sz val="10"/>
      <color indexed="63"/>
      <name val="Arial"/>
      <family val="2"/>
    </font>
    <font>
      <sz val="9"/>
      <color theme="1"/>
      <name val="Calibri"/>
      <family val="2"/>
      <scheme val="minor"/>
    </font>
    <font>
      <b/>
      <sz val="8"/>
      <color theme="1"/>
      <name val="Calibri"/>
      <family val="2"/>
      <scheme val="minor"/>
    </font>
    <font>
      <b/>
      <sz val="11"/>
      <color indexed="53"/>
      <name val="Calibri"/>
      <family val="2"/>
      <charset val="1"/>
    </font>
    <font>
      <i/>
      <sz val="11"/>
      <color indexed="21"/>
      <name val="Calibri"/>
      <family val="2"/>
      <charset val="1"/>
    </font>
    <font>
      <sz val="11"/>
      <color indexed="17"/>
      <name val="Calibri"/>
      <family val="2"/>
      <charset val="1"/>
    </font>
    <font>
      <sz val="11"/>
      <color indexed="53"/>
      <name val="Calibri"/>
      <family val="2"/>
      <charset val="1"/>
    </font>
    <font>
      <sz val="11"/>
      <color indexed="19"/>
      <name val="Calibri"/>
      <family val="2"/>
      <charset val="1"/>
    </font>
    <font>
      <sz val="10"/>
      <color rgb="FF0070C0"/>
      <name val="Arial"/>
      <family val="2"/>
    </font>
    <font>
      <sz val="8"/>
      <name val="Arial"/>
      <family val="2"/>
    </font>
    <font>
      <sz val="8"/>
      <name val="Arial"/>
      <family val="2"/>
    </font>
    <font>
      <i/>
      <sz val="8"/>
      <color indexed="22"/>
      <name val="Arial"/>
      <family val="2"/>
    </font>
    <font>
      <strike/>
      <sz val="11"/>
      <color rgb="FFFF0000"/>
      <name val="Calibri"/>
      <family val="2"/>
      <scheme val="minor"/>
    </font>
    <font>
      <b/>
      <sz val="14"/>
      <name val="Arial"/>
      <family val="2"/>
      <charset val="1"/>
    </font>
    <font>
      <sz val="11"/>
      <name val="Arial"/>
      <family val="2"/>
      <charset val="1"/>
    </font>
    <font>
      <i/>
      <sz val="10"/>
      <name val="Arial"/>
      <family val="2"/>
      <charset val="1"/>
    </font>
    <font>
      <b/>
      <i/>
      <sz val="11"/>
      <name val="Arial"/>
      <family val="2"/>
    </font>
    <font>
      <b/>
      <u/>
      <sz val="12"/>
      <name val="Arial"/>
      <family val="2"/>
      <charset val="1"/>
    </font>
    <font>
      <b/>
      <sz val="11"/>
      <name val="Arial"/>
      <family val="2"/>
      <charset val="1"/>
    </font>
    <font>
      <b/>
      <u/>
      <sz val="11"/>
      <name val="Arial"/>
      <family val="2"/>
      <charset val="1"/>
    </font>
    <font>
      <b/>
      <u/>
      <sz val="10"/>
      <name val="Arial"/>
      <family val="2"/>
      <charset val="1"/>
    </font>
    <font>
      <b/>
      <sz val="10"/>
      <name val="Arial"/>
      <family val="2"/>
      <charset val="1"/>
    </font>
    <font>
      <i/>
      <sz val="10"/>
      <color rgb="FFFF0000"/>
      <name val="Arial"/>
      <family val="2"/>
      <charset val="1"/>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i/>
      <sz val="11"/>
      <color theme="1"/>
      <name val="Calibri"/>
      <family val="2"/>
      <scheme val="minor"/>
    </font>
    <font>
      <sz val="10"/>
      <color theme="1"/>
      <name val="Calibri"/>
      <family val="2"/>
      <scheme val="minor"/>
    </font>
    <font>
      <sz val="10"/>
      <color theme="0" tint="-0.249977111117893"/>
      <name val="Arial"/>
      <family val="2"/>
    </font>
    <font>
      <b/>
      <sz val="10"/>
      <color theme="0" tint="-4.9989318521683403E-2"/>
      <name val="Arial"/>
      <family val="2"/>
    </font>
  </fonts>
  <fills count="163">
    <fill>
      <patternFill patternType="none"/>
    </fill>
    <fill>
      <patternFill patternType="gray125"/>
    </fill>
    <fill>
      <patternFill patternType="solid">
        <fgColor indexed="11"/>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4BEB3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41"/>
        <bgColor indexed="27"/>
      </patternFill>
    </fill>
    <fill>
      <patternFill patternType="solid">
        <fgColor indexed="31"/>
        <bgColor indexed="15"/>
      </patternFill>
    </fill>
    <fill>
      <patternFill patternType="solid">
        <fgColor indexed="36"/>
        <bgColor indexed="28"/>
      </patternFill>
    </fill>
    <fill>
      <patternFill patternType="solid">
        <fgColor indexed="45"/>
        <bgColor indexed="51"/>
      </patternFill>
    </fill>
    <fill>
      <patternFill patternType="solid">
        <fgColor indexed="39"/>
        <bgColor indexed="58"/>
      </patternFill>
    </fill>
    <fill>
      <patternFill patternType="solid">
        <fgColor indexed="42"/>
        <bgColor indexed="27"/>
      </patternFill>
    </fill>
    <fill>
      <patternFill patternType="solid">
        <fgColor indexed="28"/>
        <bgColor indexed="41"/>
      </patternFill>
    </fill>
    <fill>
      <patternFill patternType="solid">
        <fgColor indexed="46"/>
        <bgColor indexed="50"/>
      </patternFill>
    </fill>
    <fill>
      <patternFill patternType="solid">
        <fgColor indexed="27"/>
        <bgColor indexed="41"/>
      </patternFill>
    </fill>
    <fill>
      <patternFill patternType="solid">
        <fgColor indexed="18"/>
        <bgColor indexed="58"/>
      </patternFill>
    </fill>
    <fill>
      <patternFill patternType="solid">
        <fgColor indexed="47"/>
        <bgColor indexed="51"/>
      </patternFill>
    </fill>
    <fill>
      <patternFill patternType="solid">
        <fgColor indexed="44"/>
        <bgColor indexed="24"/>
      </patternFill>
    </fill>
    <fill>
      <patternFill patternType="solid">
        <fgColor indexed="29"/>
        <bgColor indexed="46"/>
      </patternFill>
    </fill>
    <fill>
      <patternFill patternType="solid">
        <fgColor indexed="11"/>
        <bgColor indexed="20"/>
      </patternFill>
    </fill>
    <fill>
      <patternFill patternType="solid">
        <fgColor indexed="17"/>
        <bgColor indexed="35"/>
      </patternFill>
    </fill>
    <fill>
      <patternFill patternType="solid">
        <fgColor indexed="14"/>
        <bgColor indexed="22"/>
      </patternFill>
    </fill>
    <fill>
      <patternFill patternType="solid">
        <fgColor indexed="15"/>
        <bgColor indexed="31"/>
      </patternFill>
    </fill>
    <fill>
      <patternFill patternType="solid">
        <fgColor indexed="34"/>
        <bgColor indexed="47"/>
      </patternFill>
    </fill>
    <fill>
      <patternFill patternType="solid">
        <fgColor indexed="51"/>
        <bgColor indexed="47"/>
      </patternFill>
    </fill>
    <fill>
      <patternFill patternType="solid">
        <fgColor indexed="24"/>
        <bgColor indexed="44"/>
      </patternFill>
    </fill>
    <fill>
      <patternFill patternType="darkGray">
        <fgColor indexed="50"/>
        <bgColor indexed="46"/>
      </patternFill>
    </fill>
    <fill>
      <patternFill patternType="mediumGray">
        <fgColor indexed="11"/>
        <bgColor indexed="22"/>
      </patternFill>
    </fill>
    <fill>
      <patternFill patternType="solid">
        <fgColor indexed="49"/>
        <bgColor indexed="48"/>
      </patternFill>
    </fill>
    <fill>
      <patternFill patternType="darkGray">
        <fgColor indexed="52"/>
        <bgColor indexed="59"/>
      </patternFill>
    </fill>
    <fill>
      <patternFill patternType="darkGray">
        <fgColor indexed="48"/>
        <bgColor indexed="19"/>
      </patternFill>
    </fill>
    <fill>
      <patternFill patternType="solid">
        <fgColor indexed="62"/>
        <bgColor indexed="21"/>
      </patternFill>
    </fill>
    <fill>
      <patternFill patternType="solid">
        <fgColor indexed="48"/>
        <bgColor indexed="21"/>
      </patternFill>
    </fill>
    <fill>
      <patternFill patternType="solid">
        <fgColor indexed="60"/>
        <bgColor indexed="53"/>
      </patternFill>
    </fill>
    <fill>
      <patternFill patternType="solid">
        <fgColor indexed="10"/>
        <bgColor indexed="37"/>
      </patternFill>
    </fill>
    <fill>
      <patternFill patternType="solid">
        <fgColor indexed="50"/>
        <bgColor indexed="55"/>
      </patternFill>
    </fill>
    <fill>
      <patternFill patternType="solid">
        <fgColor indexed="54"/>
        <bgColor indexed="19"/>
      </patternFill>
    </fill>
    <fill>
      <patternFill patternType="darkGray">
        <fgColor indexed="54"/>
        <bgColor indexed="19"/>
      </patternFill>
    </fill>
    <fill>
      <patternFill patternType="solid">
        <fgColor indexed="59"/>
        <bgColor indexed="53"/>
      </patternFill>
    </fill>
    <fill>
      <patternFill patternType="solid">
        <fgColor indexed="33"/>
        <bgColor indexed="34"/>
      </patternFill>
    </fill>
    <fill>
      <patternFill patternType="solid">
        <fgColor indexed="32"/>
        <bgColor indexed="58"/>
      </patternFill>
    </fill>
    <fill>
      <patternFill patternType="solid">
        <fgColor indexed="22"/>
        <bgColor indexed="35"/>
      </patternFill>
    </fill>
    <fill>
      <patternFill patternType="solid">
        <fgColor indexed="55"/>
        <bgColor indexed="38"/>
      </patternFill>
    </fill>
    <fill>
      <patternFill patternType="mediumGray">
        <fgColor indexed="42"/>
        <bgColor indexed="11"/>
      </patternFill>
    </fill>
    <fill>
      <patternFill patternType="solid">
        <fgColor indexed="26"/>
        <bgColor indexed="39"/>
      </patternFill>
    </fill>
    <fill>
      <patternFill patternType="mediumGray">
        <fgColor indexed="43"/>
        <bgColor indexed="34"/>
      </patternFill>
    </fill>
    <fill>
      <patternFill patternType="solid">
        <fgColor indexed="43"/>
        <bgColor indexed="26"/>
      </patternFill>
    </fill>
    <fill>
      <patternFill patternType="solid">
        <fgColor theme="4" tint="0.39997558519241921"/>
        <bgColor indexed="64"/>
      </patternFill>
    </fill>
    <fill>
      <patternFill patternType="solid">
        <fgColor indexed="58"/>
        <bgColor indexed="27"/>
      </patternFill>
    </fill>
    <fill>
      <patternFill patternType="solid">
        <fgColor indexed="39"/>
        <bgColor indexed="32"/>
      </patternFill>
    </fill>
    <fill>
      <patternFill patternType="solid">
        <fgColor indexed="28"/>
        <bgColor indexed="58"/>
      </patternFill>
    </fill>
    <fill>
      <patternFill patternType="solid">
        <fgColor indexed="27"/>
        <bgColor indexed="58"/>
      </patternFill>
    </fill>
    <fill>
      <patternFill patternType="solid">
        <fgColor indexed="18"/>
        <bgColor indexed="39"/>
      </patternFill>
    </fill>
    <fill>
      <patternFill patternType="solid">
        <fgColor indexed="56"/>
        <bgColor indexed="41"/>
      </patternFill>
    </fill>
    <fill>
      <patternFill patternType="solid">
        <fgColor indexed="20"/>
        <bgColor indexed="47"/>
      </patternFill>
    </fill>
    <fill>
      <patternFill patternType="solid">
        <fgColor indexed="35"/>
        <bgColor indexed="56"/>
      </patternFill>
    </fill>
    <fill>
      <patternFill patternType="solid">
        <fgColor indexed="46"/>
        <bgColor indexed="30"/>
      </patternFill>
    </fill>
    <fill>
      <patternFill patternType="darkGray">
        <fgColor indexed="48"/>
        <bgColor indexed="61"/>
      </patternFill>
    </fill>
    <fill>
      <patternFill patternType="solid">
        <fgColor indexed="25"/>
        <bgColor indexed="19"/>
      </patternFill>
    </fill>
    <fill>
      <patternFill patternType="solid">
        <fgColor indexed="50"/>
        <bgColor indexed="30"/>
      </patternFill>
    </fill>
    <fill>
      <patternFill patternType="solid">
        <fgColor indexed="54"/>
        <bgColor indexed="57"/>
      </patternFill>
    </fill>
    <fill>
      <patternFill patternType="solid">
        <fgColor indexed="52"/>
        <bgColor indexed="53"/>
      </patternFill>
    </fill>
    <fill>
      <patternFill patternType="solid">
        <fgColor indexed="33"/>
        <bgColor indexed="20"/>
      </patternFill>
    </fill>
    <fill>
      <patternFill patternType="solid">
        <fgColor indexed="32"/>
        <bgColor indexed="39"/>
      </patternFill>
    </fill>
    <fill>
      <patternFill patternType="solid">
        <fgColor indexed="40"/>
        <bgColor indexed="30"/>
      </patternFill>
    </fill>
    <fill>
      <patternFill patternType="solid">
        <fgColor indexed="41"/>
        <bgColor indexed="42"/>
      </patternFill>
    </fill>
    <fill>
      <patternFill patternType="solid">
        <fgColor indexed="22"/>
        <bgColor indexed="59"/>
      </patternFill>
    </fill>
    <fill>
      <patternFill patternType="solid">
        <fgColor indexed="34"/>
        <bgColor indexed="43"/>
      </patternFill>
    </fill>
    <fill>
      <patternFill patternType="solid">
        <fgColor indexed="42"/>
        <bgColor indexed="41"/>
      </patternFill>
    </fill>
    <fill>
      <patternFill patternType="solid">
        <fgColor theme="0" tint="-0.34998626667073579"/>
        <bgColor indexed="64"/>
      </patternFill>
    </fill>
    <fill>
      <patternFill patternType="solid">
        <fgColor theme="6" tint="0.79998168889431442"/>
        <bgColor indexed="58"/>
      </patternFill>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s>
  <borders count="262">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auto="1"/>
      </left>
      <right/>
      <top style="thin">
        <color auto="1"/>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right/>
      <top style="thin">
        <color auto="1"/>
      </top>
      <bottom/>
      <diagonal/>
    </border>
    <border>
      <left/>
      <right style="thin">
        <color auto="1"/>
      </right>
      <top style="thin">
        <color auto="1"/>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hair">
        <color auto="1"/>
      </left>
      <right style="hair">
        <color auto="1"/>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diagonal/>
    </border>
    <border>
      <left/>
      <right style="hair">
        <color indexed="64"/>
      </right>
      <top style="hair">
        <color indexed="64"/>
      </top>
      <bottom/>
      <diagonal/>
    </border>
    <border>
      <left style="hair">
        <color auto="1"/>
      </left>
      <right/>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right/>
      <top/>
      <bottom style="thin">
        <color auto="1"/>
      </bottom>
      <diagonal/>
    </border>
    <border>
      <left/>
      <right style="thin">
        <color auto="1"/>
      </right>
      <top/>
      <bottom style="thin">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bottom/>
      <diagonal/>
    </border>
    <border>
      <left style="double">
        <color indexed="64"/>
      </left>
      <right/>
      <top style="double">
        <color indexed="64"/>
      </top>
      <bottom/>
      <diagonal/>
    </border>
    <border>
      <left/>
      <right style="thin">
        <color indexed="64"/>
      </right>
      <top style="double">
        <color indexed="64"/>
      </top>
      <bottom/>
      <diagonal/>
    </border>
    <border>
      <left style="double">
        <color auto="1"/>
      </left>
      <right/>
      <top/>
      <bottom style="thin">
        <color auto="1"/>
      </bottom>
      <diagonal/>
    </border>
    <border>
      <left style="double">
        <color auto="1"/>
      </left>
      <right style="hair">
        <color auto="1"/>
      </right>
      <top style="double">
        <color auto="1"/>
      </top>
      <bottom style="thin">
        <color auto="1"/>
      </bottom>
      <diagonal/>
    </border>
    <border>
      <left style="hair">
        <color indexed="64"/>
      </left>
      <right style="hair">
        <color indexed="64"/>
      </right>
      <top style="double">
        <color auto="1"/>
      </top>
      <bottom style="thin">
        <color indexed="64"/>
      </bottom>
      <diagonal/>
    </border>
    <border>
      <left style="hair">
        <color indexed="64"/>
      </left>
      <right style="thin">
        <color indexed="64"/>
      </right>
      <top style="double">
        <color auto="1"/>
      </top>
      <bottom style="thin">
        <color indexed="64"/>
      </bottom>
      <diagonal/>
    </border>
    <border>
      <left style="double">
        <color auto="1"/>
      </left>
      <right style="hair">
        <color auto="1"/>
      </right>
      <top/>
      <bottom style="hair">
        <color auto="1"/>
      </bottom>
      <diagonal/>
    </border>
    <border>
      <left style="double">
        <color auto="1"/>
      </left>
      <right style="hair">
        <color auto="1"/>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style="hair">
        <color auto="1"/>
      </top>
      <bottom style="thin">
        <color auto="1"/>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auto="1"/>
      </top>
      <bottom style="thin">
        <color auto="1"/>
      </bottom>
      <diagonal/>
    </border>
    <border>
      <left style="double">
        <color indexed="64"/>
      </left>
      <right/>
      <top style="thin">
        <color indexed="64"/>
      </top>
      <bottom style="double">
        <color indexed="64"/>
      </bottom>
      <diagonal/>
    </border>
    <border>
      <left style="thin">
        <color indexed="64"/>
      </left>
      <right style="medium">
        <color indexed="64"/>
      </right>
      <top style="thin">
        <color indexed="64"/>
      </top>
      <bottom/>
      <diagonal/>
    </border>
    <border>
      <left style="double">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double">
        <color indexed="64"/>
      </left>
      <right/>
      <top style="thin">
        <color indexed="64"/>
      </top>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double">
        <color indexed="64"/>
      </left>
      <right style="thin">
        <color indexed="64"/>
      </right>
      <top/>
      <bottom/>
      <diagonal/>
    </border>
    <border>
      <left style="thin">
        <color auto="1"/>
      </left>
      <right/>
      <top style="double">
        <color indexed="64"/>
      </top>
      <bottom style="thin">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indexed="64"/>
      </left>
      <right style="thin">
        <color indexed="64"/>
      </right>
      <top style="double">
        <color indexed="64"/>
      </top>
      <bottom/>
      <diagonal/>
    </border>
    <border>
      <left style="thin">
        <color auto="1"/>
      </left>
      <right style="thin">
        <color auto="1"/>
      </right>
      <top/>
      <bottom/>
      <diagonal/>
    </border>
    <border>
      <left/>
      <right/>
      <top style="double">
        <color auto="1"/>
      </top>
      <bottom/>
      <diagonal/>
    </border>
    <border>
      <left style="thin">
        <color indexed="64"/>
      </left>
      <right/>
      <top/>
      <bottom/>
      <diagonal/>
    </border>
    <border>
      <left style="hair">
        <color auto="1"/>
      </left>
      <right style="hair">
        <color auto="1"/>
      </right>
      <top style="thin">
        <color auto="1"/>
      </top>
      <bottom style="thin">
        <color indexed="64"/>
      </bottom>
      <diagonal/>
    </border>
    <border>
      <left style="hair">
        <color auto="1"/>
      </left>
      <right style="hair">
        <color auto="1"/>
      </right>
      <top style="thin">
        <color indexed="64"/>
      </top>
      <bottom style="hair">
        <color auto="1"/>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auto="1"/>
      </right>
      <top style="thin">
        <color indexed="64"/>
      </top>
      <bottom style="medium">
        <color indexed="64"/>
      </bottom>
      <diagonal/>
    </border>
    <border>
      <left/>
      <right style="hair">
        <color auto="1"/>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right/>
      <top/>
      <bottom style="thick">
        <color indexed="48"/>
      </bottom>
      <diagonal/>
    </border>
    <border>
      <left/>
      <right/>
      <top/>
      <bottom style="thick">
        <color indexed="24"/>
      </bottom>
      <diagonal/>
    </border>
    <border>
      <left/>
      <right/>
      <top/>
      <bottom style="medium">
        <color indexed="24"/>
      </bottom>
      <diagonal/>
    </border>
    <border>
      <left/>
      <right/>
      <top/>
      <bottom style="medium">
        <color indexed="50"/>
      </bottom>
      <diagonal/>
    </border>
    <border>
      <left/>
      <right/>
      <top/>
      <bottom style="double">
        <color indexed="59"/>
      </bottom>
      <diagonal/>
    </border>
    <border>
      <left style="thin">
        <color indexed="50"/>
      </left>
      <right style="thin">
        <color indexed="50"/>
      </right>
      <top style="thin">
        <color indexed="50"/>
      </top>
      <bottom style="thin">
        <color indexed="50"/>
      </bottom>
      <diagonal/>
    </border>
    <border>
      <left/>
      <right/>
      <top style="thin">
        <color indexed="48"/>
      </top>
      <bottom style="double">
        <color indexed="48"/>
      </bottom>
      <diagonal/>
    </border>
    <border>
      <left/>
      <right/>
      <top style="double">
        <color indexed="0"/>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indexed="21"/>
      </left>
      <right style="thin">
        <color indexed="21"/>
      </right>
      <top style="thin">
        <color indexed="21"/>
      </top>
      <bottom style="thin">
        <color indexed="21"/>
      </bottom>
      <diagonal/>
    </border>
    <border>
      <left/>
      <right/>
      <top/>
      <bottom style="double">
        <color indexed="53"/>
      </bottom>
      <diagonal/>
    </border>
    <border>
      <left style="thin">
        <color indexed="30"/>
      </left>
      <right style="thin">
        <color indexed="30"/>
      </right>
      <top style="thin">
        <color indexed="30"/>
      </top>
      <bottom style="thin">
        <color indexed="30"/>
      </bottom>
      <diagonal/>
    </border>
    <border>
      <left style="double">
        <color auto="1"/>
      </left>
      <right style="hair">
        <color auto="1"/>
      </right>
      <top style="double">
        <color auto="1"/>
      </top>
      <bottom style="thin">
        <color auto="1"/>
      </bottom>
      <diagonal/>
    </border>
    <border>
      <left style="hair">
        <color indexed="64"/>
      </left>
      <right style="hair">
        <color indexed="64"/>
      </right>
      <top style="double">
        <color auto="1"/>
      </top>
      <bottom style="thin">
        <color indexed="64"/>
      </bottom>
      <diagonal/>
    </border>
    <border>
      <left style="thin">
        <color auto="1"/>
      </left>
      <right style="hair">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style="double">
        <color auto="1"/>
      </right>
      <top/>
      <bottom style="hair">
        <color auto="1"/>
      </bottom>
      <diagonal/>
    </border>
    <border>
      <left/>
      <right style="double">
        <color auto="1"/>
      </right>
      <top style="hair">
        <color auto="1"/>
      </top>
      <bottom style="hair">
        <color auto="1"/>
      </bottom>
      <diagonal/>
    </border>
    <border>
      <left/>
      <right style="double">
        <color auto="1"/>
      </right>
      <top style="hair">
        <color indexed="64"/>
      </top>
      <bottom/>
      <diagonal/>
    </border>
    <border>
      <left style="hair">
        <color auto="1"/>
      </left>
      <right style="double">
        <color auto="1"/>
      </right>
      <top style="hair">
        <color auto="1"/>
      </top>
      <bottom/>
      <diagonal/>
    </border>
    <border>
      <left style="double">
        <color auto="1"/>
      </left>
      <right style="hair">
        <color indexed="64"/>
      </right>
      <top style="thin">
        <color auto="1"/>
      </top>
      <bottom style="thin">
        <color auto="1"/>
      </bottom>
      <diagonal/>
    </border>
    <border>
      <left/>
      <right style="hair">
        <color indexed="64"/>
      </right>
      <top style="thin">
        <color auto="1"/>
      </top>
      <bottom style="thin">
        <color auto="1"/>
      </bottom>
      <diagonal/>
    </border>
    <border>
      <left/>
      <right style="double">
        <color auto="1"/>
      </right>
      <top style="thin">
        <color auto="1"/>
      </top>
      <bottom style="thin">
        <color auto="1"/>
      </bottom>
      <diagonal/>
    </border>
    <border>
      <left style="hair">
        <color auto="1"/>
      </left>
      <right style="double">
        <color auto="1"/>
      </right>
      <top style="hair">
        <color auto="1"/>
      </top>
      <bottom style="hair">
        <color auto="1"/>
      </bottom>
      <diagonal/>
    </border>
    <border>
      <left style="hair">
        <color indexed="64"/>
      </left>
      <right style="double">
        <color auto="1"/>
      </right>
      <top style="hair">
        <color indexed="64"/>
      </top>
      <bottom style="thin">
        <color indexed="64"/>
      </bottom>
      <diagonal/>
    </border>
    <border>
      <left style="double">
        <color auto="1"/>
      </left>
      <right style="hair">
        <color auto="1"/>
      </right>
      <top style="hair">
        <color auto="1"/>
      </top>
      <bottom style="double">
        <color auto="1"/>
      </bottom>
      <diagonal/>
    </border>
    <border>
      <left style="hair">
        <color indexed="64"/>
      </left>
      <right style="hair">
        <color indexed="64"/>
      </right>
      <top style="hair">
        <color indexed="64"/>
      </top>
      <bottom style="double">
        <color auto="1"/>
      </bottom>
      <diagonal/>
    </border>
    <border>
      <left style="hair">
        <color auto="1"/>
      </left>
      <right style="double">
        <color auto="1"/>
      </right>
      <top style="hair">
        <color auto="1"/>
      </top>
      <bottom style="double">
        <color auto="1"/>
      </bottom>
      <diagonal/>
    </border>
    <border>
      <left style="hair">
        <color auto="1"/>
      </left>
      <right style="double">
        <color auto="1"/>
      </right>
      <top/>
      <bottom/>
      <diagonal/>
    </border>
    <border>
      <left/>
      <right style="hair">
        <color indexed="64"/>
      </right>
      <top style="hair">
        <color auto="1"/>
      </top>
      <bottom style="thin">
        <color indexed="64"/>
      </bottom>
      <diagonal/>
    </border>
    <border>
      <left/>
      <right style="double">
        <color auto="1"/>
      </right>
      <top style="hair">
        <color auto="1"/>
      </top>
      <bottom style="thin">
        <color indexed="64"/>
      </bottom>
      <diagonal/>
    </border>
    <border>
      <left style="double">
        <color auto="1"/>
      </left>
      <right style="hair">
        <color auto="1"/>
      </right>
      <top/>
      <bottom/>
      <diagonal/>
    </border>
    <border>
      <left/>
      <right style="double">
        <color auto="1"/>
      </right>
      <top/>
      <bottom/>
      <diagonal/>
    </border>
    <border>
      <left style="double">
        <color auto="1"/>
      </left>
      <right style="hair">
        <color auto="1"/>
      </right>
      <top/>
      <bottom style="thin">
        <color indexed="64"/>
      </bottom>
      <diagonal/>
    </border>
    <border>
      <left style="hair">
        <color indexed="64"/>
      </left>
      <right style="thin">
        <color indexed="64"/>
      </right>
      <top/>
      <bottom/>
      <diagonal/>
    </border>
    <border>
      <left style="hair">
        <color auto="1"/>
      </left>
      <right style="thin">
        <color auto="1"/>
      </right>
      <top style="hair">
        <color auto="1"/>
      </top>
      <bottom style="double">
        <color auto="1"/>
      </bottom>
      <diagonal/>
    </border>
    <border>
      <left/>
      <right style="double">
        <color auto="1"/>
      </right>
      <top/>
      <bottom style="thin">
        <color auto="1"/>
      </bottom>
      <diagonal/>
    </border>
    <border>
      <left style="hair">
        <color auto="1"/>
      </left>
      <right style="hair">
        <color auto="1"/>
      </right>
      <top style="thin">
        <color auto="1"/>
      </top>
      <bottom style="thin">
        <color indexed="64"/>
      </bottom>
      <diagonal/>
    </border>
    <border>
      <left style="hair">
        <color indexed="64"/>
      </left>
      <right/>
      <top style="double">
        <color auto="1"/>
      </top>
      <bottom style="thin">
        <color indexed="64"/>
      </bottom>
      <diagonal/>
    </border>
    <border>
      <left/>
      <right style="thin">
        <color indexed="64"/>
      </right>
      <top style="double">
        <color auto="1"/>
      </top>
      <bottom style="thin">
        <color indexed="64"/>
      </bottom>
      <diagonal/>
    </border>
    <border>
      <left style="hair">
        <color auto="1"/>
      </left>
      <right style="thin">
        <color indexed="64"/>
      </right>
      <top/>
      <bottom style="thin">
        <color indexed="64"/>
      </bottom>
      <diagonal/>
    </border>
    <border>
      <left style="hair">
        <color auto="1"/>
      </left>
      <right style="hair">
        <color auto="1"/>
      </right>
      <top style="thin">
        <color indexed="64"/>
      </top>
      <bottom style="thin">
        <color indexed="64"/>
      </bottom>
      <diagonal/>
    </border>
    <border>
      <left style="thin">
        <color auto="1"/>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auto="1"/>
      </left>
      <right style="double">
        <color auto="1"/>
      </right>
      <top style="thin">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ck">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medium">
        <color indexed="64"/>
      </top>
      <bottom style="double">
        <color indexed="64"/>
      </bottom>
      <diagonal/>
    </border>
    <border>
      <left/>
      <right/>
      <top/>
      <bottom style="thin">
        <color indexed="64"/>
      </bottom>
      <diagonal/>
    </border>
    <border>
      <left/>
      <right/>
      <top style="thin">
        <color indexed="64"/>
      </top>
      <bottom/>
      <diagonal/>
    </border>
    <border>
      <left/>
      <right style="dashed">
        <color indexed="64"/>
      </right>
      <top style="double">
        <color indexed="64"/>
      </top>
      <bottom style="thin">
        <color auto="1"/>
      </bottom>
      <diagonal/>
    </border>
    <border>
      <left/>
      <right style="dashed">
        <color indexed="64"/>
      </right>
      <top/>
      <bottom/>
      <diagonal/>
    </border>
    <border>
      <left/>
      <right style="dashed">
        <color indexed="64"/>
      </right>
      <top style="thin">
        <color indexed="64"/>
      </top>
      <bottom/>
      <diagonal/>
    </border>
    <border>
      <left/>
      <right/>
      <top style="double">
        <color indexed="64"/>
      </top>
      <bottom style="thin">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right style="thin">
        <color auto="1"/>
      </right>
      <top/>
      <bottom style="thin">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s>
  <cellStyleXfs count="54198">
    <xf numFmtId="0" fontId="0" fillId="0" borderId="0"/>
    <xf numFmtId="43" fontId="11" fillId="0" borderId="0" applyFont="0" applyFill="0" applyBorder="0" applyAlignment="0" applyProtection="0"/>
    <xf numFmtId="9" fontId="11" fillId="0" borderId="0" applyFont="0" applyFill="0" applyBorder="0" applyAlignment="0" applyProtection="0"/>
    <xf numFmtId="0" fontId="21" fillId="5" borderId="1" applyNumberFormat="0" applyProtection="0">
      <alignment horizontal="left" vertical="center"/>
    </xf>
    <xf numFmtId="0" fontId="11" fillId="0" borderId="0"/>
    <xf numFmtId="43" fontId="11"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5"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43" fontId="11" fillId="0" borderId="0" applyFont="0" applyFill="0" applyBorder="0" applyAlignment="0" applyProtection="0"/>
    <xf numFmtId="0" fontId="41" fillId="0" borderId="0"/>
    <xf numFmtId="170"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170" fontId="10" fillId="0" borderId="0" applyFont="0" applyFill="0" applyBorder="0" applyAlignment="0" applyProtection="0"/>
    <xf numFmtId="179" fontId="11" fillId="0" borderId="0"/>
    <xf numFmtId="187" fontId="11" fillId="0" borderId="0"/>
    <xf numFmtId="179" fontId="11" fillId="0" borderId="0"/>
    <xf numFmtId="179" fontId="11" fillId="0" borderId="0"/>
    <xf numFmtId="179" fontId="11" fillId="0" borderId="0"/>
    <xf numFmtId="179" fontId="11" fillId="0" borderId="0"/>
    <xf numFmtId="188" fontId="11" fillId="0" borderId="0"/>
    <xf numFmtId="189" fontId="11" fillId="0" borderId="0"/>
    <xf numFmtId="188" fontId="11" fillId="0"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6" fillId="40" borderId="0" applyNumberFormat="0" applyBorder="0" applyAlignment="0" applyProtection="0"/>
    <xf numFmtId="0" fontId="55"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6" fillId="41" borderId="0" applyNumberFormat="0" applyBorder="0" applyAlignment="0" applyProtection="0"/>
    <xf numFmtId="0" fontId="55"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6" fillId="42" borderId="0" applyNumberFormat="0" applyBorder="0" applyAlignment="0" applyProtection="0"/>
    <xf numFmtId="0" fontId="55"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6" fillId="43" borderId="0" applyNumberFormat="0" applyBorder="0" applyAlignment="0" applyProtection="0"/>
    <xf numFmtId="0" fontId="55"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6" fillId="44" borderId="0" applyNumberFormat="0" applyBorder="0" applyAlignment="0" applyProtection="0"/>
    <xf numFmtId="0" fontId="55"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6" fillId="45" borderId="0" applyNumberFormat="0" applyBorder="0" applyAlignment="0" applyProtection="0"/>
    <xf numFmtId="0" fontId="55"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6" fillId="46" borderId="0" applyNumberFormat="0" applyBorder="0" applyAlignment="0" applyProtection="0"/>
    <xf numFmtId="0" fontId="55"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47" borderId="0" applyNumberFormat="0" applyBorder="0" applyAlignment="0" applyProtection="0"/>
    <xf numFmtId="0" fontId="55"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6" fillId="48" borderId="0" applyNumberFormat="0" applyBorder="0" applyAlignment="0" applyProtection="0"/>
    <xf numFmtId="0" fontId="55"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6" fillId="43" borderId="0" applyNumberFormat="0" applyBorder="0" applyAlignment="0" applyProtection="0"/>
    <xf numFmtId="0" fontId="55"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6" fillId="46" borderId="0" applyNumberFormat="0" applyBorder="0" applyAlignment="0" applyProtection="0"/>
    <xf numFmtId="0" fontId="55"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6" fillId="49" borderId="0" applyNumberFormat="0" applyBorder="0" applyAlignment="0" applyProtection="0"/>
    <xf numFmtId="0" fontId="55"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8" fillId="50" borderId="0" applyNumberFormat="0" applyBorder="0" applyAlignment="0" applyProtection="0"/>
    <xf numFmtId="0" fontId="57" fillId="16" borderId="0" applyNumberFormat="0" applyBorder="0" applyAlignment="0" applyProtection="0"/>
    <xf numFmtId="0" fontId="40"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8" fillId="47" borderId="0" applyNumberFormat="0" applyBorder="0" applyAlignment="0" applyProtection="0"/>
    <xf numFmtId="0" fontId="57" fillId="20" borderId="0" applyNumberFormat="0" applyBorder="0" applyAlignment="0" applyProtection="0"/>
    <xf numFmtId="0" fontId="40"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8" fillId="48" borderId="0" applyNumberFormat="0" applyBorder="0" applyAlignment="0" applyProtection="0"/>
    <xf numFmtId="0" fontId="57" fillId="24" borderId="0" applyNumberFormat="0" applyBorder="0" applyAlignment="0" applyProtection="0"/>
    <xf numFmtId="0" fontId="40"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8" fillId="51" borderId="0" applyNumberFormat="0" applyBorder="0" applyAlignment="0" applyProtection="0"/>
    <xf numFmtId="0" fontId="57" fillId="28" borderId="0" applyNumberFormat="0" applyBorder="0" applyAlignment="0" applyProtection="0"/>
    <xf numFmtId="0" fontId="40"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8" fillId="52" borderId="0" applyNumberFormat="0" applyBorder="0" applyAlignment="0" applyProtection="0"/>
    <xf numFmtId="0" fontId="57" fillId="32" borderId="0" applyNumberFormat="0" applyBorder="0" applyAlignment="0" applyProtection="0"/>
    <xf numFmtId="0" fontId="40"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8" fillId="53" borderId="0" applyNumberFormat="0" applyBorder="0" applyAlignment="0" applyProtection="0"/>
    <xf numFmtId="0" fontId="57" fillId="36" borderId="0" applyNumberFormat="0" applyBorder="0" applyAlignment="0" applyProtection="0"/>
    <xf numFmtId="0" fontId="40"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8" fillId="54" borderId="0" applyNumberFormat="0" applyBorder="0" applyAlignment="0" applyProtection="0"/>
    <xf numFmtId="0" fontId="57" fillId="13" borderId="0" applyNumberFormat="0" applyBorder="0" applyAlignment="0" applyProtection="0"/>
    <xf numFmtId="0" fontId="40"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8" fillId="55" borderId="0" applyNumberFormat="0" applyBorder="0" applyAlignment="0" applyProtection="0"/>
    <xf numFmtId="0" fontId="57" fillId="17" borderId="0" applyNumberFormat="0" applyBorder="0" applyAlignment="0" applyProtection="0"/>
    <xf numFmtId="0" fontId="40"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8" fillId="56" borderId="0" applyNumberFormat="0" applyBorder="0" applyAlignment="0" applyProtection="0"/>
    <xf numFmtId="0" fontId="57" fillId="21" borderId="0" applyNumberFormat="0" applyBorder="0" applyAlignment="0" applyProtection="0"/>
    <xf numFmtId="0" fontId="40"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8" fillId="51" borderId="0" applyNumberFormat="0" applyBorder="0" applyAlignment="0" applyProtection="0"/>
    <xf numFmtId="0" fontId="57" fillId="25" borderId="0" applyNumberFormat="0" applyBorder="0" applyAlignment="0" applyProtection="0"/>
    <xf numFmtId="0" fontId="40"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8" fillId="52" borderId="0" applyNumberFormat="0" applyBorder="0" applyAlignment="0" applyProtection="0"/>
    <xf numFmtId="0" fontId="57" fillId="29" borderId="0" applyNumberFormat="0" applyBorder="0" applyAlignment="0" applyProtection="0"/>
    <xf numFmtId="0" fontId="40"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8" fillId="57" borderId="0" applyNumberFormat="0" applyBorder="0" applyAlignment="0" applyProtection="0"/>
    <xf numFmtId="0" fontId="57" fillId="33" borderId="0" applyNumberFormat="0" applyBorder="0" applyAlignment="0" applyProtection="0"/>
    <xf numFmtId="0" fontId="40"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60" fillId="41" borderId="0" applyNumberFormat="0" applyBorder="0" applyAlignment="0" applyProtection="0"/>
    <xf numFmtId="0" fontId="59" fillId="7" borderId="0" applyNumberFormat="0" applyBorder="0" applyAlignment="0" applyProtection="0"/>
    <xf numFmtId="0" fontId="30"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2" fillId="58" borderId="32" applyNumberFormat="0" applyAlignment="0" applyProtection="0"/>
    <xf numFmtId="0" fontId="61" fillId="10" borderId="25" applyNumberFormat="0" applyAlignment="0" applyProtection="0"/>
    <xf numFmtId="0" fontId="34"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4" fillId="59" borderId="33" applyNumberFormat="0" applyAlignment="0" applyProtection="0"/>
    <xf numFmtId="0" fontId="63" fillId="11" borderId="28" applyNumberFormat="0" applyAlignment="0" applyProtection="0"/>
    <xf numFmtId="0" fontId="36"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42" fillId="0" borderId="0" applyFont="0" applyFill="0" applyBorder="0" applyAlignment="0" applyProtection="0"/>
    <xf numFmtId="43" fontId="1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1" fillId="0" borderId="0" applyFont="0" applyFill="0" applyBorder="0" applyAlignment="0" applyProtection="0"/>
    <xf numFmtId="170" fontId="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44" fontId="11" fillId="0" borderId="0" applyFont="0" applyFill="0" applyBorder="0" applyAlignment="0" applyProtection="0"/>
    <xf numFmtId="169"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8" fillId="42" borderId="0" applyNumberFormat="0" applyBorder="0" applyAlignment="0" applyProtection="0"/>
    <xf numFmtId="0" fontId="67" fillId="6" borderId="0" applyNumberFormat="0" applyBorder="0" applyAlignment="0" applyProtection="0"/>
    <xf numFmtId="0" fontId="29"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38" fontId="17" fillId="60" borderId="0" applyNumberFormat="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0" fillId="0" borderId="34" applyNumberFormat="0" applyFill="0" applyAlignment="0" applyProtection="0"/>
    <xf numFmtId="0" fontId="69" fillId="0" borderId="22" applyNumberFormat="0" applyFill="0" applyAlignment="0" applyProtection="0"/>
    <xf numFmtId="0" fontId="26"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2" fillId="0" borderId="35" applyNumberFormat="0" applyFill="0" applyAlignment="0" applyProtection="0"/>
    <xf numFmtId="0" fontId="71" fillId="0" borderId="23" applyNumberFormat="0" applyFill="0" applyAlignment="0" applyProtection="0"/>
    <xf numFmtId="0" fontId="27"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4" fillId="0" borderId="36" applyNumberFormat="0" applyFill="0" applyAlignment="0" applyProtection="0"/>
    <xf numFmtId="0" fontId="73" fillId="0" borderId="24" applyNumberFormat="0" applyFill="0" applyAlignment="0" applyProtection="0"/>
    <xf numFmtId="0" fontId="28"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2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top"/>
      <protection locked="0"/>
    </xf>
    <xf numFmtId="10" fontId="17" fillId="61" borderId="1" applyNumberFormat="0" applyBorder="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8" fillId="9" borderId="25" applyNumberFormat="0" applyAlignment="0" applyProtection="0"/>
    <xf numFmtId="0" fontId="32" fillId="9" borderId="25"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1" fillId="0" borderId="37" applyNumberFormat="0" applyFill="0" applyAlignment="0" applyProtection="0"/>
    <xf numFmtId="0" fontId="80" fillId="0" borderId="27" applyNumberFormat="0" applyFill="0" applyAlignment="0" applyProtection="0"/>
    <xf numFmtId="0" fontId="35"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190" fontId="11" fillId="0" borderId="0"/>
    <xf numFmtId="178" fontId="11" fillId="0" borderId="0"/>
    <xf numFmtId="190" fontId="11" fillId="0" borderId="0"/>
    <xf numFmtId="190" fontId="11" fillId="0" borderId="0"/>
    <xf numFmtId="190" fontId="11" fillId="0" borderId="0"/>
    <xf numFmtId="190" fontId="11" fillId="0" borderId="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3" fillId="62" borderId="0" applyNumberFormat="0" applyBorder="0" applyAlignment="0" applyProtection="0"/>
    <xf numFmtId="0" fontId="82" fillId="8" borderId="0" applyNumberFormat="0" applyBorder="0" applyAlignment="0" applyProtection="0"/>
    <xf numFmtId="0" fontId="31"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191" fontId="1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1" fillId="0" borderId="0"/>
    <xf numFmtId="0" fontId="11" fillId="0" borderId="0"/>
    <xf numFmtId="0" fontId="10"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42" fillId="0" borderId="0"/>
    <xf numFmtId="0" fontId="11" fillId="0" borderId="0"/>
    <xf numFmtId="0" fontId="10" fillId="0" borderId="0"/>
    <xf numFmtId="0" fontId="10" fillId="0" borderId="0"/>
    <xf numFmtId="0" fontId="11" fillId="0" borderId="0"/>
    <xf numFmtId="0" fontId="10" fillId="0" borderId="0"/>
    <xf numFmtId="0" fontId="11" fillId="0" borderId="0"/>
    <xf numFmtId="0" fontId="42" fillId="0" borderId="0"/>
    <xf numFmtId="0" fontId="11" fillId="0" borderId="0"/>
    <xf numFmtId="0" fontId="11" fillId="0" borderId="0"/>
    <xf numFmtId="0" fontId="11" fillId="0" borderId="0"/>
    <xf numFmtId="0" fontId="42" fillId="0" borderId="0"/>
    <xf numFmtId="0" fontId="42" fillId="0" borderId="0"/>
    <xf numFmtId="0" fontId="10" fillId="0" borderId="0"/>
    <xf numFmtId="0" fontId="10" fillId="0" borderId="0"/>
    <xf numFmtId="0" fontId="10"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0" borderId="0"/>
    <xf numFmtId="0" fontId="11" fillId="0" borderId="0"/>
    <xf numFmtId="0" fontId="10" fillId="0" borderId="0"/>
    <xf numFmtId="0" fontId="10"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55"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0" borderId="0"/>
    <xf numFmtId="0" fontId="10" fillId="0" borderId="0"/>
    <xf numFmtId="0" fontId="10" fillId="0" borderId="0"/>
    <xf numFmtId="0" fontId="55" fillId="0" borderId="0"/>
    <xf numFmtId="0" fontId="55" fillId="0" borderId="0"/>
    <xf numFmtId="0" fontId="55" fillId="0" borderId="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11" fillId="63" borderId="38" applyNumberFormat="0" applyFont="0" applyAlignment="0" applyProtection="0"/>
    <xf numFmtId="0" fontId="84" fillId="12" borderId="29" applyNumberFormat="0" applyFont="0" applyAlignment="0" applyProtection="0"/>
    <xf numFmtId="0" fontId="10" fillId="12" borderId="29" applyNumberFormat="0" applyFont="0" applyAlignment="0" applyProtection="0"/>
    <xf numFmtId="0" fontId="10"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6" fillId="58" borderId="39" applyNumberFormat="0" applyAlignment="0" applyProtection="0"/>
    <xf numFmtId="0" fontId="85" fillId="10" borderId="26" applyNumberFormat="0" applyAlignment="0" applyProtection="0"/>
    <xf numFmtId="0" fontId="33"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10"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11" fillId="5" borderId="40" applyNumberFormat="0" applyProtection="0">
      <alignment horizontal="left" vertical="center"/>
    </xf>
    <xf numFmtId="0" fontId="2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9" fillId="0" borderId="41" applyNumberFormat="0" applyFill="0" applyAlignment="0" applyProtection="0"/>
    <xf numFmtId="0" fontId="88" fillId="0" borderId="30" applyNumberFormat="0" applyFill="0" applyAlignment="0" applyProtection="0"/>
    <xf numFmtId="0" fontId="39"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0"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1" fillId="0" borderId="0"/>
    <xf numFmtId="0" fontId="56" fillId="12" borderId="29" applyNumberFormat="0" applyFont="0" applyAlignment="0" applyProtection="0"/>
    <xf numFmtId="43" fontId="42" fillId="0" borderId="0" applyFont="0" applyFill="0" applyBorder="0" applyAlignment="0" applyProtection="0"/>
    <xf numFmtId="43" fontId="56" fillId="0" borderId="0" applyFont="0" applyFill="0" applyBorder="0" applyAlignment="0" applyProtection="0"/>
    <xf numFmtId="43" fontId="42" fillId="0" borderId="0" applyFont="0" applyFill="0" applyBorder="0" applyAlignment="0" applyProtection="0"/>
    <xf numFmtId="44" fontId="56" fillId="0" borderId="0" applyFont="0" applyFill="0" applyBorder="0" applyAlignment="0" applyProtection="0"/>
    <xf numFmtId="0" fontId="11" fillId="0" borderId="0"/>
    <xf numFmtId="0" fontId="9" fillId="0" borderId="0"/>
    <xf numFmtId="0" fontId="42" fillId="0" borderId="0"/>
    <xf numFmtId="0" fontId="11" fillId="0" borderId="0"/>
    <xf numFmtId="0" fontId="9" fillId="0" borderId="0"/>
    <xf numFmtId="0" fontId="9" fillId="0" borderId="0"/>
    <xf numFmtId="0" fontId="11" fillId="0" borderId="0"/>
    <xf numFmtId="170" fontId="11" fillId="0" borderId="0" applyFont="0" applyFill="0" applyBorder="0" applyAlignment="0" applyProtection="0"/>
    <xf numFmtId="170" fontId="41" fillId="0" borderId="0" applyFont="0" applyFill="0" applyBorder="0" applyAlignment="0" applyProtection="0"/>
    <xf numFmtId="9" fontId="41" fillId="0" borderId="0" applyFont="0" applyFill="0" applyBorder="0" applyAlignment="0" applyProtection="0"/>
    <xf numFmtId="165" fontId="8" fillId="0" borderId="0" applyFont="0" applyFill="0" applyBorder="0" applyAlignment="0" applyProtection="0"/>
    <xf numFmtId="0" fontId="11" fillId="0" borderId="0"/>
    <xf numFmtId="0" fontId="11" fillId="0" borderId="0"/>
    <xf numFmtId="0" fontId="11" fillId="0" borderId="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4" fontId="101" fillId="0" borderId="0" applyFont="0" applyFill="0" applyBorder="0" applyAlignment="0" applyProtection="0"/>
    <xf numFmtId="0" fontId="6" fillId="0" borderId="0"/>
    <xf numFmtId="170" fontId="6" fillId="0" borderId="0" applyFont="0" applyFill="0" applyBorder="0" applyAlignment="0" applyProtection="0"/>
    <xf numFmtId="9" fontId="6" fillId="0" borderId="0" applyFont="0" applyFill="0" applyBorder="0" applyAlignment="0" applyProtection="0"/>
    <xf numFmtId="9" fontId="104" fillId="0" borderId="0">
      <alignment horizontal="right"/>
    </xf>
    <xf numFmtId="164" fontId="105" fillId="0" borderId="0" applyFont="0" applyFill="0" applyBorder="0" applyAlignment="0" applyProtection="0"/>
    <xf numFmtId="166" fontId="105" fillId="0" borderId="0" applyFont="0" applyFill="0" applyBorder="0" applyAlignment="0" applyProtection="0"/>
    <xf numFmtId="9" fontId="105" fillId="0" borderId="0" applyFont="0" applyFill="0" applyBorder="0" applyAlignment="0" applyProtection="0"/>
    <xf numFmtId="10" fontId="105" fillId="0" borderId="0" applyFont="0" applyFill="0" applyBorder="0" applyAlignment="0" applyProtection="0"/>
    <xf numFmtId="0" fontId="11" fillId="64" borderId="71" applyNumberFormat="0">
      <alignment horizontal="centerContinuous" vertical="center" wrapText="1"/>
    </xf>
    <xf numFmtId="0" fontId="11" fillId="65" borderId="71" applyNumberFormat="0">
      <alignment horizontal="left" vertical="center"/>
    </xf>
    <xf numFmtId="170" fontId="106" fillId="0" borderId="0" applyFont="0" applyFill="0" applyBorder="0" applyAlignment="0" applyProtection="0"/>
    <xf numFmtId="0" fontId="11" fillId="0" borderId="0"/>
    <xf numFmtId="0" fontId="11" fillId="0" borderId="0" applyFont="0" applyFill="0" applyBorder="0" applyAlignment="0" applyProtection="0"/>
    <xf numFmtId="197" fontId="11" fillId="0" borderId="0" applyFont="0" applyFill="0" applyBorder="0" applyAlignment="0" applyProtection="0"/>
    <xf numFmtId="0" fontId="107" fillId="0" borderId="0"/>
    <xf numFmtId="0" fontId="108" fillId="0" borderId="0" applyFont="0" applyFill="0" applyBorder="0" applyAlignment="0" applyProtection="0"/>
    <xf numFmtId="198" fontId="11" fillId="0" borderId="0" applyFont="0" applyFill="0" applyBorder="0" applyAlignment="0" applyProtection="0"/>
    <xf numFmtId="179" fontId="1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39" fontId="11" fillId="0" borderId="0" applyFont="0" applyFill="0" applyBorder="0" applyAlignment="0" applyProtection="0"/>
    <xf numFmtId="0" fontId="107" fillId="0" borderId="0"/>
    <xf numFmtId="0" fontId="11" fillId="0" borderId="0">
      <alignment vertical="top"/>
    </xf>
    <xf numFmtId="9" fontId="108" fillId="0" borderId="0">
      <alignment horizontal="right"/>
    </xf>
    <xf numFmtId="0" fontId="109" fillId="0" borderId="0" applyNumberFormat="0" applyFill="0">
      <alignment horizontal="left" vertical="center" wrapText="1"/>
    </xf>
    <xf numFmtId="201" fontId="11" fillId="0" borderId="0" applyFont="0" applyFill="0" applyBorder="0" applyAlignment="0" applyProtection="0"/>
    <xf numFmtId="202" fontId="41" fillId="0" borderId="0" applyFont="0" applyFill="0" applyBorder="0" applyAlignment="0" applyProtection="0"/>
    <xf numFmtId="203" fontId="41" fillId="0" borderId="0" applyFont="0" applyFill="0" applyBorder="0" applyAlignment="0" applyProtection="0"/>
    <xf numFmtId="204" fontId="41" fillId="0" borderId="0" applyFont="0" applyFill="0" applyBorder="0" applyAlignment="0" applyProtection="0"/>
    <xf numFmtId="205" fontId="41" fillId="0" borderId="0" applyFont="0" applyFill="0" applyBorder="0" applyAlignment="0" applyProtection="0"/>
    <xf numFmtId="206" fontId="11" fillId="0" borderId="0" applyFont="0" applyFill="0" applyBorder="0" applyAlignment="0" applyProtection="0"/>
    <xf numFmtId="207" fontId="11" fillId="0" borderId="0" applyFont="0" applyFill="0" applyBorder="0" applyAlignment="0" applyProtection="0"/>
    <xf numFmtId="208" fontId="11" fillId="0" borderId="0" applyFont="0" applyFill="0" applyBorder="0" applyProtection="0">
      <alignment horizontal="right"/>
    </xf>
    <xf numFmtId="209" fontId="41" fillId="0" borderId="0" applyFont="0" applyFill="0" applyBorder="0" applyAlignment="0" applyProtection="0"/>
    <xf numFmtId="168" fontId="41" fillId="0" borderId="0" applyFont="0" applyFill="0" applyBorder="0" applyAlignment="0" applyProtection="0"/>
    <xf numFmtId="210" fontId="11" fillId="0" borderId="0" applyFont="0" applyFill="0" applyBorder="0" applyAlignment="0" applyProtection="0"/>
    <xf numFmtId="174" fontId="11" fillId="0" borderId="0" applyFont="0" applyFill="0" applyBorder="0" applyAlignment="0" applyProtection="0"/>
    <xf numFmtId="211" fontId="41" fillId="0" borderId="0" applyFont="0" applyFill="0" applyBorder="0" applyAlignment="0" applyProtection="0"/>
    <xf numFmtId="211" fontId="11" fillId="0" borderId="0" applyFont="0" applyFill="0" applyBorder="0" applyAlignment="0" applyProtection="0"/>
    <xf numFmtId="212" fontId="11" fillId="0" borderId="0" applyFont="0" applyFill="0" applyBorder="0" applyAlignment="0" applyProtection="0"/>
    <xf numFmtId="213" fontId="11" fillId="0" borderId="0" applyFont="0" applyFill="0" applyBorder="0" applyAlignment="0" applyProtection="0"/>
    <xf numFmtId="214" fontId="11" fillId="0" borderId="0" applyFont="0" applyFill="0" applyBorder="0" applyAlignment="0" applyProtection="0"/>
    <xf numFmtId="0" fontId="11" fillId="0" borderId="0"/>
    <xf numFmtId="0" fontId="11" fillId="0" borderId="0"/>
    <xf numFmtId="0" fontId="110" fillId="0" borderId="0" applyFont="0" applyFill="0" applyBorder="0" applyAlignment="0" applyProtection="0"/>
    <xf numFmtId="215" fontId="110" fillId="0" borderId="0" applyFont="0" applyFill="0" applyBorder="0" applyAlignment="0" applyProtection="0"/>
    <xf numFmtId="0" fontId="41" fillId="0" borderId="0" applyNumberFormat="0" applyFill="0" applyBorder="0" applyAlignment="0" applyProtection="0"/>
    <xf numFmtId="216" fontId="109" fillId="0" borderId="0" applyNumberFormat="0" applyFill="0">
      <alignment horizontal="left" vertical="center" wrapText="1"/>
    </xf>
    <xf numFmtId="0" fontId="109" fillId="5" borderId="0" applyFont="0" applyFill="0" applyProtection="0"/>
    <xf numFmtId="197" fontId="11" fillId="0" borderId="0"/>
    <xf numFmtId="217" fontId="24" fillId="0" borderId="0" applyFill="0" applyBorder="0" applyAlignment="0" applyProtection="0">
      <alignment horizontal="right"/>
    </xf>
    <xf numFmtId="0" fontId="56" fillId="40" borderId="0" applyNumberFormat="0" applyBorder="0" applyAlignment="0" applyProtection="0"/>
    <xf numFmtId="0" fontId="6" fillId="14" borderId="0" applyNumberFormat="0" applyBorder="0" applyAlignment="0" applyProtection="0"/>
    <xf numFmtId="0" fontId="111"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11" fillId="14" borderId="0" applyNumberFormat="0" applyBorder="0" applyAlignment="0" applyProtection="0"/>
    <xf numFmtId="0" fontId="6"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56" fillId="41" borderId="0" applyNumberFormat="0" applyBorder="0" applyAlignment="0" applyProtection="0"/>
    <xf numFmtId="0" fontId="6" fillId="18" borderId="0" applyNumberFormat="0" applyBorder="0" applyAlignment="0" applyProtection="0"/>
    <xf numFmtId="0" fontId="111"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11" fillId="18" borderId="0" applyNumberFormat="0" applyBorder="0" applyAlignment="0" applyProtection="0"/>
    <xf numFmtId="0" fontId="6"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6" fillId="42" borderId="0" applyNumberFormat="0" applyBorder="0" applyAlignment="0" applyProtection="0"/>
    <xf numFmtId="0" fontId="6" fillId="22" borderId="0" applyNumberFormat="0" applyBorder="0" applyAlignment="0" applyProtection="0"/>
    <xf numFmtId="0" fontId="111"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111" fillId="22" borderId="0" applyNumberFormat="0" applyBorder="0" applyAlignment="0" applyProtection="0"/>
    <xf numFmtId="0" fontId="6"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2"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56" fillId="43" borderId="0" applyNumberFormat="0" applyBorder="0" applyAlignment="0" applyProtection="0"/>
    <xf numFmtId="0" fontId="6" fillId="26" borderId="0" applyNumberFormat="0" applyBorder="0" applyAlignment="0" applyProtection="0"/>
    <xf numFmtId="0" fontId="111"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11" fillId="26" borderId="0" applyNumberFormat="0" applyBorder="0" applyAlignment="0" applyProtection="0"/>
    <xf numFmtId="0" fontId="6"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2"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56" fillId="44" borderId="0" applyNumberFormat="0" applyBorder="0" applyAlignment="0" applyProtection="0"/>
    <xf numFmtId="0" fontId="6" fillId="30" borderId="0" applyNumberFormat="0" applyBorder="0" applyAlignment="0" applyProtection="0"/>
    <xf numFmtId="0" fontId="111"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11" fillId="30" borderId="0" applyNumberFormat="0" applyBorder="0" applyAlignment="0" applyProtection="0"/>
    <xf numFmtId="0" fontId="6"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2"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56" fillId="45" borderId="0" applyNumberFormat="0" applyBorder="0" applyAlignment="0" applyProtection="0"/>
    <xf numFmtId="0" fontId="6" fillId="34" borderId="0" applyNumberFormat="0" applyBorder="0" applyAlignment="0" applyProtection="0"/>
    <xf numFmtId="0" fontId="111"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11" fillId="34" borderId="0" applyNumberFormat="0" applyBorder="0" applyAlignment="0" applyProtection="0"/>
    <xf numFmtId="0" fontId="6"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2"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56" fillId="46" borderId="0" applyNumberFormat="0" applyBorder="0" applyAlignment="0" applyProtection="0"/>
    <xf numFmtId="0" fontId="6" fillId="15" borderId="0" applyNumberFormat="0" applyBorder="0" applyAlignment="0" applyProtection="0"/>
    <xf numFmtId="0" fontId="111"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11" fillId="15" borderId="0" applyNumberFormat="0" applyBorder="0" applyAlignment="0" applyProtection="0"/>
    <xf numFmtId="0" fontId="6"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56" fillId="47" borderId="0" applyNumberFormat="0" applyBorder="0" applyAlignment="0" applyProtection="0"/>
    <xf numFmtId="0" fontId="6" fillId="19" borderId="0" applyNumberFormat="0" applyBorder="0" applyAlignment="0" applyProtection="0"/>
    <xf numFmtId="0" fontId="111"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11" fillId="19" borderId="0" applyNumberFormat="0" applyBorder="0" applyAlignment="0" applyProtection="0"/>
    <xf numFmtId="0" fontId="6"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6" fillId="48" borderId="0" applyNumberFormat="0" applyBorder="0" applyAlignment="0" applyProtection="0"/>
    <xf numFmtId="0" fontId="6" fillId="23" borderId="0" applyNumberFormat="0" applyBorder="0" applyAlignment="0" applyProtection="0"/>
    <xf numFmtId="0" fontId="111"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111" fillId="23" borderId="0" applyNumberFormat="0" applyBorder="0" applyAlignment="0" applyProtection="0"/>
    <xf numFmtId="0" fontId="6"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2"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56" fillId="43" borderId="0" applyNumberFormat="0" applyBorder="0" applyAlignment="0" applyProtection="0"/>
    <xf numFmtId="0" fontId="6" fillId="27" borderId="0" applyNumberFormat="0" applyBorder="0" applyAlignment="0" applyProtection="0"/>
    <xf numFmtId="0" fontId="111"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11" fillId="27" borderId="0" applyNumberFormat="0" applyBorder="0" applyAlignment="0" applyProtection="0"/>
    <xf numFmtId="0" fontId="6"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2"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56" fillId="46" borderId="0" applyNumberFormat="0" applyBorder="0" applyAlignment="0" applyProtection="0"/>
    <xf numFmtId="0" fontId="6" fillId="31" borderId="0" applyNumberFormat="0" applyBorder="0" applyAlignment="0" applyProtection="0"/>
    <xf numFmtId="0" fontId="111"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11" fillId="31" borderId="0" applyNumberFormat="0" applyBorder="0" applyAlignment="0" applyProtection="0"/>
    <xf numFmtId="0" fontId="6"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2"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56" fillId="49" borderId="0" applyNumberFormat="0" applyBorder="0" applyAlignment="0" applyProtection="0"/>
    <xf numFmtId="0" fontId="6" fillId="35" borderId="0" applyNumberFormat="0" applyBorder="0" applyAlignment="0" applyProtection="0"/>
    <xf numFmtId="0" fontId="111"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11" fillId="35" borderId="0" applyNumberFormat="0" applyBorder="0" applyAlignment="0" applyProtection="0"/>
    <xf numFmtId="0" fontId="6"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2"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58" fillId="50"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40" fillId="16" borderId="0" applyNumberFormat="0" applyBorder="0" applyAlignment="0" applyProtection="0"/>
    <xf numFmtId="0" fontId="58" fillId="47"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40" fillId="20" borderId="0" applyNumberFormat="0" applyBorder="0" applyAlignment="0" applyProtection="0"/>
    <xf numFmtId="0" fontId="58" fillId="48"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40" fillId="24" borderId="0" applyNumberFormat="0" applyBorder="0" applyAlignment="0" applyProtection="0"/>
    <xf numFmtId="0" fontId="58" fillId="51"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40" fillId="28" borderId="0" applyNumberFormat="0" applyBorder="0" applyAlignment="0" applyProtection="0"/>
    <xf numFmtId="0" fontId="58" fillId="5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40" fillId="32" borderId="0" applyNumberFormat="0" applyBorder="0" applyAlignment="0" applyProtection="0"/>
    <xf numFmtId="0" fontId="58"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40" fillId="36" borderId="0" applyNumberFormat="0" applyBorder="0" applyAlignment="0" applyProtection="0"/>
    <xf numFmtId="218" fontId="11" fillId="0" borderId="11">
      <alignment horizontal="right"/>
    </xf>
    <xf numFmtId="0" fontId="58" fillId="54"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40" fillId="13" borderId="0" applyNumberFormat="0" applyBorder="0" applyAlignment="0" applyProtection="0"/>
    <xf numFmtId="0" fontId="58" fillId="55"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40" fillId="17" borderId="0" applyNumberFormat="0" applyBorder="0" applyAlignment="0" applyProtection="0"/>
    <xf numFmtId="0" fontId="58" fillId="56"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40" fillId="21" borderId="0" applyNumberFormat="0" applyBorder="0" applyAlignment="0" applyProtection="0"/>
    <xf numFmtId="0" fontId="58" fillId="51"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40" fillId="25" borderId="0" applyNumberFormat="0" applyBorder="0" applyAlignment="0" applyProtection="0"/>
    <xf numFmtId="0" fontId="58" fillId="52"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40" fillId="29" borderId="0" applyNumberFormat="0" applyBorder="0" applyAlignment="0" applyProtection="0"/>
    <xf numFmtId="0" fontId="58" fillId="57"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40" fillId="33" borderId="0" applyNumberFormat="0" applyBorder="0" applyAlignment="0" applyProtection="0"/>
    <xf numFmtId="167" fontId="114" fillId="0" borderId="0" applyFont="0"/>
    <xf numFmtId="167" fontId="114" fillId="0" borderId="72" applyFont="0"/>
    <xf numFmtId="168" fontId="114" fillId="0" borderId="0" applyFont="0"/>
    <xf numFmtId="219" fontId="115" fillId="0" borderId="11">
      <alignment horizontal="right"/>
    </xf>
    <xf numFmtId="219" fontId="115" fillId="0" borderId="11" applyFill="0">
      <alignment horizontal="right"/>
    </xf>
    <xf numFmtId="220" fontId="11" fillId="0" borderId="11">
      <alignment horizontal="right"/>
    </xf>
    <xf numFmtId="3" fontId="11" fillId="0" borderId="11" applyFill="0">
      <alignment horizontal="right"/>
    </xf>
    <xf numFmtId="221" fontId="115" fillId="0" borderId="11" applyFill="0">
      <alignment horizontal="right"/>
    </xf>
    <xf numFmtId="3" fontId="116" fillId="0" borderId="11" applyFill="0">
      <alignment horizontal="right"/>
    </xf>
    <xf numFmtId="222" fontId="14" fillId="66" borderId="73">
      <alignment horizontal="center" vertical="center"/>
    </xf>
    <xf numFmtId="0" fontId="11" fillId="0" borderId="0"/>
    <xf numFmtId="197" fontId="117" fillId="0" borderId="0"/>
    <xf numFmtId="0" fontId="11" fillId="0" borderId="0"/>
    <xf numFmtId="223" fontId="11" fillId="0" borderId="11">
      <alignment horizontal="right"/>
      <protection locked="0"/>
    </xf>
    <xf numFmtId="165" fontId="115" fillId="0" borderId="11" applyNumberFormat="0" applyFont="0" applyBorder="0" applyProtection="0">
      <alignment horizontal="right"/>
    </xf>
    <xf numFmtId="224" fontId="118" fillId="67" borderId="74"/>
    <xf numFmtId="0" fontId="11" fillId="0" borderId="0" applyNumberFormat="0" applyFill="0" applyBorder="0" applyAlignment="0" applyProtection="0"/>
    <xf numFmtId="0" fontId="93" fillId="0" borderId="0" applyNumberFormat="0" applyFill="0" applyBorder="0" applyAlignment="0" applyProtection="0"/>
    <xf numFmtId="0" fontId="119" fillId="0" borderId="0"/>
    <xf numFmtId="0" fontId="60" fillId="41"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30" fillId="7" borderId="0" applyNumberFormat="0" applyBorder="0" applyAlignment="0" applyProtection="0"/>
    <xf numFmtId="1" fontId="121" fillId="68" borderId="4" applyNumberFormat="0" applyBorder="0" applyAlignment="0">
      <alignment horizontal="center" vertical="top" wrapText="1"/>
      <protection hidden="1"/>
    </xf>
    <xf numFmtId="0" fontId="122" fillId="61" borderId="0"/>
    <xf numFmtId="0" fontId="123" fillId="0" borderId="0" applyAlignment="0"/>
    <xf numFmtId="0" fontId="124" fillId="0" borderId="8" applyNumberFormat="0" applyFill="0" applyAlignment="0" applyProtection="0"/>
    <xf numFmtId="0" fontId="116" fillId="0" borderId="2" applyNumberFormat="0" applyFont="0" applyFill="0" applyAlignment="0" applyProtection="0"/>
    <xf numFmtId="0" fontId="125" fillId="0" borderId="75" applyNumberFormat="0" applyFont="0" applyFill="0" applyAlignment="0" applyProtection="0">
      <alignment horizontal="centerContinuous"/>
    </xf>
    <xf numFmtId="0" fontId="105" fillId="0" borderId="8" applyNumberFormat="0" applyFont="0" applyFill="0" applyAlignment="0" applyProtection="0"/>
    <xf numFmtId="0" fontId="105" fillId="0" borderId="4" applyNumberFormat="0" applyFont="0" applyFill="0" applyAlignment="0" applyProtection="0"/>
    <xf numFmtId="0" fontId="105" fillId="0" borderId="5" applyNumberFormat="0" applyFont="0" applyFill="0" applyAlignment="0" applyProtection="0"/>
    <xf numFmtId="0" fontId="105" fillId="0" borderId="56" applyNumberFormat="0" applyFont="0" applyFill="0" applyAlignment="0" applyProtection="0"/>
    <xf numFmtId="225" fontId="11" fillId="0" borderId="0" applyFont="0" applyFill="0" applyBorder="0" applyAlignment="0" applyProtection="0"/>
    <xf numFmtId="0" fontId="41" fillId="0" borderId="0">
      <alignment horizontal="right"/>
    </xf>
    <xf numFmtId="0" fontId="110" fillId="0" borderId="0" applyFont="0" applyFill="0" applyBorder="0" applyAlignment="0" applyProtection="0"/>
    <xf numFmtId="226" fontId="41" fillId="0" borderId="0" applyFill="0" applyBorder="0" applyAlignment="0"/>
    <xf numFmtId="227" fontId="41" fillId="0" borderId="0" applyFill="0" applyBorder="0" applyAlignment="0"/>
    <xf numFmtId="228" fontId="41" fillId="0" borderId="0" applyFill="0" applyBorder="0" applyAlignment="0"/>
    <xf numFmtId="229" fontId="41" fillId="0" borderId="0" applyFill="0" applyBorder="0" applyAlignment="0"/>
    <xf numFmtId="228" fontId="1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0" fontId="62" fillId="58" borderId="71" applyNumberFormat="0" applyAlignment="0" applyProtection="0"/>
    <xf numFmtId="0" fontId="62" fillId="58" borderId="71"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34" fillId="10" borderId="25" applyNumberFormat="0" applyAlignment="0" applyProtection="0"/>
    <xf numFmtId="197" fontId="116" fillId="69" borderId="0" applyNumberFormat="0" applyFont="0" applyBorder="0" applyAlignment="0">
      <alignment horizontal="left"/>
    </xf>
    <xf numFmtId="230" fontId="11" fillId="0" borderId="0" applyFont="0" applyFill="0" applyBorder="0" applyProtection="0">
      <alignment horizontal="center" vertical="center"/>
    </xf>
    <xf numFmtId="0" fontId="64" fillId="59" borderId="33"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36" fillId="11" borderId="28" applyNumberFormat="0" applyAlignment="0" applyProtection="0"/>
    <xf numFmtId="231" fontId="11" fillId="0" borderId="0" applyNumberFormat="0" applyFont="0" applyFill="0" applyAlignment="0" applyProtection="0"/>
    <xf numFmtId="0" fontId="124" fillId="0" borderId="8" applyNumberFormat="0" applyFill="0" applyProtection="0">
      <alignment horizontal="left" vertical="center"/>
    </xf>
    <xf numFmtId="0" fontId="128" fillId="0" borderId="0">
      <alignment horizontal="center" wrapText="1"/>
      <protection hidden="1"/>
    </xf>
    <xf numFmtId="0" fontId="129" fillId="0" borderId="0">
      <alignment horizontal="right"/>
    </xf>
    <xf numFmtId="172" fontId="24" fillId="0" borderId="0" applyBorder="0">
      <alignment horizontal="right"/>
    </xf>
    <xf numFmtId="172" fontId="24" fillId="0" borderId="2" applyAlignment="0">
      <alignment horizontal="right"/>
    </xf>
    <xf numFmtId="232" fontId="41" fillId="0" borderId="0"/>
    <xf numFmtId="232" fontId="41" fillId="0" borderId="0"/>
    <xf numFmtId="232" fontId="41" fillId="0" borderId="0"/>
    <xf numFmtId="232" fontId="41" fillId="0" borderId="0"/>
    <xf numFmtId="232" fontId="41" fillId="0" borderId="0"/>
    <xf numFmtId="232" fontId="41" fillId="0" borderId="0"/>
    <xf numFmtId="232" fontId="41" fillId="0" borderId="0"/>
    <xf numFmtId="232" fontId="41" fillId="0" borderId="0"/>
    <xf numFmtId="168" fontId="130" fillId="0" borderId="0" applyFont="0" applyBorder="0">
      <alignment horizontal="right"/>
    </xf>
    <xf numFmtId="226" fontId="41" fillId="0" borderId="0" applyFont="0" applyFill="0" applyBorder="0" applyAlignment="0" applyProtection="0"/>
    <xf numFmtId="233" fontId="11" fillId="0" borderId="0" applyFont="0"/>
    <xf numFmtId="0" fontId="131" fillId="0" borderId="0" applyFont="0" applyFill="0" applyBorder="0" applyProtection="0">
      <alignment horizontal="right"/>
    </xf>
    <xf numFmtId="0" fontId="131" fillId="0" borderId="0" applyFont="0" applyFill="0" applyBorder="0" applyProtection="0">
      <alignment horizontal="right"/>
    </xf>
    <xf numFmtId="174" fontId="11" fillId="0" borderId="0" applyFont="0" applyFill="0" applyBorder="0" applyAlignment="0" applyProtection="0">
      <alignment horizontal="right"/>
    </xf>
    <xf numFmtId="234" fontId="11" fillId="0" borderId="0" applyFont="0" applyFill="0" applyBorder="0" applyAlignment="0" applyProtection="0"/>
    <xf numFmtId="235" fontId="132" fillId="0" borderId="0" applyFont="0" applyFill="0" applyBorder="0" applyAlignment="0" applyProtection="0">
      <alignment horizontal="right"/>
    </xf>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33" fillId="0" borderId="0" applyFont="0" applyFill="0" applyBorder="0" applyAlignment="0" applyProtection="0"/>
    <xf numFmtId="170" fontId="133" fillId="0" borderId="0" applyFont="0" applyFill="0" applyBorder="0" applyAlignment="0" applyProtection="0"/>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0" fontId="11" fillId="0" borderId="0" applyFont="0" applyFill="0" applyBorder="0" applyAlignment="0" applyProtection="0"/>
    <xf numFmtId="170" fontId="133" fillId="0" borderId="0" applyFont="0" applyFill="0" applyBorder="0" applyAlignment="0" applyProtection="0"/>
    <xf numFmtId="170" fontId="134" fillId="0" borderId="0" applyFont="0" applyFill="0" applyBorder="0" applyAlignment="0" applyProtection="0"/>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0" fontId="128" fillId="0" borderId="0" applyFont="0" applyFill="0" applyBorder="0" applyAlignment="0" applyProtection="0"/>
    <xf numFmtId="170" fontId="133" fillId="0" borderId="0" applyFont="0" applyFill="0" applyBorder="0" applyAlignment="0" applyProtection="0"/>
    <xf numFmtId="170" fontId="128" fillId="0" borderId="0" applyFont="0" applyFill="0" applyBorder="0" applyAlignment="0" applyProtection="0"/>
    <xf numFmtId="170" fontId="128" fillId="0" borderId="0" applyFont="0" applyFill="0" applyBorder="0" applyAlignment="0" applyProtection="0"/>
    <xf numFmtId="170" fontId="128" fillId="0" borderId="0" applyFont="0" applyFill="0" applyBorder="0" applyAlignment="0" applyProtection="0"/>
    <xf numFmtId="170" fontId="13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36" fontId="132"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5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9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35"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13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3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3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4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5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1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38" fillId="0" borderId="0" applyFont="0" applyFill="0" applyBorder="0" applyAlignment="0" applyProtection="0"/>
    <xf numFmtId="197" fontId="139" fillId="0" borderId="0"/>
    <xf numFmtId="0" fontId="140" fillId="0" borderId="0"/>
    <xf numFmtId="0" fontId="141" fillId="70" borderId="0">
      <alignment horizontal="center" vertical="center" wrapText="1"/>
    </xf>
    <xf numFmtId="237" fontId="11" fillId="0" borderId="0" applyFill="0" applyBorder="0">
      <alignment horizontal="right"/>
      <protection locked="0"/>
    </xf>
    <xf numFmtId="238" fontId="17" fillId="0" borderId="76" applyFont="0" applyFill="0" applyBorder="0" applyAlignment="0" applyProtection="0"/>
    <xf numFmtId="227" fontId="41" fillId="0" borderId="0" applyFont="0" applyFill="0" applyBorder="0" applyAlignment="0" applyProtection="0"/>
    <xf numFmtId="239" fontId="142" fillId="0" borderId="0">
      <alignment horizontal="right"/>
    </xf>
    <xf numFmtId="166" fontId="143" fillId="0" borderId="77">
      <protection locked="0"/>
    </xf>
    <xf numFmtId="0" fontId="131" fillId="0" borderId="0" applyFont="0" applyFill="0" applyBorder="0" applyProtection="0">
      <alignment horizontal="right"/>
    </xf>
    <xf numFmtId="206" fontId="11"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6" fillId="0" borderId="0" applyFont="0" applyFill="0" applyBorder="0" applyAlignment="0" applyProtection="0"/>
    <xf numFmtId="169" fontId="1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4" fillId="0" borderId="0" applyFont="0" applyFill="0" applyBorder="0" applyAlignment="0" applyProtection="0"/>
    <xf numFmtId="169" fontId="135" fillId="0" borderId="0" applyFont="0" applyFill="0" applyBorder="0" applyAlignment="0" applyProtection="0"/>
    <xf numFmtId="169" fontId="93" fillId="0" borderId="0" applyFont="0" applyFill="0" applyBorder="0" applyAlignment="0" applyProtection="0"/>
    <xf numFmtId="169" fontId="136"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69" fontId="11"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11" fillId="0" borderId="0" applyFont="0" applyFill="0" applyBorder="0" applyAlignment="0" applyProtection="0"/>
    <xf numFmtId="240" fontId="144"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37" fillId="0" borderId="0" applyFont="0" applyFill="0" applyBorder="0" applyAlignment="0" applyProtection="0"/>
    <xf numFmtId="169" fontId="13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35" fillId="0" borderId="0" applyFont="0" applyFill="0" applyBorder="0" applyAlignment="0" applyProtection="0"/>
    <xf numFmtId="169" fontId="6"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3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41" fillId="0" borderId="0" applyFont="0" applyFill="0" applyBorder="0" applyProtection="0">
      <alignment horizontal="right"/>
    </xf>
    <xf numFmtId="242" fontId="115" fillId="0" borderId="0" applyFont="0" applyFill="0" applyBorder="0" applyAlignment="0" applyProtection="0">
      <alignment vertical="center"/>
    </xf>
    <xf numFmtId="243" fontId="115" fillId="0" borderId="0" applyFont="0" applyFill="0" applyBorder="0" applyAlignment="0" applyProtection="0">
      <alignment vertical="center"/>
    </xf>
    <xf numFmtId="0" fontId="128" fillId="0" borderId="0" applyFont="0" applyFill="0" applyBorder="0" applyAlignment="0">
      <protection locked="0"/>
    </xf>
    <xf numFmtId="0" fontId="110" fillId="0" borderId="0" applyFont="0" applyFill="0" applyBorder="0" applyAlignment="0" applyProtection="0"/>
    <xf numFmtId="244" fontId="145" fillId="0" borderId="78" applyNumberFormat="0" applyFill="0">
      <alignment horizontal="right"/>
    </xf>
    <xf numFmtId="244" fontId="145" fillId="0" borderId="78" applyNumberFormat="0" applyFill="0">
      <alignment horizontal="right"/>
    </xf>
    <xf numFmtId="1" fontId="146" fillId="0" borderId="0"/>
    <xf numFmtId="245" fontId="116" fillId="0" borderId="0" applyFont="0" applyFill="0" applyBorder="0" applyProtection="0">
      <alignment horizontal="right"/>
    </xf>
    <xf numFmtId="246" fontId="17" fillId="0" borderId="0" applyFont="0" applyFill="0" applyBorder="0" applyAlignment="0" applyProtection="0"/>
    <xf numFmtId="246" fontId="17" fillId="0" borderId="0" applyFont="0" applyFill="0" applyBorder="0" applyAlignment="0" applyProtection="0"/>
    <xf numFmtId="247" fontId="104" fillId="61" borderId="12" applyFont="0" applyFill="0" applyBorder="0" applyAlignment="0" applyProtection="0"/>
    <xf numFmtId="248" fontId="24" fillId="0" borderId="8" applyFont="0" applyFill="0" applyBorder="0" applyAlignment="0" applyProtection="0"/>
    <xf numFmtId="198" fontId="11" fillId="0" borderId="0" applyFont="0" applyFill="0" applyBorder="0" applyAlignment="0" applyProtection="0"/>
    <xf numFmtId="249" fontId="132" fillId="0" borderId="0" applyFont="0" applyFill="0" applyBorder="0" applyAlignment="0" applyProtection="0"/>
    <xf numFmtId="0" fontId="132" fillId="0" borderId="0" applyFont="0" applyFill="0" applyBorder="0" applyAlignment="0" applyProtection="0"/>
    <xf numFmtId="14" fontId="84" fillId="0" borderId="0" applyFill="0" applyBorder="0" applyAlignment="0"/>
    <xf numFmtId="0" fontId="11" fillId="0" borderId="0">
      <alignment horizontal="left" vertical="top"/>
    </xf>
    <xf numFmtId="167" fontId="147" fillId="0" borderId="0"/>
    <xf numFmtId="0" fontId="17" fillId="0" borderId="0"/>
    <xf numFmtId="168" fontId="11" fillId="0" borderId="0" applyFont="0" applyFill="0" applyBorder="0" applyAlignment="0" applyProtection="0"/>
    <xf numFmtId="170" fontId="11" fillId="0" borderId="0" applyFont="0" applyFill="0" applyBorder="0" applyAlignment="0" applyProtection="0"/>
    <xf numFmtId="0" fontId="148" fillId="0" borderId="0">
      <protection locked="0"/>
    </xf>
    <xf numFmtId="0" fontId="11" fillId="0" borderId="0"/>
    <xf numFmtId="167" fontId="41" fillId="0" borderId="0"/>
    <xf numFmtId="172" fontId="11" fillId="0" borderId="79" applyNumberFormat="0" applyFont="0" applyFill="0" applyAlignment="0" applyProtection="0"/>
    <xf numFmtId="172" fontId="11" fillId="0" borderId="79" applyNumberFormat="0" applyFont="0" applyFill="0" applyAlignment="0" applyProtection="0"/>
    <xf numFmtId="172" fontId="11" fillId="0" borderId="79" applyNumberFormat="0" applyFont="0" applyFill="0" applyAlignment="0" applyProtection="0"/>
    <xf numFmtId="167" fontId="149" fillId="0" borderId="0" applyFill="0" applyBorder="0" applyAlignment="0" applyProtection="0"/>
    <xf numFmtId="1" fontId="116" fillId="0" borderId="0"/>
    <xf numFmtId="196" fontId="150" fillId="0" borderId="0">
      <protection locked="0"/>
    </xf>
    <xf numFmtId="196" fontId="150" fillId="0" borderId="0">
      <protection locked="0"/>
    </xf>
    <xf numFmtId="226" fontId="41" fillId="0" borderId="0" applyFill="0" applyBorder="0" applyAlignment="0"/>
    <xf numFmtId="227" fontId="4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250" fontId="108" fillId="0" borderId="0" applyFont="0" applyFill="0" applyBorder="0" applyAlignment="0" applyProtection="0"/>
    <xf numFmtId="0" fontId="66"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38" fillId="0" borderId="0" applyNumberFormat="0" applyFill="0" applyBorder="0" applyAlignment="0" applyProtection="0"/>
    <xf numFmtId="251" fontId="128" fillId="71" borderId="4">
      <alignment horizontal="left"/>
    </xf>
    <xf numFmtId="1" fontId="152" fillId="72" borderId="49" applyNumberFormat="0" applyBorder="0" applyAlignment="0">
      <alignment horizontal="centerContinuous" vertical="center"/>
      <protection locked="0"/>
    </xf>
    <xf numFmtId="252" fontId="11" fillId="0" borderId="0">
      <protection locked="0"/>
    </xf>
    <xf numFmtId="231" fontId="11" fillId="0" borderId="0">
      <protection locked="0"/>
    </xf>
    <xf numFmtId="2" fontId="138" fillId="0" borderId="0" applyFont="0" applyFill="0" applyBorder="0" applyAlignment="0" applyProtection="0"/>
    <xf numFmtId="0" fontId="153" fillId="0" borderId="0" applyFill="0" applyBorder="0" applyProtection="0">
      <alignment horizontal="left"/>
    </xf>
    <xf numFmtId="0" fontId="68" fillId="42"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29" fillId="6" borderId="0" applyNumberFormat="0" applyBorder="0" applyAlignment="0" applyProtection="0"/>
    <xf numFmtId="0" fontId="155" fillId="0" borderId="0" applyNumberFormat="0">
      <alignment horizontal="right"/>
    </xf>
    <xf numFmtId="0" fontId="11" fillId="0" borderId="0"/>
    <xf numFmtId="0" fontId="11" fillId="0" borderId="0"/>
    <xf numFmtId="0" fontId="11" fillId="0" borderId="0"/>
    <xf numFmtId="0" fontId="11" fillId="0" borderId="0"/>
    <xf numFmtId="171" fontId="11" fillId="73" borderId="40" applyNumberFormat="0" applyFont="0" applyBorder="0" applyAlignment="0" applyProtection="0"/>
    <xf numFmtId="201" fontId="11" fillId="0" borderId="0" applyFont="0" applyFill="0" applyBorder="0" applyAlignment="0" applyProtection="0">
      <alignment horizontal="right"/>
    </xf>
    <xf numFmtId="197" fontId="156" fillId="73" borderId="0" applyNumberFormat="0" applyFont="0" applyAlignment="0"/>
    <xf numFmtId="0" fontId="157" fillId="0" borderId="0" applyProtection="0">
      <alignment horizontal="right"/>
    </xf>
    <xf numFmtId="0" fontId="15" fillId="0" borderId="19" applyNumberFormat="0" applyAlignment="0" applyProtection="0">
      <alignment horizontal="left" vertical="center"/>
    </xf>
    <xf numFmtId="0" fontId="15" fillId="0" borderId="45">
      <alignment horizontal="left" vertical="center"/>
    </xf>
    <xf numFmtId="49" fontId="158" fillId="0" borderId="0">
      <alignment horizontal="centerContinuous"/>
    </xf>
    <xf numFmtId="0" fontId="70" fillId="0" borderId="34"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26" fillId="0" borderId="22" applyNumberFormat="0" applyFill="0" applyAlignment="0" applyProtection="0"/>
    <xf numFmtId="0" fontId="159" fillId="0" borderId="0" applyNumberFormat="0" applyFill="0" applyBorder="0" applyAlignment="0" applyProtection="0"/>
    <xf numFmtId="0" fontId="72" fillId="0" borderId="35" applyNumberFormat="0" applyFill="0" applyAlignment="0" applyProtection="0"/>
    <xf numFmtId="0" fontId="160" fillId="0" borderId="0" applyProtection="0">
      <alignment horizontal="left"/>
    </xf>
    <xf numFmtId="0" fontId="160" fillId="0" borderId="0" applyProtection="0">
      <alignment horizontal="left"/>
    </xf>
    <xf numFmtId="0" fontId="160" fillId="0" borderId="0" applyProtection="0">
      <alignment horizontal="left"/>
    </xf>
    <xf numFmtId="0" fontId="160" fillId="0" borderId="0" applyProtection="0">
      <alignment horizontal="left"/>
    </xf>
    <xf numFmtId="0" fontId="27" fillId="0" borderId="23" applyNumberFormat="0" applyFill="0" applyAlignment="0" applyProtection="0"/>
    <xf numFmtId="0" fontId="160" fillId="0" borderId="0" applyProtection="0">
      <alignment horizontal="left"/>
    </xf>
    <xf numFmtId="0" fontId="74" fillId="0" borderId="36" applyNumberFormat="0" applyFill="0" applyAlignment="0" applyProtection="0"/>
    <xf numFmtId="0" fontId="161" fillId="0" borderId="0" applyProtection="0">
      <alignment horizontal="left"/>
    </xf>
    <xf numFmtId="0" fontId="161" fillId="0" borderId="0" applyProtection="0">
      <alignment horizontal="left"/>
    </xf>
    <xf numFmtId="0" fontId="161" fillId="0" borderId="0" applyProtection="0">
      <alignment horizontal="left"/>
    </xf>
    <xf numFmtId="0" fontId="161" fillId="0" borderId="0" applyProtection="0">
      <alignment horizontal="left"/>
    </xf>
    <xf numFmtId="0" fontId="162" fillId="0" borderId="24" applyNumberFormat="0" applyFill="0" applyAlignment="0" applyProtection="0"/>
    <xf numFmtId="0" fontId="28" fillId="0" borderId="24" applyNumberFormat="0" applyFill="0" applyAlignment="0" applyProtection="0"/>
    <xf numFmtId="0" fontId="161" fillId="0" borderId="0" applyProtection="0">
      <alignment horizontal="left"/>
    </xf>
    <xf numFmtId="0" fontId="74" fillId="0" borderId="0" applyNumberFormat="0" applyFill="0" applyBorder="0" applyAlignment="0" applyProtection="0"/>
    <xf numFmtId="0" fontId="163" fillId="0" borderId="0"/>
    <xf numFmtId="0" fontId="119" fillId="0" borderId="0"/>
    <xf numFmtId="253" fontId="114" fillId="0" borderId="0">
      <alignment horizontal="centerContinuous"/>
    </xf>
    <xf numFmtId="0" fontId="164" fillId="0" borderId="80" applyNumberFormat="0" applyFill="0" applyBorder="0" applyAlignment="0" applyProtection="0">
      <alignment horizontal="left"/>
    </xf>
    <xf numFmtId="253" fontId="114" fillId="0" borderId="81">
      <alignment horizontal="center"/>
    </xf>
    <xf numFmtId="0" fontId="11" fillId="0" borderId="0" applyNumberFormat="0" applyFill="0" applyBorder="0" applyProtection="0">
      <alignment wrapText="1"/>
    </xf>
    <xf numFmtId="0" fontId="11" fillId="0" borderId="0" applyNumberFormat="0" applyFill="0" applyBorder="0" applyProtection="0">
      <alignment horizontal="justify" vertical="top" wrapText="1"/>
    </xf>
    <xf numFmtId="0" fontId="165" fillId="0" borderId="70">
      <alignment horizontal="left" vertical="center"/>
    </xf>
    <xf numFmtId="0" fontId="165" fillId="74" borderId="0">
      <alignment horizontal="centerContinuous" wrapText="1"/>
    </xf>
    <xf numFmtId="0" fontId="16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xf numFmtId="0" fontId="77" fillId="0" borderId="0" applyNumberFormat="0" applyFill="0" applyBorder="0" applyAlignment="0" applyProtection="0">
      <alignment vertical="top"/>
      <protection locked="0"/>
    </xf>
    <xf numFmtId="0" fontId="169"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254" fontId="77" fillId="0" borderId="0" applyNumberFormat="0" applyFill="0" applyBorder="0" applyAlignment="0" applyProtection="0">
      <alignment vertical="top"/>
      <protection locked="0"/>
    </xf>
    <xf numFmtId="0" fontId="11" fillId="0" borderId="0" applyNumberFormat="0" applyFill="0" applyBorder="0" applyAlignment="0" applyProtection="0"/>
    <xf numFmtId="0" fontId="11" fillId="0" borderId="0">
      <alignment horizontal="right"/>
    </xf>
    <xf numFmtId="10" fontId="17" fillId="61" borderId="40" applyNumberFormat="0" applyBorder="0" applyAlignment="0" applyProtection="0"/>
    <xf numFmtId="0" fontId="79" fillId="45" borderId="71" applyNumberFormat="0" applyAlignment="0" applyProtection="0"/>
    <xf numFmtId="0" fontId="79" fillId="45" borderId="71"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32" fillId="9" borderId="25" applyNumberFormat="0" applyAlignment="0" applyProtection="0"/>
    <xf numFmtId="255" fontId="128" fillId="0" borderId="0" applyNumberFormat="0" applyFill="0" applyBorder="0" applyAlignment="0" applyProtection="0"/>
    <xf numFmtId="0" fontId="11" fillId="0" borderId="0" applyNumberFormat="0" applyFill="0" applyBorder="0" applyAlignment="0">
      <protection locked="0"/>
    </xf>
    <xf numFmtId="0" fontId="171" fillId="61" borderId="0" applyNumberFormat="0" applyFont="0" applyBorder="0" applyAlignment="0">
      <alignment horizontal="right"/>
      <protection locked="0"/>
    </xf>
    <xf numFmtId="0" fontId="172" fillId="62" borderId="0" applyNumberFormat="0" applyFont="0" applyBorder="0" applyAlignment="0">
      <alignment horizontal="right" vertical="top"/>
      <protection locked="0"/>
    </xf>
    <xf numFmtId="256" fontId="11" fillId="61" borderId="69" applyNumberFormat="0" applyFont="0" applyBorder="0" applyAlignment="0">
      <alignment horizontal="right" vertical="center"/>
      <protection locked="0"/>
    </xf>
    <xf numFmtId="0" fontId="172" fillId="62" borderId="0" applyNumberFormat="0" applyFont="0" applyBorder="0" applyAlignment="0">
      <alignment horizontal="right" vertical="top"/>
      <protection locked="0"/>
    </xf>
    <xf numFmtId="0" fontId="128" fillId="0" borderId="0" applyFill="0" applyBorder="0">
      <alignment horizontal="right"/>
      <protection locked="0"/>
    </xf>
    <xf numFmtId="257" fontId="173" fillId="0" borderId="55" applyFont="0" applyFill="0" applyBorder="0" applyAlignment="0" applyProtection="0"/>
    <xf numFmtId="258" fontId="11" fillId="0" borderId="0" applyFill="0" applyBorder="0">
      <alignment horizontal="right"/>
      <protection locked="0"/>
    </xf>
    <xf numFmtId="0" fontId="174" fillId="0" borderId="0" applyFill="0" applyBorder="0"/>
    <xf numFmtId="0" fontId="175" fillId="75" borderId="82">
      <alignment horizontal="left" vertical="center" wrapText="1"/>
    </xf>
    <xf numFmtId="0" fontId="110" fillId="0" borderId="0" applyNumberFormat="0" applyFill="0" applyBorder="0" applyProtection="0">
      <alignment horizontal="left" vertical="center"/>
    </xf>
    <xf numFmtId="0" fontId="1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41" fillId="76" borderId="0" applyNumberFormat="0" applyFont="0" applyBorder="0" applyProtection="0"/>
    <xf numFmtId="2" fontId="177" fillId="0" borderId="8"/>
    <xf numFmtId="226" fontId="41" fillId="0" borderId="0" applyFill="0" applyBorder="0" applyAlignment="0"/>
    <xf numFmtId="227" fontId="4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0" fontId="81" fillId="0" borderId="3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35" fillId="0" borderId="27" applyNumberFormat="0" applyFill="0" applyAlignment="0" applyProtection="0"/>
    <xf numFmtId="14" fontId="24" fillId="0" borderId="8" applyFont="0" applyFill="0" applyBorder="0" applyAlignment="0" applyProtection="0"/>
    <xf numFmtId="3" fontId="11" fillId="0" borderId="0"/>
    <xf numFmtId="1" fontId="179" fillId="0" borderId="0"/>
    <xf numFmtId="259" fontId="180" fillId="77" borderId="0" applyBorder="0" applyAlignment="0">
      <alignment horizontal="right"/>
    </xf>
    <xf numFmtId="168"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0" fontId="11" fillId="0" borderId="0" applyFont="0" applyFill="0" applyBorder="0" applyAlignment="0" applyProtection="0"/>
    <xf numFmtId="261" fontId="6" fillId="0" borderId="0" applyFont="0" applyFill="0" applyBorder="0" applyAlignment="0" applyProtection="0"/>
    <xf numFmtId="262" fontId="11" fillId="0" borderId="0" applyFont="0" applyFill="0" applyBorder="0" applyAlignment="0" applyProtection="0"/>
    <xf numFmtId="14" fontId="105" fillId="0" borderId="0" applyFont="0" applyFill="0" applyBorder="0" applyAlignment="0" applyProtection="0"/>
    <xf numFmtId="3" fontId="110" fillId="0" borderId="0"/>
    <xf numFmtId="3" fontId="110" fillId="0" borderId="0"/>
    <xf numFmtId="0" fontId="11" fillId="0" borderId="0" applyFont="0" applyFill="0" applyBorder="0" applyAlignment="0" applyProtection="0"/>
    <xf numFmtId="0" fontId="11" fillId="0" borderId="0" applyFont="0" applyFill="0" applyBorder="0" applyAlignment="0" applyProtection="0"/>
    <xf numFmtId="263" fontId="11" fillId="0" borderId="0" applyFont="0" applyFill="0" applyBorder="0" applyAlignment="0" applyProtection="0"/>
    <xf numFmtId="264" fontId="6" fillId="0" borderId="0" applyFont="0" applyFill="0" applyBorder="0" applyAlignment="0" applyProtection="0"/>
    <xf numFmtId="265" fontId="11" fillId="0" borderId="0" applyFont="0" applyFill="0" applyBorder="0" applyAlignment="0" applyProtection="0"/>
    <xf numFmtId="266" fontId="11" fillId="0" borderId="0">
      <protection locked="0"/>
    </xf>
    <xf numFmtId="248" fontId="17" fillId="61" borderId="0">
      <alignment horizontal="center"/>
    </xf>
    <xf numFmtId="267" fontId="132" fillId="0" borderId="0" applyFont="0" applyFill="0" applyBorder="0" applyProtection="0">
      <alignment horizontal="right"/>
    </xf>
    <xf numFmtId="268" fontId="11" fillId="0" borderId="0" applyFont="0" applyFill="0" applyBorder="0" applyAlignment="0" applyProtection="0"/>
    <xf numFmtId="179" fontId="11" fillId="0" borderId="0" applyFont="0" applyFill="0" applyBorder="0" applyAlignment="0" applyProtection="0"/>
    <xf numFmtId="0" fontId="131" fillId="0" borderId="0" applyFont="0" applyFill="0" applyBorder="0" applyProtection="0">
      <alignment horizontal="right"/>
    </xf>
    <xf numFmtId="0" fontId="131" fillId="0" borderId="0" applyFont="0" applyFill="0" applyBorder="0" applyProtection="0">
      <alignment horizontal="right"/>
    </xf>
    <xf numFmtId="0" fontId="131" fillId="0" borderId="0" applyFont="0" applyFill="0" applyBorder="0" applyProtection="0">
      <alignment horizontal="right"/>
    </xf>
    <xf numFmtId="0" fontId="11" fillId="0" borderId="0" applyFont="0" applyFill="0" applyBorder="0" applyProtection="0">
      <alignment horizontal="right"/>
    </xf>
    <xf numFmtId="172" fontId="11" fillId="0" borderId="0" applyFont="0" applyFill="0" applyBorder="0" applyProtection="0">
      <alignment horizontal="right"/>
    </xf>
    <xf numFmtId="0" fontId="11" fillId="0" borderId="67" applyBorder="0" applyAlignment="0" applyProtection="0">
      <alignment horizontal="center"/>
    </xf>
    <xf numFmtId="0" fontId="83" fillId="62"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31" fillId="8" borderId="0" applyNumberFormat="0" applyBorder="0" applyAlignment="0" applyProtection="0"/>
    <xf numFmtId="0" fontId="123" fillId="0" borderId="0"/>
    <xf numFmtId="256" fontId="115" fillId="0" borderId="0" applyNumberFormat="0" applyFont="0" applyFill="0" applyBorder="0" applyAlignment="0" applyProtection="0">
      <alignment vertical="center"/>
    </xf>
    <xf numFmtId="37" fontId="182" fillId="0" borderId="0"/>
    <xf numFmtId="0" fontId="183" fillId="0" borderId="0"/>
    <xf numFmtId="0" fontId="142" fillId="78" borderId="0" applyNumberFormat="0" applyBorder="0" applyAlignment="0">
      <alignment horizontal="right"/>
      <protection hidden="1"/>
    </xf>
    <xf numFmtId="256" fontId="184" fillId="0" borderId="0" applyNumberFormat="0" applyFill="0" applyBorder="0" applyAlignment="0" applyProtection="0">
      <alignment vertical="center"/>
    </xf>
    <xf numFmtId="1" fontId="110" fillId="0" borderId="0"/>
    <xf numFmtId="269" fontId="17" fillId="0" borderId="0" applyFont="0" applyFill="0" applyBorder="0" applyAlignment="0" applyProtection="0">
      <alignment horizontal="right"/>
    </xf>
    <xf numFmtId="270" fontId="185" fillId="0" borderId="0"/>
    <xf numFmtId="37" fontId="104" fillId="79" borderId="0" applyFont="0" applyFill="0" applyBorder="0" applyAlignment="0" applyProtection="0"/>
    <xf numFmtId="196" fontId="11" fillId="0" borderId="0" applyFont="0" applyFill="0" applyBorder="0" applyAlignment="0"/>
    <xf numFmtId="271" fontId="17" fillId="0" borderId="0" applyFont="0" applyFill="0" applyBorder="0" applyAlignment="0"/>
    <xf numFmtId="272" fontId="17" fillId="0" borderId="0" applyFont="0" applyFill="0" applyBorder="0" applyAlignment="0"/>
    <xf numFmtId="271" fontId="17" fillId="0" borderId="0" applyFont="0" applyFill="0" applyBorder="0" applyAlignment="0"/>
    <xf numFmtId="0" fontId="56" fillId="0" borderId="0"/>
    <xf numFmtId="0" fontId="11" fillId="0" borderId="0"/>
    <xf numFmtId="0" fontId="11" fillId="0" borderId="0"/>
    <xf numFmtId="0" fontId="11" fillId="0" borderId="0"/>
    <xf numFmtId="0" fontId="11" fillId="0" borderId="0"/>
    <xf numFmtId="0" fontId="128" fillId="0" borderId="0"/>
    <xf numFmtId="0" fontId="6" fillId="0" borderId="0"/>
    <xf numFmtId="0" fontId="137" fillId="0" borderId="0"/>
    <xf numFmtId="0" fontId="6" fillId="0" borderId="0"/>
    <xf numFmtId="0" fontId="11" fillId="0" borderId="0"/>
    <xf numFmtId="0" fontId="6" fillId="0" borderId="0"/>
    <xf numFmtId="0" fontId="6" fillId="0" borderId="0"/>
    <xf numFmtId="0" fontId="6" fillId="0" borderId="0"/>
    <xf numFmtId="0" fontId="128" fillId="0" borderId="0"/>
    <xf numFmtId="0" fontId="11" fillId="0" borderId="0"/>
    <xf numFmtId="0" fontId="128" fillId="0" borderId="0"/>
    <xf numFmtId="0" fontId="6" fillId="0" borderId="0"/>
    <xf numFmtId="0" fontId="6" fillId="0" borderId="0"/>
    <xf numFmtId="0" fontId="6" fillId="0" borderId="0"/>
    <xf numFmtId="0" fontId="6" fillId="0" borderId="0"/>
    <xf numFmtId="0" fontId="128" fillId="0" borderId="0"/>
    <xf numFmtId="0" fontId="84" fillId="0" borderId="0">
      <alignment vertical="top"/>
    </xf>
    <xf numFmtId="0" fontId="84" fillId="0" borderId="0">
      <alignment vertical="top"/>
    </xf>
    <xf numFmtId="0" fontId="128" fillId="0" borderId="0"/>
    <xf numFmtId="0" fontId="11" fillId="0" borderId="0"/>
    <xf numFmtId="0" fontId="11" fillId="0" borderId="0"/>
    <xf numFmtId="0" fontId="128" fillId="0" borderId="0"/>
    <xf numFmtId="0" fontId="11" fillId="0" borderId="0"/>
    <xf numFmtId="0" fontId="11" fillId="0" borderId="0"/>
    <xf numFmtId="0" fontId="11" fillId="0" borderId="0"/>
    <xf numFmtId="0" fontId="11" fillId="0" borderId="0"/>
    <xf numFmtId="0" fontId="128" fillId="0" borderId="0"/>
    <xf numFmtId="0" fontId="11" fillId="0" borderId="0"/>
    <xf numFmtId="0" fontId="11" fillId="0" borderId="0"/>
    <xf numFmtId="0" fontId="128" fillId="0" borderId="0"/>
    <xf numFmtId="0" fontId="6" fillId="0" borderId="0"/>
    <xf numFmtId="0" fontId="128" fillId="0" borderId="0"/>
    <xf numFmtId="0" fontId="128" fillId="0" borderId="0"/>
    <xf numFmtId="273" fontId="11" fillId="0" borderId="0"/>
    <xf numFmtId="269" fontId="17" fillId="0" borderId="0" applyFont="0" applyFill="0" applyBorder="0" applyAlignment="0" applyProtection="0">
      <alignment horizontal="right"/>
    </xf>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84" fillId="0" borderId="0"/>
    <xf numFmtId="0" fontId="128" fillId="0" borderId="0"/>
    <xf numFmtId="0" fontId="55" fillId="0" borderId="0"/>
    <xf numFmtId="0" fontId="11" fillId="0" borderId="0"/>
    <xf numFmtId="0" fontId="11" fillId="0" borderId="0"/>
    <xf numFmtId="0" fontId="55" fillId="0" borderId="0"/>
    <xf numFmtId="0" fontId="128" fillId="0" borderId="0"/>
    <xf numFmtId="0" fontId="11" fillId="0" borderId="0"/>
    <xf numFmtId="0" fontId="11" fillId="0" borderId="0"/>
    <xf numFmtId="0" fontId="128" fillId="0" borderId="0"/>
    <xf numFmtId="0" fontId="128" fillId="0" borderId="0"/>
    <xf numFmtId="254" fontId="11" fillId="0" borderId="0"/>
    <xf numFmtId="0" fontId="55"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93" fillId="0" borderId="0"/>
    <xf numFmtId="254" fontId="11" fillId="0" borderId="0"/>
    <xf numFmtId="0" fontId="11" fillId="0" borderId="0"/>
    <xf numFmtId="0" fontId="128"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1" fillId="0" borderId="0"/>
    <xf numFmtId="0" fontId="11" fillId="0" borderId="0"/>
    <xf numFmtId="254" fontId="11" fillId="0" borderId="0"/>
    <xf numFmtId="0" fontId="11" fillId="0" borderId="0"/>
    <xf numFmtId="0" fontId="1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55" fillId="0" borderId="0"/>
    <xf numFmtId="254" fontId="11" fillId="0" borderId="0"/>
    <xf numFmtId="0" fontId="128"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0" fontId="128" fillId="0" borderId="0"/>
    <xf numFmtId="0" fontId="128" fillId="0" borderId="0"/>
    <xf numFmtId="0" fontId="128" fillId="0" borderId="0"/>
    <xf numFmtId="0" fontId="128"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6" fillId="0" borderId="0"/>
    <xf numFmtId="269" fontId="17" fillId="0" borderId="0" applyFont="0" applyFill="0" applyBorder="0" applyAlignment="0" applyProtection="0">
      <alignment horizontal="right"/>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164" fontId="105" fillId="0" borderId="0" applyFont="0" applyFill="0" applyBorder="0" applyAlignment="0" applyProtection="0"/>
    <xf numFmtId="0" fontId="155" fillId="0" borderId="0"/>
    <xf numFmtId="0" fontId="11" fillId="0" borderId="0"/>
    <xf numFmtId="0" fontId="135" fillId="0" borderId="0"/>
    <xf numFmtId="0" fontId="135" fillId="0" borderId="0"/>
    <xf numFmtId="0" fontId="128" fillId="0" borderId="0"/>
    <xf numFmtId="0" fontId="128"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128" fillId="0" borderId="0"/>
    <xf numFmtId="0" fontId="6" fillId="0" borderId="0"/>
    <xf numFmtId="0" fontId="6"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93" fillId="0" borderId="0"/>
    <xf numFmtId="0" fontId="128" fillId="0" borderId="0"/>
    <xf numFmtId="0" fontId="135" fillId="0" borderId="0"/>
    <xf numFmtId="0" fontId="135" fillId="0" borderId="0"/>
    <xf numFmtId="0" fontId="128" fillId="0" borderId="0"/>
    <xf numFmtId="0" fontId="1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5" fillId="0" borderId="0"/>
    <xf numFmtId="0" fontId="11" fillId="0" borderId="0"/>
    <xf numFmtId="0" fontId="128" fillId="0" borderId="0"/>
    <xf numFmtId="0" fontId="11" fillId="0" borderId="0"/>
    <xf numFmtId="0" fontId="135" fillId="0" borderId="0"/>
    <xf numFmtId="0" fontId="11" fillId="0" borderId="0"/>
    <xf numFmtId="0" fontId="11" fillId="0" borderId="0"/>
    <xf numFmtId="0" fontId="135" fillId="0" borderId="0"/>
    <xf numFmtId="0" fontId="11" fillId="0" borderId="0"/>
    <xf numFmtId="0" fontId="11" fillId="0" borderId="0"/>
    <xf numFmtId="0" fontId="11" fillId="0" borderId="0"/>
    <xf numFmtId="0" fontId="11" fillId="0" borderId="0"/>
    <xf numFmtId="0" fontId="11" fillId="0" borderId="0"/>
    <xf numFmtId="0" fontId="135" fillId="0" borderId="0"/>
    <xf numFmtId="0" fontId="155" fillId="0" borderId="0"/>
    <xf numFmtId="0" fontId="128" fillId="0" borderId="0"/>
    <xf numFmtId="0" fontId="135" fillId="0" borderId="0"/>
    <xf numFmtId="0" fontId="11" fillId="0" borderId="0"/>
    <xf numFmtId="0" fontId="11" fillId="0" borderId="0"/>
    <xf numFmtId="0" fontId="93" fillId="0" borderId="0"/>
    <xf numFmtId="0" fontId="128" fillId="0" borderId="0"/>
    <xf numFmtId="0" fontId="128" fillId="0" borderId="0"/>
    <xf numFmtId="0" fontId="128" fillId="0" borderId="0"/>
    <xf numFmtId="0" fontId="128"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128" fillId="0" borderId="0"/>
    <xf numFmtId="254" fontId="11" fillId="0" borderId="0"/>
    <xf numFmtId="0" fontId="128"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0" fontId="128" fillId="0" borderId="0"/>
    <xf numFmtId="0" fontId="128" fillId="0" borderId="0"/>
    <xf numFmtId="269" fontId="17" fillId="0" borderId="0" applyFont="0" applyFill="0" applyBorder="0" applyAlignment="0" applyProtection="0">
      <alignment horizontal="right"/>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102" fillId="0" borderId="0"/>
    <xf numFmtId="0" fontId="128" fillId="0" borderId="0"/>
    <xf numFmtId="254" fontId="11" fillId="0" borderId="0"/>
    <xf numFmtId="0" fontId="93"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36" fillId="0" borderId="0"/>
    <xf numFmtId="0" fontId="11" fillId="0" borderId="0"/>
    <xf numFmtId="0" fontId="11" fillId="0" borderId="0"/>
    <xf numFmtId="0" fontId="11" fillId="0" borderId="0"/>
    <xf numFmtId="0" fontId="11" fillId="0" borderId="0"/>
    <xf numFmtId="254" fontId="11" fillId="0" borderId="0"/>
    <xf numFmtId="0" fontId="135" fillId="0" borderId="0"/>
    <xf numFmtId="0" fontId="6" fillId="0" borderId="0"/>
    <xf numFmtId="0" fontId="135" fillId="0" borderId="0"/>
    <xf numFmtId="0" fontId="128"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0" fontId="6" fillId="0" borderId="0"/>
    <xf numFmtId="254" fontId="11" fillId="0" borderId="0"/>
    <xf numFmtId="0" fontId="128" fillId="0" borderId="0"/>
    <xf numFmtId="254" fontId="11" fillId="0" borderId="0"/>
    <xf numFmtId="0" fontId="11" fillId="0" borderId="0"/>
    <xf numFmtId="0" fontId="11" fillId="0" borderId="0"/>
    <xf numFmtId="0" fontId="11" fillId="0" borderId="0"/>
    <xf numFmtId="0" fontId="11" fillId="0" borderId="0"/>
    <xf numFmtId="0" fontId="11" fillId="0" borderId="0"/>
    <xf numFmtId="254" fontId="11" fillId="0" borderId="0"/>
    <xf numFmtId="0" fontId="11" fillId="0" borderId="0"/>
    <xf numFmtId="0" fontId="128"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6"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1" fillId="0" borderId="0"/>
    <xf numFmtId="254" fontId="11" fillId="0" borderId="0"/>
    <xf numFmtId="0"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4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269" fontId="17" fillId="0" borderId="0" applyFont="0" applyFill="0" applyBorder="0" applyAlignment="0" applyProtection="0">
      <alignment horizontal="right"/>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55" fillId="0" borderId="0"/>
    <xf numFmtId="0" fontId="11" fillId="0" borderId="0">
      <alignment wrapText="1"/>
    </xf>
    <xf numFmtId="0" fontId="11" fillId="0" borderId="0">
      <alignment wrapText="1"/>
    </xf>
    <xf numFmtId="0" fontId="93"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1" fillId="0" borderId="0"/>
    <xf numFmtId="254" fontId="11" fillId="0" borderId="0"/>
    <xf numFmtId="0" fontId="6" fillId="0" borderId="0"/>
    <xf numFmtId="0" fontId="11" fillId="0" borderId="0"/>
    <xf numFmtId="0" fontId="6" fillId="0" borderId="0"/>
    <xf numFmtId="0" fontId="128" fillId="0" borderId="0"/>
    <xf numFmtId="254" fontId="11" fillId="0" borderId="0"/>
    <xf numFmtId="0" fontId="128" fillId="0" borderId="0"/>
    <xf numFmtId="254" fontId="11" fillId="0" borderId="0"/>
    <xf numFmtId="0" fontId="11"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269" fontId="17" fillId="0" borderId="0" applyFont="0" applyFill="0" applyBorder="0" applyAlignment="0" applyProtection="0">
      <alignment horizontal="right"/>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11" fillId="0" borderId="0">
      <alignment wrapText="1"/>
    </xf>
    <xf numFmtId="0" fontId="111" fillId="0" borderId="0"/>
    <xf numFmtId="0" fontId="111" fillId="0" borderId="0"/>
    <xf numFmtId="0" fontId="11" fillId="0" borderId="0">
      <alignment wrapText="1"/>
    </xf>
    <xf numFmtId="0" fontId="11" fillId="0" borderId="0">
      <alignment wrapText="1"/>
    </xf>
    <xf numFmtId="0" fontId="11" fillId="0" borderId="0">
      <alignment wrapText="1"/>
    </xf>
    <xf numFmtId="0" fontId="111" fillId="0" borderId="0"/>
    <xf numFmtId="0" fontId="1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6" fillId="0" borderId="0"/>
    <xf numFmtId="254" fontId="11" fillId="0" borderId="0"/>
    <xf numFmtId="0" fontId="11" fillId="0" borderId="0">
      <alignment wrapText="1"/>
    </xf>
    <xf numFmtId="0" fontId="128" fillId="0" borderId="0"/>
    <xf numFmtId="0" fontId="11" fillId="0" borderId="0">
      <alignment wrapText="1"/>
    </xf>
    <xf numFmtId="0" fontId="128"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1" fillId="0" borderId="0">
      <alignment wrapText="1"/>
    </xf>
    <xf numFmtId="254" fontId="11" fillId="0" borderId="0"/>
    <xf numFmtId="0" fontId="11" fillId="0" borderId="0">
      <alignment wrapText="1"/>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69" fontId="17" fillId="0" borderId="0" applyFont="0" applyFill="0" applyBorder="0" applyAlignment="0" applyProtection="0">
      <alignment horizontal="right"/>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11" fillId="0" borderId="0"/>
    <xf numFmtId="0" fontId="55" fillId="0" borderId="0"/>
    <xf numFmtId="0" fontId="84"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11" fillId="0" borderId="0"/>
    <xf numFmtId="0" fontId="11" fillId="0" borderId="0"/>
    <xf numFmtId="0" fontId="11" fillId="0" borderId="0"/>
    <xf numFmtId="0" fontId="11" fillId="0" borderId="0"/>
    <xf numFmtId="0" fontId="84" fillId="0" borderId="0"/>
    <xf numFmtId="0" fontId="84" fillId="0" borderId="0"/>
    <xf numFmtId="254" fontId="1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35" fillId="0" borderId="0"/>
    <xf numFmtId="0" fontId="11" fillId="0" borderId="0"/>
    <xf numFmtId="269" fontId="17" fillId="0" borderId="0" applyFont="0" applyFill="0" applyBorder="0" applyAlignment="0" applyProtection="0">
      <alignment horizontal="right"/>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6"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28"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6" fillId="0" borderId="0"/>
    <xf numFmtId="0" fontId="11" fillId="0" borderId="0"/>
    <xf numFmtId="0" fontId="6" fillId="0" borderId="0"/>
    <xf numFmtId="0" fontId="6" fillId="0" borderId="0"/>
    <xf numFmtId="0" fontId="6" fillId="0" borderId="0"/>
    <xf numFmtId="0" fontId="128" fillId="0" borderId="0"/>
    <xf numFmtId="0" fontId="49" fillId="0" borderId="0"/>
    <xf numFmtId="0" fontId="11" fillId="0" borderId="0"/>
    <xf numFmtId="0" fontId="186" fillId="0" borderId="0"/>
    <xf numFmtId="274" fontId="17" fillId="0" borderId="0" applyFont="0" applyFill="0" applyBorder="0" applyAlignment="0" applyProtection="0"/>
    <xf numFmtId="0" fontId="56" fillId="63" borderId="83"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56" fillId="63" borderId="83" applyNumberFormat="0" applyFont="0" applyAlignment="0" applyProtection="0"/>
    <xf numFmtId="0" fontId="187" fillId="12" borderId="29" applyNumberFormat="0" applyFont="0" applyAlignment="0" applyProtection="0"/>
    <xf numFmtId="0" fontId="111" fillId="12" borderId="29" applyNumberFormat="0" applyFont="0" applyAlignment="0" applyProtection="0"/>
    <xf numFmtId="0" fontId="6" fillId="12" borderId="29" applyNumberFormat="0" applyFont="0" applyAlignment="0" applyProtection="0"/>
    <xf numFmtId="0" fontId="111" fillId="12" borderId="29" applyNumberFormat="0" applyFont="0" applyAlignment="0" applyProtection="0"/>
    <xf numFmtId="0" fontId="6" fillId="12" borderId="29" applyNumberFormat="0" applyFont="0" applyAlignment="0" applyProtection="0"/>
    <xf numFmtId="0" fontId="187" fillId="12" borderId="29" applyNumberFormat="0" applyFont="0" applyAlignment="0" applyProtection="0"/>
    <xf numFmtId="0" fontId="6"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275" fontId="188" fillId="0" borderId="0" applyBorder="0" applyProtection="0">
      <alignment horizontal="right"/>
    </xf>
    <xf numFmtId="275" fontId="189" fillId="80" borderId="0" applyBorder="0" applyProtection="0">
      <alignment horizontal="right"/>
    </xf>
    <xf numFmtId="275" fontId="190" fillId="0" borderId="45" applyBorder="0"/>
    <xf numFmtId="275" fontId="191" fillId="0" borderId="0" applyBorder="0" applyProtection="0">
      <alignment horizontal="right"/>
    </xf>
    <xf numFmtId="276" fontId="191" fillId="0" borderId="0" applyBorder="0" applyProtection="0">
      <alignment horizontal="right"/>
    </xf>
    <xf numFmtId="276" fontId="192" fillId="80" borderId="0" applyProtection="0">
      <alignment horizontal="right"/>
    </xf>
    <xf numFmtId="37" fontId="109" fillId="0" borderId="0" applyFill="0" applyBorder="0" applyProtection="0">
      <alignment horizontal="right"/>
    </xf>
    <xf numFmtId="207" fontId="104" fillId="0" borderId="0" applyFont="0" applyFill="0" applyBorder="0" applyProtection="0">
      <alignment horizontal="right"/>
    </xf>
    <xf numFmtId="277" fontId="188" fillId="0" borderId="0" applyFill="0" applyBorder="0" applyProtection="0"/>
    <xf numFmtId="0" fontId="122" fillId="61" borderId="0">
      <alignment horizontal="right"/>
    </xf>
    <xf numFmtId="0" fontId="11" fillId="0" borderId="0">
      <alignment horizontal="right"/>
    </xf>
    <xf numFmtId="0" fontId="86" fillId="58" borderId="84" applyNumberFormat="0" applyAlignment="0" applyProtection="0"/>
    <xf numFmtId="0" fontId="86" fillId="58" borderId="84"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33" fillId="10" borderId="26" applyNumberFormat="0" applyAlignment="0" applyProtection="0"/>
    <xf numFmtId="0" fontId="194" fillId="0" borderId="0" applyProtection="0">
      <alignment horizontal="left"/>
    </xf>
    <xf numFmtId="0" fontId="194" fillId="0" borderId="0" applyFill="0" applyBorder="0" applyProtection="0">
      <alignment horizontal="left"/>
    </xf>
    <xf numFmtId="0" fontId="195" fillId="0" borderId="0" applyFill="0" applyBorder="0" applyProtection="0">
      <alignment horizontal="left"/>
    </xf>
    <xf numFmtId="1" fontId="196" fillId="0" borderId="0" applyProtection="0">
      <alignment horizontal="right" vertical="center"/>
    </xf>
    <xf numFmtId="256" fontId="197" fillId="0" borderId="8">
      <alignment vertical="center"/>
    </xf>
    <xf numFmtId="2" fontId="116" fillId="0" borderId="0"/>
    <xf numFmtId="171" fontId="198" fillId="0" borderId="0" applyFill="0" applyBorder="0" applyAlignment="0" applyProtection="0"/>
    <xf numFmtId="228" fontId="11" fillId="0" borderId="0" applyFont="0" applyFill="0" applyBorder="0" applyAlignment="0" applyProtection="0"/>
    <xf numFmtId="278" fontId="41" fillId="0" borderId="0" applyFont="0" applyFill="0" applyBorder="0" applyAlignment="0" applyProtection="0"/>
    <xf numFmtId="279" fontId="22" fillId="61" borderId="40" applyFill="0" applyBorder="0" applyAlignment="0" applyProtection="0">
      <alignment horizontal="right"/>
      <protection locked="0"/>
    </xf>
    <xf numFmtId="280" fontId="22" fillId="60" borderId="0" applyFill="0" applyBorder="0" applyAlignment="0" applyProtection="0">
      <protection hidden="1"/>
    </xf>
    <xf numFmtId="10" fontId="11" fillId="0" borderId="0" applyFont="0" applyFill="0" applyBorder="0" applyAlignment="0" applyProtection="0"/>
    <xf numFmtId="10" fontId="11" fillId="0" borderId="0" applyFont="0" applyFill="0" applyBorder="0" applyAlignment="0" applyProtection="0"/>
    <xf numFmtId="281" fontId="188" fillId="0" borderId="0" applyBorder="0" applyProtection="0">
      <alignment horizontal="right"/>
    </xf>
    <xf numFmtId="281" fontId="189" fillId="80" borderId="0" applyProtection="0">
      <alignment horizontal="right"/>
    </xf>
    <xf numFmtId="281" fontId="191" fillId="0" borderId="0" applyFont="0" applyBorder="0" applyProtection="0">
      <alignment horizontal="right"/>
    </xf>
    <xf numFmtId="170"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1" fillId="0" borderId="0" applyFont="0" applyFill="0" applyBorder="0" applyAlignment="0" applyProtection="0"/>
    <xf numFmtId="9" fontId="84" fillId="0" borderId="0" applyFont="0" applyFill="0" applyBorder="0" applyAlignment="0" applyProtection="0"/>
    <xf numFmtId="9" fontId="56" fillId="0" borderId="0" applyFont="0" applyFill="0" applyBorder="0" applyAlignment="0" applyProtection="0"/>
    <xf numFmtId="9" fontId="6" fillId="0" borderId="0" applyFont="0" applyFill="0" applyBorder="0" applyAlignment="0" applyProtection="0"/>
    <xf numFmtId="9" fontId="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82" fontId="116" fillId="0" borderId="0" applyFont="0" applyFill="0" applyBorder="0" applyProtection="0">
      <alignment horizontal="right"/>
    </xf>
    <xf numFmtId="9" fontId="11" fillId="0" borderId="0"/>
    <xf numFmtId="283" fontId="11" fillId="0" borderId="0" applyFill="0" applyBorder="0">
      <alignment horizontal="right"/>
      <protection locked="0"/>
    </xf>
    <xf numFmtId="1" fontId="110" fillId="0" borderId="0"/>
    <xf numFmtId="266" fontId="11" fillId="0" borderId="0">
      <protection locked="0"/>
    </xf>
    <xf numFmtId="171" fontId="11" fillId="0" borderId="0" applyFont="0" applyFill="0" applyBorder="0" applyAlignment="0" applyProtection="0"/>
    <xf numFmtId="226" fontId="41" fillId="0" borderId="0" applyFill="0" applyBorder="0" applyAlignment="0"/>
    <xf numFmtId="227" fontId="4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10" fontId="116" fillId="0" borderId="0"/>
    <xf numFmtId="10" fontId="116" fillId="75" borderId="0"/>
    <xf numFmtId="9" fontId="116" fillId="0" borderId="0" applyFont="0" applyFill="0" applyBorder="0" applyAlignment="0" applyProtection="0"/>
    <xf numFmtId="172" fontId="84" fillId="0" borderId="0"/>
    <xf numFmtId="284" fontId="199" fillId="60" borderId="0" applyBorder="0" applyAlignment="0">
      <protection hidden="1"/>
    </xf>
    <xf numFmtId="1" fontId="199" fillId="60" borderId="0">
      <alignment horizontal="center"/>
    </xf>
    <xf numFmtId="0" fontId="128" fillId="0" borderId="0" applyNumberFormat="0" applyFont="0" applyFill="0" applyBorder="0" applyAlignment="0" applyProtection="0">
      <alignment horizontal="left"/>
    </xf>
    <xf numFmtId="15" fontId="128" fillId="0" borderId="0" applyFont="0" applyFill="0" applyBorder="0" applyAlignment="0" applyProtection="0"/>
    <xf numFmtId="4" fontId="128" fillId="0" borderId="0" applyFont="0" applyFill="0" applyBorder="0" applyAlignment="0" applyProtection="0"/>
    <xf numFmtId="0" fontId="175" fillId="0" borderId="2">
      <alignment horizontal="center"/>
    </xf>
    <xf numFmtId="3" fontId="128" fillId="0" borderId="0" applyFont="0" applyFill="0" applyBorder="0" applyAlignment="0" applyProtection="0"/>
    <xf numFmtId="0" fontId="128" fillId="81" borderId="0" applyNumberFormat="0" applyFont="0" applyBorder="0" applyAlignment="0" applyProtection="0"/>
    <xf numFmtId="0" fontId="128" fillId="0" borderId="0">
      <alignment horizontal="right"/>
      <protection locked="0"/>
    </xf>
    <xf numFmtId="196" fontId="200" fillId="0" borderId="0" applyNumberFormat="0" applyFill="0" applyBorder="0" applyAlignment="0" applyProtection="0">
      <alignment horizontal="left"/>
    </xf>
    <xf numFmtId="0" fontId="201" fillId="71" borderId="0"/>
    <xf numFmtId="0" fontId="110" fillId="0" borderId="0" applyNumberFormat="0" applyFill="0" applyBorder="0" applyProtection="0">
      <alignment horizontal="right" vertical="center"/>
    </xf>
    <xf numFmtId="0" fontId="202" fillId="0" borderId="85">
      <alignment vertical="center"/>
    </xf>
    <xf numFmtId="175" fontId="11" fillId="0" borderId="0" applyFill="0" applyBorder="0">
      <alignment horizontal="right"/>
      <protection hidden="1"/>
    </xf>
    <xf numFmtId="0" fontId="203" fillId="70" borderId="40">
      <alignment horizontal="center" vertical="center" wrapText="1"/>
      <protection hidden="1"/>
    </xf>
    <xf numFmtId="0" fontId="128" fillId="82" borderId="86"/>
    <xf numFmtId="0" fontId="41" fillId="83" borderId="0" applyNumberFormat="0" applyFont="0" applyBorder="0" applyAlignment="0" applyProtection="0"/>
    <xf numFmtId="167" fontId="204" fillId="0" borderId="0" applyFill="0" applyBorder="0" applyAlignment="0" applyProtection="0"/>
    <xf numFmtId="168" fontId="205" fillId="0" borderId="0"/>
    <xf numFmtId="0" fontId="17" fillId="0" borderId="0"/>
    <xf numFmtId="0" fontId="206" fillId="0" borderId="0">
      <alignment horizontal="right"/>
    </xf>
    <xf numFmtId="0" fontId="146" fillId="0" borderId="0">
      <alignment horizontal="left"/>
    </xf>
    <xf numFmtId="171" fontId="207" fillId="0" borderId="81"/>
    <xf numFmtId="285" fontId="115" fillId="77" borderId="0" applyFont="0" applyBorder="0"/>
    <xf numFmtId="216" fontId="109" fillId="0" borderId="0" applyNumberFormat="0" applyFill="0">
      <alignment horizontal="left" vertical="center" wrapText="1"/>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11" fillId="0" borderId="0">
      <alignment vertical="top"/>
    </xf>
    <xf numFmtId="168" fontId="11" fillId="0" borderId="0" applyFont="0" applyFill="0" applyBorder="0" applyAlignment="0" applyProtection="0"/>
    <xf numFmtId="0" fontId="142" fillId="0" borderId="0">
      <alignment vertical="top"/>
    </xf>
    <xf numFmtId="0" fontId="41" fillId="0" borderId="0">
      <alignment vertical="top"/>
    </xf>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69" fontId="11" fillId="0" borderId="0" applyFont="0" applyFill="0" applyBorder="0" applyAlignment="0" applyProtection="0"/>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08" fillId="83" borderId="40" applyNumberFormat="0" applyProtection="0">
      <alignment horizontal="center" vertical="center"/>
    </xf>
    <xf numFmtId="0" fontId="41" fillId="0" borderId="0">
      <alignment vertical="top"/>
    </xf>
    <xf numFmtId="0" fontId="14" fillId="83" borderId="40" applyNumberFormat="0" applyProtection="0">
      <alignment horizontal="center" vertical="center"/>
    </xf>
    <xf numFmtId="0" fontId="41" fillId="0" borderId="0">
      <alignment vertical="top"/>
    </xf>
    <xf numFmtId="0" fontId="41" fillId="0" borderId="0">
      <alignment vertical="top"/>
    </xf>
    <xf numFmtId="0" fontId="94" fillId="0" borderId="0" applyNumberFormat="0" applyFill="0" applyBorder="0" applyAlignment="0" applyProtection="0"/>
    <xf numFmtId="0" fontId="41" fillId="0" borderId="0">
      <alignment vertical="top"/>
    </xf>
    <xf numFmtId="0" fontId="14" fillId="64" borderId="40" applyNumberFormat="0" applyProtection="0">
      <alignment horizontal="left" vertical="center" wrapText="1"/>
    </xf>
    <xf numFmtId="0" fontId="41" fillId="0" borderId="0">
      <alignment vertical="top"/>
    </xf>
    <xf numFmtId="0" fontId="41" fillId="0" borderId="0">
      <alignment vertical="top"/>
    </xf>
    <xf numFmtId="0" fontId="15" fillId="0" borderId="0" applyNumberFormat="0" applyFill="0" applyBorder="0" applyAlignment="0" applyProtection="0"/>
    <xf numFmtId="0" fontId="11" fillId="5" borderId="40" applyNumberFormat="0" applyProtection="0">
      <alignment horizontal="left" vertical="center" wrapText="1"/>
    </xf>
    <xf numFmtId="0" fontId="11" fillId="5" borderId="40" applyNumberFormat="0" applyProtection="0">
      <alignment horizontal="left" vertical="center" wrapText="1"/>
    </xf>
    <xf numFmtId="0" fontId="41" fillId="0" borderId="0">
      <alignment vertical="top"/>
    </xf>
    <xf numFmtId="0" fontId="14" fillId="64" borderId="40" applyNumberFormat="0" applyProtection="0">
      <alignment horizontal="left" vertical="center" wrapText="1"/>
    </xf>
    <xf numFmtId="0" fontId="41" fillId="0" borderId="0">
      <alignment vertical="top"/>
    </xf>
    <xf numFmtId="0" fontId="41" fillId="0" borderId="0">
      <alignment vertical="top"/>
    </xf>
    <xf numFmtId="0" fontId="209" fillId="84" borderId="0" applyNumberFormat="0" applyBorder="0" applyAlignment="0" applyProtection="0"/>
    <xf numFmtId="0" fontId="41" fillId="0" borderId="0">
      <alignment vertical="top"/>
    </xf>
    <xf numFmtId="0" fontId="41" fillId="0" borderId="0">
      <alignment vertical="top"/>
    </xf>
    <xf numFmtId="0" fontId="41" fillId="0" borderId="0">
      <alignment vertical="top"/>
    </xf>
    <xf numFmtId="170" fontId="108"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200" fontId="11"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69" fontId="11"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286" fontId="116"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286" fontId="116"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84" fillId="0" borderId="0" applyNumberFormat="0" applyBorder="0" applyAlignment="0"/>
    <xf numFmtId="0" fontId="210" fillId="0" borderId="0" applyNumberFormat="0" applyBorder="0" applyAlignment="0"/>
    <xf numFmtId="0" fontId="211" fillId="0" borderId="0" applyNumberFormat="0" applyBorder="0" applyAlignment="0"/>
    <xf numFmtId="0" fontId="124" fillId="0" borderId="0" applyNumberFormat="0" applyFill="0" applyBorder="0" applyProtection="0">
      <alignment horizontal="left" vertical="center"/>
    </xf>
    <xf numFmtId="0" fontId="124" fillId="0" borderId="45" applyNumberFormat="0" applyFill="0" applyProtection="0">
      <alignment horizontal="left" vertical="center"/>
    </xf>
    <xf numFmtId="287" fontId="115" fillId="85" borderId="0" applyNumberFormat="0" applyFont="0" applyBorder="0">
      <alignment horizontal="center" vertical="center"/>
      <protection locked="0"/>
    </xf>
    <xf numFmtId="9" fontId="11" fillId="0" borderId="0"/>
    <xf numFmtId="0" fontId="125" fillId="0" borderId="0" applyFill="0" applyBorder="0" applyProtection="0">
      <alignment horizontal="center" vertical="center"/>
    </xf>
    <xf numFmtId="0" fontId="212" fillId="0" borderId="0" applyBorder="0" applyProtection="0">
      <alignment vertical="center"/>
    </xf>
    <xf numFmtId="172" fontId="11" fillId="0" borderId="8" applyBorder="0" applyProtection="0">
      <alignment horizontal="right" vertical="center"/>
    </xf>
    <xf numFmtId="0" fontId="213" fillId="86" borderId="0" applyBorder="0" applyProtection="0">
      <alignment horizontal="centerContinuous" vertical="center"/>
    </xf>
    <xf numFmtId="0" fontId="213" fillId="84" borderId="8" applyBorder="0" applyProtection="0">
      <alignment horizontal="centerContinuous" vertical="center"/>
    </xf>
    <xf numFmtId="0" fontId="214" fillId="0" borderId="0"/>
    <xf numFmtId="0" fontId="125" fillId="0" borderId="0" applyFill="0" applyBorder="0" applyProtection="0"/>
    <xf numFmtId="0" fontId="186" fillId="0" borderId="0"/>
    <xf numFmtId="0" fontId="215" fillId="0" borderId="0" applyFill="0" applyBorder="0" applyProtection="0">
      <alignment horizontal="left"/>
    </xf>
    <xf numFmtId="0" fontId="216" fillId="0" borderId="0" applyFill="0" applyBorder="0" applyProtection="0">
      <alignment horizontal="left" vertical="top"/>
    </xf>
    <xf numFmtId="0" fontId="46" fillId="0" borderId="0">
      <alignment horizontal="centerContinuous"/>
    </xf>
    <xf numFmtId="256" fontId="11" fillId="5" borderId="87" applyNumberFormat="0" applyAlignment="0">
      <alignment vertical="center"/>
    </xf>
    <xf numFmtId="256" fontId="217" fillId="87" borderId="88" applyNumberFormat="0" applyBorder="0" applyAlignment="0" applyProtection="0">
      <alignment vertical="center"/>
    </xf>
    <xf numFmtId="256" fontId="11" fillId="5" borderId="87" applyNumberFormat="0" applyProtection="0">
      <alignment horizontal="centerContinuous" vertical="center"/>
    </xf>
    <xf numFmtId="256" fontId="218" fillId="88" borderId="0" applyNumberFormat="0" applyBorder="0" applyAlignment="0" applyProtection="0">
      <alignment vertical="center"/>
    </xf>
    <xf numFmtId="256" fontId="11" fillId="87" borderId="0" applyBorder="0" applyAlignment="0" applyProtection="0">
      <alignment vertical="center"/>
    </xf>
    <xf numFmtId="49" fontId="109" fillId="0" borderId="8">
      <alignment vertical="center"/>
    </xf>
    <xf numFmtId="0" fontId="219" fillId="0" borderId="0"/>
    <xf numFmtId="0" fontId="220" fillId="0" borderId="0"/>
    <xf numFmtId="49" fontId="84" fillId="0" borderId="0" applyFill="0" applyBorder="0" applyAlignment="0"/>
    <xf numFmtId="288" fontId="41" fillId="0" borderId="0" applyFill="0" applyBorder="0" applyAlignment="0"/>
    <xf numFmtId="289" fontId="41" fillId="0" borderId="0" applyFill="0" applyBorder="0" applyAlignment="0"/>
    <xf numFmtId="0" fontId="105" fillId="0" borderId="0" applyNumberFormat="0" applyFont="0" applyFill="0" applyBorder="0" applyProtection="0">
      <alignment horizontal="left" vertical="top" wrapText="1"/>
    </xf>
    <xf numFmtId="18" fontId="17" fillId="0" borderId="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40" fontId="221" fillId="0" borderId="0"/>
    <xf numFmtId="0" fontId="222" fillId="0" borderId="0" applyNumberFormat="0" applyBorder="0" applyAlignment="0" applyProtection="0"/>
    <xf numFmtId="0" fontId="222" fillId="0" borderId="0" applyNumberFormat="0" applyBorder="0" applyAlignment="0" applyProtection="0"/>
    <xf numFmtId="290" fontId="223" fillId="84" borderId="0" applyNumberFormat="0" applyProtection="0">
      <alignment horizontal="left" vertical="center"/>
    </xf>
    <xf numFmtId="0" fontId="224" fillId="0" borderId="0" applyNumberFormat="0" applyProtection="0">
      <alignment horizontal="left" vertical="center"/>
    </xf>
    <xf numFmtId="0" fontId="225" fillId="0" borderId="0">
      <alignment horizontal="left"/>
    </xf>
    <xf numFmtId="0" fontId="128" fillId="0" borderId="0" applyBorder="0"/>
    <xf numFmtId="1" fontId="41" fillId="74" borderId="0" applyNumberFormat="0" applyFont="0" applyBorder="0" applyProtection="0">
      <alignment horizontal="left"/>
    </xf>
    <xf numFmtId="291" fontId="11" fillId="0" borderId="0" applyNumberFormat="0" applyFill="0" applyBorder="0" applyProtection="0">
      <alignment vertical="top"/>
    </xf>
    <xf numFmtId="0" fontId="89" fillId="0" borderId="89" applyNumberFormat="0" applyFill="0" applyAlignment="0" applyProtection="0"/>
    <xf numFmtId="0" fontId="39" fillId="0" borderId="30" applyNumberFormat="0" applyFill="0" applyAlignment="0" applyProtection="0"/>
    <xf numFmtId="0" fontId="89" fillId="0" borderId="89"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7" fillId="0" borderId="30" applyNumberFormat="0" applyFill="0" applyAlignment="0" applyProtection="0"/>
    <xf numFmtId="39" fontId="11" fillId="0" borderId="72">
      <protection locked="0"/>
    </xf>
    <xf numFmtId="165" fontId="46" fillId="0" borderId="72" applyFill="0" applyAlignment="0" applyProtection="0"/>
    <xf numFmtId="172" fontId="24" fillId="0" borderId="48"/>
    <xf numFmtId="0" fontId="228" fillId="0" borderId="0">
      <alignment horizontal="fill"/>
    </xf>
    <xf numFmtId="292" fontId="199" fillId="60" borderId="4" applyBorder="0">
      <alignment horizontal="right" vertical="center"/>
      <protection locked="0"/>
    </xf>
    <xf numFmtId="167" fontId="11" fillId="0" borderId="0" applyFont="0" applyFill="0" applyBorder="0" applyAlignment="0" applyProtection="0"/>
    <xf numFmtId="293"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291" fontId="229" fillId="87" borderId="0" applyNumberFormat="0" applyBorder="0" applyProtection="0">
      <alignment horizontal="centerContinuous" vertical="center"/>
    </xf>
    <xf numFmtId="0" fontId="9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37" fillId="0" borderId="0" applyNumberFormat="0" applyFill="0" applyBorder="0" applyAlignment="0" applyProtection="0"/>
    <xf numFmtId="0" fontId="231" fillId="0" borderId="0"/>
    <xf numFmtId="1" fontId="231" fillId="0" borderId="0"/>
    <xf numFmtId="294" fontId="116" fillId="0" borderId="0" applyFont="0" applyFill="0" applyBorder="0" applyProtection="0">
      <alignment horizontal="right"/>
    </xf>
    <xf numFmtId="295" fontId="11" fillId="0" borderId="0"/>
    <xf numFmtId="296" fontId="188" fillId="0" borderId="0" applyFill="0" applyBorder="0" applyProtection="0"/>
    <xf numFmtId="0" fontId="11" fillId="0" borderId="0">
      <alignment horizontal="center"/>
    </xf>
    <xf numFmtId="297" fontId="109" fillId="0" borderId="8">
      <alignment horizontal="right"/>
    </xf>
    <xf numFmtId="298" fontId="11" fillId="0" borderId="0" applyFont="0" applyFill="0" applyBorder="0" applyAlignment="0" applyProtection="0"/>
    <xf numFmtId="299" fontId="118" fillId="0" borderId="0" applyFont="0" applyFill="0" applyBorder="0" applyProtection="0">
      <alignment horizontal="right"/>
    </xf>
    <xf numFmtId="0" fontId="11" fillId="0" borderId="0"/>
    <xf numFmtId="273" fontId="11" fillId="0" borderId="0"/>
    <xf numFmtId="0" fontId="45" fillId="0" borderId="0"/>
    <xf numFmtId="44" fontId="6" fillId="0" borderId="0" applyFont="0" applyFill="0" applyBorder="0" applyAlignment="0" applyProtection="0"/>
    <xf numFmtId="43" fontId="6" fillId="0" borderId="0" applyFont="0" applyFill="0" applyBorder="0" applyAlignment="0" applyProtection="0"/>
    <xf numFmtId="0" fontId="89" fillId="0" borderId="99" applyNumberFormat="0" applyFill="0" applyAlignment="0" applyProtection="0"/>
    <xf numFmtId="0" fontId="89" fillId="0" borderId="99" applyNumberFormat="0" applyFill="0" applyAlignment="0" applyProtection="0"/>
    <xf numFmtId="256" fontId="217" fillId="87" borderId="98" applyNumberFormat="0" applyBorder="0" applyAlignment="0" applyProtection="0">
      <alignment vertical="center"/>
    </xf>
    <xf numFmtId="0" fontId="86" fillId="58" borderId="97" applyNumberFormat="0" applyAlignment="0" applyProtection="0"/>
    <xf numFmtId="0" fontId="86" fillId="58" borderId="97" applyNumberFormat="0" applyAlignment="0" applyProtection="0"/>
    <xf numFmtId="0" fontId="56" fillId="63" borderId="96" applyNumberFormat="0" applyFont="0" applyAlignment="0" applyProtection="0"/>
    <xf numFmtId="0" fontId="56" fillId="63" borderId="96" applyNumberFormat="0" applyFont="0" applyAlignment="0" applyProtection="0"/>
    <xf numFmtId="0" fontId="11" fillId="0" borderId="0"/>
    <xf numFmtId="0" fontId="105" fillId="0" borderId="90" applyNumberFormat="0" applyFont="0" applyFill="0" applyAlignment="0" applyProtection="0"/>
    <xf numFmtId="0" fontId="6" fillId="0" borderId="0"/>
    <xf numFmtId="0" fontId="11" fillId="0" borderId="0"/>
    <xf numFmtId="0" fontId="11" fillId="0" borderId="0"/>
    <xf numFmtId="245" fontId="116" fillId="0" borderId="0" applyFont="0" applyFill="0" applyBorder="0" applyProtection="0">
      <alignment horizontal="right"/>
    </xf>
    <xf numFmtId="0" fontId="11" fillId="0" borderId="0"/>
    <xf numFmtId="273" fontId="11" fillId="0" borderId="0"/>
    <xf numFmtId="0" fontId="6" fillId="0" borderId="0"/>
    <xf numFmtId="0" fontId="6" fillId="0" borderId="0"/>
    <xf numFmtId="273" fontId="11" fillId="0" borderId="0"/>
    <xf numFmtId="0" fontId="175" fillId="75" borderId="95">
      <alignment horizontal="left" vertical="center" wrapText="1"/>
    </xf>
    <xf numFmtId="0" fontId="79" fillId="45" borderId="92" applyNumberFormat="0" applyAlignment="0" applyProtection="0"/>
    <xf numFmtId="0" fontId="79" fillId="45" borderId="92" applyNumberFormat="0" applyAlignment="0" applyProtection="0"/>
    <xf numFmtId="1" fontId="152" fillId="72" borderId="91" applyNumberFormat="0" applyBorder="0" applyAlignment="0">
      <alignment horizontal="centerContinuous" vertical="center"/>
      <protection locked="0"/>
    </xf>
    <xf numFmtId="0" fontId="11" fillId="0" borderId="0"/>
    <xf numFmtId="245" fontId="116" fillId="0" borderId="0" applyFont="0" applyFill="0" applyBorder="0" applyProtection="0">
      <alignment horizontal="right"/>
    </xf>
    <xf numFmtId="0" fontId="11" fillId="0" borderId="0"/>
    <xf numFmtId="166" fontId="143" fillId="0" borderId="94">
      <protection locked="0"/>
    </xf>
    <xf numFmtId="0" fontId="11" fillId="0" borderId="0"/>
    <xf numFmtId="0" fontId="6" fillId="0" borderId="0"/>
    <xf numFmtId="0" fontId="62" fillId="58" borderId="92" applyNumberFormat="0" applyAlignment="0" applyProtection="0"/>
    <xf numFmtId="0" fontId="62" fillId="58" borderId="92" applyNumberFormat="0" applyAlignment="0" applyProtection="0"/>
    <xf numFmtId="224" fontId="118" fillId="67" borderId="93"/>
    <xf numFmtId="0" fontId="11" fillId="0" borderId="0"/>
    <xf numFmtId="0" fontId="11" fillId="65" borderId="92" applyNumberFormat="0">
      <alignment horizontal="left" vertical="center"/>
    </xf>
    <xf numFmtId="0" fontId="11" fillId="64" borderId="92" applyNumberFormat="0">
      <alignment horizontal="centerContinuous" vertical="center" wrapText="1"/>
    </xf>
    <xf numFmtId="164" fontId="105"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applyNumberFormat="0" applyFill="0" applyBorder="0" applyAlignment="0" applyProtection="0"/>
    <xf numFmtId="0" fontId="11" fillId="0" borderId="0"/>
    <xf numFmtId="0" fontId="11" fillId="5" borderId="148" applyNumberFormat="0" applyProtection="0">
      <alignment horizontal="left" vertical="center"/>
    </xf>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9" fontId="4" fillId="0" borderId="0" applyFont="0" applyFill="0" applyBorder="0" applyAlignment="0" applyProtection="0"/>
    <xf numFmtId="43" fontId="239" fillId="0" borderId="0" applyFont="0" applyFill="0" applyBorder="0" applyAlignment="0" applyProtection="0"/>
    <xf numFmtId="0" fontId="239" fillId="0" borderId="0"/>
    <xf numFmtId="9" fontId="4" fillId="0" borderId="0" applyFont="0" applyFill="0" applyBorder="0" applyAlignment="0" applyProtection="0"/>
    <xf numFmtId="0" fontId="41" fillId="0" borderId="0"/>
    <xf numFmtId="170" fontId="41" fillId="0" borderId="0" applyFont="0" applyFill="0" applyBorder="0" applyAlignment="0" applyProtection="0"/>
    <xf numFmtId="43" fontId="56" fillId="0" borderId="0" applyFont="0" applyFill="0" applyBorder="0" applyAlignment="0" applyProtection="0"/>
    <xf numFmtId="169" fontId="11" fillId="0" borderId="0" applyFont="0" applyFill="0" applyBorder="0" applyAlignment="0" applyProtection="0"/>
    <xf numFmtId="0" fontId="4" fillId="0" borderId="0"/>
    <xf numFmtId="0" fontId="4" fillId="0" borderId="0"/>
    <xf numFmtId="0" fontId="55" fillId="0" borderId="0"/>
    <xf numFmtId="0" fontId="41" fillId="0" borderId="0"/>
    <xf numFmtId="0" fontId="55" fillId="0" borderId="0"/>
    <xf numFmtId="9" fontId="41" fillId="0" borderId="0" applyFont="0" applyFill="0" applyBorder="0" applyAlignment="0" applyProtection="0"/>
    <xf numFmtId="9" fontId="41" fillId="0" borderId="0" applyFont="0" applyFill="0" applyBorder="0" applyAlignment="0" applyProtection="0"/>
    <xf numFmtId="0" fontId="11" fillId="0" borderId="0"/>
    <xf numFmtId="0" fontId="11" fillId="0" borderId="0"/>
    <xf numFmtId="0" fontId="4" fillId="0" borderId="0"/>
    <xf numFmtId="0" fontId="4" fillId="0" borderId="0"/>
    <xf numFmtId="43" fontId="11"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11" fillId="5" borderId="148" applyNumberFormat="0" applyProtection="0">
      <alignment horizontal="left" vertical="center"/>
    </xf>
    <xf numFmtId="0" fontId="11" fillId="5" borderId="148" applyNumberFormat="0" applyProtection="0">
      <alignment horizontal="left" vertical="center"/>
    </xf>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1" fillId="0" borderId="0"/>
    <xf numFmtId="170" fontId="41"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62" fillId="58" borderId="92" applyNumberFormat="0" applyAlignment="0" applyProtection="0"/>
    <xf numFmtId="0" fontId="89" fillId="0" borderId="99" applyNumberFormat="0" applyFill="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0" fontId="17" fillId="61" borderId="148" applyNumberFormat="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86" fillId="58" borderId="97" applyNumberFormat="0" applyAlignment="0" applyProtection="0"/>
    <xf numFmtId="0" fontId="79" fillId="45" borderId="92" applyNumberFormat="0" applyAlignment="0" applyProtection="0"/>
    <xf numFmtId="0" fontId="11" fillId="63" borderId="96" applyNumberFormat="0" applyFont="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79" fillId="45" borderId="92" applyNumberFormat="0" applyAlignment="0" applyProtection="0"/>
    <xf numFmtId="0" fontId="79" fillId="45" borderId="92" applyNumberFormat="0" applyAlignment="0" applyProtection="0"/>
    <xf numFmtId="0" fontId="79" fillId="45" borderId="92" applyNumberFormat="0" applyAlignment="0" applyProtection="0"/>
    <xf numFmtId="0" fontId="79" fillId="45" borderId="92" applyNumberFormat="0" applyAlignment="0" applyProtection="0"/>
    <xf numFmtId="0" fontId="41" fillId="0" borderId="0"/>
    <xf numFmtId="0" fontId="4" fillId="0" borderId="0"/>
    <xf numFmtId="0" fontId="4" fillId="0" borderId="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169"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1" fillId="0" borderId="0"/>
    <xf numFmtId="170" fontId="41"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75" fillId="0" borderId="0" applyNumberForma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0" fontId="4" fillId="0" borderId="0"/>
    <xf numFmtId="0" fontId="4" fillId="0" borderId="0"/>
    <xf numFmtId="0" fontId="41" fillId="0" borderId="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1"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9" fontId="41" fillId="0" borderId="0" applyFont="0" applyFill="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9" fontId="41"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1"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1"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1" fillId="0" borderId="0"/>
    <xf numFmtId="0" fontId="4" fillId="0" borderId="0"/>
    <xf numFmtId="0" fontId="4" fillId="0" borderId="0"/>
    <xf numFmtId="9"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11" fillId="0" borderId="0"/>
    <xf numFmtId="0" fontId="1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1"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1"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11"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4" fillId="0" borderId="0"/>
    <xf numFmtId="0" fontId="76" fillId="0" borderId="0" applyNumberFormat="0" applyFill="0" applyBorder="0" applyAlignment="0" applyProtection="0"/>
    <xf numFmtId="0" fontId="3" fillId="0" borderId="0"/>
    <xf numFmtId="170" fontId="3" fillId="0" borderId="0" applyFont="0" applyFill="0" applyBorder="0" applyAlignment="0" applyProtection="0"/>
    <xf numFmtId="0" fontId="62" fillId="58" borderId="169" applyNumberFormat="0" applyAlignment="0" applyProtection="0"/>
    <xf numFmtId="0" fontId="64" fillId="59" borderId="170"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0" fontId="79" fillId="45" borderId="169" applyNumberFormat="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4" fontId="11" fillId="0" borderId="0" applyFont="0" applyFill="0" applyBorder="0" applyAlignment="0" applyProtection="0"/>
    <xf numFmtId="10" fontId="17" fillId="61" borderId="174"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11"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63" borderId="171"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11" fillId="63"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252" fillId="100" borderId="0" applyNumberFormat="0" applyBorder="0" applyAlignment="0" applyProtection="0"/>
    <xf numFmtId="0" fontId="56" fillId="40" borderId="0" applyNumberFormat="0" applyBorder="0" applyAlignment="0" applyProtection="0"/>
    <xf numFmtId="0" fontId="251" fillId="101" borderId="0" applyNumberFormat="0" applyBorder="0" applyAlignment="0" applyProtection="0"/>
    <xf numFmtId="0" fontId="56" fillId="41" borderId="0" applyNumberFormat="0" applyBorder="0" applyAlignment="0" applyProtection="0"/>
    <xf numFmtId="0" fontId="251" fillId="102" borderId="0" applyNumberFormat="0" applyBorder="0" applyAlignment="0" applyProtection="0"/>
    <xf numFmtId="0" fontId="56" fillId="42" borderId="0" applyNumberFormat="0" applyBorder="0" applyAlignment="0" applyProtection="0"/>
    <xf numFmtId="0" fontId="251" fillId="101" borderId="0" applyNumberFormat="0" applyBorder="0" applyAlignment="0" applyProtection="0"/>
    <xf numFmtId="0" fontId="56" fillId="43" borderId="0" applyNumberFormat="0" applyBorder="0" applyAlignment="0" applyProtection="0"/>
    <xf numFmtId="0" fontId="251" fillId="101" borderId="0" applyNumberFormat="0" applyBorder="0" applyAlignment="0" applyProtection="0"/>
    <xf numFmtId="0" fontId="56" fillId="44" borderId="0" applyNumberFormat="0" applyBorder="0" applyAlignment="0" applyProtection="0"/>
    <xf numFmtId="0" fontId="251" fillId="101" borderId="0" applyNumberFormat="0" applyBorder="0" applyAlignment="0" applyProtection="0"/>
    <xf numFmtId="0" fontId="56" fillId="45" borderId="0" applyNumberFormat="0" applyBorder="0" applyAlignment="0" applyProtection="0"/>
    <xf numFmtId="0" fontId="251" fillId="101" borderId="0" applyNumberFormat="0" applyBorder="0" applyAlignment="0" applyProtection="0"/>
    <xf numFmtId="0" fontId="56" fillId="46" borderId="0" applyNumberFormat="0" applyBorder="0" applyAlignment="0" applyProtection="0"/>
    <xf numFmtId="0" fontId="251" fillId="102" borderId="0" applyNumberFormat="0" applyBorder="0" applyAlignment="0" applyProtection="0"/>
    <xf numFmtId="0" fontId="56" fillId="47" borderId="0" applyNumberFormat="0" applyBorder="0" applyAlignment="0" applyProtection="0"/>
    <xf numFmtId="0" fontId="252" fillId="102" borderId="0" applyNumberFormat="0" applyBorder="0" applyAlignment="0" applyProtection="0"/>
    <xf numFmtId="0" fontId="56" fillId="48" borderId="0" applyNumberFormat="0" applyBorder="0" applyAlignment="0" applyProtection="0"/>
    <xf numFmtId="0" fontId="251" fillId="103" borderId="0" applyNumberFormat="0" applyBorder="0" applyAlignment="0" applyProtection="0"/>
    <xf numFmtId="0" fontId="56" fillId="43" borderId="0" applyNumberFormat="0" applyBorder="0" applyAlignment="0" applyProtection="0"/>
    <xf numFmtId="0" fontId="251" fillId="103" borderId="0" applyNumberFormat="0" applyBorder="0" applyAlignment="0" applyProtection="0"/>
    <xf numFmtId="0" fontId="56" fillId="46" borderId="0" applyNumberFormat="0" applyBorder="0" applyAlignment="0" applyProtection="0"/>
    <xf numFmtId="0" fontId="251" fillId="103" borderId="0" applyNumberFormat="0" applyBorder="0" applyAlignment="0" applyProtection="0"/>
    <xf numFmtId="0" fontId="56" fillId="49" borderId="0" applyNumberFormat="0" applyBorder="0" applyAlignment="0" applyProtection="0"/>
    <xf numFmtId="0" fontId="251" fillId="103" borderId="0" applyNumberFormat="0" applyBorder="0" applyAlignment="0" applyProtection="0"/>
    <xf numFmtId="0" fontId="58" fillId="50" borderId="0" applyNumberFormat="0" applyBorder="0" applyAlignment="0" applyProtection="0"/>
    <xf numFmtId="0" fontId="251" fillId="103" borderId="0" applyNumberFormat="0" applyBorder="0" applyAlignment="0" applyProtection="0"/>
    <xf numFmtId="0" fontId="58" fillId="47" borderId="0" applyNumberFormat="0" applyBorder="0" applyAlignment="0" applyProtection="0"/>
    <xf numFmtId="0" fontId="251" fillId="103" borderId="0" applyNumberFormat="0" applyBorder="0" applyAlignment="0" applyProtection="0"/>
    <xf numFmtId="0" fontId="58" fillId="48" borderId="0" applyNumberFormat="0" applyBorder="0" applyAlignment="0" applyProtection="0"/>
    <xf numFmtId="0" fontId="251" fillId="103" borderId="0" applyNumberFormat="0" applyBorder="0" applyAlignment="0" applyProtection="0"/>
    <xf numFmtId="0" fontId="58" fillId="51" borderId="0" applyNumberFormat="0" applyBorder="0" applyAlignment="0" applyProtection="0"/>
    <xf numFmtId="0" fontId="252" fillId="103" borderId="0" applyNumberFormat="0" applyBorder="0" applyAlignment="0" applyProtection="0"/>
    <xf numFmtId="0" fontId="58" fillId="52" borderId="0" applyNumberFormat="0" applyBorder="0" applyAlignment="0" applyProtection="0"/>
    <xf numFmtId="0" fontId="251" fillId="104" borderId="0" applyNumberFormat="0" applyBorder="0" applyAlignment="0" applyProtection="0"/>
    <xf numFmtId="0" fontId="58" fillId="53" borderId="0" applyNumberFormat="0" applyBorder="0" applyAlignment="0" applyProtection="0"/>
    <xf numFmtId="0" fontId="251" fillId="105" borderId="0" applyNumberFormat="0" applyBorder="0" applyAlignment="0" applyProtection="0"/>
    <xf numFmtId="0" fontId="58" fillId="54" borderId="0" applyNumberFormat="0" applyBorder="0" applyAlignment="0" applyProtection="0"/>
    <xf numFmtId="0" fontId="251" fillId="104" borderId="0" applyNumberFormat="0" applyBorder="0" applyAlignment="0" applyProtection="0"/>
    <xf numFmtId="0" fontId="58" fillId="55" borderId="0" applyNumberFormat="0" applyBorder="0" applyAlignment="0" applyProtection="0"/>
    <xf numFmtId="0" fontId="251" fillId="104" borderId="0" applyNumberFormat="0" applyBorder="0" applyAlignment="0" applyProtection="0"/>
    <xf numFmtId="0" fontId="58" fillId="56" borderId="0" applyNumberFormat="0" applyBorder="0" applyAlignment="0" applyProtection="0"/>
    <xf numFmtId="0" fontId="251" fillId="104" borderId="0" applyNumberFormat="0" applyBorder="0" applyAlignment="0" applyProtection="0"/>
    <xf numFmtId="0" fontId="58" fillId="51" borderId="0" applyNumberFormat="0" applyBorder="0" applyAlignment="0" applyProtection="0"/>
    <xf numFmtId="0" fontId="251" fillId="104" borderId="0" applyNumberFormat="0" applyBorder="0" applyAlignment="0" applyProtection="0"/>
    <xf numFmtId="0" fontId="58" fillId="52" borderId="0" applyNumberFormat="0" applyBorder="0" applyAlignment="0" applyProtection="0"/>
    <xf numFmtId="0" fontId="251" fillId="105" borderId="0" applyNumberFormat="0" applyBorder="0" applyAlignment="0" applyProtection="0"/>
    <xf numFmtId="0" fontId="58" fillId="57" borderId="0" applyNumberFormat="0" applyBorder="0" applyAlignment="0" applyProtection="0"/>
    <xf numFmtId="0" fontId="252" fillId="105" borderId="0" applyNumberFormat="0" applyBorder="0" applyAlignment="0" applyProtection="0"/>
    <xf numFmtId="0" fontId="60" fillId="41" borderId="0" applyNumberFormat="0" applyBorder="0" applyAlignment="0" applyProtection="0"/>
    <xf numFmtId="0" fontId="251" fillId="96" borderId="0" applyNumberFormat="0" applyBorder="0" applyAlignment="0" applyProtection="0"/>
    <xf numFmtId="0" fontId="62" fillId="58" borderId="169" applyNumberFormat="0" applyAlignment="0" applyProtection="0"/>
    <xf numFmtId="0" fontId="251" fillId="106" borderId="0" applyNumberFormat="0" applyBorder="0" applyAlignment="0" applyProtection="0"/>
    <xf numFmtId="0" fontId="64" fillId="59" borderId="170" applyNumberFormat="0" applyAlignment="0" applyProtection="0"/>
    <xf numFmtId="0" fontId="251" fillId="96" borderId="0" applyNumberFormat="0" applyBorder="0" applyAlignment="0" applyProtection="0"/>
    <xf numFmtId="170" fontId="11" fillId="0" borderId="0" applyFont="0" applyFill="0" applyBorder="0" applyAlignment="0" applyProtection="0"/>
    <xf numFmtId="0" fontId="251" fillId="96" borderId="0" applyNumberFormat="0" applyBorder="0" applyAlignment="0" applyProtection="0"/>
    <xf numFmtId="0" fontId="251" fillId="96" borderId="0" applyNumberFormat="0" applyBorder="0" applyAlignment="0" applyProtection="0"/>
    <xf numFmtId="0" fontId="251" fillId="96" borderId="0" applyNumberFormat="0" applyBorder="0" applyAlignment="0" applyProtection="0"/>
    <xf numFmtId="0" fontId="66" fillId="0" borderId="0" applyNumberFormat="0" applyFill="0" applyBorder="0" applyAlignment="0" applyProtection="0"/>
    <xf numFmtId="0" fontId="251" fillId="106" borderId="0" applyNumberFormat="0" applyBorder="0" applyAlignment="0" applyProtection="0"/>
    <xf numFmtId="0" fontId="68" fillId="42" borderId="0" applyNumberFormat="0" applyBorder="0" applyAlignment="0" applyProtection="0"/>
    <xf numFmtId="0" fontId="252" fillId="106" borderId="0" applyNumberFormat="0" applyBorder="0" applyAlignment="0" applyProtection="0"/>
    <xf numFmtId="0" fontId="70" fillId="0" borderId="34" applyNumberFormat="0" applyFill="0" applyAlignment="0" applyProtection="0"/>
    <xf numFmtId="0" fontId="251" fillId="98" borderId="0" applyNumberFormat="0" applyBorder="0" applyAlignment="0" applyProtection="0"/>
    <xf numFmtId="0" fontId="72" fillId="0" borderId="35" applyNumberFormat="0" applyFill="0" applyAlignment="0" applyProtection="0"/>
    <xf numFmtId="0" fontId="251" fillId="107" borderId="0" applyNumberFormat="0" applyBorder="0" applyAlignment="0" applyProtection="0"/>
    <xf numFmtId="0" fontId="74" fillId="0" borderId="36" applyNumberFormat="0" applyFill="0" applyAlignment="0" applyProtection="0"/>
    <xf numFmtId="0" fontId="251" fillId="98" borderId="0" applyNumberFormat="0" applyBorder="0" applyAlignment="0" applyProtection="0"/>
    <xf numFmtId="0" fontId="74" fillId="0" borderId="0" applyNumberFormat="0" applyFill="0" applyBorder="0" applyAlignment="0" applyProtection="0"/>
    <xf numFmtId="0" fontId="251" fillId="98" borderId="0" applyNumberFormat="0" applyBorder="0" applyAlignment="0" applyProtection="0"/>
    <xf numFmtId="0" fontId="251" fillId="98" borderId="0" applyNumberFormat="0" applyBorder="0" applyAlignment="0" applyProtection="0"/>
    <xf numFmtId="0" fontId="79" fillId="45" borderId="169" applyNumberFormat="0" applyAlignment="0" applyProtection="0"/>
    <xf numFmtId="0" fontId="251" fillId="98" borderId="0" applyNumberFormat="0" applyBorder="0" applyAlignment="0" applyProtection="0"/>
    <xf numFmtId="0" fontId="81" fillId="0" borderId="37" applyNumberFormat="0" applyFill="0" applyAlignment="0" applyProtection="0"/>
    <xf numFmtId="0" fontId="251" fillId="107" borderId="0" applyNumberFormat="0" applyBorder="0" applyAlignment="0" applyProtection="0"/>
    <xf numFmtId="0" fontId="83" fillId="62" borderId="0" applyNumberFormat="0" applyBorder="0" applyAlignment="0" applyProtection="0"/>
    <xf numFmtId="0" fontId="252" fillId="107" borderId="0" applyNumberFormat="0" applyBorder="0" applyAlignment="0" applyProtection="0"/>
    <xf numFmtId="0" fontId="11" fillId="0" borderId="0"/>
    <xf numFmtId="0" fontId="2" fillId="0" borderId="0"/>
    <xf numFmtId="0" fontId="11" fillId="63" borderId="171" applyNumberFormat="0" applyFont="0" applyAlignment="0" applyProtection="0"/>
    <xf numFmtId="0" fontId="251" fillId="108" borderId="0" applyNumberFormat="0" applyBorder="0" applyAlignment="0" applyProtection="0"/>
    <xf numFmtId="0" fontId="86" fillId="58" borderId="172" applyNumberFormat="0" applyAlignment="0" applyProtection="0"/>
    <xf numFmtId="0" fontId="251" fillId="109" borderId="0" applyNumberFormat="0" applyBorder="0" applyAlignment="0" applyProtection="0"/>
    <xf numFmtId="9" fontId="11" fillId="0" borderId="0" applyFont="0" applyFill="0" applyBorder="0" applyAlignment="0" applyProtection="0"/>
    <xf numFmtId="0" fontId="251" fillId="108" borderId="0" applyNumberFormat="0" applyBorder="0" applyAlignment="0" applyProtection="0"/>
    <xf numFmtId="0" fontId="251" fillId="108" borderId="0" applyNumberFormat="0" applyBorder="0" applyAlignment="0" applyProtection="0"/>
    <xf numFmtId="0" fontId="89" fillId="0" borderId="173" applyNumberFormat="0" applyFill="0" applyAlignment="0" applyProtection="0"/>
    <xf numFmtId="0" fontId="90" fillId="0" borderId="0" applyNumberFormat="0" applyFill="0" applyBorder="0" applyAlignment="0" applyProtection="0"/>
    <xf numFmtId="0" fontId="251" fillId="100" borderId="0" applyNumberFormat="0" applyBorder="0" applyAlignment="0" applyProtection="0"/>
    <xf numFmtId="0" fontId="251" fillId="99" borderId="0" applyNumberFormat="0" applyBorder="0" applyAlignment="0" applyProtection="0"/>
    <xf numFmtId="0" fontId="251" fillId="99" borderId="0" applyNumberFormat="0" applyBorder="0" applyAlignment="0" applyProtection="0"/>
    <xf numFmtId="0" fontId="251" fillId="99" borderId="0" applyNumberFormat="0" applyBorder="0" applyAlignment="0" applyProtection="0"/>
    <xf numFmtId="0" fontId="251" fillId="99" borderId="0" applyNumberFormat="0" applyBorder="0" applyAlignment="0" applyProtection="0"/>
    <xf numFmtId="0" fontId="251" fillId="100" borderId="0" applyNumberFormat="0" applyBorder="0" applyAlignment="0" applyProtection="0"/>
    <xf numFmtId="0" fontId="251" fillId="99" borderId="0" applyNumberFormat="0" applyBorder="0" applyAlignment="0" applyProtection="0"/>
    <xf numFmtId="0" fontId="252" fillId="98" borderId="0" applyNumberFormat="0" applyBorder="0" applyAlignment="0" applyProtection="0"/>
    <xf numFmtId="0" fontId="251" fillId="98"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251" fillId="98" borderId="0" applyNumberFormat="0" applyBorder="0" applyAlignment="0" applyProtection="0"/>
    <xf numFmtId="0" fontId="251" fillId="97" borderId="0" applyNumberFormat="0" applyBorder="0" applyAlignment="0" applyProtection="0"/>
    <xf numFmtId="0" fontId="252" fillId="96" borderId="0" applyNumberFormat="0" applyBorder="0" applyAlignment="0" applyProtection="0"/>
    <xf numFmtId="0" fontId="251" fillId="96"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251" fillId="96" borderId="0" applyNumberFormat="0" applyBorder="0" applyAlignment="0" applyProtection="0"/>
    <xf numFmtId="0" fontId="251" fillId="95" borderId="0" applyNumberFormat="0" applyBorder="0" applyAlignment="0" applyProtection="0"/>
    <xf numFmtId="189" fontId="244" fillId="0" borderId="0"/>
    <xf numFmtId="189" fontId="244" fillId="0" borderId="0"/>
    <xf numFmtId="188" fontId="244" fillId="0" borderId="0"/>
    <xf numFmtId="188" fontId="244" fillId="0" borderId="0"/>
    <xf numFmtId="304" fontId="244" fillId="0" borderId="0"/>
    <xf numFmtId="304" fontId="244" fillId="0" borderId="0"/>
    <xf numFmtId="304" fontId="244" fillId="0" borderId="0"/>
    <xf numFmtId="304" fontId="244" fillId="0" borderId="0"/>
    <xf numFmtId="304" fontId="244" fillId="0" borderId="0"/>
    <xf numFmtId="304" fontId="244" fillId="0" borderId="0"/>
    <xf numFmtId="304" fontId="244" fillId="0" borderId="0"/>
    <xf numFmtId="304" fontId="244" fillId="0" borderId="0"/>
    <xf numFmtId="187" fontId="244" fillId="0" borderId="0"/>
    <xf numFmtId="187" fontId="244" fillId="0" borderId="0"/>
    <xf numFmtId="304" fontId="244" fillId="0" borderId="0"/>
    <xf numFmtId="304" fontId="244" fillId="0" borderId="0"/>
    <xf numFmtId="0" fontId="251" fillId="108" borderId="0" applyNumberFormat="0" applyBorder="0" applyAlignment="0" applyProtection="0"/>
    <xf numFmtId="0" fontId="251" fillId="108" borderId="0" applyNumberFormat="0" applyBorder="0" applyAlignment="0" applyProtection="0"/>
    <xf numFmtId="0" fontId="251" fillId="109" borderId="0" applyNumberFormat="0" applyBorder="0" applyAlignment="0" applyProtection="0"/>
    <xf numFmtId="0" fontId="252" fillId="109" borderId="0" applyNumberFormat="0" applyBorder="0" applyAlignment="0" applyProtection="0"/>
    <xf numFmtId="0" fontId="251" fillId="110" borderId="0" applyNumberFormat="0" applyBorder="0" applyAlignment="0" applyProtection="0"/>
    <xf numFmtId="0" fontId="251" fillId="102" borderId="0" applyNumberFormat="0" applyBorder="0" applyAlignment="0" applyProtection="0"/>
    <xf numFmtId="0" fontId="251" fillId="110" borderId="0" applyNumberFormat="0" applyBorder="0" applyAlignment="0" applyProtection="0"/>
    <xf numFmtId="0" fontId="251" fillId="110" borderId="0" applyNumberFormat="0" applyBorder="0" applyAlignment="0" applyProtection="0"/>
    <xf numFmtId="0" fontId="251" fillId="110" borderId="0" applyNumberFormat="0" applyBorder="0" applyAlignment="0" applyProtection="0"/>
    <xf numFmtId="0" fontId="251" fillId="110" borderId="0" applyNumberFormat="0" applyBorder="0" applyAlignment="0" applyProtection="0"/>
    <xf numFmtId="0" fontId="251" fillId="102" borderId="0" applyNumberFormat="0" applyBorder="0" applyAlignment="0" applyProtection="0"/>
    <xf numFmtId="0" fontId="252" fillId="102" borderId="0" applyNumberFormat="0" applyBorder="0" applyAlignment="0" applyProtection="0"/>
    <xf numFmtId="0" fontId="251" fillId="111" borderId="0" applyNumberFormat="0" applyBorder="0" applyAlignment="0" applyProtection="0"/>
    <xf numFmtId="0" fontId="251" fillId="106" borderId="0" applyNumberFormat="0" applyBorder="0" applyAlignment="0" applyProtection="0"/>
    <xf numFmtId="0" fontId="251" fillId="111" borderId="0" applyNumberFormat="0" applyBorder="0" applyAlignment="0" applyProtection="0"/>
    <xf numFmtId="0" fontId="251" fillId="111" borderId="0" applyNumberFormat="0" applyBorder="0" applyAlignment="0" applyProtection="0"/>
    <xf numFmtId="0" fontId="251" fillId="111" borderId="0" applyNumberFormat="0" applyBorder="0" applyAlignment="0" applyProtection="0"/>
    <xf numFmtId="0" fontId="251" fillId="111" borderId="0" applyNumberFormat="0" applyBorder="0" applyAlignment="0" applyProtection="0"/>
    <xf numFmtId="0" fontId="251" fillId="106" borderId="0" applyNumberFormat="0" applyBorder="0" applyAlignment="0" applyProtection="0"/>
    <xf numFmtId="0" fontId="252" fillId="106" borderId="0" applyNumberFormat="0" applyBorder="0" applyAlignment="0" applyProtection="0"/>
    <xf numFmtId="0" fontId="251" fillId="112" borderId="0" applyNumberFormat="0" applyBorder="0" applyAlignment="0" applyProtection="0"/>
    <xf numFmtId="0" fontId="251" fillId="113" borderId="0" applyNumberFormat="0" applyBorder="0" applyAlignment="0" applyProtection="0"/>
    <xf numFmtId="0" fontId="251" fillId="112" borderId="0" applyNumberFormat="0" applyBorder="0" applyAlignment="0" applyProtection="0"/>
    <xf numFmtId="0" fontId="251" fillId="112" borderId="0" applyNumberFormat="0" applyBorder="0" applyAlignment="0" applyProtection="0"/>
    <xf numFmtId="0" fontId="251" fillId="112" borderId="0" applyNumberFormat="0" applyBorder="0" applyAlignment="0" applyProtection="0"/>
    <xf numFmtId="0" fontId="251" fillId="112" borderId="0" applyNumberFormat="0" applyBorder="0" applyAlignment="0" applyProtection="0"/>
    <xf numFmtId="0" fontId="251" fillId="113" borderId="0" applyNumberFormat="0" applyBorder="0" applyAlignment="0" applyProtection="0"/>
    <xf numFmtId="0" fontId="252" fillId="113" borderId="0" applyNumberFormat="0" applyBorder="0" applyAlignment="0" applyProtection="0"/>
    <xf numFmtId="0" fontId="253" fillId="114" borderId="0" applyNumberFormat="0" applyBorder="0" applyAlignment="0" applyProtection="0"/>
    <xf numFmtId="0" fontId="253" fillId="115" borderId="0" applyNumberFormat="0" applyBorder="0" applyAlignment="0" applyProtection="0"/>
    <xf numFmtId="0" fontId="253" fillId="114" borderId="0" applyNumberFormat="0" applyBorder="0" applyAlignment="0" applyProtection="0"/>
    <xf numFmtId="0" fontId="253" fillId="115" borderId="0" applyNumberFormat="0" applyBorder="0" applyAlignment="0" applyProtection="0"/>
    <xf numFmtId="0" fontId="254" fillId="115" borderId="0" applyNumberFormat="0" applyBorder="0" applyAlignment="0" applyProtection="0"/>
    <xf numFmtId="0" fontId="253" fillId="107" borderId="0" applyNumberFormat="0" applyBorder="0" applyAlignment="0" applyProtection="0"/>
    <xf numFmtId="0" fontId="253" fillId="107" borderId="0" applyNumberFormat="0" applyBorder="0" applyAlignment="0" applyProtection="0"/>
    <xf numFmtId="0" fontId="253" fillId="107" borderId="0" applyNumberFormat="0" applyBorder="0" applyAlignment="0" applyProtection="0"/>
    <xf numFmtId="0" fontId="253" fillId="107" borderId="0" applyNumberFormat="0" applyBorder="0" applyAlignment="0" applyProtection="0"/>
    <xf numFmtId="0" fontId="254" fillId="107" borderId="0" applyNumberFormat="0" applyBorder="0" applyAlignment="0" applyProtection="0"/>
    <xf numFmtId="0" fontId="253" fillId="116" borderId="0" applyNumberFormat="0" applyBorder="0" applyAlignment="0" applyProtection="0"/>
    <xf numFmtId="0" fontId="253" fillId="109" borderId="0" applyNumberFormat="0" applyBorder="0" applyAlignment="0" applyProtection="0"/>
    <xf numFmtId="0" fontId="253" fillId="116" borderId="0" applyNumberFormat="0" applyBorder="0" applyAlignment="0" applyProtection="0"/>
    <xf numFmtId="0" fontId="253" fillId="109" borderId="0" applyNumberFormat="0" applyBorder="0" applyAlignment="0" applyProtection="0"/>
    <xf numFmtId="0" fontId="254" fillId="109" borderId="0" applyNumberFormat="0" applyBorder="0" applyAlignment="0" applyProtection="0"/>
    <xf numFmtId="0" fontId="253" fillId="102" borderId="0" applyNumberFormat="0" applyBorder="0" applyAlignment="0" applyProtection="0"/>
    <xf numFmtId="0" fontId="253" fillId="97" borderId="0" applyNumberFormat="0" applyBorder="0" applyAlignment="0" applyProtection="0"/>
    <xf numFmtId="0" fontId="253" fillId="102"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06" borderId="0" applyNumberFormat="0" applyBorder="0" applyAlignment="0" applyProtection="0"/>
    <xf numFmtId="0" fontId="253" fillId="117" borderId="0" applyNumberFormat="0" applyBorder="0" applyAlignment="0" applyProtection="0"/>
    <xf numFmtId="0" fontId="253" fillId="106"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13" borderId="0" applyNumberFormat="0" applyBorder="0" applyAlignment="0" applyProtection="0"/>
    <xf numFmtId="0" fontId="253" fillId="118" borderId="0" applyNumberFormat="0" applyBorder="0" applyAlignment="0" applyProtection="0"/>
    <xf numFmtId="0" fontId="253" fillId="113" borderId="0" applyNumberFormat="0" applyBorder="0" applyAlignment="0" applyProtection="0"/>
    <xf numFmtId="0" fontId="253" fillId="118" borderId="0" applyNumberFormat="0" applyBorder="0" applyAlignment="0" applyProtection="0"/>
    <xf numFmtId="0" fontId="254" fillId="118" borderId="0" applyNumberFormat="0" applyBorder="0" applyAlignment="0" applyProtection="0"/>
    <xf numFmtId="0" fontId="253" fillId="119" borderId="0" applyNumberFormat="0" applyBorder="0" applyAlignment="0" applyProtection="0"/>
    <xf numFmtId="0" fontId="253" fillId="120" borderId="0" applyNumberFormat="0" applyBorder="0" applyAlignment="0" applyProtection="0"/>
    <xf numFmtId="0" fontId="253" fillId="121" borderId="0" applyNumberFormat="0" applyBorder="0" applyAlignment="0" applyProtection="0"/>
    <xf numFmtId="0" fontId="253" fillId="120" borderId="0" applyNumberFormat="0" applyBorder="0" applyAlignment="0" applyProtection="0"/>
    <xf numFmtId="0" fontId="254" fillId="120" borderId="0" applyNumberFormat="0" applyBorder="0" applyAlignment="0" applyProtection="0"/>
    <xf numFmtId="0" fontId="253" fillId="122" borderId="0" applyNumberFormat="0" applyBorder="0" applyAlignment="0" applyProtection="0"/>
    <xf numFmtId="0" fontId="253" fillId="123" borderId="0" applyNumberFormat="0" applyBorder="0" applyAlignment="0" applyProtection="0"/>
    <xf numFmtId="0" fontId="253" fillId="122" borderId="0" applyNumberFormat="0" applyBorder="0" applyAlignment="0" applyProtection="0"/>
    <xf numFmtId="0" fontId="253" fillId="123" borderId="0" applyNumberFormat="0" applyBorder="0" applyAlignment="0" applyProtection="0"/>
    <xf numFmtId="0" fontId="254" fillId="123" borderId="0" applyNumberFormat="0" applyBorder="0" applyAlignment="0" applyProtection="0"/>
    <xf numFmtId="0" fontId="253" fillId="124" borderId="0" applyNumberFormat="0" applyBorder="0" applyAlignment="0" applyProtection="0"/>
    <xf numFmtId="0" fontId="253" fillId="125" borderId="0" applyNumberFormat="0" applyBorder="0" applyAlignment="0" applyProtection="0"/>
    <xf numFmtId="0" fontId="253" fillId="124" borderId="0" applyNumberFormat="0" applyBorder="0" applyAlignment="0" applyProtection="0"/>
    <xf numFmtId="0" fontId="253" fillId="125" borderId="0" applyNumberFormat="0" applyBorder="0" applyAlignment="0" applyProtection="0"/>
    <xf numFmtId="0" fontId="254" fillId="125" borderId="0" applyNumberFormat="0" applyBorder="0" applyAlignment="0" applyProtection="0"/>
    <xf numFmtId="0" fontId="253" fillId="126" borderId="0" applyNumberFormat="0" applyBorder="0" applyAlignment="0" applyProtection="0"/>
    <xf numFmtId="0" fontId="253" fillId="97" borderId="0" applyNumberFormat="0" applyBorder="0" applyAlignment="0" applyProtection="0"/>
    <xf numFmtId="0" fontId="253" fillId="126"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17" borderId="0" applyNumberFormat="0" applyBorder="0" applyAlignment="0" applyProtection="0"/>
    <xf numFmtId="0" fontId="253" fillId="117" borderId="0" applyNumberFormat="0" applyBorder="0" applyAlignment="0" applyProtection="0"/>
    <xf numFmtId="0" fontId="253" fillId="117"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18" borderId="0" applyNumberFormat="0" applyBorder="0" applyAlignment="0" applyProtection="0"/>
    <xf numFmtId="0" fontId="253" fillId="127" borderId="0" applyNumberFormat="0" applyBorder="0" applyAlignment="0" applyProtection="0"/>
    <xf numFmtId="0" fontId="253" fillId="118" borderId="0" applyNumberFormat="0" applyBorder="0" applyAlignment="0" applyProtection="0"/>
    <xf numFmtId="0" fontId="253" fillId="127" borderId="0" applyNumberFormat="0" applyBorder="0" applyAlignment="0" applyProtection="0"/>
    <xf numFmtId="0" fontId="254" fillId="127" borderId="0" applyNumberFormat="0" applyBorder="0" applyAlignment="0" applyProtection="0"/>
    <xf numFmtId="0" fontId="255" fillId="128" borderId="0" applyNumberFormat="0" applyBorder="0" applyAlignment="0" applyProtection="0"/>
    <xf numFmtId="0" fontId="256" fillId="98" borderId="0" applyNumberFormat="0" applyBorder="0" applyAlignment="0" applyProtection="0"/>
    <xf numFmtId="0" fontId="255" fillId="128" borderId="0" applyNumberFormat="0" applyBorder="0" applyAlignment="0" applyProtection="0"/>
    <xf numFmtId="0" fontId="256" fillId="98" borderId="0" applyNumberFormat="0" applyBorder="0" applyAlignment="0" applyProtection="0"/>
    <xf numFmtId="0" fontId="257" fillId="98" borderId="0" applyNumberFormat="0" applyBorder="0" applyAlignment="0" applyProtection="0"/>
    <xf numFmtId="0" fontId="258" fillId="129" borderId="175" applyNumberFormat="0" applyAlignment="0" applyProtection="0"/>
    <xf numFmtId="0" fontId="259" fillId="130" borderId="169" applyNumberFormat="0" applyAlignment="0" applyProtection="0"/>
    <xf numFmtId="0" fontId="258" fillId="129" borderId="175" applyNumberFormat="0" applyAlignment="0" applyProtection="0"/>
    <xf numFmtId="0" fontId="259" fillId="130" borderId="169" applyNumberFormat="0" applyAlignment="0" applyProtection="0"/>
    <xf numFmtId="0" fontId="260" fillId="130" borderId="169" applyNumberFormat="0" applyAlignment="0" applyProtection="0"/>
    <xf numFmtId="0" fontId="261" fillId="115" borderId="170" applyNumberFormat="0" applyAlignment="0" applyProtection="0"/>
    <xf numFmtId="0" fontId="261" fillId="131" borderId="170" applyNumberFormat="0" applyAlignment="0" applyProtection="0"/>
    <xf numFmtId="0" fontId="261" fillId="115" borderId="170" applyNumberFormat="0" applyAlignment="0" applyProtection="0"/>
    <xf numFmtId="0" fontId="261" fillId="131" borderId="170" applyNumberFormat="0" applyAlignment="0" applyProtection="0"/>
    <xf numFmtId="0" fontId="262" fillId="131" borderId="170" applyNumberFormat="0" applyAlignment="0" applyProtection="0"/>
    <xf numFmtId="305" fontId="263" fillId="0" borderId="0" applyFill="0" applyBorder="0" applyAlignment="0" applyProtection="0"/>
    <xf numFmtId="305" fontId="263"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3"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3"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 fontId="263" fillId="0" borderId="0" applyFill="0" applyBorder="0" applyAlignment="0" applyProtection="0"/>
    <xf numFmtId="3" fontId="264" fillId="0" borderId="0" applyFill="0" applyBorder="0" applyAlignment="0" applyProtection="0"/>
    <xf numFmtId="3" fontId="264" fillId="0" borderId="0" applyFill="0" applyBorder="0" applyAlignment="0" applyProtection="0"/>
    <xf numFmtId="307" fontId="263" fillId="0" borderId="0" applyFill="0" applyBorder="0" applyAlignment="0" applyProtection="0"/>
    <xf numFmtId="307" fontId="263"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9" fontId="263" fillId="0" borderId="0" applyFill="0" applyBorder="0" applyAlignment="0" applyProtection="0"/>
    <xf numFmtId="309" fontId="264" fillId="0" borderId="0" applyFill="0" applyBorder="0" applyAlignment="0" applyProtection="0"/>
    <xf numFmtId="309" fontId="264" fillId="0" borderId="0" applyFill="0" applyBorder="0" applyAlignment="0" applyProtection="0"/>
    <xf numFmtId="14" fontId="263" fillId="0" borderId="0" applyFill="0" applyBorder="0" applyAlignment="0" applyProtection="0"/>
    <xf numFmtId="14" fontId="264" fillId="0" borderId="0" applyFill="0" applyBorder="0" applyAlignment="0" applyProtection="0"/>
    <xf numFmtId="14" fontId="264" fillId="0" borderId="0" applyFill="0" applyBorder="0" applyAlignment="0" applyProtection="0"/>
    <xf numFmtId="0" fontId="268" fillId="100" borderId="0" applyNumberFormat="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2" fontId="263" fillId="0" borderId="0" applyFill="0" applyBorder="0" applyAlignment="0" applyProtection="0"/>
    <xf numFmtId="2" fontId="264" fillId="0" borderId="0" applyFill="0" applyBorder="0" applyAlignment="0" applyProtection="0"/>
    <xf numFmtId="2" fontId="264" fillId="0" borderId="0" applyFill="0" applyBorder="0" applyAlignment="0" applyProtection="0"/>
    <xf numFmtId="0" fontId="268" fillId="132" borderId="0" applyNumberFormat="0" applyBorder="0" applyAlignment="0" applyProtection="0"/>
    <xf numFmtId="0" fontId="268" fillId="100" borderId="0" applyNumberFormat="0" applyBorder="0" applyAlignment="0" applyProtection="0"/>
    <xf numFmtId="0" fontId="268" fillId="132" borderId="0" applyNumberFormat="0" applyBorder="0" applyAlignment="0" applyProtection="0"/>
    <xf numFmtId="0" fontId="268" fillId="100" borderId="0" applyNumberFormat="0" applyBorder="0" applyAlignment="0" applyProtection="0"/>
    <xf numFmtId="0" fontId="269" fillId="100" borderId="0" applyNumberFormat="0" applyBorder="0" applyAlignment="0" applyProtection="0"/>
    <xf numFmtId="0" fontId="270" fillId="130" borderId="0" applyNumberFormat="0" applyBorder="0" applyAlignment="0" applyProtection="0"/>
    <xf numFmtId="0" fontId="270" fillId="130" borderId="0" applyNumberFormat="0" applyBorder="0" applyAlignment="0" applyProtection="0"/>
    <xf numFmtId="0" fontId="271" fillId="0" borderId="176" applyNumberFormat="0" applyFill="0" applyAlignment="0" applyProtection="0"/>
    <xf numFmtId="0" fontId="271" fillId="0" borderId="176" applyNumberFormat="0" applyFill="0" applyAlignment="0" applyProtection="0"/>
    <xf numFmtId="0" fontId="272" fillId="0" borderId="34" applyNumberFormat="0" applyFill="0" applyAlignment="0" applyProtection="0"/>
    <xf numFmtId="0" fontId="264" fillId="0" borderId="0" applyNumberFormat="0" applyFill="0" applyAlignment="0" applyProtection="0"/>
    <xf numFmtId="0" fontId="272" fillId="0" borderId="34" applyNumberFormat="0" applyFill="0" applyAlignment="0" applyProtection="0"/>
    <xf numFmtId="0" fontId="273" fillId="0" borderId="177" applyNumberFormat="0" applyFill="0" applyAlignment="0" applyProtection="0"/>
    <xf numFmtId="0" fontId="273" fillId="0" borderId="177" applyNumberFormat="0" applyFill="0" applyAlignment="0" applyProtection="0"/>
    <xf numFmtId="0" fontId="274" fillId="0" borderId="35" applyNumberFormat="0" applyFill="0" applyAlignment="0" applyProtection="0"/>
    <xf numFmtId="0" fontId="264" fillId="0" borderId="0" applyNumberFormat="0" applyFill="0" applyAlignment="0" applyProtection="0"/>
    <xf numFmtId="0" fontId="274" fillId="0" borderId="35" applyNumberFormat="0" applyFill="0" applyAlignment="0" applyProtection="0"/>
    <xf numFmtId="0" fontId="275" fillId="0" borderId="178" applyNumberFormat="0" applyFill="0" applyAlignment="0" applyProtection="0"/>
    <xf numFmtId="0" fontId="276" fillId="0" borderId="179" applyNumberFormat="0" applyFill="0" applyAlignment="0" applyProtection="0"/>
    <xf numFmtId="0" fontId="275" fillId="0" borderId="178" applyNumberFormat="0" applyFill="0" applyAlignment="0" applyProtection="0"/>
    <xf numFmtId="0" fontId="276" fillId="0" borderId="179" applyNumberFormat="0" applyFill="0" applyAlignment="0" applyProtection="0"/>
    <xf numFmtId="0" fontId="277" fillId="0" borderId="179" applyNumberFormat="0" applyFill="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0" fillId="133" borderId="0" applyNumberFormat="0" applyBorder="0" applyAlignment="0" applyProtection="0"/>
    <xf numFmtId="0" fontId="270" fillId="133" borderId="0" applyNumberFormat="0" applyBorder="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1" fillId="105" borderId="175" applyNumberFormat="0" applyAlignment="0" applyProtection="0"/>
    <xf numFmtId="0" fontId="280" fillId="105" borderId="169" applyNumberFormat="0" applyAlignment="0" applyProtection="0"/>
    <xf numFmtId="0" fontId="281" fillId="105" borderId="175"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2"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3" fillId="0" borderId="180" applyNumberFormat="0" applyFill="0" applyAlignment="0" applyProtection="0"/>
    <xf numFmtId="0" fontId="284" fillId="0" borderId="37" applyNumberFormat="0" applyFill="0" applyAlignment="0" applyProtection="0"/>
    <xf numFmtId="0" fontId="283" fillId="0" borderId="180" applyNumberFormat="0" applyFill="0" applyAlignment="0" applyProtection="0"/>
    <xf numFmtId="0" fontId="284" fillId="0" borderId="37" applyNumberFormat="0" applyFill="0" applyAlignment="0" applyProtection="0"/>
    <xf numFmtId="0" fontId="285" fillId="0" borderId="37" applyNumberFormat="0" applyFill="0" applyAlignment="0" applyProtection="0"/>
    <xf numFmtId="190" fontId="244" fillId="0" borderId="0"/>
    <xf numFmtId="190" fontId="244" fillId="0" borderId="0"/>
    <xf numFmtId="310" fontId="244" fillId="0" borderId="0"/>
    <xf numFmtId="310" fontId="244" fillId="0" borderId="0"/>
    <xf numFmtId="190" fontId="244" fillId="0" borderId="0"/>
    <xf numFmtId="190" fontId="244" fillId="0" borderId="0"/>
    <xf numFmtId="190" fontId="244" fillId="0" borderId="0"/>
    <xf numFmtId="190" fontId="244" fillId="0" borderId="0"/>
    <xf numFmtId="190" fontId="244" fillId="0" borderId="0"/>
    <xf numFmtId="190" fontId="244" fillId="0" borderId="0"/>
    <xf numFmtId="190" fontId="244" fillId="0" borderId="0"/>
    <xf numFmtId="190" fontId="244" fillId="0" borderId="0"/>
    <xf numFmtId="0" fontId="286" fillId="134" borderId="0" applyNumberFormat="0" applyBorder="0" applyAlignment="0" applyProtection="0"/>
    <xf numFmtId="0" fontId="287" fillId="135" borderId="0" applyNumberFormat="0" applyBorder="0" applyAlignment="0" applyProtection="0"/>
    <xf numFmtId="0" fontId="286" fillId="134" borderId="0" applyNumberFormat="0" applyBorder="0" applyAlignment="0" applyProtection="0"/>
    <xf numFmtId="0" fontId="287" fillId="135" borderId="0" applyNumberFormat="0" applyBorder="0" applyAlignment="0" applyProtection="0"/>
    <xf numFmtId="0" fontId="288" fillId="135" borderId="0" applyNumberFormat="0" applyBorder="0" applyAlignment="0" applyProtection="0"/>
    <xf numFmtId="311" fontId="244" fillId="0" borderId="0"/>
    <xf numFmtId="311" fontId="244" fillId="0" borderId="0"/>
    <xf numFmtId="0" fontId="244" fillId="0" borderId="0"/>
    <xf numFmtId="0" fontId="251" fillId="0" borderId="0"/>
    <xf numFmtId="0" fontId="244" fillId="0" borderId="0"/>
    <xf numFmtId="0" fontId="244" fillId="0" borderId="0"/>
    <xf numFmtId="0" fontId="251" fillId="0" borderId="0"/>
    <xf numFmtId="0" fontId="244" fillId="0" borderId="0"/>
    <xf numFmtId="0" fontId="251" fillId="0" borderId="0"/>
    <xf numFmtId="0" fontId="251" fillId="0" borderId="0"/>
    <xf numFmtId="0" fontId="289" fillId="0" borderId="0"/>
    <xf numFmtId="0" fontId="244" fillId="0" borderId="0"/>
    <xf numFmtId="0" fontId="251" fillId="0" borderId="0"/>
    <xf numFmtId="0" fontId="251" fillId="0" borderId="0"/>
    <xf numFmtId="0" fontId="251" fillId="0" borderId="0"/>
    <xf numFmtId="0" fontId="251" fillId="0" borderId="0"/>
    <xf numFmtId="0" fontId="251" fillId="0" borderId="0"/>
    <xf numFmtId="0" fontId="244"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44" fillId="0" borderId="0"/>
    <xf numFmtId="0" fontId="251" fillId="0" borderId="0"/>
    <xf numFmtId="0" fontId="251" fillId="0" borderId="0"/>
    <xf numFmtId="0" fontId="244" fillId="0" borderId="0"/>
    <xf numFmtId="0" fontId="244" fillId="0" borderId="0"/>
    <xf numFmtId="0" fontId="251" fillId="0" borderId="0"/>
    <xf numFmtId="0" fontId="244" fillId="0" borderId="0"/>
    <xf numFmtId="0" fontId="251" fillId="0" borderId="0"/>
    <xf numFmtId="0" fontId="263" fillId="133" borderId="181" applyNumberFormat="0" applyAlignment="0" applyProtection="0"/>
    <xf numFmtId="0" fontId="264" fillId="133" borderId="171" applyNumberFormat="0" applyAlignment="0" applyProtection="0"/>
    <xf numFmtId="0" fontId="264" fillId="133" borderId="181" applyNumberFormat="0" applyAlignment="0" applyProtection="0"/>
    <xf numFmtId="0" fontId="264" fillId="133" borderId="181" applyNumberFormat="0" applyAlignment="0" applyProtection="0"/>
    <xf numFmtId="0" fontId="264" fillId="133" borderId="181" applyNumberFormat="0" applyAlignment="0" applyProtection="0"/>
    <xf numFmtId="0" fontId="264" fillId="133" borderId="181" applyNumberFormat="0" applyAlignment="0" applyProtection="0"/>
    <xf numFmtId="0" fontId="264" fillId="133" borderId="171" applyNumberFormat="0" applyAlignment="0" applyProtection="0"/>
    <xf numFmtId="0" fontId="290" fillId="129" borderId="172" applyNumberFormat="0" applyAlignment="0" applyProtection="0"/>
    <xf numFmtId="0" fontId="290" fillId="130" borderId="172" applyNumberFormat="0" applyAlignment="0" applyProtection="0"/>
    <xf numFmtId="0" fontId="290" fillId="129" borderId="172" applyNumberFormat="0" applyAlignment="0" applyProtection="0"/>
    <xf numFmtId="0" fontId="290" fillId="130" borderId="172" applyNumberFormat="0" applyAlignment="0" applyProtection="0"/>
    <xf numFmtId="0" fontId="291" fillId="130" borderId="172" applyNumberFormat="0" applyAlignment="0" applyProtection="0"/>
    <xf numFmtId="9" fontId="263" fillId="0" borderId="0" applyFill="0" applyBorder="0" applyAlignment="0" applyProtection="0"/>
    <xf numFmtId="10" fontId="263" fillId="0" borderId="0" applyFill="0" applyBorder="0" applyAlignment="0" applyProtection="0"/>
    <xf numFmtId="10"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3"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3"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3"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0" fontId="264"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4" fillId="0" borderId="182" applyNumberFormat="0" applyFill="0" applyAlignment="0" applyProtection="0"/>
    <xf numFmtId="0" fontId="264" fillId="0" borderId="0" applyNumberFormat="0" applyBorder="0" applyAlignment="0" applyProtection="0"/>
    <xf numFmtId="0" fontId="294" fillId="0" borderId="182" applyNumberFormat="0" applyFill="0" applyAlignment="0" applyProtection="0"/>
    <xf numFmtId="0" fontId="294" fillId="0" borderId="173" applyNumberFormat="0" applyFill="0" applyAlignment="0" applyProtection="0"/>
    <xf numFmtId="0" fontId="264" fillId="0" borderId="0" applyNumberFormat="0" applyBorder="0" applyAlignment="0" applyProtection="0"/>
    <xf numFmtId="0" fontId="294" fillId="0" borderId="173" applyNumberFormat="0" applyFill="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170" fontId="11" fillId="0" borderId="0" applyFont="0" applyFill="0" applyBorder="0" applyAlignment="0" applyProtection="0"/>
    <xf numFmtId="0" fontId="77" fillId="0" borderId="0" applyNumberFormat="0" applyFill="0" applyBorder="0" applyAlignment="0" applyProtection="0">
      <alignment vertical="top"/>
      <protection locked="0"/>
    </xf>
    <xf numFmtId="0" fontId="244" fillId="0" borderId="0"/>
    <xf numFmtId="0" fontId="264" fillId="0" borderId="0" applyNumberFormat="0" applyFill="0" applyBorder="0" applyAlignment="0" applyProtection="0"/>
    <xf numFmtId="0" fontId="264" fillId="0" borderId="0" applyNumberFormat="0" applyFill="0" applyBorder="0" applyAlignment="0" applyProtection="0"/>
    <xf numFmtId="0" fontId="2" fillId="0" borderId="0"/>
    <xf numFmtId="170" fontId="2" fillId="0" borderId="0" applyFont="0" applyFill="0" applyBorder="0" applyAlignment="0" applyProtection="0"/>
    <xf numFmtId="0" fontId="2" fillId="0" borderId="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97" fillId="0" borderId="0" applyNumberFormat="0" applyFont="0" applyFill="0" applyAlignment="0" applyProtection="0"/>
    <xf numFmtId="0" fontId="15" fillId="0" borderId="0" applyNumberFormat="0" applyFont="0" applyFill="0" applyAlignment="0" applyProtection="0"/>
    <xf numFmtId="0" fontId="11" fillId="0" borderId="0"/>
    <xf numFmtId="0" fontId="102" fillId="0" borderId="0" applyNumberFormat="0" applyBorder="0" applyAlignment="0"/>
    <xf numFmtId="0" fontId="11" fillId="0" borderId="183" applyNumberFormat="0" applyFont="0" applyBorder="0" applyAlignment="0" applyProtection="0"/>
    <xf numFmtId="0" fontId="2" fillId="0" borderId="0"/>
    <xf numFmtId="0" fontId="2" fillId="0" borderId="0"/>
    <xf numFmtId="170" fontId="2" fillId="0" borderId="0" applyFont="0" applyFill="0" applyBorder="0" applyAlignment="0" applyProtection="0"/>
    <xf numFmtId="0" fontId="298" fillId="0" borderId="0" applyNumberFormat="0" applyBorder="0" applyAlignment="0"/>
    <xf numFmtId="0" fontId="249" fillId="0" borderId="0" applyNumberFormat="0" applyBorder="0" applyAlignment="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0" fontId="66" fillId="0" borderId="0" applyNumberFormat="0" applyFill="0" applyBorder="0" applyAlignment="0" applyProtection="0"/>
    <xf numFmtId="0" fontId="68" fillId="42"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9" fillId="45" borderId="169" applyNumberFormat="0" applyAlignment="0" applyProtection="0"/>
    <xf numFmtId="0" fontId="81" fillId="0" borderId="37" applyNumberFormat="0" applyFill="0" applyAlignment="0" applyProtection="0"/>
    <xf numFmtId="0" fontId="83" fillId="62" borderId="0" applyNumberFormat="0" applyBorder="0" applyAlignment="0" applyProtection="0"/>
    <xf numFmtId="0" fontId="86" fillId="58" borderId="172" applyNumberFormat="0" applyAlignment="0" applyProtection="0"/>
    <xf numFmtId="0" fontId="87" fillId="0" borderId="0" applyNumberFormat="0" applyFill="0" applyBorder="0" applyAlignment="0" applyProtection="0"/>
    <xf numFmtId="0" fontId="89" fillId="0" borderId="173" applyNumberFormat="0" applyFill="0" applyAlignment="0" applyProtection="0"/>
    <xf numFmtId="0" fontId="90" fillId="0" borderId="0" applyNumberFormat="0" applyFill="0" applyBorder="0" applyAlignment="0" applyProtection="0"/>
    <xf numFmtId="0" fontId="25" fillId="0" borderId="0" applyNumberFormat="0" applyFill="0" applyBorder="0" applyAlignment="0" applyProtection="0"/>
    <xf numFmtId="0" fontId="27" fillId="0" borderId="23" applyNumberFormat="0" applyFill="0" applyAlignment="0" applyProtection="0"/>
    <xf numFmtId="0" fontId="26" fillId="0" borderId="22" applyNumberFormat="0" applyFill="0" applyAlignment="0" applyProtection="0"/>
    <xf numFmtId="0" fontId="28" fillId="0" borderId="24" applyNumberFormat="0" applyFill="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xf numFmtId="0" fontId="32" fillId="9" borderId="25" applyNumberFormat="0" applyAlignment="0" applyProtection="0"/>
    <xf numFmtId="0" fontId="33" fillId="10" borderId="26" applyNumberFormat="0" applyAlignment="0" applyProtection="0"/>
    <xf numFmtId="0" fontId="34" fillId="10" borderId="25" applyNumberFormat="0" applyAlignment="0" applyProtection="0"/>
    <xf numFmtId="0" fontId="35" fillId="0" borderId="27" applyNumberFormat="0" applyFill="0" applyAlignment="0" applyProtection="0"/>
    <xf numFmtId="0" fontId="36" fillId="11" borderId="28" applyNumberFormat="0" applyAlignment="0" applyProtection="0"/>
    <xf numFmtId="0" fontId="37" fillId="0" borderId="0" applyNumberFormat="0" applyFill="0" applyBorder="0" applyAlignment="0" applyProtection="0"/>
    <xf numFmtId="0" fontId="2" fillId="12" borderId="29" applyNumberFormat="0" applyFont="0" applyAlignment="0" applyProtection="0"/>
    <xf numFmtId="0" fontId="38" fillId="0" borderId="0" applyNumberFormat="0" applyFill="0" applyBorder="0" applyAlignment="0" applyProtection="0"/>
    <xf numFmtId="0" fontId="39" fillId="0" borderId="30" applyNumberFormat="0" applyFill="0" applyAlignment="0" applyProtection="0"/>
    <xf numFmtId="0" fontId="4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0" fillId="36"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9" fontId="11" fillId="0" borderId="0" applyFont="0" applyFill="0" applyBorder="0" applyAlignment="0" applyProtection="0"/>
    <xf numFmtId="169" fontId="56" fillId="0" borderId="0" applyFont="0" applyFill="0" applyBorder="0" applyAlignment="0" applyProtection="0"/>
    <xf numFmtId="169" fontId="56"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0" fontId="66" fillId="0" borderId="0" applyNumberFormat="0" applyFill="0" applyBorder="0" applyAlignment="0" applyProtection="0"/>
    <xf numFmtId="2" fontId="11" fillId="0" borderId="0" applyFont="0" applyFill="0" applyBorder="0" applyAlignment="0" applyProtection="0"/>
    <xf numFmtId="0" fontId="68" fillId="42" borderId="0" applyNumberFormat="0" applyBorder="0" applyAlignment="0" applyProtection="0"/>
    <xf numFmtId="0" fontId="297" fillId="0" borderId="0" applyNumberFormat="0" applyFont="0" applyFill="0" applyAlignment="0" applyProtection="0"/>
    <xf numFmtId="0" fontId="15" fillId="0" borderId="0" applyNumberFormat="0" applyFon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299" fillId="0" borderId="0" applyNumberFormat="0" applyFill="0" applyBorder="0" applyAlignment="0" applyProtection="0">
      <alignment vertical="top"/>
      <protection locked="0"/>
    </xf>
    <xf numFmtId="0" fontId="79" fillId="45" borderId="169" applyNumberFormat="0" applyAlignment="0" applyProtection="0"/>
    <xf numFmtId="0" fontId="81" fillId="0" borderId="37" applyNumberFormat="0" applyFill="0" applyAlignment="0" applyProtection="0"/>
    <xf numFmtId="0" fontId="83" fillId="62" borderId="0" applyNumberFormat="0" applyBorder="0" applyAlignment="0" applyProtection="0"/>
    <xf numFmtId="0" fontId="300" fillId="0" borderId="0"/>
    <xf numFmtId="0" fontId="2" fillId="0" borderId="0"/>
    <xf numFmtId="0" fontId="11" fillId="63" borderId="171" applyNumberFormat="0" applyFont="0" applyAlignment="0" applyProtection="0"/>
    <xf numFmtId="0" fontId="86" fillId="58" borderId="172" applyNumberFormat="0" applyAlignment="0" applyProtection="0"/>
    <xf numFmtId="9" fontId="11"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8" fillId="0" borderId="0" applyNumberFormat="0" applyFont="0" applyFill="0" applyBorder="0" applyAlignment="0" applyProtection="0">
      <alignment horizontal="left"/>
    </xf>
    <xf numFmtId="0" fontId="87" fillId="0" borderId="0" applyNumberFormat="0" applyFill="0" applyBorder="0" applyAlignment="0" applyProtection="0"/>
    <xf numFmtId="0" fontId="11" fillId="0" borderId="183" applyNumberFormat="0" applyFont="0" applyBorder="0" applyAlignment="0" applyProtection="0"/>
    <xf numFmtId="0" fontId="11" fillId="0" borderId="183" applyNumberFormat="0" applyFont="0" applyBorder="0" applyAlignment="0" applyProtection="0"/>
    <xf numFmtId="0" fontId="90" fillId="0" borderId="0" applyNumberFormat="0" applyFill="0" applyBorder="0" applyAlignment="0" applyProtection="0"/>
    <xf numFmtId="0" fontId="2" fillId="0" borderId="0"/>
    <xf numFmtId="303" fontId="11" fillId="0" borderId="0"/>
    <xf numFmtId="179" fontId="11" fillId="0" borderId="0"/>
    <xf numFmtId="187" fontId="11" fillId="0" borderId="0"/>
    <xf numFmtId="179" fontId="11" fillId="0" borderId="0"/>
    <xf numFmtId="179" fontId="11" fillId="0" borderId="0"/>
    <xf numFmtId="179" fontId="11" fillId="0" borderId="0"/>
    <xf numFmtId="179" fontId="11" fillId="0" borderId="0"/>
    <xf numFmtId="188" fontId="11" fillId="0" borderId="0"/>
    <xf numFmtId="189" fontId="11" fillId="0" borderId="0"/>
    <xf numFmtId="303" fontId="56" fillId="40" borderId="0" applyNumberFormat="0" applyBorder="0" applyAlignment="0" applyProtection="0"/>
    <xf numFmtId="303" fontId="2" fillId="14" borderId="0" applyNumberFormat="0" applyBorder="0" applyAlignment="0" applyProtection="0"/>
    <xf numFmtId="303" fontId="56" fillId="41" borderId="0" applyNumberFormat="0" applyBorder="0" applyAlignment="0" applyProtection="0"/>
    <xf numFmtId="303" fontId="2" fillId="18" borderId="0" applyNumberFormat="0" applyBorder="0" applyAlignment="0" applyProtection="0"/>
    <xf numFmtId="303" fontId="56" fillId="42" borderId="0" applyNumberFormat="0" applyBorder="0" applyAlignment="0" applyProtection="0"/>
    <xf numFmtId="303" fontId="2" fillId="22" borderId="0" applyNumberFormat="0" applyBorder="0" applyAlignment="0" applyProtection="0"/>
    <xf numFmtId="303" fontId="56" fillId="43" borderId="0" applyNumberFormat="0" applyBorder="0" applyAlignment="0" applyProtection="0"/>
    <xf numFmtId="303" fontId="2" fillId="26" borderId="0" applyNumberFormat="0" applyBorder="0" applyAlignment="0" applyProtection="0"/>
    <xf numFmtId="303" fontId="56" fillId="44" borderId="0" applyNumberFormat="0" applyBorder="0" applyAlignment="0" applyProtection="0"/>
    <xf numFmtId="303" fontId="2" fillId="30" borderId="0" applyNumberFormat="0" applyBorder="0" applyAlignment="0" applyProtection="0"/>
    <xf numFmtId="303" fontId="56" fillId="45" borderId="0" applyNumberFormat="0" applyBorder="0" applyAlignment="0" applyProtection="0"/>
    <xf numFmtId="303" fontId="2" fillId="34" borderId="0" applyNumberFormat="0" applyBorder="0" applyAlignment="0" applyProtection="0"/>
    <xf numFmtId="303" fontId="56" fillId="46" borderId="0" applyNumberFormat="0" applyBorder="0" applyAlignment="0" applyProtection="0"/>
    <xf numFmtId="303" fontId="2" fillId="15" borderId="0" applyNumberFormat="0" applyBorder="0" applyAlignment="0" applyProtection="0"/>
    <xf numFmtId="303" fontId="56" fillId="47" borderId="0" applyNumberFormat="0" applyBorder="0" applyAlignment="0" applyProtection="0"/>
    <xf numFmtId="303" fontId="2" fillId="19" borderId="0" applyNumberFormat="0" applyBorder="0" applyAlignment="0" applyProtection="0"/>
    <xf numFmtId="303" fontId="56" fillId="48" borderId="0" applyNumberFormat="0" applyBorder="0" applyAlignment="0" applyProtection="0"/>
    <xf numFmtId="303" fontId="2" fillId="23" borderId="0" applyNumberFormat="0" applyBorder="0" applyAlignment="0" applyProtection="0"/>
    <xf numFmtId="303" fontId="56" fillId="43" borderId="0" applyNumberFormat="0" applyBorder="0" applyAlignment="0" applyProtection="0"/>
    <xf numFmtId="303" fontId="2" fillId="27" borderId="0" applyNumberFormat="0" applyBorder="0" applyAlignment="0" applyProtection="0"/>
    <xf numFmtId="303" fontId="56" fillId="46" borderId="0" applyNumberFormat="0" applyBorder="0" applyAlignment="0" applyProtection="0"/>
    <xf numFmtId="303" fontId="2" fillId="31" borderId="0" applyNumberFormat="0" applyBorder="0" applyAlignment="0" applyProtection="0"/>
    <xf numFmtId="303" fontId="56" fillId="49" borderId="0" applyNumberFormat="0" applyBorder="0" applyAlignment="0" applyProtection="0"/>
    <xf numFmtId="303" fontId="2" fillId="35" borderId="0" applyNumberFormat="0" applyBorder="0" applyAlignment="0" applyProtection="0"/>
    <xf numFmtId="303" fontId="58" fillId="50" borderId="0" applyNumberFormat="0" applyBorder="0" applyAlignment="0" applyProtection="0"/>
    <xf numFmtId="303" fontId="40" fillId="16" borderId="0" applyNumberFormat="0" applyBorder="0" applyAlignment="0" applyProtection="0"/>
    <xf numFmtId="303" fontId="58" fillId="47" borderId="0" applyNumberFormat="0" applyBorder="0" applyAlignment="0" applyProtection="0"/>
    <xf numFmtId="303" fontId="40" fillId="20" borderId="0" applyNumberFormat="0" applyBorder="0" applyAlignment="0" applyProtection="0"/>
    <xf numFmtId="303" fontId="58" fillId="48" borderId="0" applyNumberFormat="0" applyBorder="0" applyAlignment="0" applyProtection="0"/>
    <xf numFmtId="303" fontId="40" fillId="24" borderId="0" applyNumberFormat="0" applyBorder="0" applyAlignment="0" applyProtection="0"/>
    <xf numFmtId="303" fontId="58" fillId="51" borderId="0" applyNumberFormat="0" applyBorder="0" applyAlignment="0" applyProtection="0"/>
    <xf numFmtId="303" fontId="40" fillId="28" borderId="0" applyNumberFormat="0" applyBorder="0" applyAlignment="0" applyProtection="0"/>
    <xf numFmtId="303" fontId="58" fillId="52" borderId="0" applyNumberFormat="0" applyBorder="0" applyAlignment="0" applyProtection="0"/>
    <xf numFmtId="303" fontId="40" fillId="32" borderId="0" applyNumberFormat="0" applyBorder="0" applyAlignment="0" applyProtection="0"/>
    <xf numFmtId="303" fontId="58" fillId="53" borderId="0" applyNumberFormat="0" applyBorder="0" applyAlignment="0" applyProtection="0"/>
    <xf numFmtId="303" fontId="40" fillId="36" borderId="0" applyNumberFormat="0" applyBorder="0" applyAlignment="0" applyProtection="0"/>
    <xf numFmtId="303" fontId="58" fillId="54" borderId="0" applyNumberFormat="0" applyBorder="0" applyAlignment="0" applyProtection="0"/>
    <xf numFmtId="303" fontId="40" fillId="13" borderId="0" applyNumberFormat="0" applyBorder="0" applyAlignment="0" applyProtection="0"/>
    <xf numFmtId="303" fontId="58" fillId="55" borderId="0" applyNumberFormat="0" applyBorder="0" applyAlignment="0" applyProtection="0"/>
    <xf numFmtId="303" fontId="40" fillId="17" borderId="0" applyNumberFormat="0" applyBorder="0" applyAlignment="0" applyProtection="0"/>
    <xf numFmtId="303" fontId="58" fillId="56" borderId="0" applyNumberFormat="0" applyBorder="0" applyAlignment="0" applyProtection="0"/>
    <xf numFmtId="303" fontId="40" fillId="21" borderId="0" applyNumberFormat="0" applyBorder="0" applyAlignment="0" applyProtection="0"/>
    <xf numFmtId="303" fontId="58" fillId="51" borderId="0" applyNumberFormat="0" applyBorder="0" applyAlignment="0" applyProtection="0"/>
    <xf numFmtId="303" fontId="40" fillId="25" borderId="0" applyNumberFormat="0" applyBorder="0" applyAlignment="0" applyProtection="0"/>
    <xf numFmtId="303" fontId="58" fillId="52" borderId="0" applyNumberFormat="0" applyBorder="0" applyAlignment="0" applyProtection="0"/>
    <xf numFmtId="303" fontId="40" fillId="29" borderId="0" applyNumberFormat="0" applyBorder="0" applyAlignment="0" applyProtection="0"/>
    <xf numFmtId="303" fontId="58" fillId="57" borderId="0" applyNumberFormat="0" applyBorder="0" applyAlignment="0" applyProtection="0"/>
    <xf numFmtId="303" fontId="40" fillId="33" borderId="0" applyNumberFormat="0" applyBorder="0" applyAlignment="0" applyProtection="0"/>
    <xf numFmtId="303" fontId="60" fillId="41" borderId="0" applyNumberFormat="0" applyBorder="0" applyAlignment="0" applyProtection="0"/>
    <xf numFmtId="303" fontId="30" fillId="7" borderId="0" applyNumberFormat="0" applyBorder="0" applyAlignment="0" applyProtection="0"/>
    <xf numFmtId="303" fontId="62" fillId="58" borderId="169" applyNumberFormat="0" applyAlignment="0" applyProtection="0"/>
    <xf numFmtId="303" fontId="34" fillId="10" borderId="25" applyNumberFormat="0" applyAlignment="0" applyProtection="0"/>
    <xf numFmtId="303" fontId="64" fillId="59" borderId="170" applyNumberFormat="0" applyAlignment="0" applyProtection="0"/>
    <xf numFmtId="303" fontId="36" fillId="11" borderId="2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303" fontId="66" fillId="0" borderId="0" applyNumberFormat="0" applyFill="0" applyBorder="0" applyAlignment="0" applyProtection="0"/>
    <xf numFmtId="303" fontId="38" fillId="0" borderId="0" applyNumberFormat="0" applyFill="0" applyBorder="0" applyAlignment="0" applyProtection="0"/>
    <xf numFmtId="303" fontId="68" fillId="42" borderId="0" applyNumberFormat="0" applyBorder="0" applyAlignment="0" applyProtection="0"/>
    <xf numFmtId="303" fontId="29" fillId="6" borderId="0" applyNumberFormat="0" applyBorder="0" applyAlignment="0" applyProtection="0"/>
    <xf numFmtId="38" fontId="17" fillId="60" borderId="0" applyNumberFormat="0" applyBorder="0" applyAlignment="0" applyProtection="0"/>
    <xf numFmtId="303" fontId="70" fillId="0" borderId="34" applyNumberFormat="0" applyFill="0" applyAlignment="0" applyProtection="0"/>
    <xf numFmtId="303" fontId="26" fillId="0" borderId="22" applyNumberFormat="0" applyFill="0" applyAlignment="0" applyProtection="0"/>
    <xf numFmtId="303" fontId="72" fillId="0" borderId="35" applyNumberFormat="0" applyFill="0" applyAlignment="0" applyProtection="0"/>
    <xf numFmtId="303" fontId="27" fillId="0" borderId="23" applyNumberFormat="0" applyFill="0" applyAlignment="0" applyProtection="0"/>
    <xf numFmtId="303" fontId="74" fillId="0" borderId="36" applyNumberFormat="0" applyFill="0" applyAlignment="0" applyProtection="0"/>
    <xf numFmtId="303" fontId="28" fillId="0" borderId="24" applyNumberFormat="0" applyFill="0" applyAlignment="0" applyProtection="0"/>
    <xf numFmtId="303" fontId="74" fillId="0" borderId="0" applyNumberFormat="0" applyFill="0" applyBorder="0" applyAlignment="0" applyProtection="0"/>
    <xf numFmtId="303" fontId="28" fillId="0" borderId="0" applyNumberFormat="0" applyFill="0" applyBorder="0" applyAlignment="0" applyProtection="0"/>
    <xf numFmtId="303" fontId="77" fillId="0" borderId="0" applyNumberFormat="0" applyFill="0" applyBorder="0" applyAlignment="0" applyProtection="0">
      <alignment vertical="top"/>
      <protection locked="0"/>
    </xf>
    <xf numFmtId="303" fontId="79" fillId="45" borderId="169" applyNumberFormat="0" applyAlignment="0" applyProtection="0"/>
    <xf numFmtId="10" fontId="17" fillId="61" borderId="174" applyNumberFormat="0" applyBorder="0" applyAlignment="0" applyProtection="0"/>
    <xf numFmtId="303" fontId="32" fillId="9" borderId="25" applyNumberFormat="0" applyAlignment="0" applyProtection="0"/>
    <xf numFmtId="303" fontId="81" fillId="0" borderId="37" applyNumberFormat="0" applyFill="0" applyAlignment="0" applyProtection="0"/>
    <xf numFmtId="303" fontId="35" fillId="0" borderId="27" applyNumberFormat="0" applyFill="0" applyAlignment="0" applyProtection="0"/>
    <xf numFmtId="190" fontId="11" fillId="0" borderId="0"/>
    <xf numFmtId="178" fontId="11" fillId="0" borderId="0"/>
    <xf numFmtId="190" fontId="11" fillId="0" borderId="0"/>
    <xf numFmtId="190" fontId="11" fillId="0" borderId="0"/>
    <xf numFmtId="190" fontId="11" fillId="0" borderId="0"/>
    <xf numFmtId="190" fontId="11" fillId="0" borderId="0"/>
    <xf numFmtId="303" fontId="83" fillId="62" borderId="0" applyNumberFormat="0" applyBorder="0" applyAlignment="0" applyProtection="0"/>
    <xf numFmtId="303" fontId="31" fillId="8" borderId="0" applyNumberFormat="0" applyBorder="0" applyAlignment="0" applyProtection="0"/>
    <xf numFmtId="191" fontId="11" fillId="0" borderId="0"/>
    <xf numFmtId="0" fontId="2" fillId="0" borderId="0"/>
    <xf numFmtId="0" fontId="2" fillId="0" borderId="0"/>
    <xf numFmtId="303" fontId="11"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11" fillId="63" borderId="171" applyNumberFormat="0" applyFont="0" applyAlignment="0" applyProtection="0"/>
    <xf numFmtId="303" fontId="2" fillId="12" borderId="29" applyNumberFormat="0" applyFont="0" applyAlignment="0" applyProtection="0"/>
    <xf numFmtId="303" fontId="86" fillId="58" borderId="172" applyNumberFormat="0" applyAlignment="0" applyProtection="0"/>
    <xf numFmtId="303" fontId="33" fillId="10" borderId="26"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03" fontId="87" fillId="0" borderId="0" applyNumberFormat="0" applyFill="0" applyBorder="0" applyAlignment="0" applyProtection="0"/>
    <xf numFmtId="303" fontId="25" fillId="0" borderId="0" applyNumberFormat="0" applyFill="0" applyBorder="0" applyAlignment="0" applyProtection="0"/>
    <xf numFmtId="303" fontId="89" fillId="0" borderId="173" applyNumberFormat="0" applyFill="0" applyAlignment="0" applyProtection="0"/>
    <xf numFmtId="303" fontId="39" fillId="0" borderId="30" applyNumberFormat="0" applyFill="0" applyAlignment="0" applyProtection="0"/>
    <xf numFmtId="303" fontId="90" fillId="0" borderId="0" applyNumberFormat="0" applyFill="0" applyBorder="0" applyAlignment="0" applyProtection="0"/>
    <xf numFmtId="303" fontId="37" fillId="0" borderId="0" applyNumberForma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5" fillId="14" borderId="0" applyNumberFormat="0" applyBorder="0" applyAlignment="0" applyProtection="0"/>
    <xf numFmtId="0" fontId="84" fillId="4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5" fillId="18" borderId="0" applyNumberFormat="0" applyBorder="0" applyAlignment="0" applyProtection="0"/>
    <xf numFmtId="0" fontId="84"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55" fillId="22" borderId="0" applyNumberFormat="0" applyBorder="0" applyAlignment="0" applyProtection="0"/>
    <xf numFmtId="0" fontId="84" fillId="4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5" fillId="26" borderId="0" applyNumberFormat="0" applyBorder="0" applyAlignment="0" applyProtection="0"/>
    <xf numFmtId="0" fontId="84" fillId="4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55" fillId="30" borderId="0" applyNumberFormat="0" applyBorder="0" applyAlignment="0" applyProtection="0"/>
    <xf numFmtId="0" fontId="84" fillId="4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55" fillId="34" borderId="0" applyNumberFormat="0" applyBorder="0" applyAlignment="0" applyProtection="0"/>
    <xf numFmtId="0" fontId="84" fillId="4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5" fillId="15" borderId="0" applyNumberFormat="0" applyBorder="0" applyAlignment="0" applyProtection="0"/>
    <xf numFmtId="0" fontId="84" fillId="46"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55" fillId="19" borderId="0" applyNumberFormat="0" applyBorder="0" applyAlignment="0" applyProtection="0"/>
    <xf numFmtId="0" fontId="84" fillId="4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55" fillId="23" borderId="0" applyNumberFormat="0" applyBorder="0" applyAlignment="0" applyProtection="0"/>
    <xf numFmtId="0" fontId="84" fillId="4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55" fillId="27" borderId="0" applyNumberFormat="0" applyBorder="0" applyAlignment="0" applyProtection="0"/>
    <xf numFmtId="0" fontId="84" fillId="4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55" fillId="31" borderId="0" applyNumberFormat="0" applyBorder="0" applyAlignment="0" applyProtection="0"/>
    <xf numFmtId="0" fontId="84" fillId="4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55" fillId="35" borderId="0" applyNumberFormat="0" applyBorder="0" applyAlignment="0" applyProtection="0"/>
    <xf numFmtId="0" fontId="84" fillId="49" borderId="0" applyNumberFormat="0" applyBorder="0" applyAlignment="0" applyProtection="0"/>
    <xf numFmtId="0" fontId="247" fillId="50" borderId="0" applyNumberFormat="0" applyBorder="0" applyAlignment="0" applyProtection="0"/>
    <xf numFmtId="0" fontId="247" fillId="47" borderId="0" applyNumberFormat="0" applyBorder="0" applyAlignment="0" applyProtection="0"/>
    <xf numFmtId="0" fontId="247" fillId="48"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7" fillId="55" borderId="0" applyNumberFormat="0" applyBorder="0" applyAlignment="0" applyProtection="0"/>
    <xf numFmtId="0" fontId="247" fillId="56"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7" borderId="0" applyNumberFormat="0" applyBorder="0" applyAlignment="0" applyProtection="0"/>
    <xf numFmtId="0" fontId="301" fillId="41" borderId="0" applyNumberFormat="0" applyBorder="0" applyAlignment="0" applyProtection="0"/>
    <xf numFmtId="0" fontId="302" fillId="58" borderId="169" applyNumberFormat="0" applyAlignment="0" applyProtection="0"/>
    <xf numFmtId="0" fontId="209" fillId="59" borderId="170" applyNumberFormat="0" applyAlignment="0" applyProtection="0"/>
    <xf numFmtId="170" fontId="41"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303" fillId="0" borderId="0" applyNumberFormat="0" applyFill="0" applyBorder="0" applyAlignment="0" applyProtection="0"/>
    <xf numFmtId="0" fontId="304" fillId="42" borderId="0" applyNumberFormat="0" applyBorder="0" applyAlignment="0" applyProtection="0"/>
    <xf numFmtId="0" fontId="305" fillId="0" borderId="34" applyNumberFormat="0" applyFill="0" applyAlignment="0" applyProtection="0"/>
    <xf numFmtId="0" fontId="306" fillId="0" borderId="35" applyNumberFormat="0" applyFill="0" applyAlignment="0" applyProtection="0"/>
    <xf numFmtId="0" fontId="307" fillId="0" borderId="36" applyNumberFormat="0" applyFill="0" applyAlignment="0" applyProtection="0"/>
    <xf numFmtId="0" fontId="307" fillId="0" borderId="0" applyNumberFormat="0" applyFill="0" applyBorder="0" applyAlignment="0" applyProtection="0"/>
    <xf numFmtId="0" fontId="308" fillId="45" borderId="169" applyNumberFormat="0" applyAlignment="0" applyProtection="0"/>
    <xf numFmtId="0" fontId="250" fillId="0" borderId="37" applyNumberFormat="0" applyFill="0" applyAlignment="0" applyProtection="0"/>
    <xf numFmtId="0" fontId="309" fillId="6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84" fillId="12" borderId="29" applyNumberFormat="0" applyFont="0" applyAlignment="0" applyProtection="0"/>
    <xf numFmtId="0" fontId="55" fillId="12" borderId="29" applyNumberFormat="0" applyFont="0" applyAlignment="0" applyProtection="0"/>
    <xf numFmtId="0" fontId="93" fillId="63" borderId="171"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310" fillId="58" borderId="172" applyNumberFormat="0" applyAlignment="0" applyProtection="0"/>
    <xf numFmtId="9" fontId="56" fillId="0" borderId="0" applyFont="0" applyFill="0" applyBorder="0" applyAlignment="0" applyProtection="0"/>
    <xf numFmtId="0" fontId="210" fillId="0" borderId="173" applyNumberFormat="0" applyFill="0" applyAlignment="0" applyProtection="0"/>
    <xf numFmtId="0" fontId="248" fillId="0" borderId="0" applyNumberFormat="0" applyFill="0" applyBorder="0" applyAlignment="0" applyProtection="0"/>
    <xf numFmtId="0" fontId="311" fillId="14" borderId="184" applyNumberFormat="0" applyAlignment="0" applyProtection="0">
      <alignment horizontal="right" vertical="center"/>
    </xf>
    <xf numFmtId="0" fontId="312" fillId="136" borderId="184" applyNumberFormat="0">
      <alignment horizontal="center" vertical="center"/>
    </xf>
    <xf numFmtId="0" fontId="79" fillId="45" borderId="169" applyNumberFormat="0" applyAlignment="0" applyProtection="0"/>
    <xf numFmtId="0" fontId="2" fillId="0" borderId="0"/>
    <xf numFmtId="0" fontId="2" fillId="0" borderId="0"/>
    <xf numFmtId="0" fontId="2" fillId="0" borderId="0"/>
    <xf numFmtId="0" fontId="2" fillId="0" borderId="0"/>
    <xf numFmtId="0" fontId="308" fillId="45" borderId="169" applyNumberFormat="0" applyAlignment="0" applyProtection="0"/>
    <xf numFmtId="0" fontId="2" fillId="0" borderId="0"/>
    <xf numFmtId="0" fontId="11" fillId="0" borderId="0"/>
    <xf numFmtId="14"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170" fontId="11" fillId="0" borderId="0" applyFont="0" applyFill="0" applyBorder="0" applyAlignment="0" applyProtection="0"/>
    <xf numFmtId="16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14" fontId="11"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308" fillId="45" borderId="169" applyNumberFormat="0" applyAlignment="0" applyProtection="0"/>
    <xf numFmtId="9" fontId="264" fillId="0" borderId="0" applyFill="0" applyBorder="0" applyAlignment="0" applyProtection="0"/>
    <xf numFmtId="0" fontId="251" fillId="137" borderId="0" applyNumberFormat="0" applyBorder="0" applyAlignment="0" applyProtection="0"/>
    <xf numFmtId="0" fontId="251" fillId="138" borderId="0" applyNumberFormat="0" applyBorder="0" applyAlignment="0" applyProtection="0"/>
    <xf numFmtId="0" fontId="251" fillId="139" borderId="0" applyNumberFormat="0" applyBorder="0" applyAlignment="0" applyProtection="0"/>
    <xf numFmtId="0" fontId="251" fillId="140" borderId="0" applyNumberFormat="0" applyBorder="0" applyAlignment="0" applyProtection="0"/>
    <xf numFmtId="0" fontId="251" fillId="141" borderId="0" applyNumberFormat="0" applyBorder="0" applyAlignment="0" applyProtection="0"/>
    <xf numFmtId="0" fontId="251" fillId="142" borderId="0" applyNumberFormat="0" applyBorder="0" applyAlignment="0" applyProtection="0"/>
    <xf numFmtId="0" fontId="251" fillId="143" borderId="0" applyNumberFormat="0" applyBorder="0" applyAlignment="0" applyProtection="0"/>
    <xf numFmtId="0" fontId="253" fillId="144" borderId="0" applyNumberFormat="0" applyBorder="0" applyAlignment="0" applyProtection="0"/>
    <xf numFmtId="0" fontId="253" fillId="145" borderId="0" applyNumberFormat="0" applyBorder="0" applyAlignment="0" applyProtection="0"/>
    <xf numFmtId="0" fontId="253" fillId="146" borderId="0" applyNumberFormat="0" applyBorder="0" applyAlignment="0" applyProtection="0"/>
    <xf numFmtId="0" fontId="253" fillId="147" borderId="0" applyNumberFormat="0" applyBorder="0" applyAlignment="0" applyProtection="0"/>
    <xf numFmtId="0" fontId="253" fillId="148" borderId="0" applyNumberFormat="0" applyBorder="0" applyAlignment="0" applyProtection="0"/>
    <xf numFmtId="0" fontId="253" fillId="149" borderId="0" applyNumberFormat="0" applyBorder="0" applyAlignment="0" applyProtection="0"/>
    <xf numFmtId="0" fontId="253" fillId="150" borderId="0" applyNumberFormat="0" applyBorder="0" applyAlignment="0" applyProtection="0"/>
    <xf numFmtId="0" fontId="255" fillId="151" borderId="0" applyNumberFormat="0" applyBorder="0" applyAlignment="0" applyProtection="0"/>
    <xf numFmtId="0" fontId="313" fillId="152" borderId="185" applyNumberFormat="0" applyAlignment="0" applyProtection="0"/>
    <xf numFmtId="0" fontId="261" fillId="153" borderId="170" applyNumberFormat="0" applyAlignment="0" applyProtection="0"/>
    <xf numFmtId="0" fontId="314" fillId="0" borderId="0" applyNumberFormat="0" applyFill="0" applyBorder="0" applyAlignment="0" applyProtection="0"/>
    <xf numFmtId="0" fontId="315" fillId="154" borderId="0" applyNumberFormat="0" applyBorder="0" applyAlignment="0" applyProtection="0"/>
    <xf numFmtId="0" fontId="270" fillId="155" borderId="0" applyNumberFormat="0" applyBorder="0" applyAlignment="0" applyProtection="0"/>
    <xf numFmtId="0" fontId="281" fillId="105" borderId="185" applyNumberFormat="0" applyAlignment="0" applyProtection="0"/>
    <xf numFmtId="0" fontId="316" fillId="0" borderId="186" applyNumberFormat="0" applyFill="0" applyAlignment="0" applyProtection="0"/>
    <xf numFmtId="0" fontId="317" fillId="156" borderId="0" applyNumberFormat="0" applyBorder="0" applyAlignment="0" applyProtection="0"/>
    <xf numFmtId="9" fontId="264" fillId="0" borderId="0" applyFill="0" applyBorder="0" applyAlignment="0" applyProtection="0"/>
    <xf numFmtId="0" fontId="264" fillId="133" borderId="187" applyNumberFormat="0" applyAlignment="0" applyProtection="0"/>
    <xf numFmtId="0" fontId="290" fillId="152" borderId="172" applyNumberFormat="0" applyAlignment="0" applyProtection="0"/>
    <xf numFmtId="9" fontId="264" fillId="0" borderId="0" applyFill="0" applyBorder="0" applyAlignment="0" applyProtection="0"/>
    <xf numFmtId="0" fontId="315" fillId="157"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0" fontId="66" fillId="0" borderId="0" applyNumberFormat="0" applyFill="0" applyBorder="0" applyAlignment="0" applyProtection="0"/>
    <xf numFmtId="0" fontId="68" fillId="42"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9" fillId="45" borderId="169" applyNumberFormat="0" applyAlignment="0" applyProtection="0"/>
    <xf numFmtId="0" fontId="81" fillId="0" borderId="37" applyNumberFormat="0" applyFill="0" applyAlignment="0" applyProtection="0"/>
    <xf numFmtId="0" fontId="83" fillId="62" borderId="0" applyNumberFormat="0" applyBorder="0" applyAlignment="0" applyProtection="0"/>
    <xf numFmtId="0" fontId="11" fillId="63" borderId="171" applyNumberFormat="0" applyFont="0" applyAlignment="0" applyProtection="0"/>
    <xf numFmtId="0" fontId="86" fillId="58" borderId="172" applyNumberFormat="0" applyAlignment="0" applyProtection="0"/>
    <xf numFmtId="9" fontId="11" fillId="0" borderId="0" applyFont="0" applyFill="0" applyBorder="0" applyAlignment="0" applyProtection="0"/>
    <xf numFmtId="0" fontId="87" fillId="0" borderId="0" applyNumberFormat="0" applyFill="0" applyBorder="0" applyAlignment="0" applyProtection="0"/>
    <xf numFmtId="0" fontId="89" fillId="0" borderId="173" applyNumberFormat="0" applyFill="0" applyAlignment="0" applyProtection="0"/>
    <xf numFmtId="0" fontId="90" fillId="0" borderId="0" applyNumberFormat="0" applyFill="0" applyBorder="0" applyAlignment="0" applyProtection="0"/>
    <xf numFmtId="0" fontId="25" fillId="0" borderId="0" applyNumberFormat="0" applyFill="0" applyBorder="0" applyAlignment="0" applyProtection="0"/>
    <xf numFmtId="0" fontId="27" fillId="0" borderId="23" applyNumberFormat="0" applyFill="0" applyAlignment="0" applyProtection="0"/>
    <xf numFmtId="0" fontId="26" fillId="0" borderId="22" applyNumberFormat="0" applyFill="0" applyAlignment="0" applyProtection="0"/>
    <xf numFmtId="0" fontId="28" fillId="0" borderId="24" applyNumberFormat="0" applyFill="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xf numFmtId="0" fontId="32" fillId="9" borderId="25" applyNumberFormat="0" applyAlignment="0" applyProtection="0"/>
    <xf numFmtId="0" fontId="33" fillId="10" borderId="26" applyNumberFormat="0" applyAlignment="0" applyProtection="0"/>
    <xf numFmtId="0" fontId="34" fillId="10" borderId="25" applyNumberFormat="0" applyAlignment="0" applyProtection="0"/>
    <xf numFmtId="0" fontId="35" fillId="0" borderId="27" applyNumberFormat="0" applyFill="0" applyAlignment="0" applyProtection="0"/>
    <xf numFmtId="0" fontId="36" fillId="11" borderId="28"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0" applyNumberFormat="0" applyFill="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40" fillId="36" borderId="0" applyNumberFormat="0" applyBorder="0" applyAlignment="0" applyProtection="0"/>
    <xf numFmtId="9" fontId="264" fillId="0" borderId="0" applyFill="0" applyBorder="0" applyAlignment="0" applyProtection="0"/>
    <xf numFmtId="9" fontId="264"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9" fontId="56"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264" fillId="0" borderId="0" applyFill="0" applyBorder="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264" fillId="0" borderId="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9" fontId="11" fillId="0" borderId="0"/>
    <xf numFmtId="187" fontId="11" fillId="0" borderId="0"/>
    <xf numFmtId="179" fontId="11" fillId="0" borderId="0"/>
    <xf numFmtId="179" fontId="11" fillId="0" borderId="0"/>
    <xf numFmtId="179" fontId="11" fillId="0" borderId="0"/>
    <xf numFmtId="179" fontId="11" fillId="0" borderId="0"/>
    <xf numFmtId="188" fontId="11" fillId="0" borderId="0"/>
    <xf numFmtId="189" fontId="11" fillId="0" borderId="0"/>
    <xf numFmtId="38" fontId="17" fillId="60" borderId="0" applyNumberFormat="0" applyBorder="0" applyAlignment="0" applyProtection="0"/>
    <xf numFmtId="10" fontId="17" fillId="61" borderId="174" applyNumberFormat="0" applyBorder="0" applyAlignment="0" applyProtection="0"/>
    <xf numFmtId="190" fontId="11" fillId="0" borderId="0"/>
    <xf numFmtId="178" fontId="11" fillId="0" borderId="0"/>
    <xf numFmtId="190" fontId="11" fillId="0" borderId="0"/>
    <xf numFmtId="190" fontId="11" fillId="0" borderId="0"/>
    <xf numFmtId="190" fontId="11" fillId="0" borderId="0"/>
    <xf numFmtId="190" fontId="11" fillId="0" borderId="0"/>
    <xf numFmtId="191" fontId="11" fillId="0" borderId="0"/>
    <xf numFmtId="10"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9" fontId="264" fillId="0" borderId="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9" fontId="264" fillId="0" borderId="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0" fillId="0" borderId="34" applyNumberFormat="0" applyFill="0" applyAlignment="0" applyProtection="0"/>
    <xf numFmtId="0" fontId="72" fillId="0" borderId="35" applyNumberFormat="0" applyFill="0" applyAlignment="0" applyProtection="0"/>
    <xf numFmtId="0" fontId="89" fillId="0" borderId="173" applyNumberFormat="0" applyFill="0" applyAlignment="0" applyProtection="0"/>
    <xf numFmtId="9" fontId="11"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3" borderId="0" applyNumberFormat="0" applyBorder="0" applyAlignment="0" applyProtection="0"/>
    <xf numFmtId="0" fontId="84" fillId="46" borderId="0" applyNumberFormat="0" applyBorder="0" applyAlignment="0" applyProtection="0"/>
    <xf numFmtId="0" fontId="84" fillId="49" borderId="0" applyNumberFormat="0" applyBorder="0" applyAlignment="0" applyProtection="0"/>
    <xf numFmtId="0" fontId="247" fillId="50" borderId="0" applyNumberFormat="0" applyBorder="0" applyAlignment="0" applyProtection="0"/>
    <xf numFmtId="0" fontId="247" fillId="47" borderId="0" applyNumberFormat="0" applyBorder="0" applyAlignment="0" applyProtection="0"/>
    <xf numFmtId="0" fontId="247" fillId="48"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7" fillId="55" borderId="0" applyNumberFormat="0" applyBorder="0" applyAlignment="0" applyProtection="0"/>
    <xf numFmtId="0" fontId="247" fillId="56"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7" borderId="0" applyNumberFormat="0" applyBorder="0" applyAlignment="0" applyProtection="0"/>
    <xf numFmtId="0" fontId="301" fillId="41" borderId="0" applyNumberFormat="0" applyBorder="0" applyAlignment="0" applyProtection="0"/>
    <xf numFmtId="0" fontId="302" fillId="58" borderId="169" applyNumberFormat="0" applyAlignment="0" applyProtection="0"/>
    <xf numFmtId="0" fontId="209" fillId="59" borderId="170" applyNumberFormat="0" applyAlignment="0" applyProtection="0"/>
    <xf numFmtId="0" fontId="303" fillId="0" borderId="0" applyNumberFormat="0" applyFill="0" applyBorder="0" applyAlignment="0" applyProtection="0"/>
    <xf numFmtId="0" fontId="304" fillId="42" borderId="0" applyNumberFormat="0" applyBorder="0" applyAlignment="0" applyProtection="0"/>
    <xf numFmtId="0" fontId="307" fillId="0" borderId="36" applyNumberFormat="0" applyFill="0" applyAlignment="0" applyProtection="0"/>
    <xf numFmtId="0" fontId="307" fillId="0" borderId="0" applyNumberFormat="0" applyFill="0" applyBorder="0" applyAlignment="0" applyProtection="0"/>
    <xf numFmtId="0" fontId="308" fillId="45" borderId="169" applyNumberFormat="0" applyAlignment="0" applyProtection="0"/>
    <xf numFmtId="0" fontId="250" fillId="0" borderId="37" applyNumberFormat="0" applyFill="0" applyAlignment="0" applyProtection="0"/>
    <xf numFmtId="0" fontId="309" fillId="62" borderId="0" applyNumberFormat="0" applyBorder="0" applyAlignment="0" applyProtection="0"/>
    <xf numFmtId="0" fontId="310" fillId="58" borderId="172" applyNumberFormat="0" applyAlignment="0" applyProtection="0"/>
    <xf numFmtId="0" fontId="248" fillId="0" borderId="0" applyNumberFormat="0" applyFill="0" applyBorder="0" applyAlignment="0" applyProtection="0"/>
    <xf numFmtId="0" fontId="11" fillId="0" borderId="0"/>
    <xf numFmtId="0" fontId="11" fillId="0" borderId="0"/>
    <xf numFmtId="170" fontId="11" fillId="0" borderId="0" applyFont="0" applyFill="0" applyBorder="0" applyAlignment="0" applyProtection="0"/>
    <xf numFmtId="0" fontId="2" fillId="0" borderId="0"/>
    <xf numFmtId="0" fontId="11" fillId="0" borderId="0"/>
    <xf numFmtId="9" fontId="11" fillId="0" borderId="0" applyFont="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0" fontId="79" fillId="45" borderId="169" applyNumberFormat="0" applyAlignment="0" applyProtection="0"/>
    <xf numFmtId="9" fontId="264" fillId="0" borderId="0" applyFill="0" applyBorder="0" applyAlignment="0" applyProtection="0"/>
    <xf numFmtId="9" fontId="11" fillId="0" borderId="0" applyFont="0" applyFill="0" applyBorder="0" applyAlignment="0" applyProtection="0"/>
    <xf numFmtId="9" fontId="264" fillId="0" borderId="0" applyFill="0" applyBorder="0" applyAlignment="0" applyProtection="0"/>
    <xf numFmtId="9" fontId="264"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64" fillId="0" borderId="0" applyFill="0" applyBorder="0" applyAlignment="0" applyProtection="0"/>
    <xf numFmtId="0" fontId="79" fillId="45" borderId="169" applyNumberFormat="0" applyAlignment="0" applyProtection="0"/>
    <xf numFmtId="0" fontId="79" fillId="45" borderId="169" applyNumberFormat="0" applyAlignment="0" applyProtection="0"/>
    <xf numFmtId="9" fontId="264" fillId="0" borderId="0" applyFill="0" applyBorder="0" applyAlignment="0" applyProtection="0"/>
    <xf numFmtId="9" fontId="264" fillId="0" borderId="0" applyFill="0" applyBorder="0" applyAlignment="0" applyProtection="0"/>
    <xf numFmtId="0" fontId="79" fillId="45" borderId="169" applyNumberFormat="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308" fillId="45" borderId="169" applyNumberFormat="0" applyAlignment="0" applyProtection="0"/>
    <xf numFmtId="9" fontId="11" fillId="0" borderId="0" applyFont="0" applyFill="0" applyBorder="0" applyAlignment="0" applyProtection="0"/>
    <xf numFmtId="0" fontId="247" fillId="50" borderId="0" applyNumberFormat="0" applyBorder="0" applyAlignment="0" applyProtection="0"/>
    <xf numFmtId="0" fontId="247" fillId="47" borderId="0" applyNumberFormat="0" applyBorder="0" applyAlignment="0" applyProtection="0"/>
    <xf numFmtId="0" fontId="247" fillId="48"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7" fillId="55" borderId="0" applyNumberFormat="0" applyBorder="0" applyAlignment="0" applyProtection="0"/>
    <xf numFmtId="0" fontId="247" fillId="56"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7" borderId="0" applyNumberFormat="0" applyBorder="0" applyAlignment="0" applyProtection="0"/>
    <xf numFmtId="9" fontId="264" fillId="0" borderId="0" applyFill="0" applyBorder="0" applyAlignment="0" applyProtection="0"/>
    <xf numFmtId="9" fontId="11" fillId="0" borderId="0" applyFont="0" applyFill="0" applyBorder="0" applyAlignment="0" applyProtection="0"/>
    <xf numFmtId="0" fontId="2" fillId="0" borderId="0"/>
    <xf numFmtId="0" fontId="258" fillId="129" borderId="175" applyNumberFormat="0" applyAlignment="0" applyProtection="0"/>
    <xf numFmtId="0" fontId="268" fillId="132" borderId="0" applyNumberFormat="0" applyBorder="0" applyAlignment="0" applyProtection="0"/>
    <xf numFmtId="0" fontId="281" fillId="105" borderId="175" applyNumberFormat="0" applyAlignment="0" applyProtection="0"/>
    <xf numFmtId="0" fontId="283" fillId="0" borderId="180" applyNumberFormat="0" applyFill="0" applyAlignment="0" applyProtection="0"/>
    <xf numFmtId="0" fontId="290" fillId="129" borderId="172" applyNumberFormat="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97" fillId="0" borderId="0" applyNumberFormat="0" applyFont="0" applyFill="0" applyAlignment="0" applyProtection="0"/>
    <xf numFmtId="0" fontId="15" fillId="0" borderId="0" applyNumberFormat="0" applyFont="0" applyFill="0" applyAlignment="0" applyProtection="0"/>
    <xf numFmtId="0" fontId="2" fillId="0" borderId="0"/>
    <xf numFmtId="0" fontId="11" fillId="0" borderId="183" applyNumberFormat="0" applyFont="0" applyBorder="0" applyAlignment="0" applyProtection="0"/>
    <xf numFmtId="0" fontId="11" fillId="0" borderId="183" applyNumberFormat="0" applyFont="0" applyBorder="0" applyAlignment="0" applyProtection="0"/>
    <xf numFmtId="170"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0" fontId="258" fillId="129" borderId="175" applyNumberFormat="0" applyAlignment="0" applyProtection="0"/>
    <xf numFmtId="0" fontId="268" fillId="132" borderId="0" applyNumberFormat="0" applyBorder="0" applyAlignment="0" applyProtection="0"/>
    <xf numFmtId="0" fontId="281" fillId="105" borderId="175" applyNumberFormat="0" applyAlignment="0" applyProtection="0"/>
    <xf numFmtId="0" fontId="283" fillId="0" borderId="180" applyNumberFormat="0" applyFill="0" applyAlignment="0" applyProtection="0"/>
    <xf numFmtId="0" fontId="290" fillId="129" borderId="172" applyNumberFormat="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2" fillId="0" borderId="0"/>
    <xf numFmtId="0" fontId="11" fillId="0" borderId="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 fillId="0" borderId="0"/>
    <xf numFmtId="0" fontId="11" fillId="0" borderId="183" applyNumberFormat="0" applyFont="0" applyBorder="0" applyAlignment="0" applyProtection="0"/>
    <xf numFmtId="0" fontId="11"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 fillId="0" borderId="0"/>
    <xf numFmtId="9" fontId="11" fillId="0" borderId="0" applyFont="0" applyFill="0" applyBorder="0" applyAlignment="0" applyProtection="0"/>
    <xf numFmtId="0" fontId="11" fillId="0" borderId="183" applyNumberFormat="0" applyFont="0" applyBorder="0" applyAlignment="0" applyProtection="0"/>
    <xf numFmtId="0" fontId="11"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 fillId="0" borderId="0"/>
    <xf numFmtId="9" fontId="11" fillId="0" borderId="0" applyFont="0" applyFill="0" applyBorder="0" applyAlignment="0" applyProtection="0"/>
    <xf numFmtId="0" fontId="11" fillId="0" borderId="183" applyNumberFormat="0" applyFont="0" applyBorder="0" applyAlignment="0" applyProtection="0"/>
    <xf numFmtId="9" fontId="11"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63" fillId="0" borderId="0" applyFill="0" applyBorder="0" applyAlignment="0" applyProtection="0"/>
    <xf numFmtId="9" fontId="263" fillId="0" borderId="0" applyFill="0" applyBorder="0" applyAlignment="0" applyProtection="0"/>
    <xf numFmtId="9" fontId="263" fillId="0" borderId="0" applyFill="0" applyBorder="0" applyAlignment="0" applyProtection="0"/>
    <xf numFmtId="9" fontId="263" fillId="0" borderId="0" applyFill="0" applyBorder="0" applyAlignment="0" applyProtection="0"/>
    <xf numFmtId="0" fontId="41" fillId="0"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170" fontId="41"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55" fillId="0" borderId="0"/>
    <xf numFmtId="0" fontId="41" fillId="0" borderId="0"/>
    <xf numFmtId="0" fontId="55" fillId="0" borderId="0"/>
    <xf numFmtId="0" fontId="55" fillId="0" borderId="0"/>
    <xf numFmtId="0" fontId="55" fillId="0" borderId="0"/>
    <xf numFmtId="0" fontId="55" fillId="0" borderId="0"/>
    <xf numFmtId="0" fontId="55" fillId="0" borderId="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9" fontId="41" fillId="0" borderId="0" applyFont="0" applyFill="0" applyBorder="0" applyAlignment="0" applyProtection="0"/>
    <xf numFmtId="9" fontId="41" fillId="0" borderId="0" applyFont="0" applyFill="0" applyBorder="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5" fillId="0" borderId="0" applyNumberFormat="0" applyFill="0" applyBorder="0" applyAlignment="0" applyProtection="0"/>
    <xf numFmtId="169" fontId="11" fillId="0" borderId="0" applyFont="0" applyFill="0" applyBorder="0" applyAlignment="0" applyProtection="0"/>
    <xf numFmtId="0" fontId="2" fillId="0" borderId="0"/>
    <xf numFmtId="0" fontId="2"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 fillId="0" borderId="0" applyFont="0" applyFill="0" applyBorder="0" applyAlignment="0" applyProtection="0"/>
    <xf numFmtId="169" fontId="11" fillId="0" borderId="0" applyFont="0" applyFill="0" applyBorder="0" applyAlignment="0" applyProtection="0"/>
    <xf numFmtId="0" fontId="2" fillId="0" borderId="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1" fillId="5" borderId="174" applyNumberFormat="0" applyProtection="0">
      <alignment horizontal="left" vertical="center"/>
    </xf>
    <xf numFmtId="0" fontId="11" fillId="5" borderId="174" applyNumberFormat="0" applyProtection="0">
      <alignment horizontal="left" vertical="center"/>
    </xf>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41" fillId="0" borderId="0"/>
    <xf numFmtId="170" fontId="41" fillId="0" borderId="0" applyFont="0" applyFill="0" applyBorder="0" applyAlignment="0" applyProtection="0"/>
    <xf numFmtId="0" fontId="41"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70" fontId="41" fillId="0" borderId="0" applyFont="0" applyFill="0" applyBorder="0" applyAlignment="0" applyProtection="0"/>
    <xf numFmtId="0" fontId="2" fillId="0" borderId="0"/>
    <xf numFmtId="0" fontId="2" fillId="0" borderId="0"/>
    <xf numFmtId="9" fontId="41"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62" fillId="58" borderId="169" applyNumberFormat="0" applyAlignment="0" applyProtection="0"/>
    <xf numFmtId="0" fontId="89" fillId="0" borderId="173" applyNumberFormat="0" applyFill="0" applyAlignment="0" applyProtection="0"/>
    <xf numFmtId="0" fontId="2" fillId="0" borderId="0"/>
    <xf numFmtId="0" fontId="28" fillId="0" borderId="24" applyNumberFormat="0" applyFill="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xf numFmtId="0" fontId="32" fillId="9" borderId="25" applyNumberFormat="0" applyAlignment="0" applyProtection="0"/>
    <xf numFmtId="0" fontId="33" fillId="10" borderId="26" applyNumberFormat="0" applyAlignment="0" applyProtection="0"/>
    <xf numFmtId="0" fontId="34" fillId="10" borderId="25" applyNumberFormat="0" applyAlignment="0" applyProtection="0"/>
    <xf numFmtId="0" fontId="35" fillId="0" borderId="27" applyNumberFormat="0" applyFill="0" applyAlignment="0" applyProtection="0"/>
    <xf numFmtId="0" fontId="36" fillId="11" borderId="28" applyNumberFormat="0" applyAlignment="0" applyProtection="0"/>
    <xf numFmtId="0" fontId="37" fillId="0" borderId="0" applyNumberFormat="0" applyFill="0" applyBorder="0" applyAlignment="0" applyProtection="0"/>
    <xf numFmtId="0" fontId="2" fillId="12" borderId="29" applyNumberFormat="0" applyFont="0" applyAlignment="0" applyProtection="0"/>
    <xf numFmtId="0" fontId="38" fillId="0" borderId="0" applyNumberFormat="0" applyFill="0" applyBorder="0" applyAlignment="0" applyProtection="0"/>
    <xf numFmtId="0" fontId="39" fillId="0" borderId="30" applyNumberFormat="0" applyFill="0" applyAlignment="0" applyProtection="0"/>
    <xf numFmtId="0" fontId="4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0" fillId="36"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11" fillId="0" borderId="0" applyFont="0" applyFill="0" applyBorder="0" applyAlignment="0" applyProtection="0"/>
    <xf numFmtId="0" fontId="2" fillId="0" borderId="0"/>
    <xf numFmtId="0" fontId="2" fillId="0" borderId="0"/>
    <xf numFmtId="0" fontId="86" fillId="58" borderId="172" applyNumberFormat="0" applyAlignment="0" applyProtection="0"/>
    <xf numFmtId="0" fontId="64" fillId="59" borderId="170" applyNumberFormat="0" applyAlignment="0" applyProtection="0"/>
    <xf numFmtId="0" fontId="11" fillId="63" borderId="171" applyNumberFormat="0" applyFont="0" applyAlignment="0" applyProtection="0"/>
    <xf numFmtId="0" fontId="75" fillId="0" borderId="0" applyNumberForma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170"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41"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1" fillId="0" borderId="0"/>
    <xf numFmtId="0" fontId="2" fillId="0" borderId="0"/>
    <xf numFmtId="0" fontId="2" fillId="0" borderId="0"/>
    <xf numFmtId="9" fontId="41"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11" fillId="0" borderId="0"/>
    <xf numFmtId="0" fontId="11" fillId="5" borderId="174" applyNumberFormat="0" applyProtection="0">
      <alignment horizontal="left" vertical="center"/>
    </xf>
    <xf numFmtId="0" fontId="32" fillId="9" borderId="25" applyNumberForma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41" fillId="0" borderId="0"/>
    <xf numFmtId="0" fontId="2" fillId="0" borderId="0"/>
    <xf numFmtId="0" fontId="2" fillId="0" borderId="0"/>
    <xf numFmtId="9" fontId="41" fillId="0" borderId="0" applyFont="0" applyFill="0" applyBorder="0" applyAlignment="0" applyProtection="0"/>
    <xf numFmtId="0" fontId="41"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32" fillId="9" borderId="25" applyNumberForma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xf numFmtId="0" fontId="252" fillId="100"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251" fillId="101"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251" fillId="102" borderId="0" applyNumberFormat="0" applyBorder="0" applyAlignment="0" applyProtection="0"/>
    <xf numFmtId="0" fontId="56" fillId="47" borderId="0" applyNumberFormat="0" applyBorder="0" applyAlignment="0" applyProtection="0"/>
    <xf numFmtId="0" fontId="252" fillId="102"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251" fillId="103"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251" fillId="103" borderId="0" applyNumberFormat="0" applyBorder="0" applyAlignment="0" applyProtection="0"/>
    <xf numFmtId="0" fontId="58" fillId="51" borderId="0" applyNumberFormat="0" applyBorder="0" applyAlignment="0" applyProtection="0"/>
    <xf numFmtId="0" fontId="252" fillId="103"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251" fillId="10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251" fillId="105" borderId="0" applyNumberFormat="0" applyBorder="0" applyAlignment="0" applyProtection="0"/>
    <xf numFmtId="0" fontId="58" fillId="57" borderId="0" applyNumberFormat="0" applyBorder="0" applyAlignment="0" applyProtection="0"/>
    <xf numFmtId="0" fontId="252" fillId="105"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0" fontId="251" fillId="96" borderId="0" applyNumberFormat="0" applyBorder="0" applyAlignment="0" applyProtection="0"/>
    <xf numFmtId="170" fontId="11" fillId="0" borderId="0" applyFont="0" applyFill="0" applyBorder="0" applyAlignment="0" applyProtection="0"/>
    <xf numFmtId="0" fontId="66" fillId="0" borderId="0" applyNumberFormat="0" applyFill="0" applyBorder="0" applyAlignment="0" applyProtection="0"/>
    <xf numFmtId="0" fontId="251" fillId="106" borderId="0" applyNumberFormat="0" applyBorder="0" applyAlignment="0" applyProtection="0"/>
    <xf numFmtId="0" fontId="68" fillId="42" borderId="0" applyNumberFormat="0" applyBorder="0" applyAlignment="0" applyProtection="0"/>
    <xf numFmtId="0" fontId="252" fillId="106"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251" fillId="98" borderId="0" applyNumberFormat="0" applyBorder="0" applyAlignment="0" applyProtection="0"/>
    <xf numFmtId="0" fontId="74" fillId="0" borderId="0" applyNumberFormat="0" applyFill="0" applyBorder="0" applyAlignment="0" applyProtection="0"/>
    <xf numFmtId="0" fontId="79" fillId="45" borderId="169" applyNumberFormat="0" applyAlignment="0" applyProtection="0"/>
    <xf numFmtId="0" fontId="81" fillId="0" borderId="37" applyNumberFormat="0" applyFill="0" applyAlignment="0" applyProtection="0"/>
    <xf numFmtId="0" fontId="251" fillId="107" borderId="0" applyNumberFormat="0" applyBorder="0" applyAlignment="0" applyProtection="0"/>
    <xf numFmtId="0" fontId="83" fillId="62" borderId="0" applyNumberFormat="0" applyBorder="0" applyAlignment="0" applyProtection="0"/>
    <xf numFmtId="0" fontId="252" fillId="107" borderId="0" applyNumberFormat="0" applyBorder="0" applyAlignment="0" applyProtection="0"/>
    <xf numFmtId="0" fontId="2" fillId="0" borderId="0"/>
    <xf numFmtId="0" fontId="11" fillId="63" borderId="171" applyNumberFormat="0" applyFont="0" applyAlignment="0" applyProtection="0"/>
    <xf numFmtId="0" fontId="11" fillId="63" borderId="171" applyNumberFormat="0" applyFont="0" applyAlignment="0" applyProtection="0"/>
    <xf numFmtId="0" fontId="86" fillId="58" borderId="172" applyNumberFormat="0" applyAlignment="0" applyProtection="0"/>
    <xf numFmtId="9" fontId="11" fillId="0" borderId="0" applyFont="0" applyFill="0" applyBorder="0" applyAlignment="0" applyProtection="0"/>
    <xf numFmtId="0" fontId="251" fillId="108" borderId="0" applyNumberFormat="0" applyBorder="0" applyAlignment="0" applyProtection="0"/>
    <xf numFmtId="0" fontId="89" fillId="0" borderId="173" applyNumberFormat="0" applyFill="0" applyAlignment="0" applyProtection="0"/>
    <xf numFmtId="0" fontId="11" fillId="0" borderId="0"/>
    <xf numFmtId="0" fontId="90" fillId="0" borderId="0" applyNumberFormat="0" applyFill="0" applyBorder="0" applyAlignment="0" applyProtection="0"/>
    <xf numFmtId="0" fontId="251" fillId="100" borderId="0" applyNumberFormat="0" applyBorder="0" applyAlignment="0" applyProtection="0"/>
    <xf numFmtId="0" fontId="251" fillId="99" borderId="0" applyNumberFormat="0" applyBorder="0" applyAlignment="0" applyProtection="0"/>
    <xf numFmtId="0" fontId="252" fillId="98" borderId="0" applyNumberFormat="0" applyBorder="0" applyAlignment="0" applyProtection="0"/>
    <xf numFmtId="0" fontId="251" fillId="98" borderId="0" applyNumberFormat="0" applyBorder="0" applyAlignment="0" applyProtection="0"/>
    <xf numFmtId="0" fontId="251" fillId="97" borderId="0" applyNumberFormat="0" applyBorder="0" applyAlignment="0" applyProtection="0"/>
    <xf numFmtId="0" fontId="252" fillId="96" borderId="0" applyNumberFormat="0" applyBorder="0" applyAlignment="0" applyProtection="0"/>
    <xf numFmtId="0" fontId="251" fillId="96" borderId="0" applyNumberFormat="0" applyBorder="0" applyAlignment="0" applyProtection="0"/>
    <xf numFmtId="0" fontId="251" fillId="95" borderId="0" applyNumberFormat="0" applyBorder="0" applyAlignment="0" applyProtection="0"/>
    <xf numFmtId="0" fontId="251" fillId="109" borderId="0" applyNumberFormat="0" applyBorder="0" applyAlignment="0" applyProtection="0"/>
    <xf numFmtId="0" fontId="252" fillId="109" borderId="0" applyNumberFormat="0" applyBorder="0" applyAlignment="0" applyProtection="0"/>
    <xf numFmtId="0" fontId="251" fillId="110" borderId="0" applyNumberFormat="0" applyBorder="0" applyAlignment="0" applyProtection="0"/>
    <xf numFmtId="0" fontId="251" fillId="102" borderId="0" applyNumberFormat="0" applyBorder="0" applyAlignment="0" applyProtection="0"/>
    <xf numFmtId="0" fontId="252" fillId="102" borderId="0" applyNumberFormat="0" applyBorder="0" applyAlignment="0" applyProtection="0"/>
    <xf numFmtId="0" fontId="251" fillId="111" borderId="0" applyNumberFormat="0" applyBorder="0" applyAlignment="0" applyProtection="0"/>
    <xf numFmtId="0" fontId="251" fillId="106" borderId="0" applyNumberFormat="0" applyBorder="0" applyAlignment="0" applyProtection="0"/>
    <xf numFmtId="0" fontId="252" fillId="106" borderId="0" applyNumberFormat="0" applyBorder="0" applyAlignment="0" applyProtection="0"/>
    <xf numFmtId="0" fontId="251" fillId="112" borderId="0" applyNumberFormat="0" applyBorder="0" applyAlignment="0" applyProtection="0"/>
    <xf numFmtId="0" fontId="251" fillId="113" borderId="0" applyNumberFormat="0" applyBorder="0" applyAlignment="0" applyProtection="0"/>
    <xf numFmtId="0" fontId="252" fillId="113" borderId="0" applyNumberFormat="0" applyBorder="0" applyAlignment="0" applyProtection="0"/>
    <xf numFmtId="0" fontId="253" fillId="115" borderId="0" applyNumberFormat="0" applyBorder="0" applyAlignment="0" applyProtection="0"/>
    <xf numFmtId="0" fontId="254" fillId="115" borderId="0" applyNumberFormat="0" applyBorder="0" applyAlignment="0" applyProtection="0"/>
    <xf numFmtId="0" fontId="253" fillId="107" borderId="0" applyNumberFormat="0" applyBorder="0" applyAlignment="0" applyProtection="0"/>
    <xf numFmtId="0" fontId="254" fillId="107" borderId="0" applyNumberFormat="0" applyBorder="0" applyAlignment="0" applyProtection="0"/>
    <xf numFmtId="0" fontId="253" fillId="109" borderId="0" applyNumberFormat="0" applyBorder="0" applyAlignment="0" applyProtection="0"/>
    <xf numFmtId="0" fontId="254" fillId="109"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18" borderId="0" applyNumberFormat="0" applyBorder="0" applyAlignment="0" applyProtection="0"/>
    <xf numFmtId="0" fontId="254" fillId="118" borderId="0" applyNumberFormat="0" applyBorder="0" applyAlignment="0" applyProtection="0"/>
    <xf numFmtId="0" fontId="253" fillId="120" borderId="0" applyNumberFormat="0" applyBorder="0" applyAlignment="0" applyProtection="0"/>
    <xf numFmtId="0" fontId="254" fillId="120" borderId="0" applyNumberFormat="0" applyBorder="0" applyAlignment="0" applyProtection="0"/>
    <xf numFmtId="0" fontId="253" fillId="123" borderId="0" applyNumberFormat="0" applyBorder="0" applyAlignment="0" applyProtection="0"/>
    <xf numFmtId="0" fontId="254" fillId="123" borderId="0" applyNumberFormat="0" applyBorder="0" applyAlignment="0" applyProtection="0"/>
    <xf numFmtId="0" fontId="253" fillId="125" borderId="0" applyNumberFormat="0" applyBorder="0" applyAlignment="0" applyProtection="0"/>
    <xf numFmtId="0" fontId="254" fillId="125"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27" borderId="0" applyNumberFormat="0" applyBorder="0" applyAlignment="0" applyProtection="0"/>
    <xf numFmtId="0" fontId="254" fillId="127" borderId="0" applyNumberFormat="0" applyBorder="0" applyAlignment="0" applyProtection="0"/>
    <xf numFmtId="0" fontId="256" fillId="98" borderId="0" applyNumberFormat="0" applyBorder="0" applyAlignment="0" applyProtection="0"/>
    <xf numFmtId="0" fontId="257" fillId="98" borderId="0" applyNumberFormat="0" applyBorder="0" applyAlignment="0" applyProtection="0"/>
    <xf numFmtId="0" fontId="259" fillId="130" borderId="169" applyNumberFormat="0" applyAlignment="0" applyProtection="0"/>
    <xf numFmtId="0" fontId="260" fillId="130" borderId="169" applyNumberFormat="0" applyAlignment="0" applyProtection="0"/>
    <xf numFmtId="0" fontId="261" fillId="131" borderId="170" applyNumberFormat="0" applyAlignment="0" applyProtection="0"/>
    <xf numFmtId="0" fontId="262" fillId="131" borderId="170" applyNumberFormat="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8" fillId="100" borderId="0" applyNumberFormat="0" applyBorder="0" applyAlignment="0" applyProtection="0"/>
    <xf numFmtId="0" fontId="269" fillId="100" borderId="0" applyNumberFormat="0" applyBorder="0" applyAlignment="0" applyProtection="0"/>
    <xf numFmtId="0" fontId="264" fillId="0" borderId="0" applyNumberFormat="0" applyFill="0" applyAlignment="0" applyProtection="0"/>
    <xf numFmtId="0" fontId="272" fillId="0" borderId="34" applyNumberFormat="0" applyFill="0" applyAlignment="0" applyProtection="0"/>
    <xf numFmtId="0" fontId="264" fillId="0" borderId="0" applyNumberFormat="0" applyFill="0" applyAlignment="0" applyProtection="0"/>
    <xf numFmtId="0" fontId="274" fillId="0" borderId="35" applyNumberFormat="0" applyFill="0" applyAlignment="0" applyProtection="0"/>
    <xf numFmtId="0" fontId="276" fillId="0" borderId="179" applyNumberFormat="0" applyFill="0" applyAlignment="0" applyProtection="0"/>
    <xf numFmtId="0" fontId="277" fillId="0" borderId="179" applyNumberFormat="0" applyFill="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4" fillId="0" borderId="37" applyNumberFormat="0" applyFill="0" applyAlignment="0" applyProtection="0"/>
    <xf numFmtId="0" fontId="285" fillId="0" borderId="37" applyNumberFormat="0" applyFill="0" applyAlignment="0" applyProtection="0"/>
    <xf numFmtId="0" fontId="287" fillId="135" borderId="0" applyNumberFormat="0" applyBorder="0" applyAlignment="0" applyProtection="0"/>
    <xf numFmtId="0" fontId="288" fillId="135" borderId="0" applyNumberFormat="0" applyBorder="0" applyAlignment="0" applyProtection="0"/>
    <xf numFmtId="0" fontId="244" fillId="0" borderId="0"/>
    <xf numFmtId="0" fontId="251" fillId="0" borderId="0"/>
    <xf numFmtId="0" fontId="244" fillId="0" borderId="0"/>
    <xf numFmtId="0" fontId="251" fillId="0" borderId="0"/>
    <xf numFmtId="0" fontId="244" fillId="0" borderId="0"/>
    <xf numFmtId="0" fontId="251" fillId="0" borderId="0"/>
    <xf numFmtId="0" fontId="244"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44" fillId="0" borderId="0"/>
    <xf numFmtId="0" fontId="251" fillId="0" borderId="0"/>
    <xf numFmtId="0" fontId="264" fillId="133" borderId="181" applyNumberFormat="0" applyAlignment="0" applyProtection="0"/>
    <xf numFmtId="0" fontId="290" fillId="130" borderId="172" applyNumberFormat="0" applyAlignment="0" applyProtection="0"/>
    <xf numFmtId="0" fontId="291" fillId="130" borderId="172" applyNumberFormat="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0" fontId="293" fillId="0" borderId="0" applyNumberFormat="0" applyFill="0" applyBorder="0" applyAlignment="0" applyProtection="0"/>
    <xf numFmtId="0" fontId="264" fillId="0" borderId="0" applyNumberFormat="0" applyBorder="0" applyAlignment="0" applyProtection="0"/>
    <xf numFmtId="0" fontId="294" fillId="0" borderId="173" applyNumberFormat="0" applyFill="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170" fontId="11" fillId="0" borderId="0" applyFont="0" applyFill="0" applyBorder="0" applyAlignment="0" applyProtection="0"/>
    <xf numFmtId="9" fontId="11" fillId="0" borderId="0" applyFont="0" applyFill="0" applyBorder="0" applyAlignment="0" applyProtection="0"/>
    <xf numFmtId="0" fontId="264" fillId="0" borderId="0" applyNumberFormat="0" applyFill="0" applyBorder="0" applyAlignment="0" applyProtection="0"/>
    <xf numFmtId="0" fontId="2" fillId="0" borderId="0"/>
    <xf numFmtId="170" fontId="2" fillId="0" borderId="0" applyFont="0" applyFill="0" applyBorder="0" applyAlignment="0" applyProtection="0"/>
    <xf numFmtId="0" fontId="2" fillId="0" borderId="0"/>
    <xf numFmtId="0" fontId="297" fillId="0" borderId="0" applyNumberFormat="0" applyFont="0" applyFill="0" applyAlignment="0" applyProtection="0"/>
    <xf numFmtId="0" fontId="15" fillId="0" borderId="0" applyNumberFormat="0" applyFont="0" applyFill="0" applyAlignment="0" applyProtection="0"/>
    <xf numFmtId="0" fontId="11" fillId="0" borderId="0"/>
    <xf numFmtId="9" fontId="11" fillId="0" borderId="0" applyFont="0" applyFill="0" applyBorder="0" applyAlignment="0" applyProtection="0"/>
    <xf numFmtId="0" fontId="11" fillId="0" borderId="183" applyNumberFormat="0" applyFont="0" applyBorder="0" applyAlignment="0" applyProtection="0"/>
    <xf numFmtId="0" fontId="2" fillId="0" borderId="0"/>
    <xf numFmtId="0" fontId="2" fillId="0" borderId="0"/>
    <xf numFmtId="170"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0" fontId="66" fillId="0" borderId="0" applyNumberFormat="0" applyFill="0" applyBorder="0" applyAlignment="0" applyProtection="0"/>
    <xf numFmtId="0" fontId="68" fillId="42"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81" fillId="0" borderId="37" applyNumberFormat="0" applyFill="0" applyAlignment="0" applyProtection="0"/>
    <xf numFmtId="0" fontId="83" fillId="62" borderId="0" applyNumberFormat="0" applyBorder="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90" fillId="0" borderId="0" applyNumberForma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0" fontId="11" fillId="0" borderId="0"/>
    <xf numFmtId="0" fontId="2" fillId="0" borderId="0"/>
    <xf numFmtId="9" fontId="11" fillId="0" borderId="0" applyFont="0" applyFill="0" applyBorder="0" applyAlignment="0" applyProtection="0"/>
    <xf numFmtId="9" fontId="56" fillId="0" borderId="0" applyFont="0" applyFill="0" applyBorder="0" applyAlignment="0" applyProtection="0"/>
    <xf numFmtId="0" fontId="2" fillId="0" borderId="0"/>
    <xf numFmtId="303" fontId="56" fillId="40" borderId="0" applyNumberFormat="0" applyBorder="0" applyAlignment="0" applyProtection="0"/>
    <xf numFmtId="303" fontId="2" fillId="14" borderId="0" applyNumberFormat="0" applyBorder="0" applyAlignment="0" applyProtection="0"/>
    <xf numFmtId="303" fontId="56" fillId="41" borderId="0" applyNumberFormat="0" applyBorder="0" applyAlignment="0" applyProtection="0"/>
    <xf numFmtId="303" fontId="2" fillId="18" borderId="0" applyNumberFormat="0" applyBorder="0" applyAlignment="0" applyProtection="0"/>
    <xf numFmtId="303" fontId="56" fillId="42" borderId="0" applyNumberFormat="0" applyBorder="0" applyAlignment="0" applyProtection="0"/>
    <xf numFmtId="303" fontId="2" fillId="22" borderId="0" applyNumberFormat="0" applyBorder="0" applyAlignment="0" applyProtection="0"/>
    <xf numFmtId="303" fontId="56" fillId="43" borderId="0" applyNumberFormat="0" applyBorder="0" applyAlignment="0" applyProtection="0"/>
    <xf numFmtId="303" fontId="2" fillId="26" borderId="0" applyNumberFormat="0" applyBorder="0" applyAlignment="0" applyProtection="0"/>
    <xf numFmtId="303" fontId="56" fillId="44" borderId="0" applyNumberFormat="0" applyBorder="0" applyAlignment="0" applyProtection="0"/>
    <xf numFmtId="303" fontId="2" fillId="30" borderId="0" applyNumberFormat="0" applyBorder="0" applyAlignment="0" applyProtection="0"/>
    <xf numFmtId="303" fontId="56" fillId="45" borderId="0" applyNumberFormat="0" applyBorder="0" applyAlignment="0" applyProtection="0"/>
    <xf numFmtId="303" fontId="2" fillId="34" borderId="0" applyNumberFormat="0" applyBorder="0" applyAlignment="0" applyProtection="0"/>
    <xf numFmtId="303" fontId="56" fillId="46" borderId="0" applyNumberFormat="0" applyBorder="0" applyAlignment="0" applyProtection="0"/>
    <xf numFmtId="303" fontId="2" fillId="15" borderId="0" applyNumberFormat="0" applyBorder="0" applyAlignment="0" applyProtection="0"/>
    <xf numFmtId="303" fontId="56" fillId="47" borderId="0" applyNumberFormat="0" applyBorder="0" applyAlignment="0" applyProtection="0"/>
    <xf numFmtId="303" fontId="2" fillId="19" borderId="0" applyNumberFormat="0" applyBorder="0" applyAlignment="0" applyProtection="0"/>
    <xf numFmtId="303" fontId="56" fillId="48" borderId="0" applyNumberFormat="0" applyBorder="0" applyAlignment="0" applyProtection="0"/>
    <xf numFmtId="303" fontId="2" fillId="23" borderId="0" applyNumberFormat="0" applyBorder="0" applyAlignment="0" applyProtection="0"/>
    <xf numFmtId="303" fontId="56" fillId="43" borderId="0" applyNumberFormat="0" applyBorder="0" applyAlignment="0" applyProtection="0"/>
    <xf numFmtId="303" fontId="2" fillId="27" borderId="0" applyNumberFormat="0" applyBorder="0" applyAlignment="0" applyProtection="0"/>
    <xf numFmtId="303" fontId="56" fillId="46" borderId="0" applyNumberFormat="0" applyBorder="0" applyAlignment="0" applyProtection="0"/>
    <xf numFmtId="303" fontId="2" fillId="31" borderId="0" applyNumberFormat="0" applyBorder="0" applyAlignment="0" applyProtection="0"/>
    <xf numFmtId="303" fontId="56" fillId="49" borderId="0" applyNumberFormat="0" applyBorder="0" applyAlignment="0" applyProtection="0"/>
    <xf numFmtId="303" fontId="2" fillId="35" borderId="0" applyNumberFormat="0" applyBorder="0" applyAlignment="0" applyProtection="0"/>
    <xf numFmtId="303" fontId="58" fillId="50" borderId="0" applyNumberFormat="0" applyBorder="0" applyAlignment="0" applyProtection="0"/>
    <xf numFmtId="303" fontId="58" fillId="47" borderId="0" applyNumberFormat="0" applyBorder="0" applyAlignment="0" applyProtection="0"/>
    <xf numFmtId="303" fontId="58" fillId="48" borderId="0" applyNumberFormat="0" applyBorder="0" applyAlignment="0" applyProtection="0"/>
    <xf numFmtId="303" fontId="58" fillId="51" borderId="0" applyNumberFormat="0" applyBorder="0" applyAlignment="0" applyProtection="0"/>
    <xf numFmtId="303" fontId="58" fillId="52" borderId="0" applyNumberFormat="0" applyBorder="0" applyAlignment="0" applyProtection="0"/>
    <xf numFmtId="303" fontId="58" fillId="53" borderId="0" applyNumberFormat="0" applyBorder="0" applyAlignment="0" applyProtection="0"/>
    <xf numFmtId="303" fontId="58" fillId="54" borderId="0" applyNumberFormat="0" applyBorder="0" applyAlignment="0" applyProtection="0"/>
    <xf numFmtId="303" fontId="58" fillId="55" borderId="0" applyNumberFormat="0" applyBorder="0" applyAlignment="0" applyProtection="0"/>
    <xf numFmtId="303" fontId="58" fillId="56" borderId="0" applyNumberFormat="0" applyBorder="0" applyAlignment="0" applyProtection="0"/>
    <xf numFmtId="303" fontId="58" fillId="51" borderId="0" applyNumberFormat="0" applyBorder="0" applyAlignment="0" applyProtection="0"/>
    <xf numFmtId="303" fontId="58" fillId="52" borderId="0" applyNumberFormat="0" applyBorder="0" applyAlignment="0" applyProtection="0"/>
    <xf numFmtId="303" fontId="58" fillId="57" borderId="0" applyNumberFormat="0" applyBorder="0" applyAlignment="0" applyProtection="0"/>
    <xf numFmtId="303" fontId="60" fillId="41" borderId="0" applyNumberFormat="0" applyBorder="0" applyAlignment="0" applyProtection="0"/>
    <xf numFmtId="303" fontId="62" fillId="58" borderId="169" applyNumberFormat="0" applyAlignment="0" applyProtection="0"/>
    <xf numFmtId="303" fontId="64" fillId="59" borderId="170"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303" fontId="66" fillId="0" borderId="0" applyNumberFormat="0" applyFill="0" applyBorder="0" applyAlignment="0" applyProtection="0"/>
    <xf numFmtId="303" fontId="68" fillId="42" borderId="0" applyNumberFormat="0" applyBorder="0" applyAlignment="0" applyProtection="0"/>
    <xf numFmtId="303" fontId="70" fillId="0" borderId="34" applyNumberFormat="0" applyFill="0" applyAlignment="0" applyProtection="0"/>
    <xf numFmtId="303" fontId="72" fillId="0" borderId="35" applyNumberFormat="0" applyFill="0" applyAlignment="0" applyProtection="0"/>
    <xf numFmtId="303" fontId="74" fillId="0" borderId="36" applyNumberFormat="0" applyFill="0" applyAlignment="0" applyProtection="0"/>
    <xf numFmtId="303" fontId="74" fillId="0" borderId="0" applyNumberFormat="0" applyFill="0" applyBorder="0" applyAlignment="0" applyProtection="0"/>
    <xf numFmtId="303" fontId="81" fillId="0" borderId="37" applyNumberFormat="0" applyFill="0" applyAlignment="0" applyProtection="0"/>
    <xf numFmtId="303" fontId="83" fillId="62" borderId="0" applyNumberFormat="0" applyBorder="0" applyAlignment="0" applyProtection="0"/>
    <xf numFmtId="0" fontId="2" fillId="0" borderId="0"/>
    <xf numFmtId="0" fontId="2" fillId="0" borderId="0"/>
    <xf numFmtId="303" fontId="11"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11" fillId="63" borderId="171" applyNumberFormat="0" applyFont="0" applyAlignment="0" applyProtection="0"/>
    <xf numFmtId="303" fontId="2" fillId="12" borderId="29" applyNumberFormat="0" applyFont="0" applyAlignment="0" applyProtection="0"/>
    <xf numFmtId="303" fontId="86" fillId="58" borderId="172"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03" fontId="89" fillId="0" borderId="173" applyNumberFormat="0" applyFill="0" applyAlignment="0" applyProtection="0"/>
    <xf numFmtId="303" fontId="90" fillId="0" borderId="0" applyNumberForma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9" fontId="56" fillId="0" borderId="0" applyFon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32" fillId="9" borderId="25" applyNumberFormat="0" applyAlignment="0" applyProtection="0"/>
    <xf numFmtId="9" fontId="11" fillId="0" borderId="0" applyFont="0" applyFill="0" applyBorder="0" applyAlignment="0" applyProtection="0"/>
    <xf numFmtId="9" fontId="56"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2" fillId="0" borderId="0"/>
    <xf numFmtId="0" fontId="11" fillId="0" borderId="183" applyNumberFormat="0" applyFont="0" applyBorder="0" applyAlignment="0" applyProtection="0"/>
    <xf numFmtId="0" fontId="11"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1" fillId="0" borderId="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11" fillId="5" borderId="174" applyNumberFormat="0" applyProtection="0">
      <alignment horizontal="left" vertical="center"/>
    </xf>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68"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305" fillId="0" borderId="34" applyNumberFormat="0" applyFill="0" applyAlignment="0" applyProtection="0"/>
    <xf numFmtId="0" fontId="306" fillId="0" borderId="35" applyNumberFormat="0" applyFill="0" applyAlignment="0" applyProtection="0"/>
    <xf numFmtId="0" fontId="2" fillId="0" borderId="0"/>
    <xf numFmtId="9" fontId="2" fillId="0" borderId="0" applyFont="0" applyFill="0" applyBorder="0" applyAlignment="0" applyProtection="0"/>
    <xf numFmtId="0" fontId="210" fillId="0" borderId="173" applyNumberFormat="0" applyFill="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58" fillId="55" borderId="0" applyNumberFormat="0" applyBorder="0" applyAlignment="0" applyProtection="0"/>
    <xf numFmtId="170" fontId="2" fillId="0" borderId="0" applyFont="0" applyFill="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6" fillId="48" borderId="0" applyNumberFormat="0" applyBorder="0" applyAlignment="0" applyProtection="0"/>
    <xf numFmtId="0" fontId="58" fillId="48" borderId="0" applyNumberFormat="0" applyBorder="0" applyAlignment="0" applyProtection="0"/>
    <xf numFmtId="0" fontId="64" fillId="59" borderId="170" applyNumberFormat="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6" fillId="46" borderId="0" applyNumberFormat="0" applyBorder="0" applyAlignment="0" applyProtection="0"/>
    <xf numFmtId="0" fontId="2" fillId="0" borderId="0"/>
    <xf numFmtId="0" fontId="56" fillId="47" borderId="0" applyNumberFormat="0" applyBorder="0" applyAlignment="0" applyProtection="0"/>
    <xf numFmtId="0" fontId="89" fillId="0" borderId="173" applyNumberFormat="0" applyFill="0" applyAlignment="0" applyProtection="0"/>
    <xf numFmtId="0" fontId="62" fillId="58" borderId="169" applyNumberFormat="0" applyAlignment="0" applyProtection="0"/>
    <xf numFmtId="169" fontId="2" fillId="0" borderId="0" applyFont="0" applyFill="0" applyBorder="0" applyAlignment="0" applyProtection="0"/>
    <xf numFmtId="0" fontId="70" fillId="0" borderId="34" applyNumberFormat="0" applyFill="0" applyAlignment="0" applyProtection="0"/>
    <xf numFmtId="9"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58" fillId="50" borderId="0" applyNumberFormat="0" applyBorder="0" applyAlignment="0" applyProtection="0"/>
    <xf numFmtId="0" fontId="58" fillId="53" borderId="0" applyNumberFormat="0" applyBorder="0" applyAlignment="0" applyProtection="0"/>
    <xf numFmtId="0" fontId="68" fillId="42" borderId="0" applyNumberFormat="0" applyBorder="0" applyAlignment="0" applyProtection="0"/>
    <xf numFmtId="0" fontId="83" fillId="62" borderId="0" applyNumberFormat="0" applyBorder="0" applyAlignment="0" applyProtection="0"/>
    <xf numFmtId="0" fontId="87" fillId="0" borderId="0" applyNumberForma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56" fillId="40" borderId="0" applyNumberFormat="0" applyBorder="0" applyAlignment="0" applyProtection="0"/>
    <xf numFmtId="0" fontId="60" fillId="41" borderId="0" applyNumberFormat="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56" fillId="42" borderId="0" applyNumberFormat="0" applyBorder="0" applyAlignment="0" applyProtection="0"/>
    <xf numFmtId="0" fontId="58" fillId="56" borderId="0" applyNumberFormat="0" applyBorder="0" applyAlignment="0" applyProtection="0"/>
    <xf numFmtId="170" fontId="2" fillId="0" borderId="0" applyFont="0" applyFill="0" applyBorder="0" applyAlignment="0" applyProtection="0"/>
    <xf numFmtId="0" fontId="56" fillId="46" borderId="0" applyNumberFormat="0" applyBorder="0" applyAlignment="0" applyProtection="0"/>
    <xf numFmtId="9" fontId="2" fillId="0" borderId="0" applyFont="0" applyFill="0" applyBorder="0" applyAlignment="0" applyProtection="0"/>
    <xf numFmtId="0" fontId="56" fillId="43" borderId="0" applyNumberFormat="0" applyBorder="0" applyAlignment="0" applyProtection="0"/>
    <xf numFmtId="0" fontId="58" fillId="54" borderId="0" applyNumberFormat="0" applyBorder="0" applyAlignment="0" applyProtection="0"/>
    <xf numFmtId="0" fontId="58" fillId="57" borderId="0" applyNumberFormat="0" applyBorder="0" applyAlignment="0" applyProtection="0"/>
    <xf numFmtId="0" fontId="2" fillId="0" borderId="0"/>
    <xf numFmtId="0" fontId="58" fillId="51" borderId="0" applyNumberFormat="0" applyBorder="0" applyAlignment="0" applyProtection="0"/>
    <xf numFmtId="0" fontId="74" fillId="0" borderId="36" applyNumberFormat="0" applyFill="0" applyAlignment="0" applyProtection="0"/>
    <xf numFmtId="0" fontId="56" fillId="44" borderId="0" applyNumberFormat="0" applyBorder="0" applyAlignment="0" applyProtection="0"/>
    <xf numFmtId="0" fontId="56" fillId="49" borderId="0" applyNumberFormat="0" applyBorder="0" applyAlignment="0" applyProtection="0"/>
    <xf numFmtId="0" fontId="58" fillId="47" borderId="0" applyNumberFormat="0" applyBorder="0" applyAlignment="0" applyProtection="0"/>
    <xf numFmtId="169" fontId="11" fillId="0" borderId="0" applyFont="0" applyFill="0" applyBorder="0" applyAlignment="0" applyProtection="0"/>
    <xf numFmtId="0" fontId="79" fillId="45" borderId="169" applyNumberFormat="0" applyAlignment="0" applyProtection="0"/>
    <xf numFmtId="0" fontId="86" fillId="58" borderId="172" applyNumberFormat="0" applyAlignment="0" applyProtection="0"/>
    <xf numFmtId="0" fontId="56" fillId="43" borderId="0" applyNumberFormat="0" applyBorder="0" applyAlignment="0" applyProtection="0"/>
    <xf numFmtId="0" fontId="11" fillId="0" borderId="0"/>
    <xf numFmtId="0" fontId="56" fillId="45" borderId="0" applyNumberFormat="0" applyBorder="0" applyAlignment="0" applyProtection="0"/>
    <xf numFmtId="0" fontId="56" fillId="41" borderId="0" applyNumberFormat="0" applyBorder="0" applyAlignment="0" applyProtection="0"/>
    <xf numFmtId="0" fontId="90" fillId="0" borderId="0" applyNumberFormat="0" applyFill="0" applyBorder="0" applyAlignment="0" applyProtection="0"/>
    <xf numFmtId="9" fontId="11" fillId="0" borderId="0" applyFont="0" applyFill="0" applyBorder="0" applyAlignment="0" applyProtection="0"/>
    <xf numFmtId="0" fontId="11" fillId="63" borderId="171" applyNumberFormat="0" applyFont="0" applyAlignment="0" applyProtection="0"/>
    <xf numFmtId="0" fontId="81" fillId="0" borderId="37" applyNumberFormat="0" applyFill="0" applyAlignment="0" applyProtection="0"/>
    <xf numFmtId="0" fontId="74" fillId="0" borderId="0" applyNumberFormat="0" applyFill="0" applyBorder="0" applyAlignment="0" applyProtection="0"/>
    <xf numFmtId="0" fontId="72" fillId="0" borderId="35" applyNumberFormat="0" applyFill="0" applyAlignment="0" applyProtection="0"/>
    <xf numFmtId="0" fontId="66" fillId="0" borderId="0" applyNumberFormat="0" applyFill="0" applyBorder="0" applyAlignment="0" applyProtection="0"/>
    <xf numFmtId="170" fontId="11" fillId="0" borderId="0" applyFont="0" applyFill="0" applyBorder="0" applyAlignment="0" applyProtection="0"/>
    <xf numFmtId="0" fontId="58" fillId="52" borderId="0" applyNumberFormat="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1" fillId="0" borderId="0"/>
    <xf numFmtId="0" fontId="79" fillId="45" borderId="169" applyNumberFormat="0" applyAlignment="0" applyProtection="0"/>
    <xf numFmtId="9" fontId="11" fillId="0" borderId="0" applyFont="0" applyFill="0" applyBorder="0" applyAlignment="0" applyProtection="0"/>
    <xf numFmtId="0" fontId="79" fillId="45" borderId="169" applyNumberFormat="0" applyAlignment="0" applyProtection="0"/>
    <xf numFmtId="0" fontId="11" fillId="0" borderId="0"/>
    <xf numFmtId="0" fontId="79" fillId="45" borderId="169" applyNumberFormat="0" applyAlignment="0" applyProtection="0"/>
    <xf numFmtId="9" fontId="11" fillId="0" borderId="0" applyFont="0" applyFill="0" applyBorder="0" applyAlignment="0" applyProtection="0"/>
    <xf numFmtId="0" fontId="11" fillId="0" borderId="0"/>
    <xf numFmtId="0" fontId="79" fillId="45" borderId="169" applyNumberFormat="0" applyAlignment="0" applyProtection="0"/>
    <xf numFmtId="9" fontId="11" fillId="0" borderId="0" applyFont="0" applyFill="0" applyBorder="0" applyAlignment="0" applyProtection="0"/>
    <xf numFmtId="0" fontId="11" fillId="0" borderId="0"/>
    <xf numFmtId="0" fontId="79" fillId="45" borderId="169" applyNumberFormat="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69"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9"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11" fillId="0" borderId="0"/>
    <xf numFmtId="0" fontId="62" fillId="58" borderId="169" applyNumberFormat="0" applyAlignment="0" applyProtection="0"/>
    <xf numFmtId="0" fontId="79" fillId="45" borderId="169" applyNumberFormat="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62" fillId="58" borderId="169"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0" fontId="70" fillId="0" borderId="34" applyNumberFormat="0" applyFill="0" applyAlignment="0" applyProtection="0"/>
    <xf numFmtId="0" fontId="72" fillId="0" borderId="35" applyNumberFormat="0" applyFill="0" applyAlignment="0" applyProtection="0"/>
    <xf numFmtId="0" fontId="79" fillId="45" borderId="169" applyNumberFormat="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0" fontId="2" fillId="0" borderId="0"/>
    <xf numFmtId="0" fontId="2" fillId="12" borderId="29" applyNumberFormat="0" applyFont="0" applyAlignment="0" applyProtection="0"/>
    <xf numFmtId="0" fontId="11"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0" fontId="11" fillId="63" borderId="171" applyNumberFormat="0" applyFont="0" applyAlignment="0" applyProtection="0"/>
    <xf numFmtId="9" fontId="11"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103" fillId="0" borderId="0" applyNumberFormat="0" applyFill="0" applyBorder="0" applyAlignment="0" applyProtection="0">
      <alignment vertical="top"/>
      <protection locked="0"/>
    </xf>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11" fillId="0" borderId="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cellStyleXfs>
  <cellXfs count="1908">
    <xf numFmtId="0" fontId="0" fillId="0" borderId="0" xfId="0"/>
    <xf numFmtId="0" fontId="0" fillId="0" borderId="0" xfId="0" applyAlignment="1">
      <alignment horizontal="center"/>
    </xf>
    <xf numFmtId="0" fontId="0" fillId="0" borderId="0" xfId="0" applyAlignment="1">
      <alignment horizontal="right"/>
    </xf>
    <xf numFmtId="171" fontId="0" fillId="0" borderId="0" xfId="0" applyNumberFormat="1" applyAlignment="1">
      <alignment horizontal="center"/>
    </xf>
    <xf numFmtId="3" fontId="0" fillId="0" borderId="0" xfId="0" applyNumberFormat="1" applyAlignment="1">
      <alignment horizontal="center"/>
    </xf>
    <xf numFmtId="10" fontId="0" fillId="0" borderId="0" xfId="0" applyNumberFormat="1" applyAlignment="1">
      <alignment horizontal="center"/>
    </xf>
    <xf numFmtId="0" fontId="14" fillId="0" borderId="0" xfId="0" applyFont="1"/>
    <xf numFmtId="0" fontId="14" fillId="0" borderId="0" xfId="0" applyFont="1" applyAlignment="1"/>
    <xf numFmtId="0" fontId="0" fillId="0" borderId="0" xfId="0" applyFill="1" applyAlignment="1">
      <alignment horizontal="center"/>
    </xf>
    <xf numFmtId="175" fontId="0" fillId="0" borderId="0" xfId="0" applyNumberFormat="1" applyAlignment="1">
      <alignment horizontal="center"/>
    </xf>
    <xf numFmtId="3" fontId="0" fillId="0" borderId="0" xfId="0" applyNumberFormat="1" applyFill="1" applyAlignment="1">
      <alignment horizontal="center"/>
    </xf>
    <xf numFmtId="176" fontId="0" fillId="0" borderId="0" xfId="0" applyNumberFormat="1" applyAlignment="1">
      <alignment horizontal="center"/>
    </xf>
    <xf numFmtId="3" fontId="0" fillId="0" borderId="0" xfId="0" applyNumberFormat="1" applyAlignment="1">
      <alignment horizontal="center" wrapText="1"/>
    </xf>
    <xf numFmtId="0" fontId="0" fillId="0" borderId="0" xfId="0" applyFill="1"/>
    <xf numFmtId="0" fontId="0" fillId="0" borderId="0" xfId="0" applyFill="1" applyBorder="1" applyAlignment="1"/>
    <xf numFmtId="0" fontId="0" fillId="0" borderId="2" xfId="0" applyFill="1" applyBorder="1" applyAlignment="1"/>
    <xf numFmtId="0" fontId="16" fillId="0" borderId="3" xfId="0" applyFont="1" applyFill="1" applyBorder="1" applyAlignment="1">
      <alignment horizontal="center"/>
    </xf>
    <xf numFmtId="0" fontId="16" fillId="0" borderId="3" xfId="0" applyFont="1" applyFill="1" applyBorder="1" applyAlignment="1">
      <alignment horizontal="centerContinuous"/>
    </xf>
    <xf numFmtId="178" fontId="0" fillId="0" borderId="0" xfId="1" applyNumberFormat="1" applyFont="1" applyAlignment="1">
      <alignment horizontal="center"/>
    </xf>
    <xf numFmtId="3" fontId="0" fillId="0" borderId="0" xfId="0" applyNumberFormat="1"/>
    <xf numFmtId="0" fontId="0" fillId="0" borderId="4" xfId="0" applyBorder="1"/>
    <xf numFmtId="0" fontId="0" fillId="4" borderId="0" xfId="0" applyFill="1" applyAlignment="1">
      <alignment horizontal="center"/>
    </xf>
    <xf numFmtId="0" fontId="0" fillId="4" borderId="0" xfId="0" applyFill="1"/>
    <xf numFmtId="3" fontId="20" fillId="0" borderId="0" xfId="0" applyNumberFormat="1" applyFont="1" applyAlignment="1">
      <alignment horizontal="left"/>
    </xf>
    <xf numFmtId="37" fontId="0" fillId="0" borderId="0" xfId="0" applyNumberFormat="1"/>
    <xf numFmtId="0" fontId="14" fillId="0" borderId="0" xfId="0" applyFont="1" applyBorder="1" applyAlignment="1">
      <alignment horizontal="left" indent="1"/>
    </xf>
    <xf numFmtId="37" fontId="14" fillId="0" borderId="0" xfId="0" applyNumberFormat="1" applyFont="1" applyBorder="1"/>
    <xf numFmtId="0" fontId="14" fillId="0" borderId="0" xfId="0" applyFont="1" applyBorder="1"/>
    <xf numFmtId="183" fontId="0" fillId="0" borderId="0" xfId="0" applyNumberFormat="1" applyBorder="1"/>
    <xf numFmtId="5" fontId="14" fillId="0" borderId="0" xfId="0" applyNumberFormat="1" applyFont="1" applyFill="1" applyBorder="1"/>
    <xf numFmtId="0" fontId="11" fillId="0" borderId="0" xfId="0" applyFont="1"/>
    <xf numFmtId="38" fontId="0" fillId="0" borderId="0" xfId="0" applyNumberFormat="1" applyFill="1" applyAlignment="1">
      <alignment horizontal="center"/>
    </xf>
    <xf numFmtId="0" fontId="11" fillId="0" borderId="0" xfId="4"/>
    <xf numFmtId="0" fontId="14" fillId="0" borderId="0" xfId="4" applyFont="1"/>
    <xf numFmtId="0" fontId="22" fillId="0" borderId="0" xfId="4" applyFont="1"/>
    <xf numFmtId="43" fontId="11" fillId="0" borderId="0" xfId="11" applyFont="1"/>
    <xf numFmtId="0" fontId="23" fillId="0" borderId="0" xfId="4" applyFont="1"/>
    <xf numFmtId="43" fontId="17" fillId="0" borderId="0" xfId="11" applyFont="1"/>
    <xf numFmtId="0" fontId="17" fillId="0" borderId="0" xfId="4" applyFont="1"/>
    <xf numFmtId="43" fontId="24" fillId="0" borderId="0" xfId="11" applyFont="1" applyAlignment="1">
      <alignment horizontal="right"/>
    </xf>
    <xf numFmtId="0" fontId="17" fillId="0" borderId="0" xfId="4" applyFont="1" applyAlignment="1">
      <alignment horizontal="right"/>
    </xf>
    <xf numFmtId="0" fontId="11" fillId="0" borderId="4" xfId="0" applyFont="1" applyBorder="1"/>
    <xf numFmtId="0" fontId="11" fillId="0" borderId="0" xfId="12" applyFont="1" applyAlignment="1">
      <alignment horizontal="center"/>
    </xf>
    <xf numFmtId="170" fontId="11" fillId="0" borderId="0" xfId="13" applyFont="1" applyAlignment="1">
      <alignment horizontal="center"/>
    </xf>
    <xf numFmtId="0" fontId="11" fillId="0" borderId="0" xfId="12" applyFont="1" applyAlignment="1"/>
    <xf numFmtId="0" fontId="11" fillId="0" borderId="0" xfId="12" applyFont="1"/>
    <xf numFmtId="0" fontId="41" fillId="0" borderId="0" xfId="12"/>
    <xf numFmtId="0" fontId="43" fillId="0" borderId="0" xfId="12" applyFont="1" applyBorder="1" applyAlignment="1" applyProtection="1">
      <alignment horizontal="left" vertical="center"/>
      <protection locked="0"/>
    </xf>
    <xf numFmtId="170" fontId="11" fillId="0" borderId="0" xfId="13" applyFont="1" applyAlignment="1" applyProtection="1">
      <alignment horizontal="center"/>
      <protection locked="0"/>
    </xf>
    <xf numFmtId="0" fontId="11" fillId="0" borderId="0" xfId="12" applyFont="1" applyAlignment="1" applyProtection="1">
      <alignment horizontal="center"/>
      <protection locked="0"/>
    </xf>
    <xf numFmtId="0" fontId="11" fillId="0" borderId="0" xfId="12" applyFont="1" applyAlignment="1" applyProtection="1">
      <protection locked="0"/>
    </xf>
    <xf numFmtId="0" fontId="11" fillId="0" borderId="0" xfId="12" applyFont="1" applyProtection="1">
      <protection locked="0"/>
    </xf>
    <xf numFmtId="0" fontId="44" fillId="0" borderId="0" xfId="12" applyFont="1" applyBorder="1" applyAlignment="1">
      <alignment horizontal="left" vertical="center"/>
    </xf>
    <xf numFmtId="170" fontId="43" fillId="0" borderId="0" xfId="13" applyFont="1" applyBorder="1" applyAlignment="1" applyProtection="1">
      <alignment horizontal="left" vertical="center"/>
      <protection locked="0"/>
    </xf>
    <xf numFmtId="0" fontId="14" fillId="0" borderId="0" xfId="12" applyFont="1" applyProtection="1">
      <protection locked="0"/>
    </xf>
    <xf numFmtId="0" fontId="14" fillId="0" borderId="0" xfId="12" applyFont="1"/>
    <xf numFmtId="0" fontId="14" fillId="0" borderId="10" xfId="12" applyFont="1" applyBorder="1" applyAlignment="1" applyProtection="1">
      <alignment horizontal="center"/>
      <protection locked="0"/>
    </xf>
    <xf numFmtId="2" fontId="14" fillId="37" borderId="1" xfId="13" applyNumberFormat="1" applyFont="1" applyFill="1" applyBorder="1" applyAlignment="1" applyProtection="1">
      <alignment horizontal="center" wrapText="1"/>
      <protection locked="0"/>
    </xf>
    <xf numFmtId="0" fontId="14" fillId="0" borderId="1" xfId="12" applyFont="1" applyBorder="1" applyAlignment="1" applyProtection="1">
      <alignment horizontal="center" wrapText="1"/>
      <protection locked="0"/>
    </xf>
    <xf numFmtId="0" fontId="14" fillId="0" borderId="5" xfId="12" applyFont="1" applyBorder="1" applyProtection="1">
      <protection locked="0"/>
    </xf>
    <xf numFmtId="0" fontId="14" fillId="0" borderId="1" xfId="12" applyFont="1" applyFill="1" applyBorder="1" applyAlignment="1" applyProtection="1">
      <alignment horizontal="center" wrapText="1"/>
      <protection locked="0"/>
    </xf>
    <xf numFmtId="0" fontId="14" fillId="0" borderId="0" xfId="12" applyFont="1" applyFill="1" applyProtection="1">
      <protection locked="0"/>
    </xf>
    <xf numFmtId="17" fontId="11" fillId="0" borderId="1" xfId="12" applyNumberFormat="1" applyFont="1" applyBorder="1" applyAlignment="1" applyProtection="1">
      <alignment horizontal="center"/>
      <protection locked="0"/>
    </xf>
    <xf numFmtId="181" fontId="11" fillId="37" borderId="1" xfId="13" applyNumberFormat="1" applyFont="1" applyFill="1" applyBorder="1" applyAlignment="1" applyProtection="1">
      <alignment horizontal="center"/>
      <protection locked="0"/>
    </xf>
    <xf numFmtId="1" fontId="11" fillId="37" borderId="1" xfId="12" applyNumberFormat="1" applyFont="1" applyFill="1" applyBorder="1" applyProtection="1">
      <protection locked="0"/>
    </xf>
    <xf numFmtId="181" fontId="11" fillId="0" borderId="1" xfId="13" applyNumberFormat="1" applyFont="1" applyFill="1" applyBorder="1" applyAlignment="1" applyProtection="1">
      <alignment horizontal="center"/>
      <protection locked="0"/>
    </xf>
    <xf numFmtId="0" fontId="11" fillId="0" borderId="12" xfId="13" applyNumberFormat="1" applyFont="1" applyFill="1" applyBorder="1" applyAlignment="1" applyProtection="1">
      <protection locked="0"/>
    </xf>
    <xf numFmtId="1" fontId="11" fillId="37" borderId="12" xfId="13" applyNumberFormat="1" applyFont="1" applyFill="1" applyBorder="1" applyAlignment="1" applyProtection="1">
      <protection locked="0"/>
    </xf>
    <xf numFmtId="0" fontId="11" fillId="0" borderId="0" xfId="12" applyFont="1" applyFill="1" applyProtection="1">
      <protection locked="0"/>
    </xf>
    <xf numFmtId="181" fontId="11" fillId="37" borderId="12" xfId="13" applyNumberFormat="1" applyFont="1" applyFill="1" applyBorder="1" applyAlignment="1">
      <alignment horizontal="center"/>
    </xf>
    <xf numFmtId="1" fontId="11" fillId="37" borderId="12" xfId="13" applyNumberFormat="1" applyFont="1" applyFill="1" applyBorder="1" applyAlignment="1">
      <alignment horizontal="center"/>
    </xf>
    <xf numFmtId="181" fontId="11" fillId="0" borderId="12" xfId="13" applyNumberFormat="1" applyFont="1" applyFill="1" applyBorder="1" applyAlignment="1" applyProtection="1">
      <alignment horizontal="center"/>
      <protection locked="0"/>
    </xf>
    <xf numFmtId="1" fontId="11" fillId="37" borderId="12" xfId="13" applyNumberFormat="1" applyFont="1" applyFill="1" applyBorder="1" applyAlignment="1" applyProtection="1">
      <alignment horizontal="center"/>
      <protection locked="0"/>
    </xf>
    <xf numFmtId="1" fontId="11" fillId="37" borderId="12" xfId="12" applyNumberFormat="1" applyFont="1" applyFill="1" applyBorder="1" applyProtection="1">
      <protection locked="0"/>
    </xf>
    <xf numFmtId="181" fontId="11" fillId="38" borderId="12" xfId="13" applyNumberFormat="1" applyFont="1" applyFill="1" applyBorder="1" applyAlignment="1">
      <alignment horizontal="center"/>
    </xf>
    <xf numFmtId="1" fontId="11" fillId="38" borderId="12" xfId="12" applyNumberFormat="1" applyFont="1" applyFill="1" applyBorder="1" applyProtection="1">
      <protection locked="0"/>
    </xf>
    <xf numFmtId="181" fontId="11" fillId="39" borderId="12" xfId="13" applyNumberFormat="1" applyFont="1" applyFill="1" applyBorder="1" applyAlignment="1" applyProtection="1">
      <alignment horizontal="center"/>
      <protection locked="0"/>
    </xf>
    <xf numFmtId="0" fontId="11" fillId="39" borderId="12" xfId="13" applyNumberFormat="1" applyFont="1" applyFill="1" applyBorder="1" applyAlignment="1" applyProtection="1">
      <protection locked="0"/>
    </xf>
    <xf numFmtId="1" fontId="11" fillId="39" borderId="12" xfId="13" applyNumberFormat="1" applyFont="1" applyFill="1" applyBorder="1" applyAlignment="1" applyProtection="1">
      <protection locked="0"/>
    </xf>
    <xf numFmtId="0" fontId="11" fillId="39" borderId="0" xfId="12" applyFont="1" applyFill="1" applyProtection="1">
      <protection locked="0"/>
    </xf>
    <xf numFmtId="181" fontId="11" fillId="39" borderId="1" xfId="13" applyNumberFormat="1" applyFont="1" applyFill="1" applyBorder="1" applyAlignment="1" applyProtection="1">
      <alignment horizontal="center"/>
      <protection locked="0"/>
    </xf>
    <xf numFmtId="181" fontId="11" fillId="39" borderId="12" xfId="13" applyNumberFormat="1" applyFont="1" applyFill="1" applyBorder="1" applyAlignment="1">
      <alignment horizontal="center"/>
    </xf>
    <xf numFmtId="1" fontId="11" fillId="39" borderId="12" xfId="13" applyNumberFormat="1" applyFont="1" applyFill="1" applyBorder="1" applyAlignment="1" applyProtection="1">
      <alignment horizontal="center"/>
      <protection locked="0"/>
    </xf>
    <xf numFmtId="1" fontId="11" fillId="39" borderId="12" xfId="12" applyNumberFormat="1" applyFont="1" applyFill="1" applyBorder="1" applyProtection="1">
      <protection locked="0"/>
    </xf>
    <xf numFmtId="9" fontId="11" fillId="0" borderId="0" xfId="14" applyFont="1" applyProtection="1">
      <protection locked="0"/>
    </xf>
    <xf numFmtId="0" fontId="42" fillId="0" borderId="0" xfId="12" applyFont="1"/>
    <xf numFmtId="166" fontId="41" fillId="0" borderId="0" xfId="12" applyNumberFormat="1"/>
    <xf numFmtId="181" fontId="11" fillId="0" borderId="0" xfId="12" applyNumberFormat="1" applyFont="1"/>
    <xf numFmtId="181" fontId="11" fillId="37" borderId="12" xfId="13" applyNumberFormat="1" applyFont="1" applyFill="1" applyBorder="1" applyAlignment="1" applyProtection="1">
      <alignment horizontal="center"/>
      <protection locked="0"/>
    </xf>
    <xf numFmtId="17" fontId="11" fillId="0" borderId="0" xfId="12" applyNumberFormat="1" applyFont="1" applyBorder="1" applyProtection="1">
      <protection locked="0"/>
    </xf>
    <xf numFmtId="1" fontId="11" fillId="39" borderId="1" xfId="13" applyNumberFormat="1" applyFont="1" applyFill="1" applyBorder="1" applyAlignment="1" applyProtection="1">
      <protection locked="0"/>
    </xf>
    <xf numFmtId="1" fontId="11" fillId="37" borderId="1" xfId="13" applyNumberFormat="1" applyFont="1" applyFill="1" applyBorder="1" applyAlignment="1" applyProtection="1">
      <protection locked="0"/>
    </xf>
    <xf numFmtId="0" fontId="11" fillId="0" borderId="0" xfId="12" applyFont="1" applyBorder="1" applyAlignment="1">
      <alignment horizontal="center"/>
    </xf>
    <xf numFmtId="170" fontId="51" fillId="0" borderId="0" xfId="13" applyFont="1" applyBorder="1" applyAlignment="1">
      <alignment horizontal="center"/>
    </xf>
    <xf numFmtId="0" fontId="51" fillId="0" borderId="0" xfId="12" applyFont="1" applyBorder="1" applyAlignment="1">
      <alignment horizontal="center"/>
    </xf>
    <xf numFmtId="0" fontId="51" fillId="0" borderId="0" xfId="18" applyFont="1" applyBorder="1"/>
    <xf numFmtId="170" fontId="52" fillId="0" borderId="0" xfId="13" applyFont="1" applyBorder="1"/>
    <xf numFmtId="186" fontId="52" fillId="0" borderId="0" xfId="19" applyNumberFormat="1" applyFont="1" applyBorder="1"/>
    <xf numFmtId="0" fontId="14" fillId="0" borderId="0" xfId="4" applyFont="1" applyAlignment="1">
      <alignment horizontal="left"/>
    </xf>
    <xf numFmtId="179" fontId="11" fillId="0" borderId="0" xfId="4" applyNumberFormat="1"/>
    <xf numFmtId="4" fontId="11" fillId="0" borderId="0" xfId="4" applyNumberFormat="1"/>
    <xf numFmtId="179" fontId="17" fillId="0" borderId="0" xfId="4" applyNumberFormat="1" applyFont="1" applyFill="1" applyBorder="1" applyAlignment="1">
      <alignment horizontal="right"/>
    </xf>
    <xf numFmtId="179" fontId="17" fillId="0" borderId="5" xfId="4" applyNumberFormat="1" applyFont="1" applyFill="1" applyBorder="1" applyAlignment="1">
      <alignment horizontal="right"/>
    </xf>
    <xf numFmtId="0" fontId="11" fillId="0" borderId="40" xfId="13" applyNumberFormat="1" applyFont="1" applyFill="1" applyBorder="1" applyAlignment="1" applyProtection="1">
      <protection locked="0"/>
    </xf>
    <xf numFmtId="0" fontId="11" fillId="39" borderId="40" xfId="13" applyNumberFormat="1" applyFont="1" applyFill="1" applyBorder="1" applyAlignment="1" applyProtection="1">
      <protection locked="0"/>
    </xf>
    <xf numFmtId="0" fontId="14" fillId="0" borderId="40" xfId="12" applyFont="1" applyBorder="1" applyAlignment="1" applyProtection="1">
      <alignment horizontal="center" wrapText="1"/>
      <protection locked="0"/>
    </xf>
    <xf numFmtId="0" fontId="11" fillId="0" borderId="40" xfId="13" applyNumberFormat="1" applyFont="1" applyBorder="1" applyAlignment="1" applyProtection="1">
      <protection locked="0"/>
    </xf>
    <xf numFmtId="0" fontId="11" fillId="0" borderId="0" xfId="1500"/>
    <xf numFmtId="0" fontId="39" fillId="0" borderId="0" xfId="1512" applyFont="1" applyAlignment="1">
      <alignment horizontal="center" wrapText="1"/>
    </xf>
    <xf numFmtId="0" fontId="11" fillId="0" borderId="0" xfId="1500" applyAlignment="1">
      <alignment horizontal="center" wrapText="1"/>
    </xf>
    <xf numFmtId="181" fontId="11" fillId="0" borderId="0" xfId="1513" applyNumberFormat="1"/>
    <xf numFmtId="3" fontId="14" fillId="0" borderId="0" xfId="1500" applyNumberFormat="1" applyFont="1" applyBorder="1" applyAlignment="1">
      <alignment horizontal="center"/>
    </xf>
    <xf numFmtId="181" fontId="11" fillId="0" borderId="0" xfId="1500" applyNumberFormat="1"/>
    <xf numFmtId="3" fontId="11" fillId="0" borderId="0" xfId="1500" applyNumberFormat="1"/>
    <xf numFmtId="181" fontId="14" fillId="0" borderId="0" xfId="1513" applyNumberFormat="1" applyFont="1"/>
    <xf numFmtId="181" fontId="11" fillId="0" borderId="0" xfId="1514" applyNumberFormat="1" applyFont="1"/>
    <xf numFmtId="0" fontId="11" fillId="0" borderId="13" xfId="1500" applyBorder="1"/>
    <xf numFmtId="0" fontId="11" fillId="0" borderId="14" xfId="1500" applyBorder="1" applyAlignment="1">
      <alignment horizontal="center"/>
    </xf>
    <xf numFmtId="0" fontId="11" fillId="0" borderId="15" xfId="1500" applyBorder="1" applyAlignment="1">
      <alignment horizontal="center"/>
    </xf>
    <xf numFmtId="0" fontId="11" fillId="0" borderId="42" xfId="1500" applyFont="1" applyBorder="1"/>
    <xf numFmtId="171" fontId="11" fillId="0" borderId="40" xfId="1500" applyNumberFormat="1" applyFill="1" applyBorder="1" applyAlignment="1">
      <alignment horizontal="center"/>
    </xf>
    <xf numFmtId="171" fontId="11" fillId="0" borderId="40" xfId="1500" applyNumberFormat="1" applyBorder="1" applyAlignment="1">
      <alignment horizontal="center"/>
    </xf>
    <xf numFmtId="171" fontId="11" fillId="0" borderId="40" xfId="1500" applyNumberFormat="1" applyBorder="1"/>
    <xf numFmtId="3" fontId="11" fillId="0" borderId="40" xfId="1500" applyNumberFormat="1" applyBorder="1" applyAlignment="1">
      <alignment horizontal="center"/>
    </xf>
    <xf numFmtId="3" fontId="11" fillId="0" borderId="40" xfId="1500" applyNumberFormat="1" applyBorder="1"/>
    <xf numFmtId="3" fontId="11" fillId="3" borderId="40" xfId="1500" applyNumberFormat="1" applyFill="1" applyBorder="1" applyAlignment="1">
      <alignment horizontal="center"/>
    </xf>
    <xf numFmtId="3" fontId="11" fillId="0" borderId="43" xfId="1500" applyNumberFormat="1" applyBorder="1" applyAlignment="1">
      <alignment horizontal="center"/>
    </xf>
    <xf numFmtId="0" fontId="11" fillId="0" borderId="40" xfId="1500" applyBorder="1"/>
    <xf numFmtId="10" fontId="0" fillId="0" borderId="40" xfId="1263" applyNumberFormat="1" applyFont="1" applyFill="1" applyBorder="1"/>
    <xf numFmtId="0" fontId="11" fillId="0" borderId="16" xfId="1500" applyFont="1" applyFill="1" applyBorder="1"/>
    <xf numFmtId="0" fontId="11" fillId="0" borderId="17" xfId="1500" applyBorder="1"/>
    <xf numFmtId="3" fontId="11" fillId="0" borderId="17" xfId="1500" applyNumberFormat="1" applyBorder="1" applyAlignment="1">
      <alignment horizontal="center"/>
    </xf>
    <xf numFmtId="3" fontId="11" fillId="0" borderId="18" xfId="1500" applyNumberFormat="1" applyBorder="1" applyAlignment="1">
      <alignment horizontal="center"/>
    </xf>
    <xf numFmtId="0" fontId="11" fillId="0" borderId="0" xfId="1500" applyFont="1"/>
    <xf numFmtId="181" fontId="11" fillId="0" borderId="5" xfId="1514" applyNumberFormat="1" applyFont="1" applyBorder="1"/>
    <xf numFmtId="3" fontId="11" fillId="0" borderId="0" xfId="1500" applyNumberFormat="1" applyBorder="1" applyAlignment="1">
      <alignment horizontal="center"/>
    </xf>
    <xf numFmtId="181" fontId="11" fillId="0" borderId="8" xfId="1514" applyNumberFormat="1" applyFont="1" applyBorder="1"/>
    <xf numFmtId="0" fontId="11" fillId="0" borderId="5" xfId="1500" applyBorder="1"/>
    <xf numFmtId="0" fontId="11" fillId="0" borderId="45" xfId="1500" applyBorder="1"/>
    <xf numFmtId="181" fontId="11" fillId="0" borderId="45" xfId="1514" applyNumberFormat="1" applyFont="1" applyBorder="1"/>
    <xf numFmtId="181" fontId="11" fillId="0" borderId="0" xfId="1513" applyNumberFormat="1" applyAlignment="1">
      <alignment wrapText="1"/>
    </xf>
    <xf numFmtId="0" fontId="11" fillId="0" borderId="0" xfId="1500" applyFont="1" applyAlignment="1">
      <alignment wrapText="1"/>
    </xf>
    <xf numFmtId="0" fontId="11" fillId="3" borderId="0" xfId="1500" applyFont="1" applyFill="1" applyAlignment="1">
      <alignment horizontal="center"/>
    </xf>
    <xf numFmtId="174" fontId="11" fillId="0" borderId="0" xfId="1500" applyNumberFormat="1"/>
    <xf numFmtId="17" fontId="11" fillId="0" borderId="0" xfId="1500" applyNumberFormat="1"/>
    <xf numFmtId="192" fontId="11" fillId="0" borderId="0" xfId="1500" applyNumberFormat="1"/>
    <xf numFmtId="14" fontId="11" fillId="0" borderId="0" xfId="1500" applyNumberFormat="1"/>
    <xf numFmtId="0" fontId="11" fillId="0" borderId="0" xfId="1500" applyAlignment="1">
      <alignment horizontal="right"/>
    </xf>
    <xf numFmtId="0" fontId="11" fillId="0" borderId="0" xfId="1500" applyBorder="1"/>
    <xf numFmtId="171" fontId="11" fillId="0" borderId="0" xfId="1515" applyNumberFormat="1" applyFont="1"/>
    <xf numFmtId="0" fontId="11" fillId="37" borderId="40" xfId="13" applyNumberFormat="1" applyFont="1" applyFill="1" applyBorder="1" applyAlignment="1" applyProtection="1">
      <protection locked="0"/>
    </xf>
    <xf numFmtId="17" fontId="11" fillId="39" borderId="1" xfId="12" applyNumberFormat="1" applyFont="1" applyFill="1" applyBorder="1" applyAlignment="1" applyProtection="1">
      <alignment horizontal="center"/>
      <protection locked="0"/>
    </xf>
    <xf numFmtId="181" fontId="11" fillId="0" borderId="0" xfId="12" applyNumberFormat="1" applyFont="1" applyProtection="1">
      <protection locked="0"/>
    </xf>
    <xf numFmtId="0" fontId="14" fillId="0" borderId="0" xfId="12" applyFont="1" applyFill="1" applyBorder="1" applyAlignment="1" applyProtection="1">
      <alignment horizontal="center" wrapText="1"/>
      <protection locked="0"/>
    </xf>
    <xf numFmtId="0" fontId="11" fillId="0" borderId="0" xfId="12" applyFont="1" applyFill="1" applyBorder="1" applyProtection="1">
      <protection locked="0"/>
    </xf>
    <xf numFmtId="170" fontId="11" fillId="0" borderId="0" xfId="13" applyFont="1" applyFill="1" applyBorder="1" applyProtection="1">
      <protection locked="0"/>
    </xf>
    <xf numFmtId="181" fontId="11" fillId="0" borderId="0" xfId="13" applyNumberFormat="1" applyFont="1" applyFill="1" applyBorder="1" applyProtection="1">
      <protection locked="0"/>
    </xf>
    <xf numFmtId="0" fontId="11" fillId="0" borderId="0" xfId="12" applyFont="1" applyFill="1"/>
    <xf numFmtId="0" fontId="11" fillId="0" borderId="0" xfId="1216"/>
    <xf numFmtId="0" fontId="13" fillId="0" borderId="0" xfId="1216" applyFont="1" applyAlignment="1">
      <alignment horizontal="center"/>
    </xf>
    <xf numFmtId="3" fontId="13" fillId="0" borderId="48" xfId="1216" applyNumberFormat="1" applyFont="1" applyBorder="1" applyAlignment="1">
      <alignment horizontal="center"/>
    </xf>
    <xf numFmtId="3" fontId="11" fillId="0" borderId="48" xfId="1216" applyNumberFormat="1" applyFont="1" applyBorder="1" applyAlignment="1"/>
    <xf numFmtId="3" fontId="11" fillId="0" borderId="48" xfId="1216" applyNumberFormat="1" applyBorder="1" applyAlignment="1"/>
    <xf numFmtId="3" fontId="11" fillId="0" borderId="0" xfId="1216" applyNumberFormat="1" applyAlignment="1">
      <alignment horizontal="center"/>
    </xf>
    <xf numFmtId="173" fontId="11" fillId="0" borderId="0" xfId="1216" applyNumberFormat="1" applyAlignment="1">
      <alignment horizontal="center"/>
    </xf>
    <xf numFmtId="174" fontId="11" fillId="0" borderId="0" xfId="1216" applyNumberFormat="1" applyFill="1" applyAlignment="1">
      <alignment horizontal="center"/>
    </xf>
    <xf numFmtId="3" fontId="11" fillId="0" borderId="0" xfId="1216" applyNumberFormat="1" applyFont="1" applyFill="1" applyAlignment="1">
      <alignment horizontal="center"/>
    </xf>
    <xf numFmtId="3" fontId="11" fillId="0" borderId="0" xfId="1216" applyNumberFormat="1" applyFont="1" applyAlignment="1">
      <alignment horizontal="center"/>
    </xf>
    <xf numFmtId="175" fontId="11" fillId="0" borderId="0" xfId="1216" applyNumberFormat="1" applyAlignment="1">
      <alignment horizontal="center"/>
    </xf>
    <xf numFmtId="194" fontId="11" fillId="0" borderId="0" xfId="1216" applyNumberFormat="1" applyAlignment="1">
      <alignment horizontal="center"/>
    </xf>
    <xf numFmtId="0" fontId="11" fillId="0" borderId="0" xfId="1216" applyAlignment="1">
      <alignment horizontal="center"/>
    </xf>
    <xf numFmtId="3" fontId="11" fillId="0" borderId="0" xfId="1216" applyNumberFormat="1" applyFill="1" applyAlignment="1">
      <alignment horizontal="center"/>
    </xf>
    <xf numFmtId="0" fontId="14" fillId="0" borderId="0" xfId="1216" applyFont="1" applyAlignment="1">
      <alignment horizontal="center"/>
    </xf>
    <xf numFmtId="172" fontId="11" fillId="0" borderId="0" xfId="1216" applyNumberFormat="1" applyAlignment="1">
      <alignment horizontal="center"/>
    </xf>
    <xf numFmtId="3" fontId="11" fillId="0" borderId="0" xfId="1216" applyNumberFormat="1" applyFont="1" applyAlignment="1">
      <alignment horizontal="left"/>
    </xf>
    <xf numFmtId="3" fontId="11" fillId="0" borderId="0" xfId="5" applyNumberFormat="1" applyAlignment="1">
      <alignment horizontal="center"/>
    </xf>
    <xf numFmtId="0" fontId="14" fillId="0" borderId="0" xfId="1216" applyFont="1"/>
    <xf numFmtId="10" fontId="0" fillId="0" borderId="0" xfId="1263" applyNumberFormat="1" applyFont="1" applyAlignment="1">
      <alignment horizontal="center"/>
    </xf>
    <xf numFmtId="17" fontId="11" fillId="0" borderId="0" xfId="1216" applyNumberFormat="1"/>
    <xf numFmtId="173" fontId="14" fillId="0" borderId="0" xfId="1216" applyNumberFormat="1" applyFont="1" applyFill="1" applyAlignment="1">
      <alignment horizontal="center"/>
    </xf>
    <xf numFmtId="3" fontId="11" fillId="0" borderId="0" xfId="1216" applyNumberFormat="1" applyBorder="1" applyAlignment="1">
      <alignment horizontal="center"/>
    </xf>
    <xf numFmtId="3" fontId="11" fillId="0" borderId="0" xfId="1216" applyNumberFormat="1" applyFill="1" applyBorder="1" applyAlignment="1">
      <alignment horizontal="center"/>
    </xf>
    <xf numFmtId="181" fontId="11" fillId="0" borderId="1" xfId="12" applyNumberFormat="1" applyFont="1" applyFill="1" applyBorder="1" applyProtection="1">
      <protection locked="0"/>
    </xf>
    <xf numFmtId="171" fontId="11" fillId="0" borderId="1" xfId="2" applyNumberFormat="1" applyFont="1" applyFill="1" applyBorder="1" applyProtection="1">
      <protection locked="0"/>
    </xf>
    <xf numFmtId="171" fontId="11" fillId="39" borderId="1" xfId="2" applyNumberFormat="1" applyFont="1" applyFill="1" applyBorder="1" applyProtection="1">
      <protection locked="0"/>
    </xf>
    <xf numFmtId="0" fontId="11" fillId="0" borderId="7" xfId="12" applyFont="1" applyBorder="1" applyProtection="1">
      <protection locked="0"/>
    </xf>
    <xf numFmtId="0" fontId="14" fillId="0" borderId="47" xfId="12" applyFont="1" applyBorder="1" applyProtection="1">
      <protection locked="0"/>
    </xf>
    <xf numFmtId="0" fontId="11" fillId="0" borderId="47" xfId="12" applyFont="1" applyBorder="1" applyProtection="1">
      <protection locked="0"/>
    </xf>
    <xf numFmtId="10" fontId="11" fillId="0" borderId="47" xfId="12" applyNumberFormat="1" applyFont="1" applyBorder="1" applyAlignment="1" applyProtection="1">
      <alignment horizontal="center"/>
      <protection locked="0"/>
    </xf>
    <xf numFmtId="171" fontId="11" fillId="0" borderId="47" xfId="12" applyNumberFormat="1" applyFont="1" applyBorder="1" applyAlignment="1">
      <alignment horizontal="center"/>
    </xf>
    <xf numFmtId="181" fontId="11" fillId="39" borderId="1" xfId="12" applyNumberFormat="1" applyFont="1" applyFill="1" applyBorder="1" applyProtection="1">
      <protection locked="0"/>
    </xf>
    <xf numFmtId="3" fontId="12" fillId="37" borderId="31" xfId="0" applyNumberFormat="1" applyFont="1" applyFill="1" applyBorder="1" applyAlignment="1">
      <alignment horizontal="center"/>
    </xf>
    <xf numFmtId="3" fontId="11" fillId="37" borderId="50" xfId="1216" applyNumberFormat="1" applyFill="1" applyBorder="1" applyAlignment="1">
      <alignment horizontal="center"/>
    </xf>
    <xf numFmtId="3" fontId="11" fillId="37" borderId="51" xfId="1216" applyNumberFormat="1" applyFill="1" applyBorder="1" applyAlignment="1">
      <alignment horizontal="center"/>
    </xf>
    <xf numFmtId="3" fontId="11" fillId="37" borderId="52" xfId="1216" applyNumberFormat="1" applyFill="1" applyBorder="1" applyAlignment="1">
      <alignment horizontal="center"/>
    </xf>
    <xf numFmtId="3" fontId="11" fillId="37" borderId="31" xfId="1216" applyNumberFormat="1" applyFill="1" applyBorder="1" applyAlignment="1">
      <alignment horizontal="center"/>
    </xf>
    <xf numFmtId="174" fontId="0" fillId="0" borderId="31" xfId="0" applyNumberFormat="1" applyBorder="1" applyAlignment="1">
      <alignment horizontal="center"/>
    </xf>
    <xf numFmtId="3" fontId="0" fillId="0" borderId="31" xfId="0" applyNumberFormat="1" applyBorder="1" applyAlignment="1">
      <alignment horizontal="center"/>
    </xf>
    <xf numFmtId="175" fontId="0" fillId="0" borderId="31" xfId="0" applyNumberFormat="1" applyBorder="1" applyAlignment="1">
      <alignment horizontal="center"/>
    </xf>
    <xf numFmtId="0" fontId="14" fillId="0" borderId="49" xfId="12" applyFont="1" applyBorder="1"/>
    <xf numFmtId="0" fontId="11" fillId="0" borderId="56" xfId="12" applyFont="1" applyBorder="1"/>
    <xf numFmtId="0" fontId="11" fillId="0" borderId="56" xfId="12" applyFont="1" applyBorder="1" applyProtection="1">
      <protection locked="0"/>
    </xf>
    <xf numFmtId="0" fontId="11" fillId="0" borderId="57" xfId="12" applyFont="1" applyBorder="1" applyProtection="1">
      <protection locked="0"/>
    </xf>
    <xf numFmtId="0" fontId="11" fillId="0" borderId="4" xfId="12" applyFont="1" applyBorder="1"/>
    <xf numFmtId="0" fontId="11" fillId="0" borderId="0" xfId="12" applyFont="1" applyBorder="1"/>
    <xf numFmtId="0" fontId="11" fillId="0" borderId="0" xfId="12" applyFont="1" applyBorder="1" applyProtection="1">
      <protection locked="0"/>
    </xf>
    <xf numFmtId="0" fontId="11" fillId="0" borderId="5" xfId="12" applyFont="1" applyBorder="1" applyProtection="1">
      <protection locked="0"/>
    </xf>
    <xf numFmtId="0" fontId="11" fillId="0" borderId="4" xfId="12" applyFont="1" applyBorder="1" applyProtection="1">
      <protection locked="0"/>
    </xf>
    <xf numFmtId="174" fontId="11" fillId="0" borderId="0" xfId="12" applyNumberFormat="1" applyFont="1" applyBorder="1" applyProtection="1">
      <protection locked="0"/>
    </xf>
    <xf numFmtId="181" fontId="11" fillId="0" borderId="0" xfId="13" applyNumberFormat="1" applyFont="1" applyBorder="1" applyProtection="1">
      <protection locked="0"/>
    </xf>
    <xf numFmtId="10" fontId="11" fillId="0" borderId="0" xfId="14" applyNumberFormat="1" applyFont="1" applyBorder="1" applyProtection="1">
      <protection locked="0"/>
    </xf>
    <xf numFmtId="0" fontId="14" fillId="0" borderId="6" xfId="12" applyFont="1" applyBorder="1"/>
    <xf numFmtId="0" fontId="11" fillId="0" borderId="8" xfId="12" applyFont="1" applyBorder="1" applyProtection="1">
      <protection locked="0"/>
    </xf>
    <xf numFmtId="0" fontId="11" fillId="0" borderId="9" xfId="12" applyFont="1" applyBorder="1" applyProtection="1">
      <protection locked="0"/>
    </xf>
    <xf numFmtId="173" fontId="11" fillId="0" borderId="0" xfId="1216" applyNumberFormat="1" applyFont="1" applyAlignment="1">
      <alignment horizontal="center"/>
    </xf>
    <xf numFmtId="173" fontId="11" fillId="0" borderId="0" xfId="1216" applyNumberFormat="1" applyFont="1" applyFill="1" applyAlignment="1">
      <alignment horizontal="center"/>
    </xf>
    <xf numFmtId="3" fontId="0" fillId="0" borderId="0" xfId="0" applyNumberFormat="1" applyAlignment="1">
      <alignment horizontal="left"/>
    </xf>
    <xf numFmtId="0" fontId="14" fillId="0" borderId="0" xfId="1216" applyFont="1" applyAlignment="1">
      <alignment vertical="center"/>
    </xf>
    <xf numFmtId="181" fontId="11" fillId="3" borderId="0" xfId="1514" applyNumberFormat="1" applyFont="1" applyFill="1"/>
    <xf numFmtId="0" fontId="11" fillId="0" borderId="49" xfId="1500" applyBorder="1"/>
    <xf numFmtId="0" fontId="11" fillId="0" borderId="56" xfId="1500" applyBorder="1"/>
    <xf numFmtId="181" fontId="14" fillId="0" borderId="56" xfId="1513" applyNumberFormat="1" applyFont="1" applyBorder="1"/>
    <xf numFmtId="181" fontId="11" fillId="0" borderId="56" xfId="1513" applyNumberFormat="1" applyBorder="1"/>
    <xf numFmtId="0" fontId="11" fillId="0" borderId="57" xfId="1500" applyBorder="1"/>
    <xf numFmtId="0" fontId="11" fillId="0" borderId="4" xfId="1500" applyBorder="1"/>
    <xf numFmtId="181" fontId="11" fillId="0" borderId="0" xfId="1513" applyNumberFormat="1" applyBorder="1"/>
    <xf numFmtId="0" fontId="11" fillId="0" borderId="6" xfId="1500" applyBorder="1"/>
    <xf numFmtId="0" fontId="11" fillId="0" borderId="8" xfId="1500" applyBorder="1"/>
    <xf numFmtId="181" fontId="11" fillId="0" borderId="8" xfId="1513" applyNumberFormat="1" applyBorder="1"/>
    <xf numFmtId="181" fontId="11" fillId="0" borderId="0" xfId="1514" applyNumberFormat="1" applyFont="1" applyBorder="1"/>
    <xf numFmtId="0" fontId="11" fillId="37" borderId="0" xfId="1500" applyFill="1" applyBorder="1"/>
    <xf numFmtId="0" fontId="11" fillId="37" borderId="8" xfId="1500" applyFill="1" applyBorder="1"/>
    <xf numFmtId="0" fontId="11" fillId="37" borderId="9" xfId="1500" applyFill="1" applyBorder="1"/>
    <xf numFmtId="0" fontId="14" fillId="0" borderId="56" xfId="1500" applyFont="1" applyBorder="1" applyAlignment="1">
      <alignment wrapText="1"/>
    </xf>
    <xf numFmtId="181" fontId="11" fillId="3" borderId="8" xfId="1500" applyNumberFormat="1" applyFill="1" applyBorder="1"/>
    <xf numFmtId="0" fontId="14" fillId="0" borderId="0" xfId="1500" applyFont="1"/>
    <xf numFmtId="0" fontId="11" fillId="0" borderId="42" xfId="1500" applyBorder="1"/>
    <xf numFmtId="10" fontId="11" fillId="0" borderId="40" xfId="1500" applyNumberFormat="1" applyBorder="1"/>
    <xf numFmtId="10" fontId="11" fillId="0" borderId="43" xfId="1500" applyNumberFormat="1" applyBorder="1"/>
    <xf numFmtId="0" fontId="11" fillId="0" borderId="16" xfId="1500" applyBorder="1"/>
    <xf numFmtId="3" fontId="11" fillId="0" borderId="17" xfId="1500" applyNumberFormat="1" applyBorder="1"/>
    <xf numFmtId="0" fontId="11" fillId="0" borderId="44" xfId="1500" applyBorder="1"/>
    <xf numFmtId="0" fontId="11" fillId="0" borderId="46" xfId="1500" applyBorder="1"/>
    <xf numFmtId="0" fontId="11" fillId="0" borderId="58" xfId="1500" applyBorder="1"/>
    <xf numFmtId="0" fontId="11" fillId="0" borderId="12" xfId="1500" applyBorder="1"/>
    <xf numFmtId="0" fontId="11" fillId="0" borderId="59" xfId="1500" applyBorder="1"/>
    <xf numFmtId="0" fontId="11" fillId="0" borderId="2" xfId="1500" applyBorder="1"/>
    <xf numFmtId="3" fontId="14" fillId="3" borderId="2" xfId="1500" applyNumberFormat="1" applyFont="1" applyFill="1" applyBorder="1"/>
    <xf numFmtId="0" fontId="11" fillId="0" borderId="45" xfId="1500" applyFill="1" applyBorder="1"/>
    <xf numFmtId="0" fontId="11" fillId="0" borderId="47" xfId="1500" applyFill="1" applyBorder="1"/>
    <xf numFmtId="0" fontId="14" fillId="0" borderId="0" xfId="1216" applyFont="1" applyAlignment="1">
      <alignment vertical="center" wrapText="1"/>
    </xf>
    <xf numFmtId="173" fontId="11" fillId="0" borderId="0" xfId="1216" applyNumberFormat="1" applyBorder="1" applyAlignment="1">
      <alignment horizontal="center"/>
    </xf>
    <xf numFmtId="0" fontId="14" fillId="0" borderId="0" xfId="1216" applyFont="1" applyFill="1"/>
    <xf numFmtId="0" fontId="11" fillId="0" borderId="8" xfId="0" applyFont="1" applyBorder="1"/>
    <xf numFmtId="3" fontId="11" fillId="0" borderId="8" xfId="0" applyNumberFormat="1" applyFont="1" applyBorder="1" applyAlignment="1">
      <alignment horizontal="center" wrapText="1"/>
    </xf>
    <xf numFmtId="0" fontId="92" fillId="3" borderId="0" xfId="12" applyFont="1" applyFill="1" applyAlignment="1">
      <alignment horizontal="left"/>
    </xf>
    <xf numFmtId="0" fontId="14" fillId="3" borderId="0" xfId="12" applyFont="1" applyFill="1" applyProtection="1">
      <protection locked="0"/>
    </xf>
    <xf numFmtId="0" fontId="11" fillId="0" borderId="0" xfId="12" applyFont="1" applyBorder="1" applyAlignment="1" applyProtection="1">
      <alignment horizontal="center"/>
      <protection locked="0"/>
    </xf>
    <xf numFmtId="0" fontId="14" fillId="0" borderId="11" xfId="12" applyFont="1" applyBorder="1" applyAlignment="1" applyProtection="1">
      <alignment horizontal="center" wrapText="1"/>
      <protection locked="0"/>
    </xf>
    <xf numFmtId="181" fontId="11" fillId="0" borderId="11" xfId="13" applyNumberFormat="1" applyFont="1" applyFill="1" applyBorder="1" applyAlignment="1" applyProtection="1">
      <alignment horizontal="center"/>
      <protection locked="0"/>
    </xf>
    <xf numFmtId="181" fontId="11" fillId="39" borderId="11" xfId="13" applyNumberFormat="1" applyFont="1" applyFill="1" applyBorder="1" applyAlignment="1" applyProtection="1">
      <alignment horizontal="center"/>
      <protection locked="0"/>
    </xf>
    <xf numFmtId="0" fontId="50" fillId="0" borderId="0" xfId="12" applyFont="1" applyFill="1" applyBorder="1" applyAlignment="1" applyProtection="1">
      <alignment horizontal="center"/>
      <protection locked="0"/>
    </xf>
    <xf numFmtId="181" fontId="11" fillId="0" borderId="0" xfId="12" applyNumberFormat="1" applyFont="1" applyBorder="1"/>
    <xf numFmtId="17" fontId="11" fillId="37" borderId="1" xfId="12" applyNumberFormat="1" applyFont="1" applyFill="1" applyBorder="1" applyAlignment="1" applyProtection="1">
      <alignment horizontal="center"/>
      <protection locked="0"/>
    </xf>
    <xf numFmtId="37" fontId="11" fillId="0" borderId="0" xfId="12" applyNumberFormat="1" applyFont="1" applyProtection="1">
      <protection locked="0"/>
    </xf>
    <xf numFmtId="0" fontId="11" fillId="0" borderId="44" xfId="1500" applyBorder="1" applyAlignment="1">
      <alignment horizontal="center"/>
    </xf>
    <xf numFmtId="0" fontId="11" fillId="0" borderId="45" xfId="1500" applyBorder="1" applyAlignment="1">
      <alignment horizontal="center"/>
    </xf>
    <xf numFmtId="0" fontId="11" fillId="0" borderId="46" xfId="1500" applyBorder="1" applyAlignment="1">
      <alignment horizontal="center"/>
    </xf>
    <xf numFmtId="3" fontId="11" fillId="37" borderId="40" xfId="1500" applyNumberFormat="1" applyFill="1" applyBorder="1" applyAlignment="1">
      <alignment horizontal="center"/>
    </xf>
    <xf numFmtId="3" fontId="11" fillId="0" borderId="40" xfId="1500" applyNumberFormat="1" applyFill="1" applyBorder="1" applyAlignment="1">
      <alignment horizontal="center"/>
    </xf>
    <xf numFmtId="181" fontId="11" fillId="37" borderId="0" xfId="1514" applyNumberFormat="1" applyFont="1" applyFill="1"/>
    <xf numFmtId="181" fontId="11" fillId="37" borderId="5" xfId="1514" applyNumberFormat="1" applyFont="1" applyFill="1" applyBorder="1"/>
    <xf numFmtId="181" fontId="11" fillId="37" borderId="8" xfId="1514" applyNumberFormat="1" applyFont="1" applyFill="1" applyBorder="1"/>
    <xf numFmtId="181" fontId="11" fillId="37" borderId="9" xfId="1514" applyNumberFormat="1" applyFont="1" applyFill="1" applyBorder="1"/>
    <xf numFmtId="181" fontId="11" fillId="0" borderId="0" xfId="1514" applyNumberFormat="1" applyFont="1" applyFill="1"/>
    <xf numFmtId="181" fontId="11" fillId="0" borderId="8" xfId="1514" applyNumberFormat="1" applyFont="1" applyFill="1" applyBorder="1"/>
    <xf numFmtId="0" fontId="93" fillId="0" borderId="0" xfId="1500" applyFont="1"/>
    <xf numFmtId="17" fontId="11" fillId="39" borderId="0" xfId="1500" applyNumberFormat="1" applyFill="1"/>
    <xf numFmtId="181" fontId="11" fillId="39" borderId="0" xfId="1513" applyNumberFormat="1" applyFill="1"/>
    <xf numFmtId="181" fontId="11" fillId="39" borderId="0" xfId="1500" applyNumberFormat="1" applyFill="1"/>
    <xf numFmtId="193" fontId="11" fillId="39" borderId="0" xfId="1500" applyNumberFormat="1" applyFill="1"/>
    <xf numFmtId="0" fontId="11" fillId="39" borderId="0" xfId="1500" applyFill="1"/>
    <xf numFmtId="170" fontId="11" fillId="39" borderId="0" xfId="1500" applyNumberFormat="1" applyFill="1"/>
    <xf numFmtId="0" fontId="11" fillId="0" borderId="0" xfId="1077"/>
    <xf numFmtId="0" fontId="14" fillId="0" borderId="0" xfId="1077" applyFont="1" applyAlignment="1">
      <alignment horizontal="left"/>
    </xf>
    <xf numFmtId="0" fontId="17" fillId="0" borderId="0" xfId="1077" applyFont="1" applyAlignment="1">
      <alignment horizontal="right" vertical="top"/>
    </xf>
    <xf numFmtId="0" fontId="17" fillId="37" borderId="60" xfId="1077" applyFont="1" applyFill="1" applyBorder="1" applyAlignment="1">
      <alignment horizontal="right" vertical="top"/>
    </xf>
    <xf numFmtId="0" fontId="17" fillId="37" borderId="0" xfId="1077" applyFont="1" applyFill="1" applyAlignment="1">
      <alignment horizontal="right" vertical="top"/>
    </xf>
    <xf numFmtId="0" fontId="14" fillId="37" borderId="40" xfId="1077" applyFont="1" applyFill="1" applyBorder="1" applyAlignment="1">
      <alignment horizontal="center" vertical="center"/>
    </xf>
    <xf numFmtId="0" fontId="11" fillId="0" borderId="42" xfId="1077" applyFill="1" applyBorder="1"/>
    <xf numFmtId="0" fontId="14" fillId="0" borderId="42" xfId="1077" applyFont="1" applyBorder="1" applyAlignment="1">
      <alignment vertical="top"/>
    </xf>
    <xf numFmtId="0" fontId="11" fillId="0" borderId="40" xfId="1077" applyBorder="1" applyAlignment="1">
      <alignment vertical="top" wrapText="1"/>
    </xf>
    <xf numFmtId="181" fontId="11" fillId="37" borderId="40" xfId="1514" applyNumberFormat="1" applyFont="1" applyFill="1" applyBorder="1" applyAlignment="1">
      <alignment horizontal="right" vertical="center"/>
    </xf>
    <xf numFmtId="181" fontId="11" fillId="0" borderId="40" xfId="1514" applyNumberFormat="1" applyFont="1" applyFill="1" applyBorder="1" applyAlignment="1">
      <alignment horizontal="right" vertical="center"/>
    </xf>
    <xf numFmtId="0" fontId="11" fillId="37" borderId="40" xfId="1077" applyFill="1" applyBorder="1" applyAlignment="1">
      <alignment horizontal="right" vertical="center"/>
    </xf>
    <xf numFmtId="0" fontId="11" fillId="0" borderId="43" xfId="1077" applyBorder="1" applyAlignment="1">
      <alignment horizontal="right" vertical="center"/>
    </xf>
    <xf numFmtId="181" fontId="11" fillId="0" borderId="43" xfId="1514" applyNumberFormat="1" applyFont="1" applyBorder="1" applyAlignment="1">
      <alignment horizontal="right" vertical="center"/>
    </xf>
    <xf numFmtId="0" fontId="11" fillId="37" borderId="40" xfId="1077" applyFont="1" applyFill="1" applyBorder="1" applyAlignment="1">
      <alignment horizontal="right" vertical="center"/>
    </xf>
    <xf numFmtId="174" fontId="11" fillId="0" borderId="40" xfId="1077" applyNumberFormat="1" applyFill="1" applyBorder="1" applyAlignment="1">
      <alignment horizontal="right" vertical="center"/>
    </xf>
    <xf numFmtId="174" fontId="11" fillId="0" borderId="43" xfId="1077" applyNumberFormat="1" applyFill="1" applyBorder="1" applyAlignment="1">
      <alignment horizontal="right" vertical="center"/>
    </xf>
    <xf numFmtId="0" fontId="11" fillId="0" borderId="42" xfId="1077" applyFill="1" applyBorder="1" applyAlignment="1">
      <alignment vertical="top"/>
    </xf>
    <xf numFmtId="0" fontId="11" fillId="0" borderId="16" xfId="1077" applyBorder="1" applyAlignment="1">
      <alignment vertical="top"/>
    </xf>
    <xf numFmtId="0" fontId="11" fillId="0" borderId="17" xfId="1077" applyBorder="1" applyAlignment="1">
      <alignment vertical="top" wrapText="1"/>
    </xf>
    <xf numFmtId="174" fontId="11" fillId="0" borderId="17" xfId="1077" applyNumberFormat="1" applyBorder="1" applyAlignment="1">
      <alignment horizontal="right" vertical="center"/>
    </xf>
    <xf numFmtId="0" fontId="96" fillId="0" borderId="0" xfId="1077" applyFont="1"/>
    <xf numFmtId="0" fontId="14" fillId="0" borderId="0" xfId="1077" applyFont="1" applyAlignment="1">
      <alignment horizontal="center"/>
    </xf>
    <xf numFmtId="0" fontId="11" fillId="0" borderId="0" xfId="1077" applyFont="1" applyAlignment="1">
      <alignment horizontal="center"/>
    </xf>
    <xf numFmtId="0" fontId="11" fillId="0" borderId="0" xfId="1077" applyFont="1"/>
    <xf numFmtId="178" fontId="11" fillId="0" borderId="0" xfId="1" applyNumberFormat="1"/>
    <xf numFmtId="0" fontId="11" fillId="0" borderId="0" xfId="1216" applyFill="1" applyAlignment="1">
      <alignment horizontal="center"/>
    </xf>
    <xf numFmtId="0" fontId="11" fillId="0" borderId="0" xfId="1216" applyFill="1"/>
    <xf numFmtId="3" fontId="11" fillId="0" borderId="0" xfId="0" applyNumberFormat="1" applyFont="1" applyAlignment="1">
      <alignment horizontal="center"/>
    </xf>
    <xf numFmtId="0" fontId="0" fillId="3" borderId="0" xfId="0" applyFill="1"/>
    <xf numFmtId="0" fontId="11" fillId="3" borderId="0" xfId="12" applyFont="1" applyFill="1" applyAlignment="1"/>
    <xf numFmtId="181" fontId="11" fillId="3" borderId="0" xfId="12" applyNumberFormat="1" applyFont="1" applyFill="1" applyAlignment="1">
      <alignment horizontal="center"/>
    </xf>
    <xf numFmtId="172" fontId="11" fillId="37" borderId="40" xfId="12" applyNumberFormat="1" applyFont="1" applyFill="1" applyBorder="1" applyAlignment="1"/>
    <xf numFmtId="5" fontId="14" fillId="0" borderId="0" xfId="0" applyNumberFormat="1" applyFont="1" applyBorder="1"/>
    <xf numFmtId="0" fontId="0" fillId="0" borderId="7" xfId="0" applyBorder="1"/>
    <xf numFmtId="0" fontId="0" fillId="0" borderId="47" xfId="0" applyBorder="1"/>
    <xf numFmtId="2" fontId="14" fillId="37" borderId="40" xfId="13" applyNumberFormat="1" applyFont="1" applyFill="1" applyBorder="1" applyAlignment="1" applyProtection="1">
      <alignment horizontal="center" wrapText="1"/>
      <protection locked="0"/>
    </xf>
    <xf numFmtId="1" fontId="11" fillId="0" borderId="56" xfId="13" applyNumberFormat="1" applyFont="1" applyFill="1" applyBorder="1" applyAlignment="1" applyProtection="1">
      <alignment horizontal="center"/>
      <protection locked="0"/>
    </xf>
    <xf numFmtId="1" fontId="11" fillId="0" borderId="56" xfId="12" applyNumberFormat="1" applyFont="1" applyFill="1" applyBorder="1" applyProtection="1">
      <protection locked="0"/>
    </xf>
    <xf numFmtId="37" fontId="11" fillId="37" borderId="40" xfId="1509" applyNumberFormat="1" applyFont="1" applyFill="1" applyBorder="1" applyAlignment="1">
      <alignment horizontal="center"/>
    </xf>
    <xf numFmtId="37" fontId="11" fillId="39" borderId="40" xfId="1509" applyNumberFormat="1" applyFont="1" applyFill="1" applyBorder="1" applyAlignment="1">
      <alignment horizontal="center"/>
    </xf>
    <xf numFmtId="181" fontId="11" fillId="0" borderId="0" xfId="1513" applyNumberFormat="1" applyFont="1" applyAlignment="1"/>
    <xf numFmtId="0" fontId="49" fillId="0" borderId="0" xfId="12" applyFont="1" applyBorder="1" applyAlignment="1" applyProtection="1">
      <alignment horizontal="center"/>
      <protection locked="0"/>
    </xf>
    <xf numFmtId="181" fontId="11" fillId="3" borderId="0" xfId="1500" applyNumberFormat="1" applyFill="1" applyBorder="1"/>
    <xf numFmtId="0" fontId="0" fillId="0" borderId="0" xfId="0" applyBorder="1"/>
    <xf numFmtId="0" fontId="14" fillId="0" borderId="0" xfId="12" applyFont="1" applyBorder="1"/>
    <xf numFmtId="181" fontId="11" fillId="0" borderId="9" xfId="1514" applyNumberFormat="1" applyFont="1" applyFill="1" applyBorder="1"/>
    <xf numFmtId="181" fontId="11" fillId="0" borderId="6" xfId="1514" applyNumberFormat="1" applyFont="1" applyFill="1" applyBorder="1"/>
    <xf numFmtId="178" fontId="0" fillId="0" borderId="0" xfId="1" applyNumberFormat="1" applyFont="1"/>
    <xf numFmtId="178" fontId="0" fillId="0" borderId="0" xfId="0" applyNumberFormat="1"/>
    <xf numFmtId="171" fontId="0" fillId="0" borderId="0" xfId="2" applyNumberFormat="1" applyFont="1"/>
    <xf numFmtId="174" fontId="0" fillId="0" borderId="31" xfId="0" applyNumberFormat="1" applyFill="1" applyBorder="1" applyAlignment="1">
      <alignment horizontal="center"/>
    </xf>
    <xf numFmtId="0" fontId="0" fillId="0" borderId="49" xfId="0" applyBorder="1"/>
    <xf numFmtId="0" fontId="0" fillId="0" borderId="56" xfId="0" applyBorder="1"/>
    <xf numFmtId="0" fontId="0" fillId="0" borderId="57" xfId="0" applyBorder="1"/>
    <xf numFmtId="0" fontId="0" fillId="0" borderId="8" xfId="0" applyBorder="1"/>
    <xf numFmtId="178" fontId="0" fillId="0" borderId="0" xfId="0" applyNumberFormat="1" applyFill="1" applyBorder="1"/>
    <xf numFmtId="178" fontId="11" fillId="0" borderId="0" xfId="1500" applyNumberFormat="1"/>
    <xf numFmtId="3" fontId="0" fillId="37" borderId="0" xfId="0" applyNumberFormat="1" applyFill="1" applyAlignment="1">
      <alignment horizontal="center"/>
    </xf>
    <xf numFmtId="170" fontId="0" fillId="0" borderId="0" xfId="0" applyNumberFormat="1"/>
    <xf numFmtId="0" fontId="14" fillId="0" borderId="0" xfId="4" applyFont="1" applyAlignment="1">
      <alignment horizontal="center"/>
    </xf>
    <xf numFmtId="0" fontId="11" fillId="0" borderId="0" xfId="1500" applyBorder="1" applyAlignment="1">
      <alignment horizontal="center"/>
    </xf>
    <xf numFmtId="172" fontId="11" fillId="37" borderId="40" xfId="13" applyNumberFormat="1" applyFont="1" applyFill="1" applyBorder="1" applyAlignment="1" applyProtection="1">
      <protection locked="0"/>
    </xf>
    <xf numFmtId="178" fontId="11" fillId="3" borderId="0" xfId="1500" applyNumberFormat="1" applyFill="1"/>
    <xf numFmtId="181" fontId="15" fillId="0" borderId="0" xfId="1513" applyNumberFormat="1" applyFont="1"/>
    <xf numFmtId="0" fontId="11" fillId="0" borderId="49" xfId="1500" applyBorder="1" applyAlignment="1">
      <alignment horizontal="center"/>
    </xf>
    <xf numFmtId="0" fontId="11" fillId="0" borderId="57" xfId="1500" applyBorder="1" applyAlignment="1">
      <alignment horizontal="center"/>
    </xf>
    <xf numFmtId="0" fontId="11" fillId="0" borderId="4" xfId="1500" applyBorder="1" applyAlignment="1">
      <alignment horizontal="center"/>
    </xf>
    <xf numFmtId="0" fontId="11" fillId="0" borderId="5" xfId="1500" applyBorder="1" applyAlignment="1">
      <alignment horizontal="center"/>
    </xf>
    <xf numFmtId="0" fontId="11" fillId="0" borderId="7" xfId="1500" applyBorder="1" applyAlignment="1">
      <alignment horizontal="center"/>
    </xf>
    <xf numFmtId="0" fontId="11" fillId="0" borderId="47" xfId="1500" applyBorder="1" applyAlignment="1">
      <alignment horizontal="center"/>
    </xf>
    <xf numFmtId="181" fontId="11" fillId="0" borderId="56" xfId="1500" applyNumberFormat="1" applyBorder="1"/>
    <xf numFmtId="181" fontId="14" fillId="0" borderId="0" xfId="1513" applyNumberFormat="1" applyFont="1" applyAlignment="1"/>
    <xf numFmtId="181" fontId="11" fillId="0" borderId="0" xfId="1500" applyNumberFormat="1" applyBorder="1"/>
    <xf numFmtId="0" fontId="11" fillId="0" borderId="4" xfId="1500" applyBorder="1" applyAlignment="1">
      <alignment wrapText="1"/>
    </xf>
    <xf numFmtId="0" fontId="7" fillId="0" borderId="0" xfId="1512" applyFont="1" applyBorder="1" applyAlignment="1">
      <alignment horizontal="center" wrapText="1"/>
    </xf>
    <xf numFmtId="3" fontId="14" fillId="0" borderId="5" xfId="1500" applyNumberFormat="1" applyFont="1" applyBorder="1" applyAlignment="1">
      <alignment horizontal="center"/>
    </xf>
    <xf numFmtId="178" fontId="11" fillId="0" borderId="4" xfId="1500" applyNumberFormat="1" applyBorder="1"/>
    <xf numFmtId="3" fontId="11" fillId="0" borderId="0" xfId="1500" applyNumberFormat="1" applyFill="1" applyBorder="1" applyAlignment="1">
      <alignment wrapText="1"/>
    </xf>
    <xf numFmtId="3" fontId="11" fillId="0" borderId="5" xfId="1500" applyNumberFormat="1" applyFont="1" applyBorder="1" applyAlignment="1">
      <alignment horizontal="center"/>
    </xf>
    <xf numFmtId="181" fontId="11" fillId="0" borderId="0" xfId="1513" applyNumberFormat="1" applyFill="1" applyBorder="1"/>
    <xf numFmtId="0" fontId="14" fillId="0" borderId="49" xfId="1500" applyFont="1" applyBorder="1"/>
    <xf numFmtId="178" fontId="11" fillId="0" borderId="6" xfId="1500" applyNumberFormat="1" applyBorder="1"/>
    <xf numFmtId="178" fontId="11" fillId="0" borderId="8" xfId="1500" applyNumberFormat="1" applyFill="1" applyBorder="1"/>
    <xf numFmtId="3" fontId="11" fillId="0" borderId="9" xfId="1500" applyNumberFormat="1" applyFont="1" applyBorder="1" applyAlignment="1">
      <alignment horizontal="center"/>
    </xf>
    <xf numFmtId="175" fontId="11" fillId="37" borderId="31" xfId="1216" applyNumberFormat="1" applyFill="1" applyBorder="1" applyAlignment="1">
      <alignment horizontal="center"/>
    </xf>
    <xf numFmtId="175" fontId="0" fillId="37" borderId="31" xfId="0" applyNumberFormat="1" applyFill="1" applyBorder="1" applyAlignment="1">
      <alignment horizontal="center"/>
    </xf>
    <xf numFmtId="175" fontId="11" fillId="37" borderId="0" xfId="1216" applyNumberFormat="1" applyFill="1" applyAlignment="1">
      <alignment horizontal="center"/>
    </xf>
    <xf numFmtId="0" fontId="0" fillId="0" borderId="54" xfId="0" applyBorder="1"/>
    <xf numFmtId="175" fontId="0" fillId="0" borderId="0" xfId="0" applyNumberFormat="1" applyBorder="1" applyAlignment="1">
      <alignment horizontal="center"/>
    </xf>
    <xf numFmtId="181" fontId="11" fillId="0" borderId="0" xfId="1513" applyNumberFormat="1" applyFill="1"/>
    <xf numFmtId="181" fontId="11" fillId="37" borderId="0" xfId="1513" applyNumberFormat="1" applyFill="1" applyBorder="1"/>
    <xf numFmtId="185" fontId="11" fillId="37" borderId="8" xfId="1513" applyNumberFormat="1" applyFill="1" applyBorder="1"/>
    <xf numFmtId="171" fontId="16" fillId="0" borderId="0" xfId="2" applyNumberFormat="1" applyFont="1" applyFill="1" applyBorder="1" applyAlignment="1">
      <alignment horizontal="center"/>
    </xf>
    <xf numFmtId="178" fontId="16" fillId="0" borderId="0" xfId="1" applyNumberFormat="1" applyFont="1" applyProtection="1">
      <protection locked="0"/>
    </xf>
    <xf numFmtId="0" fontId="11" fillId="0" borderId="0" xfId="0" applyFont="1" applyFill="1"/>
    <xf numFmtId="0" fontId="0" fillId="0" borderId="5" xfId="0" applyBorder="1"/>
    <xf numFmtId="174" fontId="0" fillId="37" borderId="0" xfId="0" applyNumberFormat="1" applyFill="1" applyBorder="1"/>
    <xf numFmtId="174" fontId="0" fillId="0" borderId="0" xfId="0" applyNumberFormat="1" applyBorder="1"/>
    <xf numFmtId="170" fontId="0" fillId="0" borderId="0" xfId="0" applyNumberFormat="1" applyBorder="1"/>
    <xf numFmtId="170" fontId="0" fillId="0" borderId="5" xfId="0" applyNumberFormat="1" applyBorder="1"/>
    <xf numFmtId="3" fontId="0" fillId="37" borderId="0" xfId="0" applyNumberFormat="1" applyFill="1" applyBorder="1"/>
    <xf numFmtId="10" fontId="0" fillId="0" borderId="0" xfId="2" applyNumberFormat="1" applyFont="1" applyBorder="1"/>
    <xf numFmtId="10" fontId="0" fillId="0" borderId="5" xfId="2" applyNumberFormat="1" applyFont="1" applyBorder="1"/>
    <xf numFmtId="0" fontId="14" fillId="0" borderId="6" xfId="0" applyFont="1" applyBorder="1"/>
    <xf numFmtId="0" fontId="14" fillId="0" borderId="8" xfId="0" applyFont="1" applyBorder="1"/>
    <xf numFmtId="174" fontId="14" fillId="0" borderId="8" xfId="0" applyNumberFormat="1" applyFont="1" applyBorder="1"/>
    <xf numFmtId="3" fontId="0" fillId="0" borderId="8" xfId="0" applyNumberFormat="1" applyBorder="1"/>
    <xf numFmtId="10" fontId="0" fillId="0" borderId="8" xfId="2" applyNumberFormat="1" applyFont="1" applyBorder="1"/>
    <xf numFmtId="10" fontId="0" fillId="0" borderId="9" xfId="2" applyNumberFormat="1" applyFont="1" applyBorder="1"/>
    <xf numFmtId="0" fontId="11" fillId="0" borderId="0" xfId="0" applyFont="1" applyBorder="1"/>
    <xf numFmtId="174" fontId="0" fillId="0" borderId="51" xfId="0" applyNumberFormat="1" applyBorder="1" applyAlignment="1">
      <alignment horizontal="center"/>
    </xf>
    <xf numFmtId="0" fontId="14" fillId="0" borderId="0" xfId="0" applyFont="1" applyBorder="1" applyAlignment="1">
      <alignment horizontal="center" wrapText="1"/>
    </xf>
    <xf numFmtId="5" fontId="0" fillId="0" borderId="0" xfId="0" applyNumberFormat="1"/>
    <xf numFmtId="7" fontId="0" fillId="0" borderId="0" xfId="0" applyNumberFormat="1"/>
    <xf numFmtId="170" fontId="11" fillId="0" borderId="0" xfId="0" applyNumberFormat="1" applyFont="1"/>
    <xf numFmtId="1" fontId="11" fillId="0" borderId="40" xfId="12" applyNumberFormat="1" applyFont="1" applyBorder="1" applyAlignment="1">
      <alignment horizontal="center"/>
    </xf>
    <xf numFmtId="172" fontId="11" fillId="0" borderId="0" xfId="12" applyNumberFormat="1" applyFont="1" applyAlignment="1"/>
    <xf numFmtId="175" fontId="11" fillId="0" borderId="0" xfId="1216" applyNumberFormat="1" applyFill="1" applyAlignment="1">
      <alignment horizontal="center"/>
    </xf>
    <xf numFmtId="0" fontId="6" fillId="0" borderId="0" xfId="3258"/>
    <xf numFmtId="0" fontId="39" fillId="0" borderId="0" xfId="3258" applyFont="1"/>
    <xf numFmtId="178" fontId="0" fillId="0" borderId="0" xfId="5987" applyNumberFormat="1" applyFont="1"/>
    <xf numFmtId="178" fontId="111" fillId="0" borderId="0" xfId="1" applyNumberFormat="1" applyFont="1"/>
    <xf numFmtId="0" fontId="111" fillId="0" borderId="7" xfId="3258" applyFont="1" applyBorder="1"/>
    <xf numFmtId="0" fontId="111" fillId="0" borderId="45" xfId="3258" applyFont="1" applyBorder="1"/>
    <xf numFmtId="0" fontId="111" fillId="0" borderId="47" xfId="3258" applyFont="1" applyBorder="1"/>
    <xf numFmtId="0" fontId="226" fillId="0" borderId="0" xfId="3258" applyFont="1"/>
    <xf numFmtId="0" fontId="55" fillId="0" borderId="7" xfId="3258" applyFont="1" applyBorder="1"/>
    <xf numFmtId="0" fontId="55" fillId="0" borderId="45" xfId="3258" applyFont="1" applyBorder="1"/>
    <xf numFmtId="0" fontId="55" fillId="0" borderId="47" xfId="3258" applyFont="1" applyBorder="1"/>
    <xf numFmtId="0" fontId="55" fillId="0" borderId="40" xfId="3258" applyFont="1" applyBorder="1" applyAlignment="1">
      <alignment horizontal="center"/>
    </xf>
    <xf numFmtId="178" fontId="11" fillId="0" borderId="40" xfId="1" applyNumberFormat="1" applyFont="1" applyBorder="1" applyAlignment="1">
      <alignment horizontal="center"/>
    </xf>
    <xf numFmtId="178" fontId="55" fillId="0" borderId="40" xfId="1" applyNumberFormat="1" applyFont="1" applyBorder="1" applyAlignment="1">
      <alignment horizontal="center"/>
    </xf>
    <xf numFmtId="0" fontId="232" fillId="0" borderId="0" xfId="3258" applyFont="1"/>
    <xf numFmtId="0" fontId="111" fillId="0" borderId="0" xfId="3258" applyFont="1"/>
    <xf numFmtId="181" fontId="11" fillId="37" borderId="40" xfId="1513" applyNumberFormat="1" applyFill="1" applyBorder="1"/>
    <xf numFmtId="178" fontId="11" fillId="0" borderId="0" xfId="1500" applyNumberFormat="1" applyBorder="1"/>
    <xf numFmtId="10" fontId="11" fillId="0" borderId="0" xfId="14" applyNumberFormat="1" applyFont="1" applyBorder="1" applyAlignment="1" applyProtection="1">
      <alignment horizontal="right"/>
      <protection locked="0"/>
    </xf>
    <xf numFmtId="43" fontId="11" fillId="0" borderId="0" xfId="12" applyNumberFormat="1" applyFont="1"/>
    <xf numFmtId="10" fontId="11" fillId="0" borderId="0" xfId="2" applyNumberFormat="1" applyFont="1"/>
    <xf numFmtId="0" fontId="234" fillId="0" borderId="0" xfId="1216" applyFont="1" applyFill="1"/>
    <xf numFmtId="0" fontId="14" fillId="0" borderId="40" xfId="1216" applyFont="1" applyBorder="1" applyAlignment="1">
      <alignment horizontal="center" vertical="center"/>
    </xf>
    <xf numFmtId="0" fontId="14" fillId="0" borderId="40" xfId="1216" applyFont="1" applyBorder="1" applyAlignment="1">
      <alignment horizontal="center" vertical="center" wrapText="1"/>
    </xf>
    <xf numFmtId="3" fontId="11" fillId="0" borderId="40" xfId="1216" applyNumberFormat="1" applyFont="1" applyFill="1" applyBorder="1" applyAlignment="1">
      <alignment horizontal="center"/>
    </xf>
    <xf numFmtId="3" fontId="111" fillId="0" borderId="0" xfId="3258" applyNumberFormat="1" applyFont="1" applyBorder="1"/>
    <xf numFmtId="175" fontId="111" fillId="0" borderId="0" xfId="3258" applyNumberFormat="1" applyFont="1" applyBorder="1"/>
    <xf numFmtId="3" fontId="111" fillId="0" borderId="0" xfId="3258" applyNumberFormat="1" applyFont="1"/>
    <xf numFmtId="176" fontId="0" fillId="0" borderId="0" xfId="2" applyNumberFormat="1" applyFont="1" applyAlignment="1">
      <alignment horizontal="center"/>
    </xf>
    <xf numFmtId="0" fontId="226" fillId="0" borderId="0" xfId="3258" applyFont="1" applyBorder="1" applyAlignment="1">
      <alignment horizontal="left"/>
    </xf>
    <xf numFmtId="0" fontId="111" fillId="0" borderId="0" xfId="3258" applyFont="1" applyBorder="1"/>
    <xf numFmtId="178" fontId="88" fillId="0" borderId="0" xfId="1" applyNumberFormat="1" applyFont="1" applyBorder="1"/>
    <xf numFmtId="0" fontId="226" fillId="0" borderId="101" xfId="3258" applyFont="1" applyBorder="1" applyAlignment="1">
      <alignment horizontal="center" vertical="center"/>
    </xf>
    <xf numFmtId="0" fontId="111" fillId="0" borderId="101" xfId="3258" applyFont="1" applyBorder="1"/>
    <xf numFmtId="0" fontId="14" fillId="0" borderId="101" xfId="1216" applyFont="1" applyBorder="1" applyAlignment="1">
      <alignment horizontal="center" vertical="center" wrapText="1"/>
    </xf>
    <xf numFmtId="178" fontId="111" fillId="0" borderId="101" xfId="1" applyNumberFormat="1" applyFont="1" applyBorder="1"/>
    <xf numFmtId="178" fontId="55" fillId="0" borderId="101" xfId="1" applyNumberFormat="1" applyFont="1" applyBorder="1"/>
    <xf numFmtId="10" fontId="11" fillId="0" borderId="101" xfId="2" applyNumberFormat="1" applyFont="1" applyFill="1" applyBorder="1" applyAlignment="1" applyProtection="1">
      <protection locked="0"/>
    </xf>
    <xf numFmtId="178" fontId="55" fillId="0" borderId="103" xfId="1" applyNumberFormat="1" applyFont="1" applyBorder="1"/>
    <xf numFmtId="178" fontId="55" fillId="0" borderId="104" xfId="1" applyNumberFormat="1" applyFont="1" applyBorder="1"/>
    <xf numFmtId="178" fontId="55" fillId="0" borderId="102" xfId="1" applyNumberFormat="1" applyFont="1" applyBorder="1"/>
    <xf numFmtId="0" fontId="226" fillId="0" borderId="101" xfId="3258" applyFont="1" applyBorder="1"/>
    <xf numFmtId="178" fontId="226" fillId="0" borderId="101" xfId="1" applyNumberFormat="1" applyFont="1" applyBorder="1"/>
    <xf numFmtId="178" fontId="226" fillId="0" borderId="101" xfId="3258" applyNumberFormat="1" applyFont="1" applyBorder="1"/>
    <xf numFmtId="10" fontId="11" fillId="0" borderId="102" xfId="2" applyNumberFormat="1" applyFont="1" applyFill="1" applyBorder="1" applyAlignment="1" applyProtection="1">
      <protection locked="0"/>
    </xf>
    <xf numFmtId="0" fontId="14" fillId="0" borderId="101" xfId="1216" applyFont="1" applyBorder="1" applyAlignment="1">
      <alignment horizontal="center" vertical="center"/>
    </xf>
    <xf numFmtId="178" fontId="88" fillId="0" borderId="101" xfId="1" applyNumberFormat="1" applyFont="1" applyBorder="1"/>
    <xf numFmtId="0" fontId="55" fillId="0" borderId="101" xfId="3258" applyFont="1" applyBorder="1" applyAlignment="1">
      <alignment horizontal="center"/>
    </xf>
    <xf numFmtId="178" fontId="55" fillId="0" borderId="0" xfId="1" applyNumberFormat="1" applyFont="1"/>
    <xf numFmtId="0" fontId="55" fillId="0" borderId="0" xfId="3258" applyFont="1"/>
    <xf numFmtId="178" fontId="111" fillId="0" borderId="0" xfId="3258" applyNumberFormat="1" applyFont="1"/>
    <xf numFmtId="178" fontId="55" fillId="0" borderId="31" xfId="1" applyNumberFormat="1" applyFont="1" applyBorder="1"/>
    <xf numFmtId="38" fontId="55" fillId="0" borderId="31" xfId="1" applyNumberFormat="1" applyFont="1" applyBorder="1"/>
    <xf numFmtId="38" fontId="55" fillId="0" borderId="68" xfId="1" applyNumberFormat="1" applyFont="1" applyBorder="1"/>
    <xf numFmtId="178" fontId="55" fillId="0" borderId="53" xfId="1" applyNumberFormat="1" applyFont="1" applyBorder="1"/>
    <xf numFmtId="38" fontId="55" fillId="0" borderId="53" xfId="1" applyNumberFormat="1" applyFont="1" applyBorder="1"/>
    <xf numFmtId="178" fontId="55" fillId="0" borderId="64" xfId="1" applyNumberFormat="1" applyFont="1" applyBorder="1"/>
    <xf numFmtId="38" fontId="55" fillId="0" borderId="51" xfId="1" applyNumberFormat="1" applyFont="1" applyBorder="1"/>
    <xf numFmtId="38" fontId="55" fillId="0" borderId="50" xfId="1" applyNumberFormat="1" applyFont="1" applyBorder="1"/>
    <xf numFmtId="38" fontId="55" fillId="0" borderId="68" xfId="1" applyNumberFormat="1" applyFont="1" applyFill="1" applyBorder="1"/>
    <xf numFmtId="171" fontId="55" fillId="0" borderId="64" xfId="2" applyNumberFormat="1" applyFont="1" applyBorder="1"/>
    <xf numFmtId="171" fontId="55" fillId="0" borderId="65" xfId="2" applyNumberFormat="1" applyFont="1" applyFill="1" applyBorder="1"/>
    <xf numFmtId="171" fontId="55" fillId="0" borderId="66" xfId="2" applyNumberFormat="1" applyFont="1" applyBorder="1"/>
    <xf numFmtId="38" fontId="55" fillId="0" borderId="105" xfId="1" applyNumberFormat="1" applyFont="1" applyFill="1" applyBorder="1"/>
    <xf numFmtId="38" fontId="55" fillId="0" borderId="106" xfId="1" applyNumberFormat="1" applyFont="1" applyFill="1" applyBorder="1"/>
    <xf numFmtId="0" fontId="111" fillId="0" borderId="8" xfId="3258" applyFont="1" applyBorder="1"/>
    <xf numFmtId="178" fontId="55" fillId="0" borderId="0" xfId="3258" applyNumberFormat="1" applyFont="1"/>
    <xf numFmtId="180" fontId="55" fillId="0" borderId="0" xfId="3258" applyNumberFormat="1" applyFont="1"/>
    <xf numFmtId="213" fontId="55" fillId="0" borderId="0" xfId="3258" applyNumberFormat="1" applyFont="1"/>
    <xf numFmtId="178" fontId="55" fillId="0" borderId="8" xfId="3258" applyNumberFormat="1" applyFont="1" applyBorder="1"/>
    <xf numFmtId="178" fontId="226" fillId="0" borderId="0" xfId="3258" applyNumberFormat="1" applyFont="1"/>
    <xf numFmtId="38" fontId="88" fillId="0" borderId="105" xfId="1" applyNumberFormat="1" applyFont="1" applyFill="1" applyBorder="1"/>
    <xf numFmtId="38" fontId="55" fillId="0" borderId="100" xfId="1" applyNumberFormat="1" applyFont="1" applyFill="1" applyBorder="1"/>
    <xf numFmtId="38" fontId="88" fillId="0" borderId="68" xfId="1" applyNumberFormat="1" applyFont="1" applyFill="1" applyBorder="1"/>
    <xf numFmtId="178" fontId="55" fillId="0" borderId="0" xfId="3258" applyNumberFormat="1" applyFont="1" applyBorder="1"/>
    <xf numFmtId="38" fontId="88" fillId="0" borderId="100" xfId="1" applyNumberFormat="1" applyFont="1" applyFill="1" applyBorder="1"/>
    <xf numFmtId="43" fontId="55" fillId="0" borderId="0" xfId="1" applyFont="1"/>
    <xf numFmtId="180" fontId="55" fillId="0" borderId="0" xfId="1" applyNumberFormat="1" applyFont="1"/>
    <xf numFmtId="0" fontId="55" fillId="0" borderId="107" xfId="1" applyNumberFormat="1" applyFont="1" applyBorder="1"/>
    <xf numFmtId="0" fontId="55" fillId="0" borderId="8" xfId="1" applyNumberFormat="1" applyFont="1" applyBorder="1"/>
    <xf numFmtId="43" fontId="111" fillId="0" borderId="0" xfId="3258" applyNumberFormat="1" applyFont="1"/>
    <xf numFmtId="180" fontId="111" fillId="0" borderId="0" xfId="3258" applyNumberFormat="1" applyFont="1"/>
    <xf numFmtId="300" fontId="55" fillId="0" borderId="0" xfId="3258" applyNumberFormat="1" applyFont="1"/>
    <xf numFmtId="301" fontId="55" fillId="0" borderId="0" xfId="3258" applyNumberFormat="1" applyFont="1"/>
    <xf numFmtId="0" fontId="111" fillId="0" borderId="0" xfId="3258" applyNumberFormat="1" applyFont="1"/>
    <xf numFmtId="0" fontId="111" fillId="0" borderId="67" xfId="3258" applyFont="1" applyBorder="1"/>
    <xf numFmtId="0" fontId="226" fillId="0" borderId="8" xfId="3258" applyFont="1" applyBorder="1"/>
    <xf numFmtId="178" fontId="111" fillId="0" borderId="8" xfId="3258" applyNumberFormat="1" applyFont="1" applyBorder="1"/>
    <xf numFmtId="38" fontId="88" fillId="0" borderId="108" xfId="1" applyNumberFormat="1" applyFont="1" applyFill="1" applyBorder="1"/>
    <xf numFmtId="0" fontId="55" fillId="0" borderId="52" xfId="1" applyNumberFormat="1" applyFont="1" applyBorder="1"/>
    <xf numFmtId="178" fontId="111" fillId="0" borderId="0" xfId="3258" applyNumberFormat="1" applyFont="1" applyBorder="1"/>
    <xf numFmtId="38" fontId="88" fillId="0" borderId="0" xfId="1" applyNumberFormat="1" applyFont="1" applyFill="1" applyBorder="1"/>
    <xf numFmtId="0" fontId="226" fillId="0" borderId="0" xfId="3258" applyFont="1" applyBorder="1"/>
    <xf numFmtId="38" fontId="55" fillId="0" borderId="0" xfId="1" applyNumberFormat="1" applyFont="1" applyFill="1" applyBorder="1"/>
    <xf numFmtId="178" fontId="55" fillId="0" borderId="0" xfId="1" applyNumberFormat="1" applyFont="1" applyBorder="1"/>
    <xf numFmtId="0" fontId="55" fillId="0" borderId="0" xfId="3258" applyFont="1" applyBorder="1"/>
    <xf numFmtId="178" fontId="111" fillId="0" borderId="0" xfId="1" applyNumberFormat="1" applyFont="1" applyBorder="1"/>
    <xf numFmtId="0" fontId="0" fillId="0" borderId="0" xfId="0" applyProtection="1">
      <protection locked="0"/>
    </xf>
    <xf numFmtId="178" fontId="0" fillId="0" borderId="101" xfId="1" applyNumberFormat="1" applyFont="1" applyFill="1" applyBorder="1" applyProtection="1">
      <protection locked="0"/>
    </xf>
    <xf numFmtId="0" fontId="15" fillId="0" borderId="0" xfId="0" applyFont="1" applyAlignment="1">
      <alignment horizontal="left"/>
    </xf>
    <xf numFmtId="0" fontId="11" fillId="0" borderId="101" xfId="0" applyFont="1" applyFill="1" applyBorder="1" applyProtection="1">
      <protection locked="0"/>
    </xf>
    <xf numFmtId="178" fontId="0" fillId="0" borderId="102" xfId="1" applyNumberFormat="1" applyFont="1" applyFill="1" applyBorder="1" applyAlignment="1" applyProtection="1">
      <protection locked="0"/>
    </xf>
    <xf numFmtId="178" fontId="0" fillId="0" borderId="109" xfId="1" applyNumberFormat="1" applyFont="1" applyFill="1" applyBorder="1" applyProtection="1">
      <protection locked="0"/>
    </xf>
    <xf numFmtId="178" fontId="0" fillId="0" borderId="110" xfId="1" applyNumberFormat="1" applyFont="1" applyFill="1" applyBorder="1" applyProtection="1">
      <protection locked="0"/>
    </xf>
    <xf numFmtId="178" fontId="6" fillId="0" borderId="0" xfId="3258" applyNumberFormat="1"/>
    <xf numFmtId="178" fontId="6" fillId="3" borderId="0" xfId="3258" applyNumberFormat="1" applyFill="1"/>
    <xf numFmtId="0" fontId="5" fillId="0" borderId="0" xfId="3258" applyFont="1"/>
    <xf numFmtId="178" fontId="6" fillId="0" borderId="8" xfId="3258" applyNumberFormat="1" applyBorder="1"/>
    <xf numFmtId="178" fontId="6" fillId="3" borderId="8" xfId="3258" applyNumberFormat="1" applyFill="1" applyBorder="1"/>
    <xf numFmtId="178" fontId="6" fillId="0" borderId="0" xfId="3258" applyNumberFormat="1" applyFill="1"/>
    <xf numFmtId="178" fontId="0" fillId="3" borderId="0" xfId="5987" applyNumberFormat="1" applyFont="1" applyFill="1"/>
    <xf numFmtId="0" fontId="111" fillId="0" borderId="0" xfId="3258" applyFont="1" applyBorder="1" applyAlignment="1">
      <alignment horizontal="center"/>
    </xf>
    <xf numFmtId="9" fontId="11" fillId="0" borderId="0" xfId="2" applyAlignment="1">
      <alignment horizontal="center"/>
    </xf>
    <xf numFmtId="9" fontId="0" fillId="0" borderId="0" xfId="2" applyFont="1"/>
    <xf numFmtId="3" fontId="14" fillId="0" borderId="40" xfId="1216" applyNumberFormat="1" applyFont="1" applyFill="1" applyBorder="1" applyAlignment="1">
      <alignment horizontal="center"/>
    </xf>
    <xf numFmtId="3" fontId="11" fillId="0" borderId="0" xfId="0" applyNumberFormat="1" applyFont="1" applyAlignment="1">
      <alignment horizontal="left"/>
    </xf>
    <xf numFmtId="10" fontId="0" fillId="0" borderId="0" xfId="0" applyNumberFormat="1"/>
    <xf numFmtId="178" fontId="11" fillId="37" borderId="40" xfId="1514" applyNumberFormat="1" applyFont="1" applyFill="1" applyBorder="1" applyAlignment="1">
      <alignment horizontal="right" vertical="center"/>
    </xf>
    <xf numFmtId="178" fontId="11" fillId="0" borderId="43" xfId="1" applyNumberFormat="1" applyBorder="1" applyAlignment="1">
      <alignment horizontal="right" vertical="center"/>
    </xf>
    <xf numFmtId="171" fontId="55" fillId="0" borderId="0" xfId="2" applyNumberFormat="1" applyFont="1" applyFill="1" applyBorder="1"/>
    <xf numFmtId="40" fontId="55" fillId="0" borderId="68" xfId="1" applyNumberFormat="1" applyFont="1" applyFill="1" applyBorder="1"/>
    <xf numFmtId="38" fontId="55" fillId="0" borderId="0" xfId="1" applyNumberFormat="1" applyFont="1" applyBorder="1"/>
    <xf numFmtId="0" fontId="0" fillId="0" borderId="91" xfId="0" applyBorder="1"/>
    <xf numFmtId="0" fontId="14" fillId="0" borderId="5" xfId="0" applyFont="1" applyFill="1" applyBorder="1" applyAlignment="1">
      <alignment horizontal="center" wrapText="1"/>
    </xf>
    <xf numFmtId="3" fontId="0" fillId="0" borderId="0" xfId="0" applyNumberFormat="1" applyBorder="1" applyAlignment="1">
      <alignment horizontal="center" wrapText="1"/>
    </xf>
    <xf numFmtId="3" fontId="0" fillId="0" borderId="0" xfId="0" applyNumberFormat="1" applyFill="1" applyBorder="1" applyAlignment="1">
      <alignment horizontal="center" wrapText="1"/>
    </xf>
    <xf numFmtId="3" fontId="0" fillId="0" borderId="0" xfId="0" applyNumberFormat="1" applyFill="1" applyBorder="1" applyAlignment="1">
      <alignment horizontal="center"/>
    </xf>
    <xf numFmtId="3" fontId="0" fillId="0" borderId="0" xfId="0" applyNumberFormat="1" applyBorder="1" applyAlignment="1">
      <alignment horizontal="center"/>
    </xf>
    <xf numFmtId="3" fontId="0" fillId="0" borderId="5" xfId="0" applyNumberFormat="1" applyFill="1" applyBorder="1" applyAlignment="1">
      <alignment horizontal="center"/>
    </xf>
    <xf numFmtId="171" fontId="0" fillId="0" borderId="0" xfId="0" applyNumberFormat="1" applyBorder="1" applyAlignment="1">
      <alignment horizontal="center" wrapText="1"/>
    </xf>
    <xf numFmtId="171" fontId="0" fillId="0" borderId="0" xfId="0" applyNumberFormat="1" applyFill="1" applyBorder="1" applyAlignment="1">
      <alignment horizontal="center" wrapText="1"/>
    </xf>
    <xf numFmtId="0" fontId="0" fillId="0" borderId="5" xfId="0" applyFill="1" applyBorder="1" applyAlignment="1">
      <alignment horizontal="center"/>
    </xf>
    <xf numFmtId="3" fontId="0" fillId="0" borderId="0" xfId="0" applyNumberFormat="1"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0" xfId="0" applyFill="1" applyBorder="1"/>
    <xf numFmtId="0" fontId="0" fillId="0" borderId="0" xfId="0" applyBorder="1" applyAlignment="1">
      <alignment horizontal="center"/>
    </xf>
    <xf numFmtId="0" fontId="0" fillId="0" borderId="0" xfId="0" applyFill="1" applyBorder="1" applyAlignment="1">
      <alignment horizontal="center"/>
    </xf>
    <xf numFmtId="3" fontId="14" fillId="0" borderId="5" xfId="0" applyNumberFormat="1" applyFont="1" applyFill="1" applyBorder="1" applyAlignment="1">
      <alignment horizontal="center"/>
    </xf>
    <xf numFmtId="178" fontId="0" fillId="0" borderId="0" xfId="1" applyNumberFormat="1" applyFont="1" applyBorder="1" applyAlignment="1">
      <alignment horizontal="center"/>
    </xf>
    <xf numFmtId="1" fontId="0" fillId="0" borderId="0" xfId="0" applyNumberFormat="1" applyBorder="1" applyAlignment="1">
      <alignment horizontal="center"/>
    </xf>
    <xf numFmtId="3" fontId="0" fillId="0" borderId="113" xfId="0" applyNumberFormat="1" applyFill="1" applyBorder="1" applyAlignment="1">
      <alignment horizontal="center"/>
    </xf>
    <xf numFmtId="0" fontId="0" fillId="0" borderId="56" xfId="0" applyBorder="1" applyAlignment="1">
      <alignment horizontal="center"/>
    </xf>
    <xf numFmtId="0" fontId="15" fillId="0" borderId="56" xfId="0" applyFont="1" applyBorder="1" applyAlignment="1">
      <alignment horizontal="left"/>
    </xf>
    <xf numFmtId="0" fontId="0" fillId="0" borderId="56" xfId="0" applyFill="1" applyBorder="1" applyAlignment="1">
      <alignment horizontal="center"/>
    </xf>
    <xf numFmtId="0" fontId="0" fillId="0" borderId="56" xfId="0" applyFill="1" applyBorder="1"/>
    <xf numFmtId="0" fontId="0" fillId="0" borderId="57" xfId="0" applyFill="1" applyBorder="1"/>
    <xf numFmtId="3" fontId="12" fillId="0" borderId="0" xfId="0" applyNumberFormat="1" applyFont="1" applyFill="1" applyBorder="1" applyAlignment="1">
      <alignment horizontal="center"/>
    </xf>
    <xf numFmtId="3" fontId="0" fillId="0" borderId="64" xfId="0" applyNumberFormat="1" applyFill="1" applyBorder="1" applyAlignment="1">
      <alignment horizontal="center"/>
    </xf>
    <xf numFmtId="3" fontId="11" fillId="0" borderId="113" xfId="1216" applyNumberFormat="1" applyFill="1" applyBorder="1" applyAlignment="1">
      <alignment horizontal="center"/>
    </xf>
    <xf numFmtId="171" fontId="11" fillId="0" borderId="0" xfId="0" applyNumberFormat="1" applyFont="1" applyAlignment="1">
      <alignment horizontal="left"/>
    </xf>
    <xf numFmtId="0" fontId="14" fillId="0" borderId="116" xfId="1216" applyFont="1" applyBorder="1" applyAlignment="1">
      <alignment horizontal="center" vertical="center" wrapText="1"/>
    </xf>
    <xf numFmtId="0" fontId="111" fillId="0" borderId="117" xfId="3258" applyFont="1" applyBorder="1"/>
    <xf numFmtId="173" fontId="14" fillId="0" borderId="0" xfId="1216" applyNumberFormat="1" applyFont="1" applyBorder="1" applyAlignment="1">
      <alignment horizontal="center"/>
    </xf>
    <xf numFmtId="0" fontId="14" fillId="0" borderId="115" xfId="1216" applyFont="1" applyBorder="1" applyAlignment="1">
      <alignment horizontal="center" vertical="center"/>
    </xf>
    <xf numFmtId="0" fontId="14" fillId="0" borderId="117" xfId="1216" applyFont="1" applyBorder="1" applyAlignment="1">
      <alignment vertical="center"/>
    </xf>
    <xf numFmtId="0" fontId="14" fillId="0" borderId="101" xfId="1216" applyFont="1" applyBorder="1" applyAlignment="1">
      <alignment vertical="center" wrapText="1"/>
    </xf>
    <xf numFmtId="9" fontId="11" fillId="0" borderId="117" xfId="1216" applyNumberFormat="1" applyFill="1" applyBorder="1" applyAlignment="1">
      <alignment horizontal="center"/>
    </xf>
    <xf numFmtId="9" fontId="11" fillId="0" borderId="101" xfId="1216" applyNumberFormat="1" applyFill="1" applyBorder="1" applyAlignment="1">
      <alignment horizontal="center"/>
    </xf>
    <xf numFmtId="0" fontId="226" fillId="0" borderId="117" xfId="3258" applyFont="1" applyBorder="1" applyAlignment="1">
      <alignment horizontal="center" vertical="center"/>
    </xf>
    <xf numFmtId="0" fontId="88" fillId="0" borderId="117" xfId="3258" applyFont="1" applyBorder="1" applyAlignment="1">
      <alignment horizontal="center"/>
    </xf>
    <xf numFmtId="0" fontId="111" fillId="0" borderId="121" xfId="3258" applyFont="1" applyBorder="1"/>
    <xf numFmtId="3" fontId="11" fillId="0" borderId="0" xfId="1216" applyNumberFormat="1" applyFont="1" applyFill="1" applyBorder="1" applyAlignment="1">
      <alignment horizontal="center"/>
    </xf>
    <xf numFmtId="9" fontId="11" fillId="0" borderId="0" xfId="1216" applyNumberFormat="1" applyFill="1" applyBorder="1" applyAlignment="1">
      <alignment horizontal="center"/>
    </xf>
    <xf numFmtId="43" fontId="55" fillId="0" borderId="115" xfId="1" applyFont="1" applyBorder="1"/>
    <xf numFmtId="272" fontId="88" fillId="0" borderId="116" xfId="1" applyNumberFormat="1" applyFont="1" applyBorder="1" applyAlignment="1">
      <alignment horizontal="center"/>
    </xf>
    <xf numFmtId="43" fontId="88" fillId="0" borderId="116" xfId="1" applyFont="1" applyBorder="1" applyAlignment="1">
      <alignment horizontal="center"/>
    </xf>
    <xf numFmtId="43" fontId="55" fillId="0" borderId="117" xfId="1" applyFont="1" applyBorder="1" applyAlignment="1">
      <alignment horizontal="left"/>
    </xf>
    <xf numFmtId="171" fontId="55" fillId="0" borderId="101" xfId="2" applyNumberFormat="1" applyFont="1" applyBorder="1"/>
    <xf numFmtId="43" fontId="88" fillId="0" borderId="117" xfId="1" applyFont="1" applyBorder="1" applyAlignment="1">
      <alignment horizontal="left"/>
    </xf>
    <xf numFmtId="171" fontId="88" fillId="0" borderId="101" xfId="2" applyNumberFormat="1" applyFont="1" applyBorder="1"/>
    <xf numFmtId="43" fontId="55" fillId="0" borderId="101" xfId="1" applyFont="1" applyBorder="1"/>
    <xf numFmtId="0" fontId="226" fillId="0" borderId="117" xfId="3258" applyFont="1" applyBorder="1" applyAlignment="1">
      <alignment horizontal="left"/>
    </xf>
    <xf numFmtId="0" fontId="55" fillId="0" borderId="0" xfId="3258" applyFont="1" applyBorder="1" applyAlignment="1">
      <alignment horizontal="center"/>
    </xf>
    <xf numFmtId="0" fontId="226" fillId="0" borderId="115" xfId="3258" applyFont="1" applyBorder="1" applyAlignment="1">
      <alignment horizontal="center" vertical="center"/>
    </xf>
    <xf numFmtId="3" fontId="14" fillId="0" borderId="116" xfId="0" applyNumberFormat="1" applyFont="1" applyBorder="1" applyAlignment="1">
      <alignment horizontal="center" vertical="center" wrapText="1"/>
    </xf>
    <xf numFmtId="3" fontId="14" fillId="0" borderId="116" xfId="0" applyNumberFormat="1" applyFont="1" applyBorder="1" applyAlignment="1">
      <alignment horizontal="center" vertical="center"/>
    </xf>
    <xf numFmtId="3" fontId="111" fillId="0" borderId="101" xfId="3258" applyNumberFormat="1" applyFont="1" applyBorder="1"/>
    <xf numFmtId="0" fontId="55" fillId="0" borderId="117" xfId="3258" applyFont="1" applyBorder="1" applyAlignment="1">
      <alignment horizontal="center"/>
    </xf>
    <xf numFmtId="176" fontId="55" fillId="0" borderId="101" xfId="2" applyNumberFormat="1" applyFont="1" applyBorder="1"/>
    <xf numFmtId="0" fontId="0" fillId="0" borderId="122" xfId="0" applyBorder="1"/>
    <xf numFmtId="0" fontId="0" fillId="0" borderId="121" xfId="0" applyBorder="1"/>
    <xf numFmtId="0" fontId="14" fillId="0" borderId="121" xfId="0" applyFont="1" applyBorder="1"/>
    <xf numFmtId="0" fontId="15" fillId="0" borderId="121" xfId="0" applyFont="1" applyBorder="1"/>
    <xf numFmtId="3" fontId="14" fillId="0" borderId="121" xfId="0" applyNumberFormat="1" applyFont="1" applyBorder="1"/>
    <xf numFmtId="0" fontId="14" fillId="0" borderId="121" xfId="1216" applyFont="1" applyBorder="1" applyAlignment="1">
      <alignment vertical="center"/>
    </xf>
    <xf numFmtId="0" fontId="0" fillId="0" borderId="124" xfId="0" applyBorder="1"/>
    <xf numFmtId="0" fontId="14" fillId="0" borderId="128" xfId="0" applyFont="1" applyBorder="1" applyAlignment="1">
      <alignment horizontal="center"/>
    </xf>
    <xf numFmtId="0" fontId="11" fillId="0" borderId="129" xfId="0" applyFont="1" applyBorder="1"/>
    <xf numFmtId="3" fontId="14" fillId="0" borderId="128" xfId="0" applyNumberFormat="1" applyFont="1" applyBorder="1"/>
    <xf numFmtId="0" fontId="14" fillId="0" borderId="128" xfId="1216" applyFont="1" applyBorder="1" applyAlignment="1">
      <alignment vertical="center"/>
    </xf>
    <xf numFmtId="0" fontId="11" fillId="0" borderId="131" xfId="0" applyFont="1" applyBorder="1"/>
    <xf numFmtId="178" fontId="111" fillId="0" borderId="0" xfId="3258" applyNumberFormat="1" applyFont="1" applyAlignment="1">
      <alignment shrinkToFit="1"/>
    </xf>
    <xf numFmtId="0" fontId="14" fillId="0" borderId="115" xfId="0" applyFont="1" applyBorder="1" applyProtection="1">
      <protection locked="0"/>
    </xf>
    <xf numFmtId="0" fontId="14" fillId="0" borderId="116" xfId="0" applyFont="1" applyBorder="1" applyProtection="1">
      <protection locked="0"/>
    </xf>
    <xf numFmtId="0" fontId="14" fillId="0" borderId="116" xfId="0" applyFont="1" applyFill="1" applyBorder="1" applyAlignment="1" applyProtection="1">
      <alignment horizontal="center"/>
      <protection locked="0"/>
    </xf>
    <xf numFmtId="0" fontId="14" fillId="0" borderId="132" xfId="0" applyFont="1" applyBorder="1" applyProtection="1">
      <protection locked="0"/>
    </xf>
    <xf numFmtId="0" fontId="14" fillId="0" borderId="133" xfId="0" applyFont="1" applyBorder="1" applyProtection="1">
      <protection locked="0"/>
    </xf>
    <xf numFmtId="0" fontId="96" fillId="0" borderId="133" xfId="0" applyFont="1" applyBorder="1" applyProtection="1">
      <protection locked="0"/>
    </xf>
    <xf numFmtId="0" fontId="11" fillId="0" borderId="117" xfId="0" applyFont="1" applyFill="1" applyBorder="1" applyAlignment="1" applyProtection="1">
      <alignment horizontal="center"/>
      <protection locked="0"/>
    </xf>
    <xf numFmtId="178" fontId="0" fillId="0" borderId="135" xfId="1" applyNumberFormat="1" applyFont="1" applyFill="1" applyBorder="1" applyAlignment="1" applyProtection="1">
      <protection locked="0"/>
    </xf>
    <xf numFmtId="0" fontId="14" fillId="0" borderId="139" xfId="0" applyFont="1" applyFill="1" applyBorder="1" applyAlignment="1" applyProtection="1">
      <alignment horizontal="center"/>
      <protection locked="0"/>
    </xf>
    <xf numFmtId="0" fontId="96" fillId="0" borderId="140" xfId="0" applyFont="1" applyBorder="1" applyProtection="1">
      <protection locked="0"/>
    </xf>
    <xf numFmtId="9" fontId="0" fillId="0" borderId="43" xfId="2" applyFont="1" applyFill="1" applyBorder="1" applyProtection="1">
      <protection locked="0"/>
    </xf>
    <xf numFmtId="302" fontId="0" fillId="0" borderId="43" xfId="2600" applyNumberFormat="1" applyFont="1" applyFill="1" applyBorder="1" applyProtection="1">
      <protection locked="0"/>
    </xf>
    <xf numFmtId="0" fontId="0" fillId="0" borderId="141" xfId="0" applyFill="1" applyBorder="1" applyAlignment="1" applyProtection="1">
      <protection locked="0"/>
    </xf>
    <xf numFmtId="9" fontId="0" fillId="0" borderId="143" xfId="2" applyFont="1" applyFill="1" applyBorder="1" applyProtection="1">
      <protection locked="0"/>
    </xf>
    <xf numFmtId="9" fontId="0" fillId="0" borderId="145" xfId="2" applyFont="1" applyFill="1" applyBorder="1" applyProtection="1">
      <protection locked="0"/>
    </xf>
    <xf numFmtId="0" fontId="0" fillId="0" borderId="146" xfId="0" applyFill="1" applyBorder="1" applyAlignment="1" applyProtection="1">
      <protection locked="0"/>
    </xf>
    <xf numFmtId="9" fontId="0" fillId="0" borderId="147" xfId="2" applyFont="1" applyFill="1" applyBorder="1" applyProtection="1">
      <protection locked="0"/>
    </xf>
    <xf numFmtId="178" fontId="0" fillId="0" borderId="148" xfId="1" applyNumberFormat="1" applyFont="1" applyFill="1" applyBorder="1" applyProtection="1">
      <protection locked="0"/>
    </xf>
    <xf numFmtId="0" fontId="11" fillId="0" borderId="148" xfId="0" applyFont="1" applyFill="1" applyBorder="1" applyProtection="1">
      <protection locked="0"/>
    </xf>
    <xf numFmtId="302" fontId="0" fillId="0" borderId="147" xfId="2600" applyNumberFormat="1" applyFont="1" applyFill="1" applyBorder="1" applyProtection="1">
      <protection locked="0"/>
    </xf>
    <xf numFmtId="0" fontId="11" fillId="0" borderId="134" xfId="0" applyFont="1" applyFill="1" applyBorder="1" applyAlignment="1" applyProtection="1">
      <alignment horizontal="center"/>
      <protection locked="0"/>
    </xf>
    <xf numFmtId="0" fontId="11" fillId="0" borderId="135" xfId="0" applyFont="1" applyFill="1" applyBorder="1" applyProtection="1">
      <protection locked="0"/>
    </xf>
    <xf numFmtId="0" fontId="14" fillId="0" borderId="0" xfId="0" applyFont="1" applyFill="1" applyBorder="1" applyAlignment="1" applyProtection="1">
      <alignment horizontal="left"/>
      <protection locked="0"/>
    </xf>
    <xf numFmtId="178" fontId="0" fillId="0" borderId="0" xfId="1" applyNumberFormat="1" applyFont="1" applyFill="1" applyBorder="1" applyProtection="1">
      <protection locked="0"/>
    </xf>
    <xf numFmtId="9" fontId="0" fillId="0" borderId="0" xfId="2" applyFont="1" applyFill="1" applyBorder="1" applyProtection="1">
      <protection locked="0"/>
    </xf>
    <xf numFmtId="302" fontId="0" fillId="0" borderId="146" xfId="2600" applyNumberFormat="1" applyFont="1" applyFill="1" applyBorder="1" applyProtection="1">
      <protection locked="0"/>
    </xf>
    <xf numFmtId="3" fontId="0" fillId="0" borderId="153" xfId="0" applyNumberFormat="1" applyBorder="1"/>
    <xf numFmtId="37" fontId="0" fillId="0" borderId="148" xfId="0" applyNumberFormat="1" applyBorder="1"/>
    <xf numFmtId="177" fontId="0" fillId="0" borderId="148" xfId="0" applyNumberFormat="1" applyBorder="1" applyAlignment="1">
      <alignment horizontal="center"/>
    </xf>
    <xf numFmtId="184" fontId="0" fillId="37" borderId="148" xfId="0" applyNumberFormat="1" applyFill="1" applyBorder="1"/>
    <xf numFmtId="5" fontId="0" fillId="0" borderId="148" xfId="0" applyNumberFormat="1" applyBorder="1"/>
    <xf numFmtId="0" fontId="14" fillId="0" borderId="117" xfId="0" applyFont="1" applyBorder="1" applyAlignment="1">
      <alignment horizontal="left" indent="1"/>
    </xf>
    <xf numFmtId="37" fontId="14" fillId="0" borderId="148" xfId="0" applyNumberFormat="1" applyFont="1" applyBorder="1"/>
    <xf numFmtId="0" fontId="14" fillId="0" borderId="148" xfId="0" applyFont="1" applyBorder="1"/>
    <xf numFmtId="183" fontId="0" fillId="0" borderId="148" xfId="0" applyNumberFormat="1" applyBorder="1"/>
    <xf numFmtId="5" fontId="14" fillId="0" borderId="148" xfId="0" applyNumberFormat="1" applyFont="1" applyBorder="1"/>
    <xf numFmtId="37" fontId="0" fillId="0" borderId="148" xfId="0" applyNumberFormat="1" applyFill="1" applyBorder="1"/>
    <xf numFmtId="177" fontId="0" fillId="0" borderId="148" xfId="0" applyNumberFormat="1" applyFill="1" applyBorder="1"/>
    <xf numFmtId="178" fontId="11" fillId="0" borderId="148" xfId="1" applyNumberFormat="1" applyFill="1" applyBorder="1"/>
    <xf numFmtId="0" fontId="55" fillId="0" borderId="115" xfId="3258" applyFont="1" applyBorder="1"/>
    <xf numFmtId="0" fontId="88" fillId="0" borderId="116" xfId="3258" applyFont="1" applyFill="1" applyBorder="1" applyAlignment="1">
      <alignment horizontal="center" vertical="center" wrapText="1"/>
    </xf>
    <xf numFmtId="0" fontId="88" fillId="0" borderId="116" xfId="3258" applyFont="1" applyFill="1" applyBorder="1" applyAlignment="1">
      <alignment horizontal="center" vertical="center"/>
    </xf>
    <xf numFmtId="0" fontId="88" fillId="0" borderId="117" xfId="3258" applyFont="1" applyBorder="1"/>
    <xf numFmtId="0" fontId="55" fillId="0" borderId="148" xfId="3258" applyFont="1" applyBorder="1"/>
    <xf numFmtId="0" fontId="11" fillId="0" borderId="117" xfId="3258" applyFont="1" applyFill="1" applyBorder="1" applyAlignment="1">
      <alignment vertical="center"/>
    </xf>
    <xf numFmtId="3" fontId="55" fillId="0" borderId="148" xfId="3258" applyNumberFormat="1" applyFont="1" applyBorder="1"/>
    <xf numFmtId="0" fontId="14" fillId="0" borderId="117" xfId="3258" applyFont="1" applyFill="1" applyBorder="1" applyAlignment="1">
      <alignment vertical="center"/>
    </xf>
    <xf numFmtId="3" fontId="88" fillId="0" borderId="148" xfId="3258" applyNumberFormat="1" applyFont="1" applyBorder="1"/>
    <xf numFmtId="0" fontId="55" fillId="0" borderId="117" xfId="3258" applyFont="1" applyBorder="1"/>
    <xf numFmtId="0" fontId="88" fillId="0" borderId="0" xfId="3258" applyFont="1" applyBorder="1"/>
    <xf numFmtId="3" fontId="88" fillId="0" borderId="0" xfId="3258" applyNumberFormat="1" applyFont="1" applyBorder="1"/>
    <xf numFmtId="178" fontId="55" fillId="0" borderId="148" xfId="1" applyNumberFormat="1" applyFont="1" applyBorder="1"/>
    <xf numFmtId="4" fontId="55" fillId="0" borderId="148" xfId="3258" applyNumberFormat="1" applyFont="1" applyBorder="1"/>
    <xf numFmtId="171" fontId="55" fillId="0" borderId="148" xfId="2" applyNumberFormat="1" applyFont="1" applyBorder="1"/>
    <xf numFmtId="43" fontId="55" fillId="0" borderId="148" xfId="3258" applyNumberFormat="1" applyFont="1" applyBorder="1"/>
    <xf numFmtId="0" fontId="88" fillId="0" borderId="115" xfId="3258" applyFont="1" applyBorder="1" applyAlignment="1">
      <alignment horizontal="center" vertical="center" wrapText="1"/>
    </xf>
    <xf numFmtId="3" fontId="88" fillId="0" borderId="116" xfId="3258" applyNumberFormat="1" applyFont="1" applyBorder="1" applyAlignment="1">
      <alignment horizontal="center" vertical="center" wrapText="1"/>
    </xf>
    <xf numFmtId="0" fontId="88" fillId="0" borderId="116" xfId="3258" applyFont="1" applyBorder="1" applyAlignment="1">
      <alignment horizontal="center" vertical="center" wrapText="1"/>
    </xf>
    <xf numFmtId="0" fontId="11" fillId="0" borderId="117" xfId="0" applyFont="1" applyBorder="1" applyAlignment="1">
      <alignment horizontal="center" wrapText="1"/>
    </xf>
    <xf numFmtId="0" fontId="11" fillId="0" borderId="117" xfId="0" applyFont="1" applyFill="1" applyBorder="1" applyAlignment="1">
      <alignment horizontal="center" wrapText="1"/>
    </xf>
    <xf numFmtId="0" fontId="14" fillId="0" borderId="56" xfId="0" applyFont="1" applyBorder="1" applyAlignment="1">
      <alignment horizontal="center"/>
    </xf>
    <xf numFmtId="0" fontId="233" fillId="0" borderId="115" xfId="3258" applyFont="1" applyBorder="1"/>
    <xf numFmtId="0" fontId="233" fillId="0" borderId="116" xfId="3258" applyFont="1" applyBorder="1" applyAlignment="1">
      <alignment horizontal="center"/>
    </xf>
    <xf numFmtId="0" fontId="233" fillId="0" borderId="117" xfId="3258" applyFont="1" applyBorder="1" applyAlignment="1">
      <alignment horizontal="center"/>
    </xf>
    <xf numFmtId="178" fontId="233" fillId="0" borderId="148" xfId="5987" applyNumberFormat="1" applyFont="1" applyBorder="1"/>
    <xf numFmtId="0" fontId="236" fillId="0" borderId="117" xfId="3258" applyFont="1" applyBorder="1" applyAlignment="1">
      <alignment horizontal="center"/>
    </xf>
    <xf numFmtId="178" fontId="236" fillId="0" borderId="148" xfId="5987" applyNumberFormat="1" applyFont="1" applyBorder="1"/>
    <xf numFmtId="0" fontId="236" fillId="0" borderId="148" xfId="3258" applyFont="1" applyBorder="1"/>
    <xf numFmtId="171" fontId="236" fillId="0" borderId="148" xfId="5505" applyNumberFormat="1" applyFont="1" applyBorder="1" applyAlignment="1">
      <alignment horizontal="center"/>
    </xf>
    <xf numFmtId="178" fontId="233" fillId="0" borderId="148" xfId="5987" applyNumberFormat="1" applyFont="1" applyFill="1" applyBorder="1"/>
    <xf numFmtId="0" fontId="237" fillId="0" borderId="0" xfId="4" applyFont="1"/>
    <xf numFmtId="0" fontId="17" fillId="0" borderId="0" xfId="4" applyFont="1" applyBorder="1"/>
    <xf numFmtId="43" fontId="24" fillId="0" borderId="0" xfId="11" applyFont="1" applyBorder="1" applyAlignment="1">
      <alignment horizontal="right"/>
    </xf>
    <xf numFmtId="0" fontId="11" fillId="0" borderId="0" xfId="4" applyBorder="1"/>
    <xf numFmtId="0" fontId="11" fillId="0" borderId="5" xfId="4" applyBorder="1"/>
    <xf numFmtId="0" fontId="23" fillId="0" borderId="0" xfId="4" applyFont="1" applyBorder="1"/>
    <xf numFmtId="43" fontId="17" fillId="0" borderId="0" xfId="11" applyFont="1" applyBorder="1"/>
    <xf numFmtId="178" fontId="11" fillId="0" borderId="0" xfId="4" applyNumberFormat="1" applyBorder="1"/>
    <xf numFmtId="0" fontId="237" fillId="0" borderId="0" xfId="4" applyFont="1" applyBorder="1"/>
    <xf numFmtId="0" fontId="24" fillId="0" borderId="115" xfId="4" applyFont="1" applyFill="1" applyBorder="1" applyAlignment="1">
      <alignment horizontal="right"/>
    </xf>
    <xf numFmtId="0" fontId="24" fillId="0" borderId="119" xfId="4" applyFont="1" applyFill="1" applyBorder="1" applyAlignment="1">
      <alignment horizontal="right"/>
    </xf>
    <xf numFmtId="0" fontId="24" fillId="0" borderId="120" xfId="4" applyFont="1" applyFill="1" applyBorder="1" applyAlignment="1">
      <alignment horizontal="right"/>
    </xf>
    <xf numFmtId="0" fontId="17" fillId="0" borderId="153" xfId="4" applyFont="1" applyBorder="1" applyAlignment="1">
      <alignment horizontal="right"/>
    </xf>
    <xf numFmtId="0" fontId="17" fillId="0" borderId="132" xfId="4" applyFont="1" applyBorder="1" applyAlignment="1">
      <alignment horizontal="right"/>
    </xf>
    <xf numFmtId="179" fontId="17" fillId="0" borderId="113" xfId="4" applyNumberFormat="1" applyFont="1" applyFill="1" applyBorder="1" applyAlignment="1">
      <alignment horizontal="right"/>
    </xf>
    <xf numFmtId="179" fontId="17" fillId="0" borderId="114" xfId="4" applyNumberFormat="1" applyFont="1" applyFill="1" applyBorder="1" applyAlignment="1">
      <alignment horizontal="right"/>
    </xf>
    <xf numFmtId="0" fontId="24" fillId="0" borderId="117" xfId="4" applyFont="1" applyFill="1" applyBorder="1" applyAlignment="1">
      <alignment horizontal="right"/>
    </xf>
    <xf numFmtId="0" fontId="24" fillId="0" borderId="135" xfId="4" applyFont="1" applyFill="1" applyBorder="1" applyAlignment="1">
      <alignment horizontal="right"/>
    </xf>
    <xf numFmtId="0" fontId="24" fillId="0" borderId="136" xfId="4" applyFont="1" applyFill="1" applyBorder="1" applyAlignment="1">
      <alignment horizontal="right"/>
    </xf>
    <xf numFmtId="0" fontId="236" fillId="0" borderId="0" xfId="3258" applyFont="1" applyBorder="1" applyAlignment="1">
      <alignment horizontal="center"/>
    </xf>
    <xf numFmtId="0" fontId="236" fillId="0" borderId="0" xfId="3258" applyFont="1" applyBorder="1"/>
    <xf numFmtId="171" fontId="236" fillId="0" borderId="0" xfId="5505" applyNumberFormat="1" applyFont="1" applyBorder="1" applyAlignment="1">
      <alignment horizontal="center"/>
    </xf>
    <xf numFmtId="0" fontId="11" fillId="0" borderId="115" xfId="12" applyFont="1" applyBorder="1" applyAlignment="1" applyProtection="1">
      <alignment horizontal="center"/>
      <protection locked="0"/>
    </xf>
    <xf numFmtId="0" fontId="11" fillId="0" borderId="116" xfId="12" applyFont="1" applyBorder="1" applyAlignment="1" applyProtection="1">
      <alignment horizontal="center"/>
      <protection locked="0"/>
    </xf>
    <xf numFmtId="49" fontId="11" fillId="0" borderId="117" xfId="12" applyNumberFormat="1" applyFont="1" applyBorder="1" applyAlignment="1" applyProtection="1">
      <alignment horizontal="center"/>
      <protection locked="0"/>
    </xf>
    <xf numFmtId="181" fontId="11" fillId="0" borderId="148" xfId="13" applyNumberFormat="1" applyFont="1" applyBorder="1" applyAlignment="1" applyProtection="1">
      <alignment horizontal="center"/>
      <protection locked="0"/>
    </xf>
    <xf numFmtId="178" fontId="11" fillId="0" borderId="148" xfId="1500" applyNumberFormat="1" applyBorder="1"/>
    <xf numFmtId="10" fontId="11" fillId="0" borderId="148" xfId="14" applyNumberFormat="1" applyFont="1" applyBorder="1" applyAlignment="1" applyProtection="1">
      <alignment horizontal="right"/>
      <protection locked="0"/>
    </xf>
    <xf numFmtId="178" fontId="11" fillId="0" borderId="56" xfId="1500" applyNumberFormat="1" applyBorder="1"/>
    <xf numFmtId="17" fontId="11" fillId="89" borderId="1" xfId="12" applyNumberFormat="1" applyFont="1" applyFill="1" applyBorder="1" applyAlignment="1" applyProtection="1">
      <alignment horizontal="center"/>
      <protection locked="0"/>
    </xf>
    <xf numFmtId="181" fontId="11" fillId="89" borderId="12" xfId="13" applyNumberFormat="1" applyFont="1" applyFill="1" applyBorder="1" applyAlignment="1" applyProtection="1">
      <alignment horizontal="center"/>
      <protection locked="0"/>
    </xf>
    <xf numFmtId="1" fontId="11" fillId="89" borderId="12" xfId="12" applyNumberFormat="1" applyFont="1" applyFill="1" applyBorder="1" applyProtection="1">
      <protection locked="0"/>
    </xf>
    <xf numFmtId="181" fontId="11" fillId="89" borderId="11" xfId="13" applyNumberFormat="1" applyFont="1" applyFill="1" applyBorder="1" applyAlignment="1" applyProtection="1">
      <alignment horizontal="center"/>
      <protection locked="0"/>
    </xf>
    <xf numFmtId="0" fontId="11" fillId="89" borderId="40" xfId="13" applyNumberFormat="1" applyFont="1" applyFill="1" applyBorder="1" applyAlignment="1" applyProtection="1">
      <protection locked="0"/>
    </xf>
    <xf numFmtId="37" fontId="11" fillId="89" borderId="40" xfId="1509" applyNumberFormat="1" applyFont="1" applyFill="1" applyBorder="1" applyAlignment="1">
      <alignment horizontal="center"/>
    </xf>
    <xf numFmtId="0" fontId="11" fillId="89" borderId="12" xfId="13" applyNumberFormat="1" applyFont="1" applyFill="1" applyBorder="1" applyAlignment="1" applyProtection="1">
      <protection locked="0"/>
    </xf>
    <xf numFmtId="1" fontId="11" fillId="89" borderId="12" xfId="13" applyNumberFormat="1" applyFont="1" applyFill="1" applyBorder="1" applyAlignment="1" applyProtection="1">
      <protection locked="0"/>
    </xf>
    <xf numFmtId="0" fontId="11" fillId="89" borderId="0" xfId="12" applyFont="1" applyFill="1" applyProtection="1">
      <protection locked="0"/>
    </xf>
    <xf numFmtId="181" fontId="11" fillId="89" borderId="1" xfId="13" applyNumberFormat="1" applyFont="1" applyFill="1" applyBorder="1" applyAlignment="1" applyProtection="1">
      <alignment horizontal="center"/>
      <protection locked="0"/>
    </xf>
    <xf numFmtId="171" fontId="11" fillId="89" borderId="1" xfId="2" applyNumberFormat="1" applyFont="1" applyFill="1" applyBorder="1" applyProtection="1">
      <protection locked="0"/>
    </xf>
    <xf numFmtId="2" fontId="14" fillId="0" borderId="156" xfId="13" applyNumberFormat="1" applyFont="1" applyFill="1" applyBorder="1" applyAlignment="1" applyProtection="1">
      <alignment horizontal="center" wrapText="1"/>
      <protection locked="0"/>
    </xf>
    <xf numFmtId="0" fontId="14" fillId="0" borderId="156" xfId="12" applyFont="1" applyFill="1" applyBorder="1" applyAlignment="1" applyProtection="1">
      <alignment horizontal="center" wrapText="1"/>
      <protection locked="0"/>
    </xf>
    <xf numFmtId="3" fontId="11" fillId="0" borderId="119" xfId="0" applyNumberFormat="1" applyFont="1" applyBorder="1" applyAlignment="1">
      <alignment horizontal="center" wrapText="1"/>
    </xf>
    <xf numFmtId="3" fontId="0" fillId="0" borderId="120" xfId="0" applyNumberFormat="1" applyBorder="1" applyAlignment="1">
      <alignment horizontal="center"/>
    </xf>
    <xf numFmtId="0" fontId="0" fillId="0" borderId="121" xfId="0" applyBorder="1" applyAlignment="1">
      <alignment horizontal="right"/>
    </xf>
    <xf numFmtId="0" fontId="0" fillId="0" borderId="129" xfId="0" applyBorder="1" applyAlignment="1">
      <alignment horizontal="right"/>
    </xf>
    <xf numFmtId="0" fontId="0" fillId="0" borderId="122" xfId="0" applyBorder="1" applyAlignment="1">
      <alignment horizontal="right"/>
    </xf>
    <xf numFmtId="0" fontId="0" fillId="0" borderId="129" xfId="0" applyBorder="1"/>
    <xf numFmtId="0" fontId="14" fillId="0" borderId="148" xfId="1216" applyFont="1" applyBorder="1" applyAlignment="1">
      <alignment horizontal="center" vertical="center" wrapText="1"/>
    </xf>
    <xf numFmtId="0" fontId="14" fillId="0" borderId="148" xfId="1216" applyFont="1" applyBorder="1" applyAlignment="1">
      <alignment horizontal="center" vertical="center"/>
    </xf>
    <xf numFmtId="0" fontId="111" fillId="0" borderId="5" xfId="3258" applyFont="1" applyBorder="1"/>
    <xf numFmtId="181" fontId="92" fillId="0" borderId="0" xfId="1513" applyNumberFormat="1" applyFont="1"/>
    <xf numFmtId="181" fontId="45" fillId="0" borderId="0" xfId="1513" applyNumberFormat="1" applyFont="1"/>
    <xf numFmtId="0" fontId="226" fillId="0" borderId="0" xfId="3258" applyFont="1" applyAlignment="1">
      <alignment horizontal="left"/>
    </xf>
    <xf numFmtId="0" fontId="55" fillId="0" borderId="125" xfId="3258" applyFont="1" applyBorder="1" applyAlignment="1">
      <alignment horizontal="center"/>
    </xf>
    <xf numFmtId="178" fontId="55" fillId="0" borderId="51" xfId="1" applyNumberFormat="1" applyFont="1" applyBorder="1" applyAlignment="1">
      <alignment horizontal="center"/>
    </xf>
    <xf numFmtId="178" fontId="55" fillId="0" borderId="66" xfId="1" applyNumberFormat="1" applyFont="1" applyBorder="1" applyAlignment="1">
      <alignment horizontal="center"/>
    </xf>
    <xf numFmtId="0" fontId="88" fillId="0" borderId="126" xfId="3258" applyFont="1" applyBorder="1" applyAlignment="1">
      <alignment horizontal="center" vertical="center" wrapText="1"/>
    </xf>
    <xf numFmtId="10" fontId="111" fillId="0" borderId="0" xfId="2" applyNumberFormat="1" applyFont="1"/>
    <xf numFmtId="0" fontId="92" fillId="0" borderId="0" xfId="0" applyFont="1"/>
    <xf numFmtId="0" fontId="92" fillId="0" borderId="0" xfId="0" applyFont="1" applyAlignment="1">
      <alignment horizontal="left"/>
    </xf>
    <xf numFmtId="0" fontId="96" fillId="0" borderId="133" xfId="0" applyFont="1" applyBorder="1" applyAlignment="1" applyProtection="1">
      <alignment horizontal="center"/>
      <protection locked="0"/>
    </xf>
    <xf numFmtId="0" fontId="96" fillId="0" borderId="140" xfId="0" applyFont="1" applyBorder="1" applyAlignment="1" applyProtection="1">
      <alignment horizontal="center"/>
      <protection locked="0"/>
    </xf>
    <xf numFmtId="0" fontId="11" fillId="0" borderId="132" xfId="0" applyFont="1" applyBorder="1" applyProtection="1">
      <protection locked="0"/>
    </xf>
    <xf numFmtId="0" fontId="16" fillId="0" borderId="133" xfId="0" applyFont="1" applyBorder="1" applyProtection="1">
      <protection locked="0"/>
    </xf>
    <xf numFmtId="0" fontId="11" fillId="0" borderId="101" xfId="0" applyFont="1" applyFill="1" applyBorder="1" applyAlignment="1" applyProtection="1">
      <alignment wrapText="1"/>
      <protection locked="0"/>
    </xf>
    <xf numFmtId="0" fontId="11" fillId="0" borderId="134" xfId="0" applyFont="1" applyFill="1" applyBorder="1" applyAlignment="1" applyProtection="1">
      <protection locked="0"/>
    </xf>
    <xf numFmtId="0" fontId="11" fillId="0" borderId="102" xfId="0" applyFont="1" applyFill="1" applyBorder="1" applyAlignment="1" applyProtection="1">
      <protection locked="0"/>
    </xf>
    <xf numFmtId="0" fontId="11" fillId="0" borderId="148" xfId="0" applyFont="1" applyFill="1" applyBorder="1" applyAlignment="1" applyProtection="1">
      <alignment wrapText="1"/>
      <protection locked="0"/>
    </xf>
    <xf numFmtId="0" fontId="11" fillId="0" borderId="135" xfId="0" applyFont="1" applyFill="1" applyBorder="1" applyAlignment="1" applyProtection="1">
      <protection locked="0"/>
    </xf>
    <xf numFmtId="178" fontId="0" fillId="0" borderId="0" xfId="0" applyNumberFormat="1" applyFill="1"/>
    <xf numFmtId="0" fontId="14" fillId="0" borderId="133" xfId="0" applyFont="1" applyBorder="1" applyAlignment="1" applyProtection="1">
      <alignment horizontal="center"/>
      <protection locked="0"/>
    </xf>
    <xf numFmtId="0" fontId="14" fillId="0" borderId="140" xfId="0" applyFont="1" applyBorder="1" applyAlignment="1" applyProtection="1">
      <alignment horizontal="center"/>
      <protection locked="0"/>
    </xf>
    <xf numFmtId="300" fontId="0" fillId="0" borderId="0" xfId="0" applyNumberFormat="1" applyBorder="1"/>
    <xf numFmtId="174" fontId="0" fillId="0" borderId="0" xfId="0" applyNumberFormat="1"/>
    <xf numFmtId="174" fontId="11" fillId="0" borderId="0" xfId="0" applyNumberFormat="1" applyFont="1"/>
    <xf numFmtId="10" fontId="14" fillId="0" borderId="0" xfId="2" applyNumberFormat="1" applyFont="1"/>
    <xf numFmtId="0" fontId="14" fillId="0" borderId="103" xfId="0" applyNumberFormat="1" applyFont="1" applyFill="1" applyBorder="1" applyAlignment="1">
      <alignment horizontal="center"/>
    </xf>
    <xf numFmtId="0" fontId="14" fillId="0" borderId="148" xfId="0" applyNumberFormat="1" applyFont="1" applyFill="1" applyBorder="1" applyAlignment="1">
      <alignment horizontal="center"/>
    </xf>
    <xf numFmtId="0" fontId="14" fillId="0" borderId="136" xfId="0" applyNumberFormat="1" applyFont="1" applyFill="1" applyBorder="1" applyAlignment="1">
      <alignment horizontal="center"/>
    </xf>
    <xf numFmtId="0" fontId="19" fillId="0" borderId="155" xfId="0" applyFont="1" applyFill="1" applyBorder="1"/>
    <xf numFmtId="0" fontId="14" fillId="0" borderId="117" xfId="0" applyFont="1" applyFill="1" applyBorder="1"/>
    <xf numFmtId="0" fontId="14" fillId="0" borderId="7" xfId="0" applyNumberFormat="1" applyFont="1" applyFill="1" applyBorder="1" applyAlignment="1">
      <alignment horizontal="center"/>
    </xf>
    <xf numFmtId="3" fontId="0" fillId="0" borderId="121" xfId="0" applyNumberFormat="1" applyBorder="1"/>
    <xf numFmtId="182" fontId="0" fillId="37" borderId="148" xfId="0" applyNumberFormat="1" applyFill="1" applyBorder="1"/>
    <xf numFmtId="182" fontId="0" fillId="0" borderId="148" xfId="0" applyNumberFormat="1" applyFill="1" applyBorder="1"/>
    <xf numFmtId="183" fontId="20" fillId="0" borderId="148" xfId="0" applyNumberFormat="1" applyFont="1" applyBorder="1"/>
    <xf numFmtId="5" fontId="14" fillId="0" borderId="148" xfId="0" applyNumberFormat="1" applyFont="1" applyFill="1" applyBorder="1"/>
    <xf numFmtId="3" fontId="0" fillId="0" borderId="121" xfId="0" applyNumberFormat="1" applyFill="1" applyBorder="1"/>
    <xf numFmtId="5" fontId="0" fillId="0" borderId="148" xfId="0" applyNumberFormat="1" applyFill="1" applyBorder="1"/>
    <xf numFmtId="0" fontId="14" fillId="0" borderId="117" xfId="0" applyFont="1" applyFill="1" applyBorder="1" applyAlignment="1">
      <alignment horizontal="left" indent="1"/>
    </xf>
    <xf numFmtId="37" fontId="14" fillId="0" borderId="148" xfId="0" applyNumberFormat="1" applyFont="1" applyFill="1" applyBorder="1"/>
    <xf numFmtId="0" fontId="14" fillId="0" borderId="148" xfId="0" applyFont="1" applyFill="1" applyBorder="1"/>
    <xf numFmtId="183" fontId="0" fillId="0" borderId="148" xfId="0" applyNumberFormat="1" applyFill="1" applyBorder="1"/>
    <xf numFmtId="0" fontId="19" fillId="0" borderId="150" xfId="0" applyFont="1" applyFill="1" applyBorder="1"/>
    <xf numFmtId="0" fontId="14" fillId="0" borderId="123" xfId="0" applyFont="1" applyFill="1" applyBorder="1"/>
    <xf numFmtId="0" fontId="14" fillId="0" borderId="151" xfId="0" applyFont="1" applyFill="1" applyBorder="1" applyAlignment="1">
      <alignment horizontal="center"/>
    </xf>
    <xf numFmtId="0" fontId="14" fillId="0" borderId="114" xfId="0" applyNumberFormat="1" applyFont="1" applyFill="1" applyBorder="1" applyAlignment="1">
      <alignment horizontal="center"/>
    </xf>
    <xf numFmtId="0" fontId="14" fillId="0" borderId="152" xfId="0" applyFont="1" applyFill="1" applyBorder="1" applyAlignment="1">
      <alignment horizontal="center"/>
    </xf>
    <xf numFmtId="3" fontId="0" fillId="0" borderId="153" xfId="0" applyNumberFormat="1" applyFill="1" applyBorder="1"/>
    <xf numFmtId="177" fontId="0" fillId="0" borderId="148" xfId="0" applyNumberFormat="1" applyFill="1" applyBorder="1" applyAlignment="1">
      <alignment horizontal="center"/>
    </xf>
    <xf numFmtId="184" fontId="0" fillId="0" borderId="148" xfId="0" applyNumberFormat="1" applyFill="1" applyBorder="1"/>
    <xf numFmtId="0" fontId="14" fillId="0" borderId="133" xfId="0" applyFont="1" applyFill="1" applyBorder="1" applyAlignment="1">
      <alignment horizontal="center"/>
    </xf>
    <xf numFmtId="0" fontId="14" fillId="0" borderId="157" xfId="0" applyFont="1" applyFill="1" applyBorder="1" applyAlignment="1">
      <alignment horizontal="center"/>
    </xf>
    <xf numFmtId="0" fontId="98" fillId="0" borderId="114" xfId="0" applyNumberFormat="1" applyFont="1" applyFill="1" applyBorder="1" applyAlignment="1">
      <alignment horizontal="center"/>
    </xf>
    <xf numFmtId="0" fontId="91" fillId="0" borderId="148" xfId="0" applyFont="1" applyFill="1" applyBorder="1" applyAlignment="1">
      <alignment horizontal="center"/>
    </xf>
    <xf numFmtId="7" fontId="0" fillId="0" borderId="148" xfId="0" applyNumberFormat="1" applyFill="1" applyBorder="1"/>
    <xf numFmtId="0" fontId="91" fillId="0" borderId="0" xfId="0" applyFont="1" applyFill="1" applyBorder="1"/>
    <xf numFmtId="37" fontId="98" fillId="0" borderId="148" xfId="0" applyNumberFormat="1" applyFont="1" applyFill="1" applyBorder="1"/>
    <xf numFmtId="0" fontId="98" fillId="0" borderId="148" xfId="0" applyFont="1" applyFill="1" applyBorder="1"/>
    <xf numFmtId="183" fontId="91" fillId="0" borderId="148" xfId="0" applyNumberFormat="1" applyFont="1" applyFill="1" applyBorder="1"/>
    <xf numFmtId="0" fontId="14" fillId="0" borderId="134" xfId="0" applyFont="1" applyFill="1" applyBorder="1"/>
    <xf numFmtId="0" fontId="19" fillId="0" borderId="155" xfId="0" applyFont="1" applyBorder="1"/>
    <xf numFmtId="0" fontId="14" fillId="0" borderId="156" xfId="0" applyFont="1" applyBorder="1" applyAlignment="1">
      <alignment horizontal="center"/>
    </xf>
    <xf numFmtId="3" fontId="0" fillId="0" borderId="117" xfId="0" applyNumberFormat="1" applyBorder="1"/>
    <xf numFmtId="0" fontId="55" fillId="0" borderId="155" xfId="3258" applyFont="1" applyFill="1" applyBorder="1"/>
    <xf numFmtId="17" fontId="55" fillId="0" borderId="117" xfId="3258" applyNumberFormat="1" applyFont="1" applyFill="1" applyBorder="1"/>
    <xf numFmtId="179" fontId="55" fillId="0" borderId="148" xfId="1" applyNumberFormat="1" applyFont="1" applyFill="1" applyBorder="1"/>
    <xf numFmtId="178" fontId="55" fillId="0" borderId="148" xfId="1" applyNumberFormat="1" applyFont="1" applyFill="1" applyBorder="1"/>
    <xf numFmtId="178" fontId="55" fillId="0" borderId="50" xfId="1" applyNumberFormat="1" applyFont="1" applyBorder="1" applyAlignment="1">
      <alignment horizontal="center"/>
    </xf>
    <xf numFmtId="0" fontId="55" fillId="0" borderId="0" xfId="3258" applyFont="1" applyFill="1"/>
    <xf numFmtId="2" fontId="55" fillId="0" borderId="0" xfId="3258" applyNumberFormat="1" applyFont="1"/>
    <xf numFmtId="178" fontId="238" fillId="0" borderId="0" xfId="3258" applyNumberFormat="1" applyFont="1" applyBorder="1"/>
    <xf numFmtId="178" fontId="11" fillId="0" borderId="0" xfId="1" applyNumberFormat="1" applyFont="1"/>
    <xf numFmtId="181" fontId="0" fillId="0" borderId="0" xfId="0" applyNumberFormat="1"/>
    <xf numFmtId="2" fontId="14" fillId="0" borderId="40" xfId="13" applyNumberFormat="1" applyFont="1" applyFill="1" applyBorder="1" applyAlignment="1" applyProtection="1">
      <alignment horizontal="center" wrapText="1"/>
      <protection locked="0"/>
    </xf>
    <xf numFmtId="0" fontId="11" fillId="0" borderId="0" xfId="12" applyFont="1" applyFill="1" applyAlignment="1" applyProtection="1">
      <protection locked="0"/>
    </xf>
    <xf numFmtId="43" fontId="0" fillId="0" borderId="0" xfId="0" applyNumberFormat="1"/>
    <xf numFmtId="0" fontId="11" fillId="0" borderId="155" xfId="0" applyFont="1" applyFill="1" applyBorder="1"/>
    <xf numFmtId="0" fontId="0" fillId="0" borderId="117" xfId="0" applyFill="1" applyBorder="1"/>
    <xf numFmtId="0" fontId="11" fillId="0" borderId="117" xfId="0" applyFont="1" applyFill="1" applyBorder="1"/>
    <xf numFmtId="0" fontId="11" fillId="0" borderId="156" xfId="0" applyFont="1" applyFill="1" applyBorder="1" applyAlignment="1">
      <alignment horizontal="center"/>
    </xf>
    <xf numFmtId="0" fontId="11" fillId="0" borderId="122" xfId="0" applyFont="1" applyBorder="1"/>
    <xf numFmtId="0" fontId="14" fillId="0" borderId="159" xfId="0" applyFont="1" applyBorder="1" applyAlignment="1">
      <alignment horizontal="center"/>
    </xf>
    <xf numFmtId="0" fontId="11" fillId="0" borderId="159" xfId="0" applyFont="1" applyBorder="1"/>
    <xf numFmtId="0" fontId="11" fillId="0" borderId="121" xfId="0" applyFont="1" applyBorder="1"/>
    <xf numFmtId="0" fontId="16" fillId="0" borderId="0" xfId="0" applyFont="1" applyBorder="1" applyAlignment="1">
      <alignment horizontal="center"/>
    </xf>
    <xf numFmtId="0" fontId="11" fillId="0" borderId="5" xfId="0" applyFont="1" applyBorder="1"/>
    <xf numFmtId="0" fontId="11" fillId="0" borderId="134" xfId="0" applyFont="1" applyBorder="1"/>
    <xf numFmtId="0" fontId="11" fillId="0" borderId="135" xfId="0" applyFont="1" applyBorder="1"/>
    <xf numFmtId="8" fontId="11" fillId="0" borderId="136" xfId="0" applyNumberFormat="1" applyFont="1" applyBorder="1"/>
    <xf numFmtId="8" fontId="11" fillId="0" borderId="5" xfId="0" applyNumberFormat="1" applyFont="1" applyBorder="1"/>
    <xf numFmtId="0" fontId="11" fillId="0" borderId="0" xfId="0" applyFont="1" applyBorder="1" applyAlignment="1">
      <alignment horizontal="center"/>
    </xf>
    <xf numFmtId="0" fontId="11" fillId="0" borderId="142" xfId="0" applyFont="1" applyBorder="1"/>
    <xf numFmtId="0" fontId="11" fillId="0" borderId="72" xfId="0" applyFont="1" applyBorder="1"/>
    <xf numFmtId="0" fontId="11" fillId="0" borderId="72" xfId="0" applyFont="1" applyBorder="1" applyAlignment="1">
      <alignment horizontal="center"/>
    </xf>
    <xf numFmtId="8" fontId="11" fillId="0" borderId="0" xfId="0" applyNumberFormat="1" applyFont="1"/>
    <xf numFmtId="0" fontId="14" fillId="0" borderId="0" xfId="0" applyFont="1" applyBorder="1" applyAlignment="1">
      <alignment horizontal="center"/>
    </xf>
    <xf numFmtId="43" fontId="11" fillId="0" borderId="0" xfId="0" applyNumberFormat="1" applyFont="1"/>
    <xf numFmtId="0" fontId="92" fillId="0" borderId="0" xfId="0" applyFont="1" applyAlignment="1">
      <alignment horizontal="center"/>
    </xf>
    <xf numFmtId="0" fontId="11" fillId="0" borderId="0" xfId="0" applyFont="1" applyAlignment="1">
      <alignment horizontal="center"/>
    </xf>
    <xf numFmtId="15" fontId="11" fillId="0" borderId="0" xfId="0" applyNumberFormat="1" applyFont="1" applyAlignment="1">
      <alignment horizontal="center"/>
    </xf>
    <xf numFmtId="15" fontId="14" fillId="0" borderId="0" xfId="0" applyNumberFormat="1" applyFont="1" applyAlignment="1">
      <alignment horizontal="center"/>
    </xf>
    <xf numFmtId="0" fontId="55" fillId="0" borderId="117" xfId="3258" applyFont="1" applyBorder="1" applyAlignment="1">
      <alignment horizontal="left" vertical="center"/>
    </xf>
    <xf numFmtId="0" fontId="235" fillId="0" borderId="135" xfId="6031" applyFont="1" applyBorder="1" applyAlignment="1"/>
    <xf numFmtId="0" fontId="235" fillId="0" borderId="136" xfId="6031" applyFont="1" applyBorder="1" applyAlignment="1"/>
    <xf numFmtId="3" fontId="11" fillId="0" borderId="148" xfId="1216" applyNumberFormat="1" applyFont="1" applyBorder="1" applyAlignment="1">
      <alignment horizontal="center" vertical="center" wrapText="1"/>
    </xf>
    <xf numFmtId="0" fontId="55" fillId="0" borderId="117" xfId="3258" applyFont="1" applyBorder="1" applyAlignment="1">
      <alignment horizontal="left"/>
    </xf>
    <xf numFmtId="0" fontId="111" fillId="0" borderId="118" xfId="3258" applyFont="1" applyBorder="1"/>
    <xf numFmtId="0" fontId="235" fillId="0" borderId="119" xfId="6031" applyFont="1" applyBorder="1" applyAlignment="1"/>
    <xf numFmtId="0" fontId="235" fillId="0" borderId="120" xfId="6031" applyFont="1" applyBorder="1" applyAlignment="1"/>
    <xf numFmtId="0" fontId="111" fillId="0" borderId="134" xfId="3258" applyFont="1" applyBorder="1"/>
    <xf numFmtId="0" fontId="55" fillId="0" borderId="121" xfId="3258" applyFont="1" applyBorder="1" applyAlignment="1">
      <alignment horizontal="center"/>
    </xf>
    <xf numFmtId="0" fontId="235" fillId="0" borderId="135" xfId="6031" applyFont="1" applyBorder="1" applyAlignment="1">
      <alignment horizontal="left"/>
    </xf>
    <xf numFmtId="0" fontId="11" fillId="0" borderId="0" xfId="1500" applyBorder="1" applyAlignment="1">
      <alignment horizontal="center"/>
    </xf>
    <xf numFmtId="0" fontId="11" fillId="0" borderId="0" xfId="1500" applyBorder="1" applyAlignment="1">
      <alignment horizontal="center"/>
    </xf>
    <xf numFmtId="3" fontId="11" fillId="0" borderId="0" xfId="1500" applyNumberFormat="1" applyFill="1"/>
    <xf numFmtId="178" fontId="11" fillId="0" borderId="5" xfId="1" applyNumberFormat="1" applyFont="1" applyBorder="1"/>
    <xf numFmtId="178" fontId="11" fillId="0" borderId="0" xfId="1" applyNumberFormat="1" applyFont="1" applyFill="1"/>
    <xf numFmtId="178" fontId="11" fillId="0" borderId="5" xfId="1" applyNumberFormat="1" applyBorder="1"/>
    <xf numFmtId="178" fontId="11" fillId="0" borderId="0" xfId="1" applyNumberFormat="1" applyFill="1"/>
    <xf numFmtId="178" fontId="11" fillId="37" borderId="0" xfId="1" applyNumberFormat="1" applyFill="1"/>
    <xf numFmtId="178" fontId="11" fillId="37" borderId="56" xfId="1" applyNumberFormat="1" applyFill="1" applyBorder="1"/>
    <xf numFmtId="178" fontId="11" fillId="37" borderId="0" xfId="1" applyNumberFormat="1" applyFill="1" applyBorder="1"/>
    <xf numFmtId="43" fontId="11" fillId="39" borderId="40" xfId="13" applyNumberFormat="1" applyFont="1" applyFill="1" applyBorder="1" applyAlignment="1" applyProtection="1">
      <protection locked="0"/>
    </xf>
    <xf numFmtId="178" fontId="11" fillId="3" borderId="56" xfId="1500" applyNumberFormat="1" applyFill="1" applyBorder="1"/>
    <xf numFmtId="178" fontId="11" fillId="37" borderId="40" xfId="1" applyNumberFormat="1" applyFont="1" applyFill="1" applyBorder="1" applyAlignment="1" applyProtection="1">
      <protection locked="0"/>
    </xf>
    <xf numFmtId="0" fontId="11" fillId="0" borderId="0" xfId="12" applyFont="1" applyAlignment="1">
      <alignment horizontal="left"/>
    </xf>
    <xf numFmtId="178" fontId="11" fillId="37" borderId="12" xfId="1" applyNumberFormat="1" applyFont="1" applyFill="1" applyBorder="1" applyAlignment="1" applyProtection="1">
      <alignment horizontal="right"/>
      <protection locked="0"/>
    </xf>
    <xf numFmtId="178" fontId="11" fillId="89" borderId="40" xfId="1" applyNumberFormat="1" applyFont="1" applyFill="1" applyBorder="1" applyAlignment="1" applyProtection="1">
      <protection locked="0"/>
    </xf>
    <xf numFmtId="17" fontId="11" fillId="89" borderId="0" xfId="1500" applyNumberFormat="1" applyFill="1"/>
    <xf numFmtId="181" fontId="11" fillId="89" borderId="0" xfId="1513" applyNumberFormat="1" applyFill="1"/>
    <xf numFmtId="0" fontId="11" fillId="89" borderId="0" xfId="1500" applyFill="1"/>
    <xf numFmtId="181" fontId="11" fillId="89" borderId="0" xfId="1500" applyNumberFormat="1" applyFill="1"/>
    <xf numFmtId="170" fontId="11" fillId="89" borderId="0" xfId="1500" applyNumberFormat="1" applyFill="1"/>
    <xf numFmtId="17" fontId="11" fillId="0" borderId="0" xfId="1500" applyNumberFormat="1" applyFill="1"/>
    <xf numFmtId="43" fontId="11" fillId="89" borderId="40" xfId="13" applyNumberFormat="1" applyFont="1" applyFill="1" applyBorder="1" applyAlignment="1" applyProtection="1">
      <protection locked="0"/>
    </xf>
    <xf numFmtId="181" fontId="11" fillId="89" borderId="1" xfId="12" applyNumberFormat="1" applyFont="1" applyFill="1" applyBorder="1" applyProtection="1">
      <protection locked="0"/>
    </xf>
    <xf numFmtId="178" fontId="11" fillId="39" borderId="12" xfId="1" applyNumberFormat="1" applyFont="1" applyFill="1" applyBorder="1" applyAlignment="1" applyProtection="1">
      <alignment horizontal="right"/>
      <protection locked="0"/>
    </xf>
    <xf numFmtId="1" fontId="11" fillId="0" borderId="0" xfId="1500" applyNumberFormat="1"/>
    <xf numFmtId="172" fontId="11" fillId="89" borderId="40" xfId="13" applyNumberFormat="1" applyFont="1" applyFill="1" applyBorder="1" applyAlignment="1" applyProtection="1">
      <protection locked="0"/>
    </xf>
    <xf numFmtId="172" fontId="11" fillId="39" borderId="40" xfId="13" applyNumberFormat="1" applyFont="1" applyFill="1" applyBorder="1" applyAlignment="1" applyProtection="1">
      <protection locked="0"/>
    </xf>
    <xf numFmtId="179" fontId="11" fillId="37" borderId="40" xfId="13" applyNumberFormat="1" applyFont="1" applyFill="1" applyBorder="1" applyAlignment="1" applyProtection="1">
      <protection locked="0"/>
    </xf>
    <xf numFmtId="178" fontId="11" fillId="37" borderId="1" xfId="1" applyNumberFormat="1" applyFont="1" applyFill="1" applyBorder="1" applyAlignment="1" applyProtection="1">
      <alignment horizontal="right"/>
      <protection locked="0"/>
    </xf>
    <xf numFmtId="178" fontId="11" fillId="39" borderId="1" xfId="1" applyNumberFormat="1" applyFont="1" applyFill="1" applyBorder="1" applyAlignment="1" applyProtection="1">
      <alignment horizontal="right"/>
      <protection locked="0"/>
    </xf>
    <xf numFmtId="178" fontId="11" fillId="37" borderId="12" xfId="1" applyNumberFormat="1" applyFont="1" applyFill="1" applyBorder="1" applyAlignment="1">
      <alignment horizontal="right"/>
    </xf>
    <xf numFmtId="178" fontId="11" fillId="39" borderId="12" xfId="1" applyNumberFormat="1" applyFont="1" applyFill="1" applyBorder="1" applyAlignment="1">
      <alignment horizontal="right"/>
    </xf>
    <xf numFmtId="178" fontId="11" fillId="89" borderId="12" xfId="1" applyNumberFormat="1" applyFont="1" applyFill="1" applyBorder="1" applyAlignment="1" applyProtection="1">
      <alignment horizontal="right"/>
      <protection locked="0"/>
    </xf>
    <xf numFmtId="0" fontId="14" fillId="0" borderId="148" xfId="12" applyFont="1" applyBorder="1"/>
    <xf numFmtId="0" fontId="11" fillId="0" borderId="148" xfId="12" applyFont="1" applyBorder="1"/>
    <xf numFmtId="0" fontId="11" fillId="90" borderId="148" xfId="12" applyFont="1" applyFill="1" applyBorder="1"/>
    <xf numFmtId="0" fontId="11" fillId="89" borderId="148" xfId="12" applyFont="1" applyFill="1" applyBorder="1"/>
    <xf numFmtId="1" fontId="11" fillId="37" borderId="148" xfId="13" applyNumberFormat="1" applyFont="1" applyFill="1" applyBorder="1" applyAlignment="1" applyProtection="1">
      <alignment horizontal="center"/>
      <protection locked="0"/>
    </xf>
    <xf numFmtId="178" fontId="11" fillId="37" borderId="148" xfId="1" applyNumberFormat="1" applyFont="1" applyFill="1" applyBorder="1" applyAlignment="1">
      <alignment horizontal="right"/>
    </xf>
    <xf numFmtId="181" fontId="11" fillId="0" borderId="148" xfId="13" applyNumberFormat="1" applyFont="1" applyFill="1" applyBorder="1" applyAlignment="1" applyProtection="1">
      <alignment horizontal="center"/>
      <protection locked="0"/>
    </xf>
    <xf numFmtId="171" fontId="11" fillId="0" borderId="0" xfId="2" applyNumberFormat="1" applyFont="1"/>
    <xf numFmtId="179" fontId="11" fillId="39" borderId="40" xfId="13" applyNumberFormat="1" applyFont="1" applyFill="1" applyBorder="1" applyAlignment="1" applyProtection="1">
      <protection locked="0"/>
    </xf>
    <xf numFmtId="1" fontId="11" fillId="39" borderId="40" xfId="12" applyNumberFormat="1" applyFont="1" applyFill="1" applyBorder="1" applyAlignment="1">
      <alignment horizontal="center"/>
    </xf>
    <xf numFmtId="178" fontId="11" fillId="39" borderId="40" xfId="1" applyNumberFormat="1" applyFont="1" applyFill="1" applyBorder="1" applyAlignment="1" applyProtection="1">
      <protection locked="0"/>
    </xf>
    <xf numFmtId="0" fontId="11" fillId="0" borderId="0" xfId="12" applyFont="1" applyFill="1" applyAlignment="1"/>
    <xf numFmtId="181" fontId="11" fillId="0" borderId="0" xfId="12" applyNumberFormat="1" applyFont="1" applyFill="1"/>
    <xf numFmtId="1" fontId="11" fillId="0" borderId="40" xfId="12" applyNumberFormat="1" applyFont="1" applyFill="1" applyBorder="1" applyAlignment="1">
      <alignment horizontal="center"/>
    </xf>
    <xf numFmtId="0" fontId="11" fillId="0" borderId="160" xfId="12" applyFont="1" applyBorder="1" applyProtection="1">
      <protection locked="0"/>
    </xf>
    <xf numFmtId="2" fontId="11" fillId="0" borderId="0" xfId="12" applyNumberFormat="1" applyFont="1" applyBorder="1" applyProtection="1">
      <protection locked="0"/>
    </xf>
    <xf numFmtId="178" fontId="11" fillId="0" borderId="0" xfId="14" applyNumberFormat="1" applyFont="1" applyBorder="1" applyAlignment="1" applyProtection="1">
      <alignment horizontal="right"/>
      <protection locked="0"/>
    </xf>
    <xf numFmtId="49" fontId="11" fillId="0" borderId="0" xfId="1216" applyNumberFormat="1"/>
    <xf numFmtId="0" fontId="11" fillId="0" borderId="116" xfId="12" applyFont="1" applyBorder="1" applyAlignment="1" applyProtection="1">
      <alignment horizontal="center" wrapText="1"/>
      <protection locked="0"/>
    </xf>
    <xf numFmtId="0" fontId="11" fillId="0" borderId="156" xfId="12" applyFont="1" applyBorder="1" applyAlignment="1" applyProtection="1">
      <alignment horizontal="center" wrapText="1"/>
      <protection locked="0"/>
    </xf>
    <xf numFmtId="181" fontId="11" fillId="0" borderId="0" xfId="13" applyNumberFormat="1" applyFont="1" applyBorder="1" applyAlignment="1" applyProtection="1">
      <alignment horizontal="center"/>
      <protection locked="0"/>
    </xf>
    <xf numFmtId="9" fontId="11" fillId="0" borderId="0" xfId="14" applyNumberFormat="1" applyFont="1" applyBorder="1" applyAlignment="1" applyProtection="1">
      <alignment horizontal="right"/>
      <protection locked="0"/>
    </xf>
    <xf numFmtId="178" fontId="11" fillId="37" borderId="12" xfId="1" applyNumberFormat="1" applyFont="1" applyFill="1" applyBorder="1" applyAlignment="1" applyProtection="1">
      <alignment horizontal="center"/>
      <protection locked="0"/>
    </xf>
    <xf numFmtId="178" fontId="11" fillId="39" borderId="12" xfId="1" applyNumberFormat="1" applyFont="1" applyFill="1" applyBorder="1" applyAlignment="1" applyProtection="1">
      <alignment horizontal="center"/>
      <protection locked="0"/>
    </xf>
    <xf numFmtId="178" fontId="11" fillId="37" borderId="12" xfId="1" applyNumberFormat="1" applyFont="1" applyFill="1" applyBorder="1" applyProtection="1">
      <protection locked="0"/>
    </xf>
    <xf numFmtId="178" fontId="11" fillId="37" borderId="1" xfId="1" applyNumberFormat="1" applyFont="1" applyFill="1" applyBorder="1" applyAlignment="1" applyProtection="1">
      <alignment horizontal="center"/>
      <protection locked="0"/>
    </xf>
    <xf numFmtId="178" fontId="11" fillId="39" borderId="0" xfId="1500" applyNumberFormat="1" applyFill="1"/>
    <xf numFmtId="174" fontId="11" fillId="39" borderId="0" xfId="1500" applyNumberFormat="1" applyFill="1"/>
    <xf numFmtId="49" fontId="11" fillId="0" borderId="0" xfId="12" applyNumberFormat="1" applyFont="1" applyBorder="1" applyAlignment="1" applyProtection="1">
      <alignment horizontal="center"/>
      <protection locked="0"/>
    </xf>
    <xf numFmtId="49" fontId="11" fillId="0" borderId="0" xfId="12" applyNumberFormat="1" applyFont="1" applyBorder="1" applyAlignment="1" applyProtection="1">
      <alignment horizontal="left"/>
      <protection locked="0"/>
    </xf>
    <xf numFmtId="1" fontId="11" fillId="0" borderId="40" xfId="12" applyNumberFormat="1" applyFont="1" applyBorder="1" applyAlignment="1">
      <alignment horizontal="right"/>
    </xf>
    <xf numFmtId="1" fontId="11" fillId="39" borderId="40" xfId="12" applyNumberFormat="1" applyFont="1" applyFill="1" applyBorder="1" applyAlignment="1">
      <alignment horizontal="right"/>
    </xf>
    <xf numFmtId="178" fontId="11" fillId="0" borderId="40" xfId="1" applyNumberFormat="1" applyFont="1" applyFill="1" applyBorder="1" applyAlignment="1" applyProtection="1">
      <protection locked="0"/>
    </xf>
    <xf numFmtId="178" fontId="11" fillId="0" borderId="0" xfId="1" applyNumberFormat="1" applyFont="1" applyBorder="1" applyAlignment="1" applyProtection="1">
      <alignment horizontal="right"/>
      <protection locked="0"/>
    </xf>
    <xf numFmtId="49" fontId="49" fillId="0" borderId="0" xfId="12" applyNumberFormat="1" applyFont="1" applyBorder="1" applyAlignment="1" applyProtection="1">
      <alignment horizontal="center"/>
      <protection locked="0"/>
    </xf>
    <xf numFmtId="174" fontId="11" fillId="0" borderId="0" xfId="1216" applyNumberFormat="1" applyFill="1" applyBorder="1" applyAlignment="1">
      <alignment horizontal="center"/>
    </xf>
    <xf numFmtId="175" fontId="0" fillId="37" borderId="0" xfId="0" applyNumberFormat="1" applyFill="1" applyAlignment="1">
      <alignment horizontal="center"/>
    </xf>
    <xf numFmtId="3" fontId="14" fillId="0" borderId="0" xfId="0" applyNumberFormat="1" applyFont="1" applyAlignment="1">
      <alignment horizontal="center"/>
    </xf>
    <xf numFmtId="175" fontId="14" fillId="0" borderId="31" xfId="0" applyNumberFormat="1" applyFont="1" applyBorder="1" applyAlignment="1">
      <alignment horizontal="left"/>
    </xf>
    <xf numFmtId="0" fontId="11" fillId="0" borderId="0" xfId="1216" applyFont="1"/>
    <xf numFmtId="0" fontId="11" fillId="0" borderId="0" xfId="1216" applyNumberFormat="1" applyFont="1" applyBorder="1"/>
    <xf numFmtId="175" fontId="11" fillId="0" borderId="0" xfId="1216" applyNumberFormat="1" applyBorder="1" applyAlignment="1">
      <alignment horizontal="center"/>
    </xf>
    <xf numFmtId="0" fontId="11" fillId="0" borderId="0" xfId="1216" applyFont="1" applyFill="1"/>
    <xf numFmtId="173" fontId="11" fillId="0" borderId="113" xfId="1216" applyNumberFormat="1" applyFont="1" applyBorder="1" applyAlignment="1">
      <alignment horizontal="center"/>
    </xf>
    <xf numFmtId="10" fontId="11" fillId="0" borderId="113" xfId="1216" applyNumberFormat="1" applyFill="1" applyBorder="1" applyAlignment="1">
      <alignment horizontal="center"/>
    </xf>
    <xf numFmtId="173" fontId="11" fillId="0" borderId="113" xfId="1216" applyNumberFormat="1" applyBorder="1" applyAlignment="1">
      <alignment horizontal="center"/>
    </xf>
    <xf numFmtId="0" fontId="11" fillId="0" borderId="0" xfId="0" applyFont="1" applyAlignment="1">
      <alignment horizontal="right"/>
    </xf>
    <xf numFmtId="175" fontId="11" fillId="3" borderId="0" xfId="1216" applyNumberFormat="1" applyFill="1" applyAlignment="1">
      <alignment horizontal="center"/>
    </xf>
    <xf numFmtId="176" fontId="11" fillId="0" borderId="0" xfId="0" applyNumberFormat="1" applyFont="1" applyAlignment="1">
      <alignment horizontal="center"/>
    </xf>
    <xf numFmtId="0" fontId="11" fillId="0" borderId="0" xfId="1077" applyBorder="1" applyAlignment="1">
      <alignment vertical="top"/>
    </xf>
    <xf numFmtId="0" fontId="11" fillId="0" borderId="0" xfId="1077" applyBorder="1" applyAlignment="1">
      <alignment vertical="top" wrapText="1"/>
    </xf>
    <xf numFmtId="174" fontId="14" fillId="0" borderId="18" xfId="1077" applyNumberFormat="1" applyFont="1" applyBorder="1" applyAlignment="1">
      <alignment horizontal="right" vertical="center"/>
    </xf>
    <xf numFmtId="175" fontId="0" fillId="0" borderId="113" xfId="0" applyNumberFormat="1" applyBorder="1" applyAlignment="1">
      <alignment horizontal="center"/>
    </xf>
    <xf numFmtId="0" fontId="11" fillId="39" borderId="148" xfId="12" applyFont="1" applyFill="1" applyBorder="1"/>
    <xf numFmtId="0" fontId="11" fillId="0" borderId="135" xfId="1500" applyBorder="1"/>
    <xf numFmtId="0" fontId="11" fillId="0" borderId="0" xfId="1500" applyFont="1" applyAlignment="1">
      <alignment shrinkToFit="1"/>
    </xf>
    <xf numFmtId="0" fontId="11" fillId="0" borderId="8" xfId="1500" applyFont="1" applyBorder="1" applyAlignment="1">
      <alignment shrinkToFit="1"/>
    </xf>
    <xf numFmtId="0" fontId="240" fillId="0" borderId="0" xfId="4" applyFont="1"/>
    <xf numFmtId="175" fontId="11" fillId="0" borderId="0" xfId="1216" applyNumberFormat="1"/>
    <xf numFmtId="0" fontId="11" fillId="0" borderId="0" xfId="1216" applyNumberFormat="1"/>
    <xf numFmtId="3" fontId="241" fillId="0" borderId="0" xfId="1216" applyNumberFormat="1" applyFont="1" applyAlignment="1">
      <alignment horizontal="center"/>
    </xf>
    <xf numFmtId="0" fontId="14" fillId="0" borderId="0" xfId="1216" applyFont="1" applyAlignment="1"/>
    <xf numFmtId="0" fontId="0" fillId="0" borderId="0" xfId="0" applyBorder="1" applyAlignment="1">
      <alignment horizontal="right"/>
    </xf>
    <xf numFmtId="3" fontId="12" fillId="37" borderId="0" xfId="0" applyNumberFormat="1" applyFont="1" applyFill="1" applyBorder="1" applyAlignment="1">
      <alignment horizontal="center"/>
    </xf>
    <xf numFmtId="3" fontId="0" fillId="37" borderId="0" xfId="0" applyNumberFormat="1" applyFill="1" applyBorder="1" applyAlignment="1">
      <alignment horizontal="center"/>
    </xf>
    <xf numFmtId="171" fontId="0" fillId="0" borderId="113" xfId="0" applyNumberFormat="1" applyBorder="1" applyAlignment="1">
      <alignment horizontal="center"/>
    </xf>
    <xf numFmtId="2" fontId="14" fillId="37" borderId="148" xfId="13" applyNumberFormat="1" applyFont="1" applyFill="1" applyBorder="1" applyAlignment="1" applyProtection="1">
      <alignment horizontal="center" wrapText="1"/>
      <protection locked="0"/>
    </xf>
    <xf numFmtId="37" fontId="11" fillId="37" borderId="148" xfId="1509" applyNumberFormat="1" applyFont="1" applyFill="1" applyBorder="1" applyAlignment="1">
      <alignment horizontal="center"/>
    </xf>
    <xf numFmtId="37" fontId="11" fillId="39" borderId="148" xfId="1509" applyNumberFormat="1" applyFont="1" applyFill="1" applyBorder="1" applyAlignment="1">
      <alignment horizontal="center"/>
    </xf>
    <xf numFmtId="37" fontId="11" fillId="89" borderId="148" xfId="1509" applyNumberFormat="1" applyFont="1" applyFill="1" applyBorder="1" applyAlignment="1">
      <alignment horizontal="center"/>
    </xf>
    <xf numFmtId="197" fontId="11" fillId="37" borderId="148" xfId="1509" applyNumberFormat="1" applyFont="1" applyFill="1" applyBorder="1" applyAlignment="1">
      <alignment horizontal="center"/>
    </xf>
    <xf numFmtId="197" fontId="11" fillId="39" borderId="148" xfId="1509" applyNumberFormat="1" applyFont="1" applyFill="1" applyBorder="1" applyAlignment="1">
      <alignment horizontal="center"/>
    </xf>
    <xf numFmtId="197" fontId="11" fillId="89" borderId="148" xfId="1509" applyNumberFormat="1" applyFont="1" applyFill="1" applyBorder="1" applyAlignment="1">
      <alignment horizontal="center"/>
    </xf>
    <xf numFmtId="0" fontId="76" fillId="0" borderId="0" xfId="11944" applyProtection="1">
      <protection locked="0"/>
    </xf>
    <xf numFmtId="17" fontId="14" fillId="0" borderId="0" xfId="1216" applyNumberFormat="1" applyFont="1" applyAlignment="1"/>
    <xf numFmtId="37" fontId="14" fillId="37" borderId="40" xfId="1509" applyNumberFormat="1" applyFont="1" applyFill="1" applyBorder="1" applyAlignment="1">
      <alignment horizontal="center" wrapText="1"/>
    </xf>
    <xf numFmtId="178" fontId="11" fillId="0" borderId="0" xfId="12" applyNumberFormat="1" applyFont="1"/>
    <xf numFmtId="178" fontId="241" fillId="0" borderId="0" xfId="1500" applyNumberFormat="1" applyFont="1" applyBorder="1"/>
    <xf numFmtId="175" fontId="51" fillId="0" borderId="31" xfId="0" applyNumberFormat="1" applyFont="1" applyBorder="1" applyAlignment="1">
      <alignment horizontal="center"/>
    </xf>
    <xf numFmtId="175" fontId="51" fillId="0" borderId="0" xfId="0" applyNumberFormat="1" applyFont="1" applyAlignment="1">
      <alignment horizontal="center"/>
    </xf>
    <xf numFmtId="3" fontId="51" fillId="0" borderId="0" xfId="0" applyNumberFormat="1" applyFont="1" applyAlignment="1">
      <alignment horizontal="center"/>
    </xf>
    <xf numFmtId="3" fontId="14" fillId="0" borderId="0" xfId="0" applyNumberFormat="1" applyFont="1" applyAlignment="1">
      <alignment horizontal="left"/>
    </xf>
    <xf numFmtId="175" fontId="14" fillId="0" borderId="0" xfId="0" applyNumberFormat="1" applyFont="1" applyAlignment="1">
      <alignment horizontal="center"/>
    </xf>
    <xf numFmtId="178" fontId="0" fillId="0" borderId="113" xfId="1" applyNumberFormat="1" applyFont="1" applyBorder="1"/>
    <xf numFmtId="175" fontId="0" fillId="3" borderId="31" xfId="0" applyNumberFormat="1" applyFill="1" applyBorder="1" applyAlignment="1">
      <alignment horizontal="center"/>
    </xf>
    <xf numFmtId="3" fontId="14" fillId="3" borderId="0" xfId="0" applyNumberFormat="1" applyFont="1" applyFill="1" applyAlignment="1">
      <alignment horizontal="center"/>
    </xf>
    <xf numFmtId="174" fontId="11" fillId="0" borderId="0" xfId="1216" applyNumberFormat="1" applyFill="1" applyAlignment="1">
      <alignment horizontal="left"/>
    </xf>
    <xf numFmtId="173" fontId="11" fillId="3" borderId="0" xfId="1216" applyNumberFormat="1" applyFont="1" applyFill="1" applyAlignment="1">
      <alignment horizontal="center"/>
    </xf>
    <xf numFmtId="3" fontId="14" fillId="2" borderId="40" xfId="1216" applyNumberFormat="1" applyFont="1" applyFill="1" applyBorder="1" applyAlignment="1">
      <alignment horizontal="right"/>
    </xf>
    <xf numFmtId="178" fontId="11" fillId="39" borderId="1" xfId="1" applyNumberFormat="1" applyFont="1" applyFill="1" applyBorder="1" applyAlignment="1" applyProtection="1">
      <alignment horizontal="center"/>
      <protection locked="0"/>
    </xf>
    <xf numFmtId="178" fontId="11" fillId="39" borderId="12" xfId="1" applyNumberFormat="1" applyFont="1" applyFill="1" applyBorder="1" applyProtection="1">
      <protection locked="0"/>
    </xf>
    <xf numFmtId="1" fontId="11" fillId="89" borderId="12" xfId="12" applyNumberFormat="1" applyFont="1" applyFill="1" applyBorder="1" applyAlignment="1" applyProtection="1">
      <alignment horizontal="center"/>
      <protection locked="0"/>
    </xf>
    <xf numFmtId="3" fontId="11" fillId="3" borderId="0" xfId="1500" applyNumberFormat="1" applyFill="1"/>
    <xf numFmtId="178" fontId="11" fillId="3" borderId="0" xfId="1" applyNumberFormat="1" applyFill="1"/>
    <xf numFmtId="0" fontId="11" fillId="0" borderId="113" xfId="1500" applyFont="1" applyBorder="1"/>
    <xf numFmtId="178" fontId="11" fillId="89" borderId="12" xfId="1" applyNumberFormat="1" applyFont="1" applyFill="1" applyBorder="1" applyAlignment="1" applyProtection="1">
      <alignment horizontal="center"/>
      <protection locked="0"/>
    </xf>
    <xf numFmtId="3" fontId="51" fillId="0" borderId="0" xfId="1216" applyNumberFormat="1" applyFont="1" applyFill="1" applyBorder="1" applyAlignment="1">
      <alignment horizontal="center"/>
    </xf>
    <xf numFmtId="10" fontId="11" fillId="3" borderId="148" xfId="2" applyNumberFormat="1" applyFill="1" applyBorder="1"/>
    <xf numFmtId="10" fontId="14" fillId="0" borderId="0" xfId="0" applyNumberFormat="1" applyFont="1"/>
    <xf numFmtId="0" fontId="14" fillId="0" borderId="156" xfId="0" applyFont="1" applyBorder="1" applyAlignment="1">
      <alignment horizontal="left"/>
    </xf>
    <xf numFmtId="0" fontId="14" fillId="0" borderId="158" xfId="0" applyFont="1" applyFill="1" applyBorder="1" applyAlignment="1">
      <alignment horizontal="center"/>
    </xf>
    <xf numFmtId="9" fontId="0" fillId="0" borderId="0" xfId="2" applyNumberFormat="1" applyFont="1"/>
    <xf numFmtId="10" fontId="14" fillId="3" borderId="0" xfId="0" applyNumberFormat="1" applyFont="1" applyFill="1"/>
    <xf numFmtId="9" fontId="0" fillId="3" borderId="0" xfId="2" applyFont="1" applyFill="1"/>
    <xf numFmtId="0" fontId="0" fillId="0" borderId="160" xfId="0" applyBorder="1"/>
    <xf numFmtId="3" fontId="11" fillId="0" borderId="121" xfId="0" applyNumberFormat="1" applyFont="1" applyFill="1" applyBorder="1"/>
    <xf numFmtId="37" fontId="11" fillId="0" borderId="148" xfId="0" applyNumberFormat="1" applyFont="1" applyFill="1" applyBorder="1"/>
    <xf numFmtId="0" fontId="11" fillId="0" borderId="0" xfId="0" applyFont="1" applyFill="1" applyBorder="1"/>
    <xf numFmtId="178" fontId="0" fillId="37" borderId="148" xfId="0" applyNumberFormat="1" applyFill="1" applyBorder="1"/>
    <xf numFmtId="0" fontId="11" fillId="0" borderId="49" xfId="0" applyFont="1" applyBorder="1"/>
    <xf numFmtId="0" fontId="11" fillId="0" borderId="5" xfId="0" applyFont="1" applyFill="1" applyBorder="1"/>
    <xf numFmtId="178" fontId="0" fillId="0" borderId="160" xfId="1" applyNumberFormat="1" applyFont="1" applyBorder="1"/>
    <xf numFmtId="182" fontId="0" fillId="0" borderId="0" xfId="0" applyNumberFormat="1" applyBorder="1"/>
    <xf numFmtId="178" fontId="0" fillId="0" borderId="152" xfId="1" applyNumberFormat="1" applyFont="1" applyBorder="1"/>
    <xf numFmtId="178" fontId="14" fillId="0" borderId="114" xfId="0" applyNumberFormat="1" applyFont="1" applyBorder="1"/>
    <xf numFmtId="178" fontId="0" fillId="3" borderId="113" xfId="1" applyNumberFormat="1" applyFont="1" applyFill="1" applyBorder="1"/>
    <xf numFmtId="37" fontId="0" fillId="37" borderId="148" xfId="0" applyNumberFormat="1" applyFill="1" applyBorder="1"/>
    <xf numFmtId="3" fontId="11" fillId="0" borderId="153" xfId="0" applyNumberFormat="1" applyFont="1" applyFill="1" applyBorder="1"/>
    <xf numFmtId="3" fontId="11" fillId="0" borderId="153" xfId="0" applyNumberFormat="1" applyFont="1" applyBorder="1"/>
    <xf numFmtId="5" fontId="0" fillId="37" borderId="148" xfId="0" applyNumberFormat="1" applyFill="1" applyBorder="1"/>
    <xf numFmtId="175" fontId="51" fillId="0" borderId="0" xfId="1216" applyNumberFormat="1" applyFont="1" applyAlignment="1">
      <alignment horizontal="center"/>
    </xf>
    <xf numFmtId="3" fontId="51" fillId="0" borderId="0" xfId="1216" applyNumberFormat="1" applyFont="1" applyFill="1" applyAlignment="1">
      <alignment horizontal="center"/>
    </xf>
    <xf numFmtId="178" fontId="0" fillId="0" borderId="0" xfId="1" applyNumberFormat="1" applyFont="1" applyBorder="1"/>
    <xf numFmtId="178" fontId="14" fillId="0" borderId="0" xfId="0" applyNumberFormat="1" applyFont="1" applyBorder="1"/>
    <xf numFmtId="3" fontId="241" fillId="0" borderId="0" xfId="1216" applyNumberFormat="1" applyFont="1" applyFill="1" applyBorder="1" applyAlignment="1">
      <alignment horizontal="center"/>
    </xf>
    <xf numFmtId="0" fontId="51" fillId="0" borderId="0" xfId="1216" applyFont="1" applyFill="1" applyAlignment="1">
      <alignment horizontal="center"/>
    </xf>
    <xf numFmtId="0" fontId="51" fillId="0" borderId="0" xfId="1216" applyFont="1" applyAlignment="1">
      <alignment horizontal="center"/>
    </xf>
    <xf numFmtId="3" fontId="51" fillId="0" borderId="0" xfId="1216" applyNumberFormat="1" applyFont="1" applyAlignment="1">
      <alignment horizontal="center"/>
    </xf>
    <xf numFmtId="3" fontId="51" fillId="0" borderId="0" xfId="1216" applyNumberFormat="1" applyFont="1" applyBorder="1" applyAlignment="1">
      <alignment horizontal="center"/>
    </xf>
    <xf numFmtId="0" fontId="51" fillId="0" borderId="0" xfId="1216" applyFont="1"/>
    <xf numFmtId="174" fontId="0" fillId="0" borderId="52" xfId="0" applyNumberFormat="1" applyBorder="1" applyAlignment="1">
      <alignment horizontal="center"/>
    </xf>
    <xf numFmtId="174" fontId="0" fillId="0" borderId="70" xfId="0" applyNumberFormat="1" applyBorder="1" applyAlignment="1">
      <alignment horizontal="center"/>
    </xf>
    <xf numFmtId="0" fontId="15" fillId="3" borderId="0" xfId="1500" applyFont="1" applyFill="1"/>
    <xf numFmtId="184" fontId="0" fillId="0" borderId="113" xfId="0" applyNumberFormat="1" applyBorder="1"/>
    <xf numFmtId="0" fontId="11" fillId="0" borderId="0" xfId="13" applyNumberFormat="1" applyFont="1" applyFill="1" applyBorder="1" applyAlignment="1" applyProtection="1">
      <protection locked="0"/>
    </xf>
    <xf numFmtId="0" fontId="11" fillId="0" borderId="0" xfId="12" applyFont="1" applyFill="1" applyBorder="1"/>
    <xf numFmtId="17" fontId="11" fillId="0" borderId="0" xfId="12" applyNumberFormat="1" applyFont="1" applyFill="1" applyBorder="1" applyAlignment="1" applyProtection="1">
      <alignment horizontal="center"/>
      <protection locked="0"/>
    </xf>
    <xf numFmtId="181" fontId="11" fillId="0" borderId="0" xfId="13" applyNumberFormat="1" applyFont="1" applyFill="1" applyBorder="1" applyAlignment="1" applyProtection="1">
      <alignment horizontal="center"/>
      <protection locked="0"/>
    </xf>
    <xf numFmtId="1" fontId="11" fillId="0" borderId="0" xfId="13" applyNumberFormat="1" applyFont="1" applyFill="1" applyBorder="1" applyAlignment="1" applyProtection="1">
      <alignment horizontal="center"/>
      <protection locked="0"/>
    </xf>
    <xf numFmtId="178" fontId="11" fillId="0" borderId="0" xfId="1" applyNumberFormat="1" applyFont="1" applyFill="1" applyBorder="1" applyAlignment="1" applyProtection="1">
      <alignment horizontal="right"/>
      <protection locked="0"/>
    </xf>
    <xf numFmtId="178" fontId="11" fillId="0" borderId="0" xfId="1" applyNumberFormat="1" applyFont="1" applyFill="1" applyBorder="1" applyAlignment="1" applyProtection="1">
      <alignment horizontal="center"/>
      <protection locked="0"/>
    </xf>
    <xf numFmtId="17" fontId="11" fillId="0" borderId="0" xfId="12" applyNumberFormat="1" applyFont="1" applyFill="1" applyBorder="1" applyProtection="1">
      <protection locked="0"/>
    </xf>
    <xf numFmtId="0" fontId="11" fillId="0" borderId="0" xfId="12" applyFont="1" applyFill="1" applyBorder="1" applyAlignment="1" applyProtection="1">
      <alignment horizontal="center"/>
      <protection locked="0"/>
    </xf>
    <xf numFmtId="172" fontId="11" fillId="0" borderId="0" xfId="13" applyNumberFormat="1" applyFont="1" applyFill="1" applyBorder="1" applyAlignment="1" applyProtection="1">
      <protection locked="0"/>
    </xf>
    <xf numFmtId="43" fontId="11" fillId="0" borderId="0" xfId="13" applyNumberFormat="1" applyFont="1" applyFill="1" applyBorder="1" applyAlignment="1" applyProtection="1">
      <protection locked="0"/>
    </xf>
    <xf numFmtId="37" fontId="11" fillId="0" borderId="0" xfId="1509" applyNumberFormat="1" applyFont="1" applyFill="1" applyBorder="1" applyAlignment="1">
      <alignment horizontal="center"/>
    </xf>
    <xf numFmtId="178" fontId="11" fillId="0" borderId="0" xfId="1" applyNumberFormat="1" applyFont="1" applyFill="1" applyBorder="1" applyAlignment="1" applyProtection="1">
      <protection locked="0"/>
    </xf>
    <xf numFmtId="1" fontId="11" fillId="0" borderId="0" xfId="13" applyNumberFormat="1" applyFont="1" applyFill="1" applyBorder="1" applyAlignment="1" applyProtection="1">
      <protection locked="0"/>
    </xf>
    <xf numFmtId="181" fontId="11" fillId="0" borderId="0" xfId="12" applyNumberFormat="1" applyFont="1" applyFill="1" applyBorder="1" applyProtection="1">
      <protection locked="0"/>
    </xf>
    <xf numFmtId="171" fontId="11" fillId="0" borderId="0" xfId="2" applyNumberFormat="1" applyFont="1" applyFill="1" applyBorder="1" applyProtection="1">
      <protection locked="0"/>
    </xf>
    <xf numFmtId="37" fontId="11" fillId="0" borderId="0" xfId="12" applyNumberFormat="1" applyFont="1" applyFill="1" applyProtection="1">
      <protection locked="0"/>
    </xf>
    <xf numFmtId="0" fontId="11" fillId="0" borderId="0" xfId="12" applyFont="1" applyFill="1" applyAlignment="1">
      <alignment horizontal="center"/>
    </xf>
    <xf numFmtId="0" fontId="14" fillId="0" borderId="0" xfId="0" applyFont="1" applyBorder="1" applyAlignment="1">
      <alignment horizontal="center" wrapText="1"/>
    </xf>
    <xf numFmtId="178" fontId="243" fillId="0" borderId="0" xfId="4" applyNumberFormat="1" applyFont="1" applyBorder="1" applyAlignment="1">
      <alignment horizontal="right"/>
    </xf>
    <xf numFmtId="178" fontId="243" fillId="0" borderId="5" xfId="4" applyNumberFormat="1" applyFont="1" applyBorder="1" applyAlignment="1">
      <alignment horizontal="right"/>
    </xf>
    <xf numFmtId="0" fontId="243" fillId="0" borderId="0" xfId="4" applyFont="1" applyFill="1" applyAlignment="1">
      <alignment horizontal="right"/>
    </xf>
    <xf numFmtId="179" fontId="243" fillId="0" borderId="0" xfId="4" applyNumberFormat="1" applyFont="1" applyFill="1" applyAlignment="1">
      <alignment horizontal="right"/>
    </xf>
    <xf numFmtId="43" fontId="243" fillId="0" borderId="0" xfId="11" applyFont="1" applyFill="1"/>
    <xf numFmtId="0" fontId="51" fillId="0" borderId="0" xfId="4" applyFont="1" applyFill="1"/>
    <xf numFmtId="172" fontId="11" fillId="0" borderId="0" xfId="12" applyNumberFormat="1" applyFont="1"/>
    <xf numFmtId="0" fontId="14" fillId="0" borderId="0" xfId="1216" applyFont="1" applyAlignment="1">
      <alignment horizontal="left"/>
    </xf>
    <xf numFmtId="175" fontId="51" fillId="37" borderId="31" xfId="1216" applyNumberFormat="1" applyFont="1" applyFill="1" applyBorder="1" applyAlignment="1">
      <alignment horizontal="center"/>
    </xf>
    <xf numFmtId="3" fontId="51" fillId="0" borderId="0" xfId="1216" applyNumberFormat="1" applyFont="1" applyAlignment="1">
      <alignment horizontal="left"/>
    </xf>
    <xf numFmtId="0" fontId="11" fillId="0" borderId="113" xfId="1216" applyBorder="1"/>
    <xf numFmtId="0" fontId="11" fillId="0" borderId="113" xfId="1216" applyBorder="1" applyAlignment="1">
      <alignment horizontal="center"/>
    </xf>
    <xf numFmtId="3" fontId="11" fillId="0" borderId="113" xfId="1216" applyNumberFormat="1" applyBorder="1" applyAlignment="1">
      <alignment horizontal="center"/>
    </xf>
    <xf numFmtId="174" fontId="0" fillId="37" borderId="31" xfId="0" applyNumberFormat="1" applyFill="1" applyBorder="1" applyAlignment="1">
      <alignment horizontal="center"/>
    </xf>
    <xf numFmtId="176" fontId="51" fillId="0" borderId="0" xfId="0" applyNumberFormat="1" applyFont="1" applyAlignment="1">
      <alignment horizontal="center"/>
    </xf>
    <xf numFmtId="176" fontId="11" fillId="0" borderId="0" xfId="2" applyNumberFormat="1" applyFont="1" applyAlignment="1">
      <alignment horizontal="center"/>
    </xf>
    <xf numFmtId="176" fontId="11" fillId="0" borderId="0" xfId="2" applyNumberFormat="1" applyFont="1" applyAlignment="1">
      <alignment horizontal="left" shrinkToFit="1"/>
    </xf>
    <xf numFmtId="3" fontId="14" fillId="91" borderId="52" xfId="1216" applyNumberFormat="1" applyFont="1" applyFill="1" applyBorder="1" applyAlignment="1">
      <alignment horizontal="center"/>
    </xf>
    <xf numFmtId="3" fontId="14" fillId="91" borderId="31" xfId="1216" applyNumberFormat="1" applyFont="1" applyFill="1" applyBorder="1" applyAlignment="1">
      <alignment horizontal="center"/>
    </xf>
    <xf numFmtId="174" fontId="14" fillId="91" borderId="51" xfId="1216" applyNumberFormat="1" applyFont="1" applyFill="1" applyBorder="1" applyAlignment="1">
      <alignment horizontal="center"/>
    </xf>
    <xf numFmtId="3" fontId="14" fillId="91" borderId="67" xfId="1216" applyNumberFormat="1" applyFont="1" applyFill="1" applyBorder="1" applyAlignment="1">
      <alignment horizontal="center"/>
    </xf>
    <xf numFmtId="3" fontId="14" fillId="91" borderId="0" xfId="1216" applyNumberFormat="1" applyFont="1" applyFill="1" applyBorder="1" applyAlignment="1">
      <alignment horizontal="center"/>
    </xf>
    <xf numFmtId="174" fontId="14" fillId="91" borderId="105" xfId="1216" applyNumberFormat="1" applyFont="1" applyFill="1" applyBorder="1" applyAlignment="1">
      <alignment horizontal="center"/>
    </xf>
    <xf numFmtId="176" fontId="11" fillId="3" borderId="0" xfId="0" applyNumberFormat="1" applyFont="1" applyFill="1" applyAlignment="1">
      <alignment horizontal="center"/>
    </xf>
    <xf numFmtId="178" fontId="0" fillId="0" borderId="5" xfId="1" applyNumberFormat="1" applyFont="1" applyBorder="1"/>
    <xf numFmtId="0" fontId="0" fillId="0" borderId="0" xfId="0" applyAlignment="1">
      <alignment wrapText="1"/>
    </xf>
    <xf numFmtId="0" fontId="14" fillId="3" borderId="0" xfId="0" applyFont="1" applyFill="1"/>
    <xf numFmtId="171" fontId="51" fillId="0" borderId="0" xfId="0" applyNumberFormat="1" applyFont="1" applyBorder="1" applyAlignment="1">
      <alignment horizontal="center" wrapText="1"/>
    </xf>
    <xf numFmtId="171" fontId="51" fillId="0" borderId="0" xfId="0" applyNumberFormat="1" applyFont="1" applyFill="1" applyBorder="1" applyAlignment="1">
      <alignment horizontal="center" wrapText="1"/>
    </xf>
    <xf numFmtId="178" fontId="51" fillId="0" borderId="0" xfId="1" applyNumberFormat="1" applyFont="1"/>
    <xf numFmtId="0" fontId="51" fillId="0" borderId="0" xfId="0" applyFont="1"/>
    <xf numFmtId="177" fontId="0" fillId="37" borderId="148" xfId="0" applyNumberFormat="1" applyFill="1" applyBorder="1"/>
    <xf numFmtId="3" fontId="51" fillId="0" borderId="0" xfId="0" applyNumberFormat="1" applyFont="1" applyFill="1" applyAlignment="1">
      <alignment horizontal="center"/>
    </xf>
    <xf numFmtId="0" fontId="0" fillId="3" borderId="2" xfId="0" applyFill="1" applyBorder="1" applyAlignment="1"/>
    <xf numFmtId="0" fontId="0" fillId="3" borderId="0" xfId="0" applyFill="1" applyBorder="1" applyAlignment="1"/>
    <xf numFmtId="0" fontId="14" fillId="0" borderId="5" xfId="0" applyFont="1" applyFill="1" applyBorder="1" applyAlignment="1">
      <alignment horizontal="center"/>
    </xf>
    <xf numFmtId="3" fontId="14" fillId="0" borderId="114" xfId="0" applyNumberFormat="1" applyFont="1" applyFill="1" applyBorder="1" applyAlignment="1">
      <alignment horizontal="center"/>
    </xf>
    <xf numFmtId="184" fontId="0" fillId="3" borderId="148" xfId="0" applyNumberFormat="1" applyFill="1" applyBorder="1"/>
    <xf numFmtId="3" fontId="11" fillId="37" borderId="100" xfId="1216" applyNumberFormat="1" applyFill="1" applyBorder="1" applyAlignment="1">
      <alignment horizontal="center"/>
    </xf>
    <xf numFmtId="3" fontId="11" fillId="37" borderId="162" xfId="1216" applyNumberFormat="1" applyFill="1" applyBorder="1" applyAlignment="1">
      <alignment horizontal="center"/>
    </xf>
    <xf numFmtId="9" fontId="11" fillId="0" borderId="0" xfId="2" applyFill="1" applyBorder="1" applyAlignment="1">
      <alignment horizontal="center"/>
    </xf>
    <xf numFmtId="3" fontId="11" fillId="0" borderId="0" xfId="1216" applyNumberFormat="1"/>
    <xf numFmtId="3" fontId="11" fillId="0" borderId="0" xfId="1216" applyNumberFormat="1" applyFill="1" applyBorder="1" applyAlignment="1">
      <alignment horizontal="left"/>
    </xf>
    <xf numFmtId="3" fontId="14" fillId="0" borderId="113" xfId="1216" applyNumberFormat="1" applyFont="1" applyFill="1" applyBorder="1" applyAlignment="1">
      <alignment horizontal="left"/>
    </xf>
    <xf numFmtId="9" fontId="11" fillId="0" borderId="113" xfId="2" applyFill="1" applyBorder="1" applyAlignment="1">
      <alignment horizontal="center"/>
    </xf>
    <xf numFmtId="3" fontId="14" fillId="0" borderId="0" xfId="1216" applyNumberFormat="1" applyFont="1" applyAlignment="1">
      <alignment horizontal="center"/>
    </xf>
    <xf numFmtId="0" fontId="14" fillId="0" borderId="0" xfId="0" applyFont="1" applyBorder="1" applyAlignment="1">
      <alignment horizontal="center" wrapText="1"/>
    </xf>
    <xf numFmtId="300" fontId="11" fillId="37" borderId="40" xfId="1077" applyNumberFormat="1" applyFill="1" applyBorder="1" applyAlignment="1">
      <alignment horizontal="right" vertical="center"/>
    </xf>
    <xf numFmtId="49" fontId="39" fillId="3" borderId="0" xfId="1" applyNumberFormat="1" applyFont="1" applyFill="1" applyAlignment="1">
      <alignment horizontal="center"/>
    </xf>
    <xf numFmtId="43" fontId="0" fillId="0" borderId="0" xfId="1" applyFont="1"/>
    <xf numFmtId="43" fontId="0" fillId="0" borderId="0" xfId="1" applyFont="1" applyAlignment="1">
      <alignment horizontal="center"/>
    </xf>
    <xf numFmtId="49" fontId="0" fillId="0" borderId="0" xfId="1" applyNumberFormat="1" applyFont="1" applyAlignment="1">
      <alignment horizontal="center"/>
    </xf>
    <xf numFmtId="178" fontId="0" fillId="0" borderId="165" xfId="1" applyNumberFormat="1" applyFont="1" applyBorder="1" applyAlignment="1">
      <alignment horizontal="center"/>
    </xf>
    <xf numFmtId="43" fontId="0" fillId="0" borderId="165" xfId="1" applyFont="1" applyBorder="1" applyAlignment="1">
      <alignment horizontal="center"/>
    </xf>
    <xf numFmtId="180" fontId="0" fillId="0" borderId="0" xfId="1" applyNumberFormat="1" applyFont="1"/>
    <xf numFmtId="178" fontId="0" fillId="0" borderId="163" xfId="1" applyNumberFormat="1" applyFont="1" applyBorder="1"/>
    <xf numFmtId="213" fontId="0" fillId="0" borderId="0" xfId="1" applyNumberFormat="1" applyFont="1"/>
    <xf numFmtId="49" fontId="0" fillId="3" borderId="0" xfId="1" applyNumberFormat="1" applyFont="1" applyFill="1" applyAlignment="1">
      <alignment horizontal="left"/>
    </xf>
    <xf numFmtId="43" fontId="0" fillId="0" borderId="0" xfId="1" applyFont="1" applyBorder="1" applyAlignment="1">
      <alignment horizontal="center"/>
    </xf>
    <xf numFmtId="43" fontId="0" fillId="0" borderId="0" xfId="1" applyFont="1" applyBorder="1"/>
    <xf numFmtId="43" fontId="0" fillId="0" borderId="0" xfId="1" applyNumberFormat="1" applyFont="1"/>
    <xf numFmtId="43" fontId="0" fillId="93" borderId="163" xfId="1" applyFont="1" applyFill="1" applyBorder="1"/>
    <xf numFmtId="43" fontId="39" fillId="0" borderId="165" xfId="1" applyFont="1" applyBorder="1" applyAlignment="1">
      <alignment horizontal="center"/>
    </xf>
    <xf numFmtId="0" fontId="39" fillId="0" borderId="0" xfId="0" applyFont="1" applyBorder="1" applyAlignment="1">
      <alignment horizontal="center"/>
    </xf>
    <xf numFmtId="43" fontId="39" fillId="0" borderId="0" xfId="1" applyFont="1" applyBorder="1" applyAlignment="1">
      <alignment horizontal="center"/>
    </xf>
    <xf numFmtId="178" fontId="0" fillId="0" borderId="72" xfId="0" applyNumberFormat="1" applyFont="1" applyBorder="1" applyAlignment="1">
      <alignment horizontal="center"/>
    </xf>
    <xf numFmtId="43" fontId="0" fillId="0" borderId="72" xfId="0" applyNumberFormat="1" applyFont="1" applyBorder="1" applyAlignment="1">
      <alignment horizontal="center"/>
    </xf>
    <xf numFmtId="43" fontId="0" fillId="0" borderId="72" xfId="1" applyFont="1" applyBorder="1"/>
    <xf numFmtId="171" fontId="0" fillId="0" borderId="0" xfId="1" applyNumberFormat="1" applyFont="1"/>
    <xf numFmtId="171" fontId="39" fillId="0" borderId="0" xfId="2" applyNumberFormat="1" applyFont="1"/>
    <xf numFmtId="3" fontId="11" fillId="0" borderId="31" xfId="1216" applyNumberFormat="1" applyFill="1" applyBorder="1" applyAlignment="1">
      <alignment horizontal="center"/>
    </xf>
    <xf numFmtId="0" fontId="11" fillId="0" borderId="0" xfId="1216" applyAlignment="1">
      <alignment wrapText="1"/>
    </xf>
    <xf numFmtId="181" fontId="11" fillId="0" borderId="0" xfId="1077" applyNumberFormat="1"/>
    <xf numFmtId="174" fontId="11" fillId="0" borderId="43" xfId="1077" applyNumberFormat="1" applyBorder="1" applyAlignment="1">
      <alignment horizontal="right" vertical="center"/>
    </xf>
    <xf numFmtId="0" fontId="11" fillId="0" borderId="165" xfId="1216" applyBorder="1"/>
    <xf numFmtId="174" fontId="14" fillId="3" borderId="0" xfId="1216" applyNumberFormat="1" applyFont="1" applyFill="1" applyAlignment="1">
      <alignment horizontal="center"/>
    </xf>
    <xf numFmtId="176" fontId="11" fillId="37" borderId="0" xfId="0" applyNumberFormat="1" applyFont="1" applyFill="1" applyAlignment="1">
      <alignment horizontal="center"/>
    </xf>
    <xf numFmtId="0" fontId="11" fillId="0" borderId="0" xfId="1216" applyBorder="1"/>
    <xf numFmtId="3" fontId="11" fillId="0" borderId="165" xfId="1216" applyNumberFormat="1" applyFont="1" applyFill="1" applyBorder="1" applyAlignment="1">
      <alignment horizontal="center"/>
    </xf>
    <xf numFmtId="3" fontId="11" fillId="0" borderId="51" xfId="1216" applyNumberFormat="1" applyFill="1" applyBorder="1" applyAlignment="1">
      <alignment horizontal="center"/>
    </xf>
    <xf numFmtId="0" fontId="95" fillId="0" borderId="0" xfId="1216" applyFont="1" applyAlignment="1">
      <alignment horizontal="center"/>
    </xf>
    <xf numFmtId="3" fontId="11" fillId="0" borderId="163" xfId="1216" applyNumberFormat="1" applyFont="1" applyFill="1" applyBorder="1" applyAlignment="1">
      <alignment horizontal="center"/>
    </xf>
    <xf numFmtId="172" fontId="11" fillId="92" borderId="40" xfId="13" applyNumberFormat="1" applyFont="1" applyFill="1" applyBorder="1" applyAlignment="1" applyProtection="1">
      <protection locked="0"/>
    </xf>
    <xf numFmtId="43" fontId="11" fillId="92" borderId="40" xfId="13" applyNumberFormat="1" applyFont="1" applyFill="1" applyBorder="1" applyAlignment="1" applyProtection="1">
      <protection locked="0"/>
    </xf>
    <xf numFmtId="49" fontId="11" fillId="0" borderId="132" xfId="12" applyNumberFormat="1" applyFont="1" applyBorder="1" applyAlignment="1" applyProtection="1">
      <alignment horizontal="center"/>
      <protection locked="0"/>
    </xf>
    <xf numFmtId="181" fontId="11" fillId="0" borderId="133" xfId="13" applyNumberFormat="1" applyFont="1" applyBorder="1" applyAlignment="1" applyProtection="1">
      <alignment horizontal="center"/>
      <protection locked="0"/>
    </xf>
    <xf numFmtId="178" fontId="11" fillId="0" borderId="133" xfId="1500" applyNumberFormat="1" applyBorder="1"/>
    <xf numFmtId="10" fontId="11" fillId="0" borderId="133" xfId="14" applyNumberFormat="1" applyFont="1" applyBorder="1" applyAlignment="1" applyProtection="1">
      <alignment horizontal="right"/>
      <protection locked="0"/>
    </xf>
    <xf numFmtId="49" fontId="11" fillId="0" borderId="166" xfId="12" applyNumberFormat="1" applyFont="1" applyBorder="1" applyAlignment="1" applyProtection="1">
      <alignment horizontal="center"/>
      <protection locked="0"/>
    </xf>
    <xf numFmtId="181" fontId="11" fillId="0" borderId="17" xfId="13" applyNumberFormat="1" applyFont="1" applyBorder="1" applyAlignment="1" applyProtection="1">
      <alignment horizontal="center"/>
      <protection locked="0"/>
    </xf>
    <xf numFmtId="178" fontId="11" fillId="0" borderId="17" xfId="1500" applyNumberFormat="1" applyBorder="1"/>
    <xf numFmtId="10" fontId="11" fillId="0" borderId="17" xfId="14" applyNumberFormat="1" applyFont="1" applyBorder="1" applyAlignment="1" applyProtection="1">
      <alignment horizontal="right"/>
      <protection locked="0"/>
    </xf>
    <xf numFmtId="3" fontId="14" fillId="0" borderId="0" xfId="12" applyNumberFormat="1" applyFont="1"/>
    <xf numFmtId="3" fontId="11" fillId="37" borderId="68" xfId="1216" applyNumberFormat="1" applyFill="1" applyBorder="1" applyAlignment="1">
      <alignment horizontal="center"/>
    </xf>
    <xf numFmtId="3" fontId="11" fillId="0" borderId="68" xfId="1216" applyNumberFormat="1" applyFill="1" applyBorder="1" applyAlignment="1">
      <alignment horizontal="center"/>
    </xf>
    <xf numFmtId="174" fontId="11" fillId="0" borderId="165" xfId="1216" applyNumberFormat="1" applyFill="1" applyBorder="1" applyAlignment="1">
      <alignment horizontal="center"/>
    </xf>
    <xf numFmtId="3" fontId="11" fillId="37" borderId="167" xfId="1216" applyNumberFormat="1" applyFill="1" applyBorder="1" applyAlignment="1">
      <alignment horizontal="center"/>
    </xf>
    <xf numFmtId="3" fontId="11" fillId="37" borderId="108" xfId="1216" applyNumberFormat="1" applyFill="1" applyBorder="1" applyAlignment="1">
      <alignment horizontal="center"/>
    </xf>
    <xf numFmtId="3" fontId="11" fillId="37" borderId="107" xfId="1216" applyNumberFormat="1" applyFill="1" applyBorder="1" applyAlignment="1">
      <alignment horizontal="center"/>
    </xf>
    <xf numFmtId="3" fontId="11" fillId="0" borderId="56" xfId="1216" applyNumberFormat="1" applyFill="1" applyBorder="1" applyAlignment="1">
      <alignment horizontal="center"/>
    </xf>
    <xf numFmtId="0" fontId="11" fillId="0" borderId="56" xfId="1216" applyBorder="1"/>
    <xf numFmtId="3" fontId="11" fillId="0" borderId="56" xfId="1216" applyNumberFormat="1" applyBorder="1" applyAlignment="1">
      <alignment horizontal="center"/>
    </xf>
    <xf numFmtId="0" fontId="11" fillId="0" borderId="56" xfId="1216" applyBorder="1" applyAlignment="1">
      <alignment horizontal="center"/>
    </xf>
    <xf numFmtId="9" fontId="11" fillId="0" borderId="0" xfId="2" applyFont="1" applyAlignment="1">
      <alignment horizontal="center"/>
    </xf>
    <xf numFmtId="180" fontId="11" fillId="0" borderId="0" xfId="1" applyNumberFormat="1" applyFont="1" applyFill="1" applyAlignment="1">
      <alignment horizontal="center"/>
    </xf>
    <xf numFmtId="49" fontId="11" fillId="0" borderId="56" xfId="1216" applyNumberFormat="1" applyBorder="1"/>
    <xf numFmtId="180" fontId="11" fillId="0" borderId="56" xfId="1" applyNumberFormat="1" applyFont="1" applyFill="1" applyBorder="1" applyAlignment="1">
      <alignment horizontal="center"/>
    </xf>
    <xf numFmtId="3" fontId="14" fillId="0" borderId="56" xfId="1216" applyNumberFormat="1" applyFont="1" applyFill="1" applyBorder="1" applyAlignment="1">
      <alignment horizontal="center"/>
    </xf>
    <xf numFmtId="3" fontId="14" fillId="0" borderId="0" xfId="1216" applyNumberFormat="1" applyFont="1" applyFill="1" applyBorder="1" applyAlignment="1">
      <alignment horizontal="center"/>
    </xf>
    <xf numFmtId="3" fontId="14" fillId="0" borderId="0" xfId="1216" applyNumberFormat="1" applyFont="1" applyFill="1" applyAlignment="1">
      <alignment horizontal="center"/>
    </xf>
    <xf numFmtId="3" fontId="51" fillId="0" borderId="0" xfId="1216" applyNumberFormat="1" applyFont="1"/>
    <xf numFmtId="3" fontId="14" fillId="37" borderId="0" xfId="1216" applyNumberFormat="1" applyFont="1" applyFill="1" applyAlignment="1">
      <alignment horizontal="center"/>
    </xf>
    <xf numFmtId="10" fontId="0" fillId="0" borderId="168" xfId="0" applyNumberFormat="1" applyBorder="1"/>
    <xf numFmtId="0" fontId="0" fillId="0" borderId="168" xfId="0" applyBorder="1"/>
    <xf numFmtId="178" fontId="14" fillId="0" borderId="168" xfId="1" applyNumberFormat="1" applyFont="1" applyBorder="1"/>
    <xf numFmtId="9" fontId="0" fillId="0" borderId="168" xfId="2" applyNumberFormat="1" applyFont="1" applyBorder="1"/>
    <xf numFmtId="178" fontId="11" fillId="0" borderId="168" xfId="1" applyNumberFormat="1" applyFont="1" applyBorder="1"/>
    <xf numFmtId="178" fontId="14" fillId="0" borderId="168" xfId="0" applyNumberFormat="1" applyFont="1" applyBorder="1"/>
    <xf numFmtId="9" fontId="0" fillId="0" borderId="168" xfId="0" applyNumberFormat="1" applyBorder="1"/>
    <xf numFmtId="9" fontId="0" fillId="0" borderId="168" xfId="2" applyFont="1" applyBorder="1"/>
    <xf numFmtId="0" fontId="19" fillId="3" borderId="155" xfId="0" applyFont="1" applyFill="1" applyBorder="1"/>
    <xf numFmtId="0" fontId="14" fillId="0" borderId="0" xfId="0" applyFont="1" applyBorder="1" applyAlignment="1">
      <alignment horizontal="center" wrapText="1"/>
    </xf>
    <xf numFmtId="181" fontId="14" fillId="0" borderId="0" xfId="0" applyNumberFormat="1" applyFont="1" applyBorder="1"/>
    <xf numFmtId="181" fontId="14" fillId="0" borderId="0" xfId="1" applyNumberFormat="1" applyFont="1" applyBorder="1"/>
    <xf numFmtId="0" fontId="15" fillId="0" borderId="0" xfId="0" applyFont="1" applyBorder="1" applyAlignment="1">
      <alignment horizontal="left"/>
    </xf>
    <xf numFmtId="180" fontId="0" fillId="0" borderId="168" xfId="1" applyNumberFormat="1" applyFont="1" applyFill="1" applyBorder="1"/>
    <xf numFmtId="178" fontId="0" fillId="0" borderId="168" xfId="1" applyNumberFormat="1" applyFont="1" applyFill="1" applyBorder="1"/>
    <xf numFmtId="178" fontId="14" fillId="0" borderId="168" xfId="1" applyNumberFormat="1" applyFont="1" applyFill="1" applyBorder="1"/>
    <xf numFmtId="3" fontId="14" fillId="3" borderId="0" xfId="1216" applyNumberFormat="1" applyFont="1" applyFill="1" applyBorder="1" applyAlignment="1">
      <alignment horizontal="left"/>
    </xf>
    <xf numFmtId="3" fontId="11" fillId="3" borderId="0" xfId="1216" applyNumberFormat="1" applyFill="1" applyAlignment="1">
      <alignment horizontal="center"/>
    </xf>
    <xf numFmtId="0" fontId="14" fillId="3" borderId="113" xfId="12" applyFont="1" applyFill="1" applyBorder="1" applyAlignment="1"/>
    <xf numFmtId="0" fontId="14" fillId="0" borderId="0" xfId="12" applyFont="1" applyAlignment="1"/>
    <xf numFmtId="175" fontId="51" fillId="0" borderId="0" xfId="1216" applyNumberFormat="1" applyFont="1" applyFill="1" applyBorder="1" applyAlignment="1">
      <alignment horizontal="center"/>
    </xf>
    <xf numFmtId="0" fontId="11" fillId="0" borderId="165" xfId="1500" applyFont="1" applyBorder="1" applyAlignment="1">
      <alignment shrinkToFit="1"/>
    </xf>
    <xf numFmtId="0" fontId="11" fillId="0" borderId="165" xfId="1500" applyFont="1" applyBorder="1"/>
    <xf numFmtId="181" fontId="11" fillId="0" borderId="165" xfId="1514" applyNumberFormat="1" applyFont="1" applyBorder="1"/>
    <xf numFmtId="178" fontId="11" fillId="0" borderId="165" xfId="1" applyNumberFormat="1" applyBorder="1"/>
    <xf numFmtId="178" fontId="11" fillId="0" borderId="164" xfId="1" applyNumberFormat="1" applyBorder="1"/>
    <xf numFmtId="178" fontId="11" fillId="0" borderId="165" xfId="1" applyNumberFormat="1" applyFill="1" applyBorder="1"/>
    <xf numFmtId="0" fontId="11" fillId="0" borderId="56" xfId="1500" applyFont="1" applyBorder="1" applyAlignment="1">
      <alignment shrinkToFit="1"/>
    </xf>
    <xf numFmtId="0" fontId="11" fillId="0" borderId="56" xfId="1500" applyFont="1" applyBorder="1"/>
    <xf numFmtId="181" fontId="11" fillId="0" borderId="56" xfId="1514" applyNumberFormat="1" applyFont="1" applyBorder="1"/>
    <xf numFmtId="178" fontId="11" fillId="0" borderId="56" xfId="1" applyNumberFormat="1" applyBorder="1"/>
    <xf numFmtId="178" fontId="11" fillId="0" borderId="57" xfId="1" applyNumberFormat="1" applyBorder="1"/>
    <xf numFmtId="178" fontId="11" fillId="0" borderId="56" xfId="1" applyNumberFormat="1" applyFill="1" applyBorder="1"/>
    <xf numFmtId="3" fontId="11" fillId="0" borderId="56" xfId="1216" applyNumberFormat="1" applyBorder="1"/>
    <xf numFmtId="3" fontId="14" fillId="37" borderId="56" xfId="1216" applyNumberFormat="1" applyFont="1" applyFill="1" applyBorder="1" applyAlignment="1">
      <alignment horizontal="center"/>
    </xf>
    <xf numFmtId="3" fontId="14" fillId="0" borderId="56" xfId="1216" applyNumberFormat="1" applyFont="1" applyBorder="1" applyAlignment="1">
      <alignment horizontal="center"/>
    </xf>
    <xf numFmtId="0" fontId="0" fillId="0" borderId="128" xfId="0" applyBorder="1" applyAlignment="1">
      <alignment horizontal="right"/>
    </xf>
    <xf numFmtId="3" fontId="12" fillId="37" borderId="51" xfId="0" applyNumberFormat="1" applyFont="1" applyFill="1" applyBorder="1" applyAlignment="1">
      <alignment horizontal="center"/>
    </xf>
    <xf numFmtId="3" fontId="0" fillId="0" borderId="66" xfId="0" applyNumberFormat="1" applyFill="1" applyBorder="1" applyAlignment="1">
      <alignment horizontal="center"/>
    </xf>
    <xf numFmtId="0" fontId="0" fillId="0" borderId="131" xfId="0" applyBorder="1" applyAlignment="1">
      <alignment horizontal="right"/>
    </xf>
    <xf numFmtId="3" fontId="12" fillId="37" borderId="68" xfId="0" applyNumberFormat="1" applyFont="1" applyFill="1" applyBorder="1" applyAlignment="1">
      <alignment horizontal="center"/>
    </xf>
    <xf numFmtId="3" fontId="0" fillId="0" borderId="65" xfId="0" applyNumberFormat="1" applyFill="1" applyBorder="1" applyAlignment="1">
      <alignment horizontal="center"/>
    </xf>
    <xf numFmtId="0" fontId="14" fillId="0" borderId="0" xfId="0" applyFont="1" applyBorder="1" applyAlignment="1">
      <alignment horizontal="center" wrapText="1"/>
    </xf>
    <xf numFmtId="0" fontId="0" fillId="0" borderId="118" xfId="0" applyBorder="1"/>
    <xf numFmtId="0" fontId="14" fillId="0" borderId="119" xfId="0" applyFont="1" applyBorder="1" applyAlignment="1">
      <alignment horizontal="center" wrapText="1"/>
    </xf>
    <xf numFmtId="0" fontId="14" fillId="0" borderId="5" xfId="0" applyFont="1" applyBorder="1" applyAlignment="1">
      <alignment horizontal="center" wrapText="1"/>
    </xf>
    <xf numFmtId="171" fontId="0" fillId="0" borderId="5" xfId="0" applyNumberFormat="1" applyFill="1" applyBorder="1" applyAlignment="1">
      <alignment horizontal="center" wrapText="1"/>
    </xf>
    <xf numFmtId="0" fontId="14" fillId="0" borderId="120" xfId="0" applyFont="1" applyFill="1" applyBorder="1" applyAlignment="1">
      <alignment horizontal="center" wrapText="1"/>
    </xf>
    <xf numFmtId="194" fontId="0" fillId="0" borderId="0" xfId="0" applyNumberFormat="1" applyAlignment="1">
      <alignment horizontal="center"/>
    </xf>
    <xf numFmtId="0" fontId="55" fillId="0" borderId="49" xfId="3258" applyFont="1" applyBorder="1"/>
    <xf numFmtId="0" fontId="111" fillId="0" borderId="56" xfId="3258" applyFont="1" applyBorder="1"/>
    <xf numFmtId="0" fontId="111" fillId="0" borderId="57" xfId="3258" applyFont="1" applyBorder="1"/>
    <xf numFmtId="0" fontId="111" fillId="0" borderId="160" xfId="3258" applyFont="1" applyBorder="1"/>
    <xf numFmtId="0" fontId="111" fillId="0" borderId="0" xfId="3258" applyFont="1" applyBorder="1" applyAlignment="1">
      <alignment horizontal="right"/>
    </xf>
    <xf numFmtId="43" fontId="0" fillId="0" borderId="5" xfId="1" applyFont="1" applyFill="1" applyBorder="1" applyAlignment="1"/>
    <xf numFmtId="0" fontId="111" fillId="0" borderId="152" xfId="3258" applyFont="1" applyBorder="1"/>
    <xf numFmtId="0" fontId="111" fillId="0" borderId="165" xfId="3258" applyFont="1" applyBorder="1"/>
    <xf numFmtId="0" fontId="111" fillId="0" borderId="165" xfId="3258" applyFont="1" applyBorder="1" applyAlignment="1">
      <alignment horizontal="right"/>
    </xf>
    <xf numFmtId="0" fontId="0" fillId="0" borderId="165" xfId="0" applyFill="1" applyBorder="1" applyAlignment="1"/>
    <xf numFmtId="0" fontId="111" fillId="0" borderId="165" xfId="3258" applyFont="1" applyBorder="1" applyAlignment="1">
      <alignment horizontal="center"/>
    </xf>
    <xf numFmtId="43" fontId="0" fillId="0" borderId="164" xfId="1" applyFont="1" applyFill="1" applyBorder="1" applyAlignment="1"/>
    <xf numFmtId="178" fontId="88" fillId="0" borderId="148" xfId="3258" applyNumberFormat="1" applyFont="1" applyBorder="1"/>
    <xf numFmtId="0" fontId="55" fillId="0" borderId="40" xfId="3258" applyFont="1" applyBorder="1"/>
    <xf numFmtId="3" fontId="55" fillId="0" borderId="40" xfId="3258" applyNumberFormat="1" applyFont="1" applyBorder="1"/>
    <xf numFmtId="175" fontId="55" fillId="0" borderId="40" xfId="3258" applyNumberFormat="1" applyFont="1" applyBorder="1" applyAlignment="1">
      <alignment horizontal="center"/>
    </xf>
    <xf numFmtId="0" fontId="11" fillId="0" borderId="0" xfId="0" applyFont="1" applyBorder="1" applyAlignment="1">
      <alignment horizontal="left"/>
    </xf>
    <xf numFmtId="3" fontId="55" fillId="0" borderId="0" xfId="3258" applyNumberFormat="1" applyFont="1" applyBorder="1"/>
    <xf numFmtId="175" fontId="55" fillId="0" borderId="0" xfId="3258" applyNumberFormat="1" applyFont="1" applyBorder="1" applyAlignment="1">
      <alignment horizontal="center"/>
    </xf>
    <xf numFmtId="181" fontId="245" fillId="0" borderId="0" xfId="1513" applyNumberFormat="1" applyFont="1"/>
    <xf numFmtId="0" fontId="245" fillId="0" borderId="0" xfId="3258" applyFont="1"/>
    <xf numFmtId="0" fontId="245" fillId="0" borderId="0" xfId="3258" applyFont="1" applyAlignment="1">
      <alignment horizontal="left"/>
    </xf>
    <xf numFmtId="176" fontId="0" fillId="37" borderId="0" xfId="0" applyNumberFormat="1" applyFill="1" applyAlignment="1">
      <alignment horizontal="center"/>
    </xf>
    <xf numFmtId="0" fontId="11" fillId="0" borderId="130" xfId="0" applyFont="1" applyBorder="1"/>
    <xf numFmtId="38" fontId="55" fillId="0" borderId="105" xfId="1" applyNumberFormat="1" applyFont="1" applyBorder="1"/>
    <xf numFmtId="38" fontId="55" fillId="0" borderId="106" xfId="1" applyNumberFormat="1" applyFont="1" applyBorder="1"/>
    <xf numFmtId="38" fontId="55" fillId="94" borderId="105" xfId="1" applyNumberFormat="1" applyFont="1" applyFill="1" applyBorder="1"/>
    <xf numFmtId="38" fontId="55" fillId="94" borderId="106" xfId="1" applyNumberFormat="1" applyFont="1" applyFill="1" applyBorder="1"/>
    <xf numFmtId="38" fontId="55" fillId="38" borderId="161" xfId="1" applyNumberFormat="1" applyFont="1" applyFill="1" applyBorder="1"/>
    <xf numFmtId="0" fontId="14" fillId="94" borderId="130" xfId="0" applyFont="1" applyFill="1" applyBorder="1"/>
    <xf numFmtId="3" fontId="246" fillId="0" borderId="129" xfId="0" applyNumberFormat="1" applyFont="1" applyBorder="1"/>
    <xf numFmtId="40" fontId="55" fillId="0" borderId="105" xfId="1" applyNumberFormat="1" applyFont="1" applyFill="1" applyBorder="1"/>
    <xf numFmtId="38" fontId="55" fillId="0" borderId="0" xfId="3258" applyNumberFormat="1" applyFont="1"/>
    <xf numFmtId="0" fontId="55" fillId="0" borderId="188" xfId="3258" applyFont="1" applyBorder="1" applyAlignment="1">
      <alignment horizontal="center"/>
    </xf>
    <xf numFmtId="0" fontId="55" fillId="0" borderId="189" xfId="3258" applyFont="1" applyBorder="1" applyAlignment="1">
      <alignment horizontal="center" wrapText="1"/>
    </xf>
    <xf numFmtId="0" fontId="55" fillId="0" borderId="189" xfId="3258" applyFont="1" applyBorder="1" applyAlignment="1">
      <alignment horizontal="center"/>
    </xf>
    <xf numFmtId="0" fontId="55" fillId="0" borderId="190" xfId="3258" applyFont="1" applyBorder="1" applyAlignment="1">
      <alignment horizontal="center"/>
    </xf>
    <xf numFmtId="0" fontId="55" fillId="0" borderId="191" xfId="3258" applyFont="1" applyBorder="1" applyAlignment="1">
      <alignment horizontal="center"/>
    </xf>
    <xf numFmtId="178" fontId="55" fillId="0" borderId="192" xfId="1" applyNumberFormat="1" applyFont="1" applyBorder="1" applyAlignment="1">
      <alignment horizontal="center"/>
    </xf>
    <xf numFmtId="178" fontId="55" fillId="0" borderId="193" xfId="1" applyNumberFormat="1" applyFont="1" applyBorder="1"/>
    <xf numFmtId="38" fontId="55" fillId="0" borderId="193" xfId="1" applyNumberFormat="1" applyFont="1" applyBorder="1"/>
    <xf numFmtId="38" fontId="55" fillId="0" borderId="194" xfId="1" applyNumberFormat="1" applyFont="1" applyBorder="1"/>
    <xf numFmtId="38" fontId="55" fillId="0" borderId="195" xfId="1" applyNumberFormat="1" applyFont="1" applyBorder="1"/>
    <xf numFmtId="38" fontId="55" fillId="0" borderId="194" xfId="1" applyNumberFormat="1" applyFont="1" applyFill="1" applyBorder="1"/>
    <xf numFmtId="38" fontId="55" fillId="94" borderId="194" xfId="1" applyNumberFormat="1" applyFont="1" applyFill="1" applyBorder="1"/>
    <xf numFmtId="0" fontId="11" fillId="38" borderId="196" xfId="0" applyFont="1" applyFill="1" applyBorder="1"/>
    <xf numFmtId="38" fontId="55" fillId="38" borderId="197" xfId="1" applyNumberFormat="1" applyFont="1" applyFill="1" applyBorder="1"/>
    <xf numFmtId="38" fontId="55" fillId="38" borderId="198" xfId="1" applyNumberFormat="1" applyFont="1" applyFill="1" applyBorder="1"/>
    <xf numFmtId="38" fontId="55" fillId="0" borderId="192" xfId="1" applyNumberFormat="1" applyFont="1" applyBorder="1"/>
    <xf numFmtId="38" fontId="55" fillId="0" borderId="199" xfId="1" applyNumberFormat="1" applyFont="1" applyBorder="1"/>
    <xf numFmtId="40" fontId="55" fillId="0" borderId="195" xfId="1" applyNumberFormat="1" applyFont="1" applyFill="1" applyBorder="1"/>
    <xf numFmtId="38" fontId="55" fillId="0" borderId="200" xfId="1" applyNumberFormat="1" applyFont="1" applyFill="1" applyBorder="1"/>
    <xf numFmtId="0" fontId="11" fillId="0" borderId="201" xfId="0" applyFont="1" applyBorder="1"/>
    <xf numFmtId="38" fontId="55" fillId="0" borderId="202" xfId="1" applyNumberFormat="1" applyFont="1" applyBorder="1"/>
    <xf numFmtId="0" fontId="11" fillId="0" borderId="128" xfId="0" applyFont="1" applyBorder="1" applyAlignment="1">
      <alignment wrapText="1"/>
    </xf>
    <xf numFmtId="38" fontId="55" fillId="0" borderId="100" xfId="1" applyNumberFormat="1" applyFont="1" applyBorder="1"/>
    <xf numFmtId="38" fontId="55" fillId="0" borderId="204" xfId="1" applyNumberFormat="1" applyFont="1" applyBorder="1"/>
    <xf numFmtId="38" fontId="55" fillId="0" borderId="205" xfId="1" applyNumberFormat="1" applyFont="1" applyBorder="1"/>
    <xf numFmtId="38" fontId="55" fillId="0" borderId="206" xfId="1" applyNumberFormat="1" applyFont="1" applyBorder="1"/>
    <xf numFmtId="0" fontId="11" fillId="0" borderId="207" xfId="0" applyFont="1" applyFill="1" applyBorder="1"/>
    <xf numFmtId="0" fontId="11" fillId="0" borderId="131" xfId="0" applyFont="1" applyBorder="1" applyAlignment="1">
      <alignment wrapText="1"/>
    </xf>
    <xf numFmtId="38" fontId="55" fillId="0" borderId="200" xfId="1" applyNumberFormat="1" applyFont="1" applyBorder="1"/>
    <xf numFmtId="38" fontId="55" fillId="0" borderId="204" xfId="1" applyNumberFormat="1" applyFont="1" applyFill="1" applyBorder="1"/>
    <xf numFmtId="40" fontId="55" fillId="0" borderId="200" xfId="1" applyNumberFormat="1" applyFont="1" applyFill="1" applyBorder="1"/>
    <xf numFmtId="40" fontId="55" fillId="0" borderId="100" xfId="1" applyNumberFormat="1" applyFont="1" applyFill="1" applyBorder="1"/>
    <xf numFmtId="40" fontId="55" fillId="0" borderId="204" xfId="1" applyNumberFormat="1" applyFont="1" applyFill="1" applyBorder="1"/>
    <xf numFmtId="0" fontId="11" fillId="0" borderId="207" xfId="0" applyFont="1" applyBorder="1"/>
    <xf numFmtId="10" fontId="55" fillId="0" borderId="100" xfId="2" applyNumberFormat="1" applyFont="1" applyBorder="1"/>
    <xf numFmtId="10" fontId="55" fillId="0" borderId="67" xfId="2" applyNumberFormat="1" applyFont="1" applyBorder="1"/>
    <xf numFmtId="10" fontId="55" fillId="0" borderId="208" xfId="2" applyNumberFormat="1" applyFont="1" applyBorder="1"/>
    <xf numFmtId="38" fontId="55" fillId="0" borderId="202" xfId="1" applyNumberFormat="1" applyFont="1" applyFill="1" applyBorder="1"/>
    <xf numFmtId="171" fontId="55" fillId="0" borderId="65" xfId="2" applyNumberFormat="1" applyFont="1" applyBorder="1"/>
    <xf numFmtId="178" fontId="11" fillId="0" borderId="31" xfId="1" applyNumberFormat="1" applyFont="1" applyBorder="1"/>
    <xf numFmtId="4" fontId="11" fillId="0" borderId="0" xfId="0" applyNumberFormat="1" applyFont="1" applyAlignment="1">
      <alignment horizontal="center"/>
    </xf>
    <xf numFmtId="194" fontId="11" fillId="0" borderId="0" xfId="0" applyNumberFormat="1" applyFont="1" applyAlignment="1">
      <alignment horizontal="center"/>
    </xf>
    <xf numFmtId="0" fontId="11" fillId="0" borderId="128" xfId="1216" applyFont="1" applyBorder="1" applyAlignment="1">
      <alignment vertical="center"/>
    </xf>
    <xf numFmtId="178" fontId="11" fillId="0" borderId="31" xfId="1" applyNumberFormat="1" applyFont="1" applyBorder="1" applyAlignment="1">
      <alignment vertical="center"/>
    </xf>
    <xf numFmtId="178" fontId="11" fillId="0" borderId="51" xfId="1" applyNumberFormat="1" applyFont="1" applyBorder="1" applyAlignment="1">
      <alignment vertical="center"/>
    </xf>
    <xf numFmtId="3" fontId="11" fillId="0" borderId="31" xfId="0" applyNumberFormat="1" applyFont="1" applyBorder="1"/>
    <xf numFmtId="3" fontId="11" fillId="0" borderId="51" xfId="0" applyNumberFormat="1" applyFont="1" applyBorder="1"/>
    <xf numFmtId="171" fontId="55" fillId="0" borderId="31" xfId="2" applyNumberFormat="1" applyFont="1" applyBorder="1"/>
    <xf numFmtId="38" fontId="55" fillId="0" borderId="31" xfId="1" applyNumberFormat="1" applyFont="1" applyFill="1" applyBorder="1"/>
    <xf numFmtId="3" fontId="11" fillId="0" borderId="202" xfId="0" applyNumberFormat="1" applyFont="1" applyBorder="1"/>
    <xf numFmtId="38" fontId="55" fillId="38" borderId="100" xfId="1" applyNumberFormat="1" applyFont="1" applyFill="1" applyBorder="1"/>
    <xf numFmtId="171" fontId="55" fillId="38" borderId="210" xfId="2" applyNumberFormat="1" applyFont="1" applyFill="1" applyBorder="1"/>
    <xf numFmtId="178" fontId="11" fillId="38" borderId="100" xfId="1" applyNumberFormat="1" applyFont="1" applyFill="1" applyBorder="1" applyAlignment="1">
      <alignment vertical="center"/>
    </xf>
    <xf numFmtId="3" fontId="11" fillId="38" borderId="100" xfId="0" applyNumberFormat="1" applyFont="1" applyFill="1" applyBorder="1"/>
    <xf numFmtId="171" fontId="55" fillId="0" borderId="64" xfId="2" applyNumberFormat="1" applyFont="1" applyFill="1" applyBorder="1"/>
    <xf numFmtId="171" fontId="55" fillId="0" borderId="211" xfId="2" applyNumberFormat="1" applyFont="1" applyFill="1" applyBorder="1"/>
    <xf numFmtId="0" fontId="11" fillId="38" borderId="207" xfId="1216" applyFont="1" applyFill="1" applyBorder="1" applyAlignment="1">
      <alignment vertical="center"/>
    </xf>
    <xf numFmtId="0" fontId="11" fillId="0" borderId="131" xfId="1216" applyFont="1" applyBorder="1" applyAlignment="1">
      <alignment vertical="center"/>
    </xf>
    <xf numFmtId="171" fontId="55" fillId="0" borderId="68" xfId="2" applyNumberFormat="1" applyFont="1" applyBorder="1"/>
    <xf numFmtId="171" fontId="55" fillId="0" borderId="202" xfId="2" applyNumberFormat="1" applyFont="1" applyBorder="1"/>
    <xf numFmtId="171" fontId="55" fillId="0" borderId="199" xfId="2" applyNumberFormat="1" applyFont="1" applyBorder="1"/>
    <xf numFmtId="171" fontId="55" fillId="0" borderId="203" xfId="2" applyNumberFormat="1" applyFont="1" applyBorder="1"/>
    <xf numFmtId="171" fontId="55" fillId="0" borderId="200" xfId="2" applyNumberFormat="1" applyFont="1" applyBorder="1"/>
    <xf numFmtId="38" fontId="55" fillId="38" borderId="108" xfId="1" applyNumberFormat="1" applyFont="1" applyFill="1" applyBorder="1"/>
    <xf numFmtId="38" fontId="55" fillId="38" borderId="167" xfId="1" applyNumberFormat="1" applyFont="1" applyFill="1" applyBorder="1"/>
    <xf numFmtId="38" fontId="55" fillId="38" borderId="212" xfId="1" applyNumberFormat="1" applyFont="1" applyFill="1" applyBorder="1"/>
    <xf numFmtId="171" fontId="55" fillId="0" borderId="105" xfId="2" applyNumberFormat="1" applyFont="1" applyBorder="1"/>
    <xf numFmtId="171" fontId="55" fillId="0" borderId="195" xfId="2" applyNumberFormat="1" applyFont="1" applyBorder="1"/>
    <xf numFmtId="0" fontId="11" fillId="38" borderId="209" xfId="0" applyFont="1" applyFill="1" applyBorder="1"/>
    <xf numFmtId="0" fontId="14" fillId="94" borderId="207" xfId="0" applyFont="1" applyFill="1" applyBorder="1"/>
    <xf numFmtId="38" fontId="55" fillId="94" borderId="100" xfId="1" applyNumberFormat="1" applyFont="1" applyFill="1" applyBorder="1"/>
    <xf numFmtId="38" fontId="55" fillId="94" borderId="67" xfId="1" applyNumberFormat="1" applyFont="1" applyFill="1" applyBorder="1"/>
    <xf numFmtId="38" fontId="55" fillId="94" borderId="208" xfId="1" applyNumberFormat="1" applyFont="1" applyFill="1" applyBorder="1"/>
    <xf numFmtId="0" fontId="11" fillId="0" borderId="196" xfId="0" applyFont="1" applyFill="1" applyBorder="1"/>
    <xf numFmtId="38" fontId="55" fillId="0" borderId="213" xfId="1" applyNumberFormat="1" applyFont="1" applyFill="1" applyBorder="1"/>
    <xf numFmtId="38" fontId="55" fillId="0" borderId="197" xfId="1" applyNumberFormat="1" applyFont="1" applyFill="1" applyBorder="1"/>
    <xf numFmtId="38" fontId="55" fillId="0" borderId="198" xfId="1" applyNumberFormat="1" applyFont="1" applyFill="1" applyBorder="1"/>
    <xf numFmtId="38" fontId="55" fillId="94" borderId="204" xfId="1" applyNumberFormat="1" applyFont="1" applyFill="1" applyBorder="1"/>
    <xf numFmtId="3" fontId="11" fillId="0" borderId="0" xfId="0" applyNumberFormat="1" applyFont="1" applyBorder="1"/>
    <xf numFmtId="3" fontId="11" fillId="0" borderId="128" xfId="0" applyNumberFormat="1" applyFont="1" applyBorder="1" applyAlignment="1"/>
    <xf numFmtId="3" fontId="14" fillId="0" borderId="129" xfId="0" applyNumberFormat="1" applyFont="1" applyBorder="1" applyAlignment="1"/>
    <xf numFmtId="0" fontId="11" fillId="0" borderId="129" xfId="0" applyFont="1" applyBorder="1" applyAlignment="1"/>
    <xf numFmtId="0" fontId="11" fillId="0" borderId="131" xfId="0" applyFont="1" applyBorder="1" applyAlignment="1"/>
    <xf numFmtId="3" fontId="14" fillId="0" borderId="128" xfId="0" applyNumberFormat="1" applyFont="1" applyBorder="1" applyAlignment="1"/>
    <xf numFmtId="3" fontId="11" fillId="0" borderId="129" xfId="0" applyNumberFormat="1" applyFont="1" applyBorder="1" applyAlignment="1"/>
    <xf numFmtId="3" fontId="11" fillId="0" borderId="131" xfId="0" applyNumberFormat="1" applyFont="1" applyBorder="1" applyAlignment="1"/>
    <xf numFmtId="3" fontId="11" fillId="38" borderId="207" xfId="0" applyNumberFormat="1" applyFont="1" applyFill="1" applyBorder="1" applyAlignment="1"/>
    <xf numFmtId="3" fontId="11" fillId="0" borderId="201" xfId="0" applyNumberFormat="1" applyFont="1" applyBorder="1" applyAlignment="1"/>
    <xf numFmtId="0" fontId="111" fillId="0" borderId="0" xfId="3258" applyFont="1" applyAlignment="1"/>
    <xf numFmtId="0" fontId="226" fillId="0" borderId="0" xfId="3258" applyFont="1" applyAlignment="1"/>
    <xf numFmtId="0" fontId="11" fillId="0" borderId="0" xfId="0" applyFont="1" applyBorder="1" applyAlignment="1"/>
    <xf numFmtId="3" fontId="11" fillId="0" borderId="0" xfId="0" applyNumberFormat="1" applyFont="1" applyBorder="1" applyAlignment="1"/>
    <xf numFmtId="0" fontId="11" fillId="0" borderId="209" xfId="1216" applyFont="1" applyFill="1" applyBorder="1" applyAlignment="1">
      <alignment vertical="center"/>
    </xf>
    <xf numFmtId="171" fontId="55" fillId="0" borderId="216" xfId="2" applyNumberFormat="1" applyFont="1" applyFill="1" applyBorder="1"/>
    <xf numFmtId="178" fontId="11" fillId="0" borderId="105" xfId="1" applyNumberFormat="1" applyFont="1" applyBorder="1"/>
    <xf numFmtId="178" fontId="14" fillId="0" borderId="217" xfId="1" applyNumberFormat="1" applyFont="1" applyFill="1" applyBorder="1" applyAlignment="1">
      <alignment vertical="center"/>
    </xf>
    <xf numFmtId="38" fontId="88" fillId="0" borderId="217" xfId="1" applyNumberFormat="1" applyFont="1" applyFill="1" applyBorder="1"/>
    <xf numFmtId="171" fontId="55" fillId="0" borderId="0" xfId="2" applyNumberFormat="1" applyFont="1" applyBorder="1"/>
    <xf numFmtId="3" fontId="11" fillId="0" borderId="56" xfId="1216" applyNumberFormat="1" applyFont="1" applyFill="1" applyBorder="1" applyAlignment="1">
      <alignment horizontal="center"/>
    </xf>
    <xf numFmtId="0" fontId="55" fillId="0" borderId="158" xfId="3258" applyFont="1" applyBorder="1"/>
    <xf numFmtId="0" fontId="11" fillId="0" borderId="158" xfId="0" applyFont="1" applyBorder="1" applyAlignment="1">
      <alignment horizontal="left"/>
    </xf>
    <xf numFmtId="0" fontId="11" fillId="0" borderId="158" xfId="0" applyFont="1" applyBorder="1"/>
    <xf numFmtId="0" fontId="11" fillId="0" borderId="133" xfId="0" applyFont="1" applyBorder="1" applyAlignment="1">
      <alignment horizontal="left"/>
    </xf>
    <xf numFmtId="0" fontId="11" fillId="0" borderId="133" xfId="0" applyFont="1" applyBorder="1"/>
    <xf numFmtId="0" fontId="11" fillId="0" borderId="148" xfId="0" applyFont="1" applyFill="1" applyBorder="1"/>
    <xf numFmtId="171" fontId="55" fillId="0" borderId="136" xfId="2" applyNumberFormat="1" applyFont="1" applyBorder="1"/>
    <xf numFmtId="171" fontId="55" fillId="0" borderId="5" xfId="2" applyNumberFormat="1" applyFont="1" applyBorder="1"/>
    <xf numFmtId="10" fontId="318" fillId="0" borderId="5" xfId="2" applyNumberFormat="1" applyFont="1" applyBorder="1"/>
    <xf numFmtId="10" fontId="318" fillId="0" borderId="164" xfId="2" applyNumberFormat="1" applyFont="1" applyBorder="1"/>
    <xf numFmtId="38" fontId="55" fillId="0" borderId="103" xfId="1" applyNumberFormat="1" applyFont="1" applyBorder="1"/>
    <xf numFmtId="38" fontId="55" fillId="0" borderId="160" xfId="1" applyNumberFormat="1" applyFont="1" applyBorder="1"/>
    <xf numFmtId="38" fontId="55" fillId="0" borderId="152" xfId="1" applyNumberFormat="1" applyFont="1" applyBorder="1"/>
    <xf numFmtId="171" fontId="55" fillId="0" borderId="103" xfId="2" applyNumberFormat="1" applyFont="1" applyBorder="1" applyAlignment="1">
      <alignment wrapText="1"/>
    </xf>
    <xf numFmtId="171" fontId="55" fillId="0" borderId="160" xfId="2" applyNumberFormat="1" applyFont="1" applyBorder="1"/>
    <xf numFmtId="0" fontId="55" fillId="0" borderId="5" xfId="3258" applyFont="1" applyBorder="1"/>
    <xf numFmtId="0" fontId="55" fillId="0" borderId="160" xfId="3258" applyFont="1" applyBorder="1"/>
    <xf numFmtId="38" fontId="55" fillId="3" borderId="160" xfId="1" applyNumberFormat="1" applyFont="1" applyFill="1" applyBorder="1"/>
    <xf numFmtId="0" fontId="11" fillId="0" borderId="218" xfId="0" applyFont="1" applyBorder="1" applyAlignment="1">
      <alignment horizontal="left"/>
    </xf>
    <xf numFmtId="0" fontId="11" fillId="0" borderId="218" xfId="0" applyFont="1" applyBorder="1"/>
    <xf numFmtId="38" fontId="55" fillId="0" borderId="49" xfId="1" applyNumberFormat="1" applyFont="1" applyBorder="1"/>
    <xf numFmtId="10" fontId="318" fillId="0" borderId="57" xfId="2" applyNumberFormat="1" applyFont="1" applyBorder="1"/>
    <xf numFmtId="10" fontId="318" fillId="0" borderId="0" xfId="2" applyNumberFormat="1" applyFont="1" applyBorder="1"/>
    <xf numFmtId="10" fontId="0" fillId="0" borderId="0" xfId="2" applyNumberFormat="1" applyFont="1"/>
    <xf numFmtId="187" fontId="11" fillId="0" borderId="165" xfId="1216" applyNumberFormat="1" applyFont="1" applyFill="1" applyBorder="1" applyAlignment="1">
      <alignment horizontal="center"/>
    </xf>
    <xf numFmtId="0" fontId="111" fillId="0" borderId="103" xfId="3258" applyFont="1" applyBorder="1"/>
    <xf numFmtId="3" fontId="11" fillId="0" borderId="135" xfId="1216" applyNumberFormat="1" applyFill="1" applyBorder="1" applyAlignment="1">
      <alignment horizontal="center"/>
    </xf>
    <xf numFmtId="3" fontId="11" fillId="0" borderId="135" xfId="1216" applyNumberFormat="1" applyFill="1" applyBorder="1" applyAlignment="1">
      <alignment horizontal="center" wrapText="1"/>
    </xf>
    <xf numFmtId="3" fontId="11" fillId="0" borderId="136" xfId="1216" applyNumberFormat="1" applyFill="1" applyBorder="1" applyAlignment="1">
      <alignment horizontal="center" wrapText="1"/>
    </xf>
    <xf numFmtId="0" fontId="11" fillId="0" borderId="160" xfId="1216" applyBorder="1"/>
    <xf numFmtId="3" fontId="11" fillId="0" borderId="5" xfId="1216" applyNumberFormat="1" applyFont="1" applyFill="1" applyBorder="1" applyAlignment="1">
      <alignment horizontal="center"/>
    </xf>
    <xf numFmtId="0" fontId="11" fillId="0" borderId="49" xfId="1216" applyBorder="1"/>
    <xf numFmtId="3" fontId="11" fillId="0" borderId="57" xfId="1216" applyNumberFormat="1" applyFont="1" applyFill="1" applyBorder="1" applyAlignment="1">
      <alignment horizontal="center"/>
    </xf>
    <xf numFmtId="0" fontId="11" fillId="0" borderId="152" xfId="1216" applyBorder="1"/>
    <xf numFmtId="3" fontId="11" fillId="0" borderId="164" xfId="1216" applyNumberFormat="1" applyFont="1" applyFill="1" applyBorder="1" applyAlignment="1">
      <alignment horizontal="center"/>
    </xf>
    <xf numFmtId="187" fontId="11" fillId="0" borderId="0" xfId="1216" applyNumberFormat="1" applyFont="1" applyFill="1" applyBorder="1" applyAlignment="1">
      <alignment horizontal="center"/>
    </xf>
    <xf numFmtId="187" fontId="11" fillId="0" borderId="5" xfId="1216" applyNumberFormat="1" applyFont="1" applyFill="1" applyBorder="1" applyAlignment="1">
      <alignment horizontal="center"/>
    </xf>
    <xf numFmtId="187" fontId="11" fillId="0" borderId="164" xfId="1216" applyNumberFormat="1" applyFont="1" applyFill="1" applyBorder="1" applyAlignment="1">
      <alignment horizontal="center"/>
    </xf>
    <xf numFmtId="0" fontId="11" fillId="0" borderId="219" xfId="0" applyFont="1" applyFill="1" applyBorder="1" applyAlignment="1" applyProtection="1">
      <alignment horizontal="center"/>
      <protection locked="0"/>
    </xf>
    <xf numFmtId="4" fontId="0" fillId="0" borderId="148" xfId="1525" applyNumberFormat="1" applyFont="1" applyFill="1" applyBorder="1" applyProtection="1">
      <protection locked="0"/>
    </xf>
    <xf numFmtId="4" fontId="0" fillId="0" borderId="148" xfId="1" applyNumberFormat="1" applyFont="1" applyFill="1" applyBorder="1" applyProtection="1">
      <protection locked="0"/>
    </xf>
    <xf numFmtId="4" fontId="0" fillId="0" borderId="135" xfId="1" applyNumberFormat="1" applyFont="1" applyFill="1" applyBorder="1" applyProtection="1">
      <protection locked="0"/>
    </xf>
    <xf numFmtId="4" fontId="0" fillId="0" borderId="109" xfId="1525" applyNumberFormat="1" applyFont="1" applyFill="1" applyBorder="1" applyProtection="1">
      <protection locked="0"/>
    </xf>
    <xf numFmtId="175" fontId="11" fillId="0" borderId="0" xfId="1216" applyNumberFormat="1" applyFont="1" applyAlignment="1">
      <alignment horizontal="center"/>
    </xf>
    <xf numFmtId="3" fontId="11" fillId="91" borderId="31" xfId="1216" applyNumberFormat="1" applyFill="1" applyBorder="1" applyAlignment="1">
      <alignment horizontal="center"/>
    </xf>
    <xf numFmtId="0" fontId="11" fillId="0" borderId="0" xfId="1216" applyAlignment="1">
      <alignment horizontal="left"/>
    </xf>
    <xf numFmtId="3" fontId="11" fillId="37" borderId="0" xfId="1216" applyNumberFormat="1" applyFill="1" applyAlignment="1">
      <alignment horizontal="left"/>
    </xf>
    <xf numFmtId="176" fontId="0" fillId="3" borderId="0" xfId="0" applyNumberFormat="1" applyFill="1" applyAlignment="1">
      <alignment horizontal="center"/>
    </xf>
    <xf numFmtId="178" fontId="0" fillId="37" borderId="168" xfId="1" applyNumberFormat="1" applyFont="1" applyFill="1" applyBorder="1"/>
    <xf numFmtId="37" fontId="11" fillId="37" borderId="148" xfId="1509" applyNumberFormat="1" applyFont="1" applyFill="1" applyBorder="1" applyAlignment="1">
      <alignment horizontal="right"/>
    </xf>
    <xf numFmtId="179" fontId="11" fillId="89" borderId="40" xfId="13" applyNumberFormat="1" applyFont="1" applyFill="1" applyBorder="1" applyAlignment="1" applyProtection="1">
      <protection locked="0"/>
    </xf>
    <xf numFmtId="0" fontId="11" fillId="3" borderId="0" xfId="0" applyFont="1" applyFill="1"/>
    <xf numFmtId="2" fontId="14" fillId="0" borderId="174" xfId="13" applyNumberFormat="1" applyFont="1" applyFill="1" applyBorder="1" applyAlignment="1" applyProtection="1">
      <alignment horizontal="center" wrapText="1"/>
      <protection locked="0"/>
    </xf>
    <xf numFmtId="179" fontId="11" fillId="0" borderId="174" xfId="13" applyNumberFormat="1" applyFont="1" applyFill="1" applyBorder="1" applyAlignment="1" applyProtection="1">
      <protection locked="0"/>
    </xf>
    <xf numFmtId="37" fontId="11" fillId="0" borderId="174" xfId="1509" applyNumberFormat="1" applyFont="1" applyFill="1" applyBorder="1" applyAlignment="1">
      <alignment horizontal="right"/>
    </xf>
    <xf numFmtId="0" fontId="11" fillId="0" borderId="0" xfId="0" applyFont="1" applyBorder="1" applyAlignment="1">
      <alignment horizontal="right"/>
    </xf>
    <xf numFmtId="8" fontId="11" fillId="0" borderId="135" xfId="0" applyNumberFormat="1" applyFont="1" applyBorder="1"/>
    <xf numFmtId="8" fontId="11" fillId="0" borderId="0" xfId="0" applyNumberFormat="1" applyFont="1" applyBorder="1"/>
    <xf numFmtId="8" fontId="14" fillId="0" borderId="72" xfId="0" applyNumberFormat="1" applyFont="1" applyBorder="1"/>
    <xf numFmtId="0" fontId="14" fillId="0" borderId="159" xfId="0" applyFont="1" applyBorder="1" applyAlignment="1">
      <alignment horizontal="left" wrapText="1"/>
    </xf>
    <xf numFmtId="15" fontId="11" fillId="0" borderId="0" xfId="0" applyNumberFormat="1" applyFont="1" applyBorder="1"/>
    <xf numFmtId="8" fontId="11" fillId="0" borderId="72" xfId="0" applyNumberFormat="1" applyFont="1" applyBorder="1"/>
    <xf numFmtId="0" fontId="14" fillId="0" borderId="215" xfId="0" applyFont="1" applyBorder="1" applyAlignment="1">
      <alignment horizontal="center"/>
    </xf>
    <xf numFmtId="177" fontId="0" fillId="0" borderId="136" xfId="0" applyNumberFormat="1" applyFill="1" applyBorder="1"/>
    <xf numFmtId="178" fontId="11" fillId="0" borderId="136" xfId="1" applyNumberFormat="1" applyFill="1" applyBorder="1"/>
    <xf numFmtId="37" fontId="14" fillId="0" borderId="136" xfId="0" applyNumberFormat="1" applyFont="1" applyBorder="1"/>
    <xf numFmtId="0" fontId="14" fillId="0" borderId="191" xfId="0" applyFont="1" applyBorder="1" applyAlignment="1">
      <alignment horizontal="center"/>
    </xf>
    <xf numFmtId="10" fontId="0" fillId="0" borderId="220" xfId="0" applyNumberFormat="1" applyBorder="1"/>
    <xf numFmtId="0" fontId="0" fillId="0" borderId="220" xfId="0" applyBorder="1"/>
    <xf numFmtId="0" fontId="0" fillId="0" borderId="136" xfId="0" applyBorder="1"/>
    <xf numFmtId="178" fontId="11" fillId="37" borderId="136" xfId="1" applyNumberFormat="1" applyFont="1" applyFill="1" applyBorder="1"/>
    <xf numFmtId="178" fontId="0" fillId="37" borderId="220" xfId="1" applyNumberFormat="1" applyFont="1" applyFill="1" applyBorder="1"/>
    <xf numFmtId="37" fontId="14" fillId="0" borderId="220" xfId="0" applyNumberFormat="1" applyFont="1" applyBorder="1"/>
    <xf numFmtId="178" fontId="0" fillId="0" borderId="220" xfId="1" applyNumberFormat="1" applyFont="1" applyBorder="1"/>
    <xf numFmtId="178" fontId="14" fillId="0" borderId="220" xfId="1" applyNumberFormat="1" applyFont="1" applyBorder="1"/>
    <xf numFmtId="10" fontId="0" fillId="0" borderId="222" xfId="0" applyNumberFormat="1" applyBorder="1"/>
    <xf numFmtId="0" fontId="0" fillId="0" borderId="222" xfId="0" applyBorder="1"/>
    <xf numFmtId="10" fontId="11" fillId="3" borderId="136" xfId="2" applyNumberFormat="1" applyFill="1" applyBorder="1"/>
    <xf numFmtId="178" fontId="0" fillId="0" borderId="136" xfId="0" applyNumberFormat="1" applyBorder="1"/>
    <xf numFmtId="178" fontId="14" fillId="0" borderId="136" xfId="0" applyNumberFormat="1" applyFont="1" applyBorder="1"/>
    <xf numFmtId="181" fontId="11" fillId="0" borderId="220" xfId="1" applyNumberFormat="1" applyFont="1" applyBorder="1"/>
    <xf numFmtId="181" fontId="14" fillId="0" borderId="220" xfId="0" applyNumberFormat="1" applyFont="1" applyBorder="1"/>
    <xf numFmtId="10" fontId="11" fillId="0" borderId="136" xfId="2" applyNumberFormat="1" applyFill="1" applyBorder="1"/>
    <xf numFmtId="0" fontId="0" fillId="0" borderId="168" xfId="0" applyFill="1" applyBorder="1"/>
    <xf numFmtId="10" fontId="0" fillId="0" borderId="222" xfId="0" applyNumberFormat="1" applyFill="1" applyBorder="1"/>
    <xf numFmtId="0" fontId="0" fillId="0" borderId="222" xfId="0" applyFill="1" applyBorder="1"/>
    <xf numFmtId="10" fontId="51" fillId="0" borderId="136" xfId="2" applyNumberFormat="1" applyFont="1" applyFill="1" applyBorder="1"/>
    <xf numFmtId="0" fontId="51" fillId="0" borderId="168" xfId="0" applyFont="1" applyFill="1" applyBorder="1"/>
    <xf numFmtId="10" fontId="51" fillId="0" borderId="168" xfId="0" applyNumberFormat="1" applyFont="1" applyFill="1" applyBorder="1"/>
    <xf numFmtId="9" fontId="51" fillId="0" borderId="168" xfId="0" applyNumberFormat="1" applyFont="1" applyFill="1" applyBorder="1"/>
    <xf numFmtId="9" fontId="0" fillId="0" borderId="136" xfId="2" applyFont="1" applyBorder="1"/>
    <xf numFmtId="0" fontId="0" fillId="0" borderId="198" xfId="0" applyBorder="1"/>
    <xf numFmtId="178" fontId="11" fillId="0" borderId="198" xfId="1" applyNumberFormat="1" applyFill="1" applyBorder="1"/>
    <xf numFmtId="37" fontId="0" fillId="0" borderId="148" xfId="0" applyNumberFormat="1" applyFill="1" applyBorder="1"/>
    <xf numFmtId="178" fontId="0" fillId="0" borderId="220" xfId="0" applyNumberFormat="1" applyBorder="1"/>
    <xf numFmtId="178" fontId="14" fillId="0" borderId="220" xfId="0" applyNumberFormat="1" applyFont="1" applyBorder="1"/>
    <xf numFmtId="0" fontId="242" fillId="0" borderId="215" xfId="0" applyFont="1" applyBorder="1" applyAlignment="1">
      <alignment horizontal="center"/>
    </xf>
    <xf numFmtId="0" fontId="242" fillId="0" borderId="156" xfId="0" applyFont="1" applyBorder="1" applyAlignment="1">
      <alignment horizontal="left"/>
    </xf>
    <xf numFmtId="0" fontId="242" fillId="0" borderId="156" xfId="0" applyFont="1" applyBorder="1" applyAlignment="1">
      <alignment horizontal="center"/>
    </xf>
    <xf numFmtId="0" fontId="51" fillId="0" borderId="136" xfId="0" applyFont="1" applyBorder="1"/>
    <xf numFmtId="0" fontId="51" fillId="0" borderId="168" xfId="0" applyFont="1" applyBorder="1"/>
    <xf numFmtId="9" fontId="51" fillId="0" borderId="136" xfId="2" applyFont="1" applyBorder="1"/>
    <xf numFmtId="9" fontId="51" fillId="0" borderId="168" xfId="0" applyNumberFormat="1" applyFont="1" applyBorder="1"/>
    <xf numFmtId="9" fontId="51" fillId="0" borderId="168" xfId="2" applyFont="1" applyBorder="1"/>
    <xf numFmtId="178" fontId="242" fillId="0" borderId="220" xfId="1" applyNumberFormat="1" applyFont="1" applyBorder="1"/>
    <xf numFmtId="0" fontId="242" fillId="0" borderId="215" xfId="0" applyFont="1" applyFill="1" applyBorder="1" applyAlignment="1">
      <alignment horizontal="center"/>
    </xf>
    <xf numFmtId="0" fontId="242" fillId="0" borderId="156" xfId="0" applyFont="1" applyFill="1" applyBorder="1" applyAlignment="1">
      <alignment horizontal="center"/>
    </xf>
    <xf numFmtId="178" fontId="0" fillId="37" borderId="136" xfId="1" applyNumberFormat="1" applyFont="1" applyFill="1" applyBorder="1"/>
    <xf numFmtId="9" fontId="0" fillId="0" borderId="220" xfId="2" applyFont="1" applyBorder="1"/>
    <xf numFmtId="178" fontId="0" fillId="0" borderId="168" xfId="0" applyNumberFormat="1" applyFill="1" applyBorder="1"/>
    <xf numFmtId="9" fontId="0" fillId="3" borderId="168" xfId="2" applyNumberFormat="1" applyFont="1" applyFill="1" applyBorder="1"/>
    <xf numFmtId="0" fontId="14" fillId="0" borderId="156" xfId="0" applyFont="1" applyBorder="1" applyAlignment="1">
      <alignment horizontal="center" wrapText="1"/>
    </xf>
    <xf numFmtId="0" fontId="14" fillId="0" borderId="215" xfId="0" applyFont="1" applyBorder="1" applyAlignment="1">
      <alignment horizontal="left" wrapText="1"/>
    </xf>
    <xf numFmtId="0" fontId="14" fillId="0" borderId="191" xfId="0" applyFont="1" applyBorder="1" applyAlignment="1">
      <alignment horizontal="left" wrapText="1"/>
    </xf>
    <xf numFmtId="9" fontId="0" fillId="0" borderId="220" xfId="2" applyNumberFormat="1" applyFont="1" applyBorder="1"/>
    <xf numFmtId="9" fontId="0" fillId="0" borderId="168" xfId="2" applyNumberFormat="1" applyFont="1" applyFill="1" applyBorder="1"/>
    <xf numFmtId="9" fontId="0" fillId="3" borderId="220" xfId="2" applyNumberFormat="1" applyFont="1" applyFill="1" applyBorder="1"/>
    <xf numFmtId="0" fontId="95" fillId="37" borderId="155" xfId="0" applyFont="1" applyFill="1" applyBorder="1" applyAlignment="1">
      <alignment wrapText="1"/>
    </xf>
    <xf numFmtId="0" fontId="14" fillId="0" borderId="156" xfId="0" applyFont="1" applyBorder="1" applyAlignment="1">
      <alignment horizontal="left" wrapText="1"/>
    </xf>
    <xf numFmtId="0" fontId="14" fillId="0" borderId="191" xfId="0" applyFont="1" applyBorder="1" applyAlignment="1">
      <alignment horizontal="center" wrapText="1"/>
    </xf>
    <xf numFmtId="0" fontId="14" fillId="0" borderId="215" xfId="0" applyFont="1" applyBorder="1" applyAlignment="1">
      <alignment horizontal="center" wrapText="1"/>
    </xf>
    <xf numFmtId="0" fontId="14" fillId="0" borderId="221" xfId="0" applyFont="1" applyBorder="1" applyAlignment="1">
      <alignment horizontal="center" wrapText="1"/>
    </xf>
    <xf numFmtId="0" fontId="14" fillId="0" borderId="0" xfId="0" applyFont="1" applyFill="1" applyBorder="1" applyAlignment="1">
      <alignment horizontal="left" wrapText="1"/>
    </xf>
    <xf numFmtId="0" fontId="242" fillId="0" borderId="156" xfId="0" applyFont="1" applyFill="1" applyBorder="1" applyAlignment="1">
      <alignment horizontal="center" wrapText="1"/>
    </xf>
    <xf numFmtId="178" fontId="0" fillId="0" borderId="136" xfId="0" applyNumberFormat="1" applyFill="1" applyBorder="1"/>
    <xf numFmtId="177" fontId="0" fillId="0" borderId="220" xfId="0" applyNumberFormat="1" applyFill="1" applyBorder="1"/>
    <xf numFmtId="178" fontId="11" fillId="0" borderId="220" xfId="1" applyNumberFormat="1" applyFill="1" applyBorder="1"/>
    <xf numFmtId="178" fontId="11" fillId="0" borderId="0" xfId="0" applyNumberFormat="1" applyFont="1" applyBorder="1"/>
    <xf numFmtId="0" fontId="14" fillId="0" borderId="0" xfId="0" applyFont="1" applyFill="1"/>
    <xf numFmtId="174" fontId="14" fillId="0" borderId="0" xfId="0" applyNumberFormat="1" applyFont="1"/>
    <xf numFmtId="37" fontId="0" fillId="0" borderId="0" xfId="0" applyNumberFormat="1"/>
    <xf numFmtId="170" fontId="0" fillId="0" borderId="0" xfId="0" applyNumberFormat="1" applyFill="1"/>
    <xf numFmtId="0" fontId="11" fillId="0" borderId="165" xfId="0" applyFont="1" applyFill="1" applyBorder="1"/>
    <xf numFmtId="0" fontId="0" fillId="0" borderId="165" xfId="0" applyFill="1" applyBorder="1"/>
    <xf numFmtId="178" fontId="11" fillId="0" borderId="0" xfId="2" applyNumberFormat="1" applyFont="1"/>
    <xf numFmtId="37" fontId="0" fillId="0" borderId="0" xfId="0" applyNumberFormat="1" applyFill="1"/>
    <xf numFmtId="180" fontId="14" fillId="0" borderId="72" xfId="0" applyNumberFormat="1" applyFont="1" applyBorder="1"/>
    <xf numFmtId="174" fontId="11" fillId="0" borderId="165" xfId="0" applyNumberFormat="1" applyFont="1" applyFill="1" applyBorder="1"/>
    <xf numFmtId="180" fontId="14" fillId="0" borderId="0" xfId="0" applyNumberFormat="1" applyFont="1" applyBorder="1"/>
    <xf numFmtId="174" fontId="0" fillId="0" borderId="165" xfId="0" applyNumberFormat="1" applyBorder="1"/>
    <xf numFmtId="0" fontId="0" fillId="0" borderId="165" xfId="0" applyBorder="1"/>
    <xf numFmtId="174" fontId="14" fillId="0" borderId="165" xfId="0" applyNumberFormat="1" applyFont="1" applyFill="1" applyBorder="1"/>
    <xf numFmtId="174" fontId="14" fillId="0" borderId="165" xfId="0" applyNumberFormat="1" applyFont="1" applyBorder="1"/>
    <xf numFmtId="178" fontId="51" fillId="0" borderId="0" xfId="1" applyNumberFormat="1" applyFont="1" applyBorder="1" applyAlignment="1">
      <alignment horizontal="right" vertical="center"/>
    </xf>
    <xf numFmtId="174" fontId="51" fillId="0" borderId="0" xfId="1077" applyNumberFormat="1" applyFont="1" applyBorder="1" applyAlignment="1">
      <alignment horizontal="right" vertical="center"/>
    </xf>
    <xf numFmtId="0" fontId="51" fillId="0" borderId="0" xfId="1077" applyFont="1" applyBorder="1" applyAlignment="1">
      <alignment vertical="top" wrapText="1"/>
    </xf>
    <xf numFmtId="3" fontId="51" fillId="0" borderId="0" xfId="0" applyNumberFormat="1" applyFont="1"/>
    <xf numFmtId="8" fontId="14" fillId="0" borderId="112" xfId="0" applyNumberFormat="1" applyFont="1" applyBorder="1"/>
    <xf numFmtId="0" fontId="11" fillId="0" borderId="0" xfId="0" applyFont="1" applyFill="1" applyBorder="1" applyAlignment="1">
      <alignment horizontal="left" wrapText="1"/>
    </xf>
    <xf numFmtId="3" fontId="55" fillId="0" borderId="148" xfId="3258" applyNumberFormat="1" applyFont="1" applyFill="1" applyBorder="1"/>
    <xf numFmtId="3" fontId="88" fillId="0" borderId="148" xfId="3258" applyNumberFormat="1" applyFont="1" applyFill="1" applyBorder="1"/>
    <xf numFmtId="0" fontId="55" fillId="0" borderId="148" xfId="3258" applyFont="1" applyFill="1" applyBorder="1"/>
    <xf numFmtId="171" fontId="0" fillId="0" borderId="0" xfId="2" applyNumberFormat="1" applyFont="1" applyAlignment="1">
      <alignment horizontal="center"/>
    </xf>
    <xf numFmtId="10" fontId="0" fillId="0" borderId="0" xfId="2" applyNumberFormat="1" applyFont="1" applyAlignment="1">
      <alignment horizontal="center"/>
    </xf>
    <xf numFmtId="171" fontId="6" fillId="0" borderId="0" xfId="2" applyNumberFormat="1" applyFont="1"/>
    <xf numFmtId="0" fontId="14" fillId="0" borderId="129" xfId="0" applyFont="1" applyBorder="1" applyAlignment="1">
      <alignment horizontal="right"/>
    </xf>
    <xf numFmtId="3" fontId="14" fillId="0" borderId="113" xfId="1216" applyNumberFormat="1" applyFont="1" applyFill="1" applyBorder="1" applyAlignment="1">
      <alignment horizontal="center"/>
    </xf>
    <xf numFmtId="3" fontId="14" fillId="0" borderId="114" xfId="1216" applyNumberFormat="1" applyFont="1" applyFill="1" applyBorder="1" applyAlignment="1">
      <alignment horizontal="center"/>
    </xf>
    <xf numFmtId="0" fontId="0" fillId="0" borderId="0" xfId="0" applyBorder="1" applyAlignment="1">
      <alignment horizontal="left"/>
    </xf>
    <xf numFmtId="0" fontId="11" fillId="0" borderId="0" xfId="0" applyFont="1" applyAlignment="1">
      <alignment horizontal="left"/>
    </xf>
    <xf numFmtId="3" fontId="0" fillId="0" borderId="110" xfId="1525" applyNumberFormat="1" applyFont="1" applyFill="1" applyBorder="1" applyProtection="1">
      <protection locked="0"/>
    </xf>
    <xf numFmtId="3" fontId="0" fillId="0" borderId="145" xfId="2" applyNumberFormat="1" applyFont="1" applyFill="1" applyBorder="1" applyProtection="1">
      <protection locked="0"/>
    </xf>
    <xf numFmtId="187" fontId="0" fillId="0" borderId="101" xfId="1" applyNumberFormat="1" applyFont="1" applyFill="1" applyBorder="1" applyProtection="1">
      <protection locked="0"/>
    </xf>
    <xf numFmtId="187" fontId="0" fillId="0" borderId="148" xfId="1525" applyNumberFormat="1" applyFont="1" applyFill="1" applyBorder="1" applyProtection="1">
      <protection locked="0"/>
    </xf>
    <xf numFmtId="49" fontId="11" fillId="0" borderId="223" xfId="0" applyNumberFormat="1" applyFont="1" applyBorder="1" applyAlignment="1">
      <alignment horizontal="center"/>
    </xf>
    <xf numFmtId="3" fontId="0" fillId="0" borderId="148" xfId="1525" applyNumberFormat="1" applyFont="1" applyFill="1" applyBorder="1" applyProtection="1">
      <protection locked="0"/>
    </xf>
    <xf numFmtId="3" fontId="11" fillId="0" borderId="113" xfId="1216" applyNumberFormat="1" applyFill="1" applyBorder="1" applyAlignment="1">
      <alignment horizontal="center" wrapText="1"/>
    </xf>
    <xf numFmtId="3" fontId="51" fillId="0" borderId="0" xfId="0" applyNumberFormat="1" applyFont="1" applyAlignment="1">
      <alignment horizontal="left"/>
    </xf>
    <xf numFmtId="0" fontId="14" fillId="0" borderId="0" xfId="0" applyFont="1" applyBorder="1" applyAlignment="1">
      <alignment horizontal="center" wrapText="1"/>
    </xf>
    <xf numFmtId="0" fontId="11" fillId="37" borderId="40" xfId="13" applyNumberFormat="1" applyFont="1" applyFill="1" applyBorder="1" applyAlignment="1" applyProtection="1">
      <alignment horizontal="center"/>
      <protection locked="0"/>
    </xf>
    <xf numFmtId="0" fontId="0" fillId="3" borderId="0" xfId="0" applyFont="1" applyFill="1" applyBorder="1" applyAlignment="1"/>
    <xf numFmtId="0" fontId="11" fillId="0" borderId="0" xfId="1196"/>
    <xf numFmtId="0" fontId="321" fillId="0" borderId="0" xfId="1196" applyFont="1" applyAlignment="1">
      <alignment horizontal="left" vertical="center"/>
    </xf>
    <xf numFmtId="0" fontId="322" fillId="0" borderId="0" xfId="1196" applyFont="1" applyAlignment="1">
      <alignment wrapText="1"/>
    </xf>
    <xf numFmtId="0" fontId="14" fillId="0" borderId="0" xfId="1196" applyFont="1" applyAlignment="1">
      <alignment horizontal="left"/>
    </xf>
    <xf numFmtId="0" fontId="17" fillId="37" borderId="0" xfId="1196" applyFont="1" applyFill="1" applyAlignment="1" applyProtection="1">
      <alignment horizontal="right" vertical="top"/>
      <protection locked="0"/>
    </xf>
    <xf numFmtId="0" fontId="323" fillId="0" borderId="0" xfId="1196" applyFont="1" applyAlignment="1">
      <alignment vertical="top"/>
    </xf>
    <xf numFmtId="0" fontId="17" fillId="37" borderId="60" xfId="1196" applyFont="1" applyFill="1" applyBorder="1" applyAlignment="1" applyProtection="1">
      <alignment horizontal="right" vertical="top"/>
      <protection locked="0"/>
    </xf>
    <xf numFmtId="0" fontId="11" fillId="0" borderId="0" xfId="1196" applyAlignment="1">
      <alignment horizontal="center"/>
    </xf>
    <xf numFmtId="0" fontId="17" fillId="0" borderId="0" xfId="1196" applyFont="1" applyAlignment="1">
      <alignment horizontal="right" vertical="top"/>
    </xf>
    <xf numFmtId="0" fontId="324" fillId="0" borderId="2" xfId="1196" applyFont="1" applyBorder="1"/>
    <xf numFmtId="0" fontId="325" fillId="0" borderId="2" xfId="1196" applyFont="1" applyBorder="1" applyAlignment="1">
      <alignment horizontal="left" indent="1"/>
    </xf>
    <xf numFmtId="0" fontId="325" fillId="0" borderId="2" xfId="1196" applyFont="1" applyBorder="1"/>
    <xf numFmtId="10" fontId="325" fillId="0" borderId="2" xfId="1452" applyNumberFormat="1" applyFont="1" applyFill="1" applyBorder="1" applyAlignment="1" applyProtection="1">
      <alignment horizontal="right"/>
    </xf>
    <xf numFmtId="10" fontId="325" fillId="0" borderId="0" xfId="1452" applyNumberFormat="1" applyFont="1" applyFill="1" applyBorder="1" applyAlignment="1" applyProtection="1">
      <alignment horizontal="right"/>
    </xf>
    <xf numFmtId="0" fontId="324" fillId="0" borderId="0" xfId="1196" applyFont="1"/>
    <xf numFmtId="0" fontId="325" fillId="0" borderId="0" xfId="1196" applyFont="1" applyAlignment="1">
      <alignment horizontal="left" indent="1"/>
    </xf>
    <xf numFmtId="0" fontId="325" fillId="0" borderId="0" xfId="1196" applyFont="1"/>
    <xf numFmtId="0" fontId="326" fillId="0" borderId="0" xfId="1196" applyFont="1"/>
    <xf numFmtId="0" fontId="327" fillId="0" borderId="0" xfId="1196" applyFont="1"/>
    <xf numFmtId="44" fontId="14" fillId="0" borderId="224" xfId="1196" applyNumberFormat="1" applyFont="1" applyBorder="1" applyAlignment="1">
      <alignment horizontal="center"/>
    </xf>
    <xf numFmtId="44" fontId="14" fillId="0" borderId="225" xfId="1196" applyNumberFormat="1" applyFont="1" applyBorder="1" applyAlignment="1">
      <alignment horizontal="center"/>
    </xf>
    <xf numFmtId="44" fontId="14" fillId="0" borderId="0" xfId="1196" applyNumberFormat="1" applyFont="1" applyAlignment="1">
      <alignment horizontal="center"/>
    </xf>
    <xf numFmtId="0" fontId="328" fillId="0" borderId="0" xfId="1196" applyFont="1" applyAlignment="1">
      <alignment horizontal="center" vertical="top"/>
    </xf>
    <xf numFmtId="0" fontId="329" fillId="0" borderId="0" xfId="1196" applyFont="1"/>
    <xf numFmtId="0" fontId="92" fillId="0" borderId="226" xfId="1196" applyFont="1" applyBorder="1" applyAlignment="1">
      <alignment horizontal="center"/>
    </xf>
    <xf numFmtId="0" fontId="92" fillId="0" borderId="63" xfId="1196" applyFont="1" applyBorder="1" applyAlignment="1">
      <alignment horizontal="center"/>
    </xf>
    <xf numFmtId="0" fontId="92" fillId="0" borderId="0" xfId="1196" applyFont="1" applyAlignment="1">
      <alignment horizontal="center"/>
    </xf>
    <xf numFmtId="0" fontId="330" fillId="0" borderId="0" xfId="1196" applyFont="1"/>
    <xf numFmtId="0" fontId="92" fillId="0" borderId="227" xfId="1196" applyFont="1" applyBorder="1" applyAlignment="1">
      <alignment horizontal="center"/>
    </xf>
    <xf numFmtId="0" fontId="92" fillId="0" borderId="228" xfId="1196" applyFont="1" applyBorder="1" applyAlignment="1">
      <alignment horizontal="center"/>
    </xf>
    <xf numFmtId="0" fontId="244" fillId="0" borderId="229" xfId="1196" applyFont="1" applyBorder="1"/>
    <xf numFmtId="0" fontId="244" fillId="158" borderId="233" xfId="1196" applyFont="1" applyFill="1" applyBorder="1" applyAlignment="1">
      <alignment horizontal="center" wrapText="1"/>
    </xf>
    <xf numFmtId="312" fontId="244" fillId="159" borderId="133" xfId="1196" applyNumberFormat="1" applyFont="1" applyFill="1" applyBorder="1" applyProtection="1">
      <protection locked="0"/>
    </xf>
    <xf numFmtId="312" fontId="244" fillId="37" borderId="140" xfId="1196" applyNumberFormat="1" applyFont="1" applyFill="1" applyBorder="1" applyProtection="1">
      <protection locked="0"/>
    </xf>
    <xf numFmtId="312" fontId="244" fillId="0" borderId="0" xfId="1196" applyNumberFormat="1" applyFont="1"/>
    <xf numFmtId="0" fontId="244" fillId="158" borderId="158" xfId="1196" applyFont="1" applyFill="1" applyBorder="1" applyAlignment="1">
      <alignment horizontal="center" wrapText="1"/>
    </xf>
    <xf numFmtId="312" fontId="244" fillId="159" borderId="234" xfId="1196" applyNumberFormat="1" applyFont="1" applyFill="1" applyBorder="1" applyProtection="1">
      <protection locked="0"/>
    </xf>
    <xf numFmtId="312" fontId="244" fillId="37" borderId="235" xfId="1196" applyNumberFormat="1" applyFont="1" applyFill="1" applyBorder="1" applyProtection="1">
      <protection locked="0"/>
    </xf>
    <xf numFmtId="312" fontId="324" fillId="0" borderId="234" xfId="1196" applyNumberFormat="1" applyFont="1" applyBorder="1"/>
    <xf numFmtId="312" fontId="324" fillId="0" borderId="0" xfId="1196" applyNumberFormat="1" applyFont="1"/>
    <xf numFmtId="0" fontId="331" fillId="0" borderId="229" xfId="1196" applyFont="1" applyBorder="1" applyAlignment="1">
      <alignment horizontal="left" indent="1"/>
    </xf>
    <xf numFmtId="312" fontId="331" fillId="0" borderId="234" xfId="1196" applyNumberFormat="1" applyFont="1" applyBorder="1"/>
    <xf numFmtId="312" fontId="331" fillId="0" borderId="235" xfId="1196" applyNumberFormat="1" applyFont="1" applyBorder="1"/>
    <xf numFmtId="312" fontId="331" fillId="0" borderId="0" xfId="1196" applyNumberFormat="1" applyFont="1"/>
    <xf numFmtId="0" fontId="332" fillId="0" borderId="0" xfId="1196" applyFont="1"/>
    <xf numFmtId="0" fontId="15" fillId="0" borderId="0" xfId="1196" applyFont="1"/>
    <xf numFmtId="0" fontId="11" fillId="0" borderId="236" xfId="1196" applyBorder="1"/>
    <xf numFmtId="1" fontId="331" fillId="92" borderId="232" xfId="1196" applyNumberFormat="1" applyFont="1" applyFill="1" applyBorder="1" applyAlignment="1">
      <alignment horizontal="center"/>
    </xf>
    <xf numFmtId="0" fontId="331" fillId="0" borderId="237" xfId="1196" applyFont="1" applyBorder="1"/>
    <xf numFmtId="0" fontId="331" fillId="0" borderId="237" xfId="1196" applyFont="1" applyBorder="1" applyAlignment="1">
      <alignment horizontal="center"/>
    </xf>
    <xf numFmtId="0" fontId="331" fillId="0" borderId="229" xfId="1196" applyFont="1" applyBorder="1" applyAlignment="1">
      <alignment horizontal="center"/>
    </xf>
    <xf numFmtId="0" fontId="331" fillId="0" borderId="234" xfId="1196" applyFont="1" applyBorder="1" applyAlignment="1">
      <alignment horizontal="center"/>
    </xf>
    <xf numFmtId="0" fontId="1" fillId="0" borderId="237" xfId="1196" applyFont="1" applyBorder="1"/>
    <xf numFmtId="0" fontId="11" fillId="0" borderId="237" xfId="1196" applyBorder="1" applyAlignment="1">
      <alignment horizontal="center"/>
    </xf>
    <xf numFmtId="0" fontId="11" fillId="0" borderId="229" xfId="1196" applyBorder="1" applyAlignment="1">
      <alignment horizontal="center"/>
    </xf>
    <xf numFmtId="0" fontId="244" fillId="0" borderId="234" xfId="1196" applyFont="1" applyBorder="1" applyAlignment="1">
      <alignment horizontal="center" wrapText="1"/>
    </xf>
    <xf numFmtId="0" fontId="11" fillId="0" borderId="234" xfId="1196" applyBorder="1" applyAlignment="1">
      <alignment horizontal="center"/>
    </xf>
    <xf numFmtId="0" fontId="244" fillId="37" borderId="237" xfId="1196" applyFont="1" applyFill="1" applyBorder="1" applyAlignment="1" applyProtection="1">
      <alignment vertical="center"/>
      <protection locked="0"/>
    </xf>
    <xf numFmtId="0" fontId="11" fillId="160" borderId="237" xfId="1196" applyFill="1" applyBorder="1" applyAlignment="1">
      <alignment horizontal="center"/>
    </xf>
    <xf numFmtId="0" fontId="11" fillId="160" borderId="229" xfId="1196" applyFill="1" applyBorder="1" applyAlignment="1">
      <alignment horizontal="center"/>
    </xf>
    <xf numFmtId="0" fontId="11" fillId="158" borderId="0" xfId="1196" applyFill="1"/>
    <xf numFmtId="181" fontId="244" fillId="37" borderId="237" xfId="2283" applyNumberFormat="1" applyFont="1" applyFill="1" applyBorder="1" applyAlignment="1" applyProtection="1">
      <alignment vertical="center"/>
      <protection locked="0"/>
    </xf>
    <xf numFmtId="313" fontId="0" fillId="0" borderId="234" xfId="580" quotePrefix="1" applyNumberFormat="1" applyFont="1" applyFill="1" applyBorder="1" applyAlignment="1" applyProtection="1">
      <alignment horizontal="right"/>
    </xf>
    <xf numFmtId="314" fontId="11" fillId="0" borderId="234" xfId="1196" applyNumberFormat="1" applyBorder="1" applyAlignment="1">
      <alignment horizontal="right"/>
    </xf>
    <xf numFmtId="0" fontId="331" fillId="0" borderId="238" xfId="1196" applyFont="1" applyBorder="1"/>
    <xf numFmtId="49" fontId="11" fillId="0" borderId="238" xfId="1196" applyNumberFormat="1" applyBorder="1" applyAlignment="1">
      <alignment horizontal="center"/>
    </xf>
    <xf numFmtId="0" fontId="331" fillId="0" borderId="238" xfId="1196" applyFont="1" applyBorder="1" applyAlignment="1">
      <alignment horizontal="center"/>
    </xf>
    <xf numFmtId="0" fontId="331" fillId="0" borderId="239" xfId="1196" applyFont="1" applyBorder="1" applyAlignment="1">
      <alignment horizontal="center"/>
    </xf>
    <xf numFmtId="37" fontId="331" fillId="0" borderId="234" xfId="1196" applyNumberFormat="1" applyFont="1" applyBorder="1" applyAlignment="1">
      <alignment horizontal="right"/>
    </xf>
    <xf numFmtId="178" fontId="39" fillId="0" borderId="234" xfId="564" applyNumberFormat="1" applyFont="1" applyBorder="1" applyProtection="1"/>
    <xf numFmtId="37" fontId="331" fillId="0" borderId="232" xfId="1196" applyNumberFormat="1" applyFont="1" applyBorder="1" applyAlignment="1">
      <alignment horizontal="right"/>
    </xf>
    <xf numFmtId="314" fontId="331" fillId="0" borderId="234" xfId="1196" applyNumberFormat="1" applyFont="1" applyBorder="1" applyAlignment="1">
      <alignment horizontal="right"/>
    </xf>
    <xf numFmtId="180" fontId="324" fillId="0" borderId="0" xfId="1196" applyNumberFormat="1" applyFont="1"/>
    <xf numFmtId="1" fontId="331" fillId="92" borderId="240" xfId="1196" applyNumberFormat="1" applyFont="1" applyFill="1" applyBorder="1" applyAlignment="1">
      <alignment horizontal="center"/>
    </xf>
    <xf numFmtId="0" fontId="333" fillId="158" borderId="0" xfId="1196" applyFont="1" applyFill="1" applyAlignment="1">
      <alignment horizontal="center"/>
    </xf>
    <xf numFmtId="0" fontId="331" fillId="0" borderId="241" xfId="1196" applyFont="1" applyBorder="1" applyAlignment="1">
      <alignment horizontal="center"/>
    </xf>
    <xf numFmtId="0" fontId="331" fillId="158" borderId="0" xfId="1196" applyFont="1" applyFill="1" applyAlignment="1">
      <alignment horizontal="center"/>
    </xf>
    <xf numFmtId="0" fontId="331" fillId="0" borderId="241" xfId="1196" applyFont="1" applyBorder="1" applyAlignment="1">
      <alignment horizontal="center" wrapText="1"/>
    </xf>
    <xf numFmtId="0" fontId="331" fillId="0" borderId="242" xfId="1196" applyFont="1" applyBorder="1" applyAlignment="1">
      <alignment horizontal="center"/>
    </xf>
    <xf numFmtId="0" fontId="334" fillId="158" borderId="0" xfId="1196" applyFont="1" applyFill="1" applyAlignment="1" applyProtection="1">
      <alignment vertical="center"/>
      <protection locked="0"/>
    </xf>
    <xf numFmtId="181" fontId="244" fillId="37" borderId="243" xfId="1196" applyNumberFormat="1" applyFont="1" applyFill="1" applyBorder="1" applyAlignment="1" applyProtection="1">
      <alignment vertical="center"/>
      <protection locked="0"/>
    </xf>
    <xf numFmtId="178" fontId="0" fillId="158" borderId="0" xfId="564" applyNumberFormat="1" applyFont="1" applyFill="1" applyBorder="1" applyAlignment="1" applyProtection="1">
      <alignment horizontal="center"/>
    </xf>
    <xf numFmtId="314" fontId="11" fillId="0" borderId="237" xfId="1196" applyNumberFormat="1" applyBorder="1" applyAlignment="1">
      <alignment horizontal="right"/>
    </xf>
    <xf numFmtId="0" fontId="244" fillId="37" borderId="243" xfId="1196" applyFont="1" applyFill="1" applyBorder="1" applyAlignment="1" applyProtection="1">
      <alignment vertical="center"/>
      <protection locked="0"/>
    </xf>
    <xf numFmtId="170" fontId="0" fillId="158" borderId="0" xfId="564" applyFont="1" applyFill="1" applyBorder="1" applyAlignment="1" applyProtection="1">
      <alignment horizontal="center"/>
    </xf>
    <xf numFmtId="178" fontId="335" fillId="158" borderId="0" xfId="1196" applyNumberFormat="1" applyFont="1" applyFill="1" applyAlignment="1">
      <alignment horizontal="center"/>
    </xf>
    <xf numFmtId="315" fontId="11" fillId="160" borderId="243" xfId="1196" applyNumberFormat="1" applyFill="1" applyBorder="1" applyAlignment="1">
      <alignment horizontal="center"/>
    </xf>
    <xf numFmtId="315" fontId="11" fillId="158" borderId="0" xfId="1196" applyNumberFormat="1" applyFill="1" applyAlignment="1">
      <alignment horizontal="center"/>
    </xf>
    <xf numFmtId="0" fontId="11" fillId="160" borderId="243" xfId="1196" applyFill="1" applyBorder="1" applyAlignment="1">
      <alignment horizontal="center"/>
    </xf>
    <xf numFmtId="314" fontId="39" fillId="0" borderId="237" xfId="1196" applyNumberFormat="1" applyFont="1" applyBorder="1" applyAlignment="1">
      <alignment horizontal="right"/>
    </xf>
    <xf numFmtId="0" fontId="331" fillId="0" borderId="0" xfId="1196" applyFont="1"/>
    <xf numFmtId="0" fontId="244" fillId="0" borderId="234" xfId="1196" applyFont="1" applyBorder="1" applyAlignment="1">
      <alignment horizontal="center"/>
    </xf>
    <xf numFmtId="0" fontId="244" fillId="0" borderId="233" xfId="1196" applyFont="1" applyBorder="1" applyAlignment="1">
      <alignment horizontal="center"/>
    </xf>
    <xf numFmtId="0" fontId="244" fillId="0" borderId="237" xfId="1196" applyFont="1" applyBorder="1" applyAlignment="1">
      <alignment vertical="center"/>
    </xf>
    <xf numFmtId="37" fontId="11" fillId="158" borderId="0" xfId="1196" quotePrefix="1" applyNumberFormat="1" applyFill="1" applyAlignment="1">
      <alignment horizontal="right"/>
    </xf>
    <xf numFmtId="37" fontId="11" fillId="161" borderId="231" xfId="1196" quotePrefix="1" applyNumberFormat="1" applyFill="1" applyBorder="1" applyAlignment="1">
      <alignment horizontal="right"/>
    </xf>
    <xf numFmtId="313" fontId="0" fillId="161" borderId="232" xfId="580" quotePrefix="1" applyNumberFormat="1" applyFont="1" applyFill="1" applyBorder="1" applyAlignment="1" applyProtection="1">
      <alignment horizontal="right"/>
    </xf>
    <xf numFmtId="37" fontId="11" fillId="0" borderId="234" xfId="1196" quotePrefix="1" applyNumberFormat="1" applyBorder="1" applyAlignment="1">
      <alignment horizontal="right"/>
    </xf>
    <xf numFmtId="37" fontId="39" fillId="161" borderId="234" xfId="1196" quotePrefix="1" applyNumberFormat="1" applyFont="1" applyFill="1" applyBorder="1" applyAlignment="1">
      <alignment horizontal="right"/>
    </xf>
    <xf numFmtId="37" fontId="11" fillId="161" borderId="232" xfId="1196" quotePrefix="1" applyNumberFormat="1" applyFill="1" applyBorder="1" applyAlignment="1">
      <alignment horizontal="right"/>
    </xf>
    <xf numFmtId="0" fontId="11" fillId="0" borderId="0" xfId="1196" quotePrefix="1"/>
    <xf numFmtId="49" fontId="11" fillId="0" borderId="237" xfId="1196" applyNumberFormat="1" applyBorder="1" applyAlignment="1">
      <alignment horizontal="center"/>
    </xf>
    <xf numFmtId="37" fontId="331" fillId="0" borderId="133" xfId="1196" applyNumberFormat="1" applyFont="1" applyBorder="1" applyAlignment="1">
      <alignment horizontal="right"/>
    </xf>
    <xf numFmtId="314" fontId="39" fillId="0" borderId="234" xfId="1196" applyNumberFormat="1" applyFont="1" applyBorder="1" applyAlignment="1">
      <alignment horizontal="right"/>
    </xf>
    <xf numFmtId="49" fontId="11" fillId="0" borderId="0" xfId="1196" applyNumberFormat="1" applyAlignment="1">
      <alignment horizontal="center"/>
    </xf>
    <xf numFmtId="0" fontId="331" fillId="0" borderId="0" xfId="1196" applyFont="1" applyAlignment="1">
      <alignment horizontal="center"/>
    </xf>
    <xf numFmtId="37" fontId="331" fillId="0" borderId="0" xfId="1196" applyNumberFormat="1" applyFont="1" applyAlignment="1">
      <alignment horizontal="right"/>
    </xf>
    <xf numFmtId="314" fontId="11" fillId="0" borderId="0" xfId="1196" applyNumberFormat="1"/>
    <xf numFmtId="0" fontId="1" fillId="0" borderId="0" xfId="1196" applyFont="1"/>
    <xf numFmtId="315" fontId="10" fillId="0" borderId="0" xfId="554" applyNumberFormat="1" applyProtection="1"/>
    <xf numFmtId="43" fontId="11" fillId="0" borderId="0" xfId="1196" applyNumberFormat="1"/>
    <xf numFmtId="0" fontId="39" fillId="0" borderId="0" xfId="1196" applyFont="1" applyAlignment="1">
      <alignment horizontal="center"/>
    </xf>
    <xf numFmtId="0" fontId="11" fillId="0" borderId="0" xfId="1196" applyAlignment="1">
      <alignment wrapText="1"/>
    </xf>
    <xf numFmtId="0" fontId="39" fillId="0" borderId="0" xfId="1196" applyFont="1" applyAlignment="1">
      <alignment wrapText="1"/>
    </xf>
    <xf numFmtId="0" fontId="39" fillId="0" borderId="234" xfId="1196" applyFont="1" applyBorder="1" applyAlignment="1">
      <alignment horizontal="center"/>
    </xf>
    <xf numFmtId="0" fontId="39" fillId="0" borderId="0" xfId="1196" applyFont="1"/>
    <xf numFmtId="0" fontId="39" fillId="0" borderId="232" xfId="1196" applyFont="1" applyBorder="1" applyAlignment="1">
      <alignment horizontal="center" vertical="center"/>
    </xf>
    <xf numFmtId="0" fontId="11" fillId="0" borderId="0" xfId="4498"/>
    <xf numFmtId="0" fontId="336" fillId="0" borderId="234" xfId="1196" applyFont="1" applyBorder="1"/>
    <xf numFmtId="0" fontId="11" fillId="0" borderId="158" xfId="1196" applyBorder="1" applyAlignment="1">
      <alignment horizontal="center"/>
    </xf>
    <xf numFmtId="0" fontId="11" fillId="0" borderId="234" xfId="1196" applyBorder="1" applyAlignment="1">
      <alignment horizontal="center" wrapText="1"/>
    </xf>
    <xf numFmtId="0" fontId="11" fillId="0" borderId="232" xfId="1196" applyBorder="1" applyAlignment="1">
      <alignment horizontal="center"/>
    </xf>
    <xf numFmtId="0" fontId="39" fillId="0" borderId="0" xfId="4498" applyFont="1"/>
    <xf numFmtId="0" fontId="39" fillId="0" borderId="234" xfId="1196" applyFont="1" applyBorder="1"/>
    <xf numFmtId="0" fontId="11" fillId="0" borderId="158" xfId="1196" applyBorder="1"/>
    <xf numFmtId="37" fontId="11" fillId="0" borderId="234" xfId="1196" applyNumberFormat="1" applyBorder="1"/>
    <xf numFmtId="0" fontId="11" fillId="0" borderId="233" xfId="1196" applyBorder="1"/>
    <xf numFmtId="178" fontId="0" fillId="0" borderId="232" xfId="564" applyNumberFormat="1" applyFont="1" applyFill="1" applyBorder="1" applyProtection="1"/>
    <xf numFmtId="0" fontId="11" fillId="0" borderId="234" xfId="1196" applyBorder="1"/>
    <xf numFmtId="0" fontId="11" fillId="37" borderId="234" xfId="1196" applyFill="1" applyBorder="1"/>
    <xf numFmtId="0" fontId="0" fillId="158" borderId="158" xfId="0" applyFill="1" applyBorder="1"/>
    <xf numFmtId="178" fontId="0" fillId="0" borderId="232" xfId="564" applyNumberFormat="1" applyFont="1" applyBorder="1" applyProtection="1"/>
    <xf numFmtId="0" fontId="11" fillId="158" borderId="158" xfId="1196" applyFill="1" applyBorder="1"/>
    <xf numFmtId="174" fontId="11" fillId="0" borderId="0" xfId="4498" applyNumberFormat="1"/>
    <xf numFmtId="181" fontId="11" fillId="0" borderId="0" xfId="4498" applyNumberFormat="1"/>
    <xf numFmtId="178" fontId="11" fillId="0" borderId="0" xfId="4498" applyNumberFormat="1"/>
    <xf numFmtId="0" fontId="11" fillId="0" borderId="234" xfId="4498" applyBorder="1"/>
    <xf numFmtId="178" fontId="39" fillId="0" borderId="234" xfId="4498" applyNumberFormat="1" applyFont="1" applyBorder="1"/>
    <xf numFmtId="0" fontId="11" fillId="0" borderId="160" xfId="1196" applyBorder="1"/>
    <xf numFmtId="0" fontId="11" fillId="37" borderId="233" xfId="1196" applyFill="1" applyBorder="1"/>
    <xf numFmtId="0" fontId="11" fillId="0" borderId="133" xfId="1196" applyBorder="1"/>
    <xf numFmtId="0" fontId="11" fillId="0" borderId="164" xfId="1196" applyBorder="1"/>
    <xf numFmtId="178" fontId="11" fillId="0" borderId="234" xfId="1196" applyNumberFormat="1" applyBorder="1"/>
    <xf numFmtId="195" fontId="0" fillId="0" borderId="234" xfId="580" applyNumberFormat="1" applyFont="1" applyBorder="1" applyProtection="1"/>
    <xf numFmtId="195" fontId="337" fillId="0" borderId="0" xfId="4498" applyNumberFormat="1" applyFont="1"/>
    <xf numFmtId="1" fontId="11" fillId="0" borderId="0" xfId="4498" applyNumberFormat="1"/>
    <xf numFmtId="181" fontId="1" fillId="0" borderId="0" xfId="2283" applyNumberFormat="1" applyFont="1"/>
    <xf numFmtId="181" fontId="1" fillId="0" borderId="72" xfId="2283" applyNumberFormat="1" applyFont="1" applyBorder="1"/>
    <xf numFmtId="0" fontId="11" fillId="0" borderId="165" xfId="1196" applyBorder="1"/>
    <xf numFmtId="0" fontId="335" fillId="0" borderId="0" xfId="1196" applyFont="1"/>
    <xf numFmtId="0" fontId="335" fillId="0" borderId="0" xfId="4498" applyFont="1"/>
    <xf numFmtId="178" fontId="335" fillId="0" borderId="0" xfId="4498" applyNumberFormat="1" applyFont="1"/>
    <xf numFmtId="181" fontId="335" fillId="0" borderId="0" xfId="4498" applyNumberFormat="1" applyFont="1"/>
    <xf numFmtId="0" fontId="11" fillId="37" borderId="230" xfId="1196" applyFill="1" applyBorder="1" applyAlignment="1">
      <alignment horizontal="center"/>
    </xf>
    <xf numFmtId="0" fontId="11" fillId="0" borderId="232" xfId="1196" applyBorder="1"/>
    <xf numFmtId="37" fontId="11" fillId="158" borderId="0" xfId="1196" applyNumberFormat="1" applyFill="1"/>
    <xf numFmtId="0" fontId="11" fillId="0" borderId="230" xfId="1196" applyBorder="1" applyAlignment="1">
      <alignment horizontal="center"/>
    </xf>
    <xf numFmtId="178" fontId="0" fillId="0" borderId="234" xfId="564" applyNumberFormat="1" applyFont="1" applyFill="1" applyBorder="1" applyProtection="1"/>
    <xf numFmtId="195" fontId="11" fillId="0" borderId="0" xfId="1196" applyNumberFormat="1"/>
    <xf numFmtId="0" fontId="11" fillId="0" borderId="160" xfId="1196" applyBorder="1" applyAlignment="1">
      <alignment horizontal="center"/>
    </xf>
    <xf numFmtId="178" fontId="0" fillId="37" borderId="234" xfId="564" applyNumberFormat="1" applyFont="1" applyFill="1" applyBorder="1" applyProtection="1">
      <protection locked="0"/>
    </xf>
    <xf numFmtId="180" fontId="0" fillId="37" borderId="234" xfId="564" applyNumberFormat="1" applyFont="1" applyFill="1" applyBorder="1" applyProtection="1">
      <protection locked="0"/>
    </xf>
    <xf numFmtId="178" fontId="0" fillId="0" borderId="234" xfId="564" applyNumberFormat="1" applyFont="1" applyBorder="1" applyProtection="1"/>
    <xf numFmtId="0" fontId="1" fillId="0" borderId="234" xfId="1196" applyFont="1" applyBorder="1"/>
    <xf numFmtId="0" fontId="1" fillId="37" borderId="230" xfId="1196" applyFont="1" applyFill="1" applyBorder="1" applyAlignment="1">
      <alignment horizontal="center"/>
    </xf>
    <xf numFmtId="0" fontId="11" fillId="0" borderId="230" xfId="1196" applyBorder="1"/>
    <xf numFmtId="0" fontId="11" fillId="0" borderId="244" xfId="1196" applyBorder="1"/>
    <xf numFmtId="0" fontId="11" fillId="0" borderId="5" xfId="1196" applyBorder="1" applyAlignment="1">
      <alignment horizontal="center"/>
    </xf>
    <xf numFmtId="213" fontId="0" fillId="37" borderId="234" xfId="564" applyNumberFormat="1" applyFont="1" applyFill="1" applyBorder="1" applyProtection="1">
      <protection locked="0"/>
    </xf>
    <xf numFmtId="0" fontId="11" fillId="0" borderId="244" xfId="1196" applyBorder="1" applyAlignment="1">
      <alignment horizontal="center"/>
    </xf>
    <xf numFmtId="178" fontId="0" fillId="0" borderId="240" xfId="564" applyNumberFormat="1" applyFont="1" applyFill="1" applyBorder="1" applyProtection="1"/>
    <xf numFmtId="178" fontId="0" fillId="0" borderId="233" xfId="564" applyNumberFormat="1" applyFont="1" applyBorder="1" applyProtection="1"/>
    <xf numFmtId="0" fontId="11" fillId="37" borderId="234" xfId="1196" applyFill="1" applyBorder="1" applyAlignment="1">
      <alignment horizontal="center"/>
    </xf>
    <xf numFmtId="0" fontId="11" fillId="0" borderId="5" xfId="1196" applyBorder="1"/>
    <xf numFmtId="43" fontId="0" fillId="37" borderId="234" xfId="564" applyNumberFormat="1" applyFont="1" applyFill="1" applyBorder="1" applyProtection="1">
      <protection locked="0"/>
    </xf>
    <xf numFmtId="0" fontId="11" fillId="0" borderId="165" xfId="1196" applyBorder="1" applyAlignment="1">
      <alignment horizontal="center"/>
    </xf>
    <xf numFmtId="178" fontId="0" fillId="0" borderId="17" xfId="564" applyNumberFormat="1" applyFont="1" applyBorder="1" applyProtection="1"/>
    <xf numFmtId="10" fontId="39" fillId="0" borderId="234" xfId="1196" applyNumberFormat="1" applyFont="1" applyBorder="1"/>
    <xf numFmtId="0" fontId="39" fillId="0" borderId="158" xfId="1196" applyFont="1" applyBorder="1"/>
    <xf numFmtId="178" fontId="39" fillId="0" borderId="245" xfId="564" applyNumberFormat="1" applyFont="1" applyBorder="1" applyProtection="1"/>
    <xf numFmtId="10" fontId="39" fillId="0" borderId="0" xfId="1196" applyNumberFormat="1" applyFont="1"/>
    <xf numFmtId="178" fontId="39" fillId="0" borderId="0" xfId="564" applyNumberFormat="1" applyFont="1" applyBorder="1" applyProtection="1"/>
    <xf numFmtId="0" fontId="1" fillId="0" borderId="158" xfId="1196" applyFont="1" applyBorder="1"/>
    <xf numFmtId="195" fontId="11" fillId="0" borderId="234" xfId="1196" applyNumberFormat="1" applyBorder="1"/>
    <xf numFmtId="195" fontId="39" fillId="0" borderId="234" xfId="1196" applyNumberFormat="1" applyFont="1" applyBorder="1"/>
    <xf numFmtId="174" fontId="14" fillId="0" borderId="0" xfId="0" applyNumberFormat="1" applyFont="1" applyBorder="1"/>
    <xf numFmtId="174" fontId="11" fillId="0" borderId="0" xfId="0" applyNumberFormat="1" applyFont="1" applyFill="1" applyBorder="1"/>
    <xf numFmtId="0" fontId="14" fillId="162" borderId="0" xfId="0" applyFont="1" applyFill="1" applyBorder="1" applyAlignment="1">
      <alignment horizontal="center" wrapText="1"/>
    </xf>
    <xf numFmtId="178" fontId="11" fillId="0" borderId="168" xfId="1" applyNumberFormat="1" applyFont="1" applyFill="1" applyBorder="1"/>
    <xf numFmtId="178" fontId="11" fillId="37" borderId="0" xfId="1" applyNumberFormat="1" applyFont="1" applyFill="1"/>
    <xf numFmtId="178" fontId="11" fillId="37" borderId="0" xfId="1" applyNumberFormat="1" applyFont="1" applyFill="1" applyBorder="1"/>
    <xf numFmtId="0" fontId="11" fillId="37" borderId="0" xfId="0" applyFont="1" applyFill="1"/>
    <xf numFmtId="37" fontId="11" fillId="37" borderId="0" xfId="0" applyNumberFormat="1" applyFont="1" applyFill="1" applyBorder="1"/>
    <xf numFmtId="178" fontId="335" fillId="0" borderId="0" xfId="1" applyNumberFormat="1" applyFont="1" applyProtection="1"/>
    <xf numFmtId="195" fontId="11" fillId="0" borderId="246" xfId="1196" applyNumberFormat="1" applyBorder="1"/>
    <xf numFmtId="0" fontId="11" fillId="0" borderId="152" xfId="1196" applyBorder="1"/>
    <xf numFmtId="0" fontId="39" fillId="3" borderId="234" xfId="1196" applyFont="1" applyFill="1" applyBorder="1" applyAlignment="1">
      <alignment horizontal="center"/>
    </xf>
    <xf numFmtId="178" fontId="11" fillId="0" borderId="246" xfId="1" applyNumberFormat="1" applyBorder="1"/>
    <xf numFmtId="3" fontId="51" fillId="0" borderId="0" xfId="3258" applyNumberFormat="1" applyFont="1" applyBorder="1"/>
    <xf numFmtId="3" fontId="55" fillId="37" borderId="148" xfId="3258" applyNumberFormat="1" applyFont="1" applyFill="1" applyBorder="1"/>
    <xf numFmtId="0" fontId="17" fillId="0" borderId="244" xfId="4" applyFont="1" applyBorder="1" applyAlignment="1">
      <alignment horizontal="right"/>
    </xf>
    <xf numFmtId="179" fontId="17" fillId="0" borderId="247" xfId="4" applyNumberFormat="1" applyFont="1" applyBorder="1" applyAlignment="1">
      <alignment horizontal="right"/>
    </xf>
    <xf numFmtId="179" fontId="11" fillId="0" borderId="247" xfId="4" applyNumberFormat="1" applyBorder="1"/>
    <xf numFmtId="0" fontId="243" fillId="0" borderId="160" xfId="4" applyFont="1" applyBorder="1" applyAlignment="1">
      <alignment horizontal="right"/>
    </xf>
    <xf numFmtId="0" fontId="23" fillId="0" borderId="160" xfId="4" applyFont="1" applyBorder="1"/>
    <xf numFmtId="0" fontId="11" fillId="0" borderId="160" xfId="4" applyBorder="1"/>
    <xf numFmtId="0" fontId="17" fillId="0" borderId="152" xfId="4" applyFont="1" applyBorder="1"/>
    <xf numFmtId="0" fontId="11" fillId="0" borderId="250" xfId="4" applyBorder="1"/>
    <xf numFmtId="178" fontId="243" fillId="0" borderId="249" xfId="4" applyNumberFormat="1" applyFont="1" applyBorder="1" applyAlignment="1">
      <alignment horizontal="right"/>
    </xf>
    <xf numFmtId="178" fontId="51" fillId="0" borderId="249" xfId="4" applyNumberFormat="1" applyFont="1" applyBorder="1"/>
    <xf numFmtId="0" fontId="11" fillId="0" borderId="249" xfId="4" applyBorder="1"/>
    <xf numFmtId="0" fontId="16" fillId="0" borderId="3" xfId="0" applyFont="1" applyBorder="1" applyAlignment="1">
      <alignment horizontal="centerContinuous"/>
    </xf>
    <xf numFmtId="0" fontId="0" fillId="0" borderId="2" xfId="0" applyBorder="1"/>
    <xf numFmtId="0" fontId="16" fillId="0" borderId="3" xfId="0" applyFont="1" applyBorder="1" applyAlignment="1">
      <alignment horizontal="center"/>
    </xf>
    <xf numFmtId="0" fontId="24" fillId="0" borderId="251" xfId="4" applyFont="1" applyBorder="1" applyAlignment="1">
      <alignment horizontal="right"/>
    </xf>
    <xf numFmtId="0" fontId="24" fillId="0" borderId="248" xfId="4" applyFont="1" applyBorder="1" applyAlignment="1">
      <alignment wrapText="1"/>
    </xf>
    <xf numFmtId="0" fontId="24" fillId="0" borderId="251" xfId="4" applyFont="1" applyBorder="1"/>
    <xf numFmtId="0" fontId="24" fillId="0" borderId="215" xfId="4" applyFont="1" applyBorder="1"/>
    <xf numFmtId="179" fontId="17" fillId="0" borderId="0" xfId="4" applyNumberFormat="1" applyFont="1" applyAlignment="1">
      <alignment horizontal="right"/>
    </xf>
    <xf numFmtId="179" fontId="24" fillId="0" borderId="249" xfId="4" applyNumberFormat="1" applyFont="1" applyBorder="1"/>
    <xf numFmtId="179" fontId="17" fillId="0" borderId="5" xfId="4" applyNumberFormat="1" applyFont="1" applyBorder="1"/>
    <xf numFmtId="179" fontId="17" fillId="0" borderId="246" xfId="4" applyNumberFormat="1" applyFont="1" applyBorder="1" applyAlignment="1">
      <alignment horizontal="right"/>
    </xf>
    <xf numFmtId="179" fontId="17" fillId="0" borderId="252" xfId="4" applyNumberFormat="1" applyFont="1" applyBorder="1"/>
    <xf numFmtId="179" fontId="17" fillId="0" borderId="133" xfId="4" applyNumberFormat="1" applyFont="1" applyBorder="1"/>
    <xf numFmtId="178" fontId="243" fillId="0" borderId="0" xfId="4" applyNumberFormat="1" applyFont="1" applyAlignment="1">
      <alignment horizontal="right"/>
    </xf>
    <xf numFmtId="178" fontId="11" fillId="0" borderId="0" xfId="4" applyNumberFormat="1"/>
    <xf numFmtId="0" fontId="24" fillId="0" borderId="231" xfId="4" applyFont="1" applyBorder="1" applyAlignment="1">
      <alignment horizontal="right"/>
    </xf>
    <xf numFmtId="0" fontId="24" fillId="0" borderId="231" xfId="4" applyFont="1" applyBorder="1"/>
    <xf numFmtId="0" fontId="24" fillId="0" borderId="232" xfId="4" applyFont="1" applyBorder="1"/>
    <xf numFmtId="179" fontId="24" fillId="0" borderId="253" xfId="4" applyNumberFormat="1" applyFont="1" applyBorder="1"/>
    <xf numFmtId="179" fontId="243" fillId="0" borderId="0" xfId="4" applyNumberFormat="1" applyFont="1" applyAlignment="1">
      <alignment horizontal="right"/>
    </xf>
    <xf numFmtId="178" fontId="51" fillId="0" borderId="0" xfId="4" applyNumberFormat="1" applyFont="1"/>
    <xf numFmtId="0" fontId="51" fillId="0" borderId="0" xfId="4" applyFont="1"/>
    <xf numFmtId="3" fontId="11" fillId="37" borderId="31" xfId="0" applyNumberFormat="1" applyFont="1" applyFill="1" applyBorder="1" applyAlignment="1">
      <alignment horizontal="center"/>
    </xf>
    <xf numFmtId="174" fontId="0" fillId="0" borderId="108" xfId="0" applyNumberFormat="1" applyBorder="1" applyAlignment="1">
      <alignment horizontal="center"/>
    </xf>
    <xf numFmtId="0" fontId="0" fillId="0" borderId="130" xfId="0" applyBorder="1" applyAlignment="1">
      <alignment horizontal="right"/>
    </xf>
    <xf numFmtId="174" fontId="0" fillId="0" borderId="105" xfId="0" applyNumberFormat="1" applyBorder="1" applyAlignment="1">
      <alignment horizontal="center"/>
    </xf>
    <xf numFmtId="174" fontId="0" fillId="0" borderId="0" xfId="0" applyNumberFormat="1" applyBorder="1" applyAlignment="1">
      <alignment horizontal="center"/>
    </xf>
    <xf numFmtId="2" fontId="14" fillId="37" borderId="234" xfId="13" applyNumberFormat="1" applyFont="1" applyFill="1" applyBorder="1" applyAlignment="1" applyProtection="1">
      <alignment horizontal="center" wrapText="1"/>
      <protection locked="0"/>
    </xf>
    <xf numFmtId="0" fontId="14" fillId="0" borderId="0" xfId="0" applyFont="1" applyBorder="1" applyAlignment="1">
      <alignment horizontal="center" wrapText="1"/>
    </xf>
    <xf numFmtId="178" fontId="11" fillId="37" borderId="234" xfId="1" applyNumberFormat="1" applyFont="1" applyFill="1" applyBorder="1" applyAlignment="1" applyProtection="1">
      <protection locked="0"/>
    </xf>
    <xf numFmtId="178" fontId="11" fillId="39" borderId="234" xfId="1" applyNumberFormat="1" applyFont="1" applyFill="1" applyBorder="1" applyAlignment="1" applyProtection="1">
      <protection locked="0"/>
    </xf>
    <xf numFmtId="178" fontId="11" fillId="89" borderId="234" xfId="1" applyNumberFormat="1" applyFont="1" applyFill="1" applyBorder="1" applyAlignment="1" applyProtection="1">
      <protection locked="0"/>
    </xf>
    <xf numFmtId="181" fontId="11" fillId="0" borderId="234" xfId="13" applyNumberFormat="1" applyFont="1" applyFill="1" applyBorder="1" applyAlignment="1" applyProtection="1">
      <alignment horizontal="center"/>
      <protection locked="0"/>
    </xf>
    <xf numFmtId="3" fontId="14" fillId="0" borderId="0" xfId="12" applyNumberFormat="1" applyFont="1" applyBorder="1"/>
    <xf numFmtId="3" fontId="11" fillId="0" borderId="0" xfId="12" applyNumberFormat="1" applyFont="1" applyProtection="1">
      <protection locked="0"/>
    </xf>
    <xf numFmtId="3" fontId="11" fillId="0" borderId="0" xfId="12" applyNumberFormat="1" applyFont="1" applyBorder="1"/>
    <xf numFmtId="174" fontId="11" fillId="0" borderId="18" xfId="1077" applyNumberFormat="1" applyFont="1" applyBorder="1" applyAlignment="1">
      <alignment horizontal="right" vertical="center"/>
    </xf>
    <xf numFmtId="0" fontId="11" fillId="0" borderId="0" xfId="1216" applyBorder="1" applyAlignment="1">
      <alignment horizontal="center"/>
    </xf>
    <xf numFmtId="194" fontId="11" fillId="0" borderId="0" xfId="1216" applyNumberFormat="1" applyBorder="1" applyAlignment="1">
      <alignment horizontal="center"/>
    </xf>
    <xf numFmtId="0" fontId="11" fillId="0" borderId="246" xfId="1216" applyBorder="1"/>
    <xf numFmtId="0" fontId="11" fillId="0" borderId="246" xfId="1216" applyBorder="1" applyAlignment="1">
      <alignment horizontal="center"/>
    </xf>
    <xf numFmtId="194" fontId="11" fillId="0" borderId="246" xfId="1216" applyNumberFormat="1" applyBorder="1" applyAlignment="1">
      <alignment horizontal="center"/>
    </xf>
    <xf numFmtId="3" fontId="11" fillId="0" borderId="246" xfId="1216" applyNumberFormat="1" applyFont="1" applyFill="1" applyBorder="1" applyAlignment="1">
      <alignment horizontal="center"/>
    </xf>
    <xf numFmtId="175" fontId="11" fillId="0" borderId="246" xfId="1216" applyNumberFormat="1" applyBorder="1" applyAlignment="1">
      <alignment horizontal="center"/>
    </xf>
    <xf numFmtId="3" fontId="11" fillId="0" borderId="0" xfId="1216" applyNumberFormat="1" applyAlignment="1">
      <alignment horizontal="left"/>
    </xf>
    <xf numFmtId="0" fontId="11" fillId="0" borderId="0" xfId="1216" applyBorder="1" applyAlignment="1">
      <alignment horizontal="left"/>
    </xf>
    <xf numFmtId="0" fontId="11" fillId="0" borderId="246" xfId="1216" applyBorder="1" applyAlignment="1">
      <alignment horizontal="left"/>
    </xf>
    <xf numFmtId="0" fontId="11" fillId="0" borderId="246" xfId="1216" applyFont="1" applyBorder="1"/>
    <xf numFmtId="3" fontId="11" fillId="0" borderId="246" xfId="1216" applyNumberFormat="1" applyBorder="1" applyAlignment="1">
      <alignment horizontal="center"/>
    </xf>
    <xf numFmtId="0" fontId="0" fillId="0" borderId="246" xfId="0" applyBorder="1" applyAlignment="1">
      <alignment horizontal="right"/>
    </xf>
    <xf numFmtId="3" fontId="11" fillId="37" borderId="246" xfId="0" applyNumberFormat="1" applyFont="1" applyFill="1" applyBorder="1" applyAlignment="1">
      <alignment horizontal="center"/>
    </xf>
    <xf numFmtId="3" fontId="0" fillId="37" borderId="246" xfId="0" applyNumberFormat="1" applyFill="1" applyBorder="1" applyAlignment="1">
      <alignment horizontal="center"/>
    </xf>
    <xf numFmtId="3" fontId="12" fillId="37" borderId="246" xfId="0" applyNumberFormat="1" applyFont="1" applyFill="1" applyBorder="1" applyAlignment="1">
      <alignment horizontal="center"/>
    </xf>
    <xf numFmtId="176" fontId="0" fillId="0" borderId="0" xfId="0" applyNumberFormat="1" applyBorder="1" applyAlignment="1">
      <alignment horizontal="center"/>
    </xf>
    <xf numFmtId="0" fontId="11" fillId="0" borderId="246" xfId="0" applyFont="1" applyBorder="1" applyAlignment="1">
      <alignment horizontal="right"/>
    </xf>
    <xf numFmtId="176" fontId="0" fillId="0" borderId="246" xfId="0" applyNumberFormat="1" applyBorder="1" applyAlignment="1">
      <alignment horizontal="center"/>
    </xf>
    <xf numFmtId="176" fontId="242" fillId="0" borderId="0" xfId="0" applyNumberFormat="1" applyFont="1" applyAlignment="1">
      <alignment horizontal="center"/>
    </xf>
    <xf numFmtId="0" fontId="338" fillId="158" borderId="0" xfId="1216" applyFont="1" applyFill="1"/>
    <xf numFmtId="172" fontId="338" fillId="158" borderId="0" xfId="1216" applyNumberFormat="1" applyFont="1" applyFill="1" applyAlignment="1">
      <alignment horizontal="center"/>
    </xf>
    <xf numFmtId="173" fontId="338" fillId="158" borderId="0" xfId="1216" applyNumberFormat="1" applyFont="1" applyFill="1" applyAlignment="1">
      <alignment horizontal="center"/>
    </xf>
    <xf numFmtId="3" fontId="14" fillId="0" borderId="0" xfId="0" applyNumberFormat="1" applyFont="1" applyFill="1" applyBorder="1" applyAlignment="1">
      <alignment horizontal="center"/>
    </xf>
    <xf numFmtId="3" fontId="14" fillId="3" borderId="0" xfId="0" applyNumberFormat="1" applyFont="1" applyFill="1" applyBorder="1" applyAlignment="1">
      <alignment horizontal="center"/>
    </xf>
    <xf numFmtId="0" fontId="14" fillId="0" borderId="0" xfId="15" applyFont="1" applyFill="1" applyBorder="1" applyAlignment="1">
      <alignment horizontal="center"/>
    </xf>
    <xf numFmtId="0" fontId="14" fillId="0" borderId="0" xfId="15" applyFont="1" applyFill="1" applyBorder="1" applyAlignment="1">
      <alignment horizontal="left"/>
    </xf>
    <xf numFmtId="3" fontId="11" fillId="0" borderId="0" xfId="12" applyNumberFormat="1" applyFont="1" applyBorder="1" applyProtection="1">
      <protection locked="0"/>
    </xf>
    <xf numFmtId="3" fontId="14" fillId="0" borderId="0" xfId="12" applyNumberFormat="1" applyFont="1" applyBorder="1" applyProtection="1">
      <protection locked="0"/>
    </xf>
    <xf numFmtId="9" fontId="11" fillId="0" borderId="0" xfId="14" applyFont="1" applyBorder="1" applyProtection="1">
      <protection locked="0"/>
    </xf>
    <xf numFmtId="0" fontId="14" fillId="0" borderId="251" xfId="0" applyFont="1" applyBorder="1" applyAlignment="1">
      <alignment horizontal="center" wrapText="1"/>
    </xf>
    <xf numFmtId="3" fontId="11" fillId="0" borderId="0" xfId="0" applyNumberFormat="1" applyFont="1" applyFill="1" applyBorder="1" applyAlignment="1">
      <alignment horizontal="center"/>
    </xf>
    <xf numFmtId="180" fontId="18" fillId="0" borderId="0" xfId="1" applyNumberFormat="1" applyFont="1" applyFill="1" applyBorder="1" applyAlignment="1">
      <alignment horizontal="center"/>
    </xf>
    <xf numFmtId="3" fontId="0" fillId="0" borderId="246" xfId="0" applyNumberFormat="1" applyFill="1" applyBorder="1" applyAlignment="1">
      <alignment horizontal="center"/>
    </xf>
    <xf numFmtId="0" fontId="14" fillId="0" borderId="215" xfId="0" applyFont="1" applyFill="1" applyBorder="1" applyAlignment="1">
      <alignment horizontal="center" wrapText="1"/>
    </xf>
    <xf numFmtId="173" fontId="0" fillId="0" borderId="5" xfId="0" applyNumberFormat="1" applyFill="1" applyBorder="1" applyAlignment="1">
      <alignment horizontal="center"/>
    </xf>
    <xf numFmtId="3" fontId="0" fillId="0" borderId="254" xfId="0" applyNumberFormat="1" applyFill="1" applyBorder="1" applyAlignment="1">
      <alignment horizontal="center"/>
    </xf>
    <xf numFmtId="0" fontId="0" fillId="0" borderId="247" xfId="0" applyBorder="1" applyAlignment="1">
      <alignment horizontal="right"/>
    </xf>
    <xf numFmtId="3" fontId="12" fillId="37" borderId="247" xfId="0" applyNumberFormat="1" applyFont="1" applyFill="1" applyBorder="1" applyAlignment="1">
      <alignment horizontal="center"/>
    </xf>
    <xf numFmtId="49" fontId="51" fillId="0" borderId="56" xfId="12" applyNumberFormat="1" applyFont="1" applyBorder="1" applyAlignment="1" applyProtection="1">
      <alignment horizontal="left"/>
      <protection locked="0"/>
    </xf>
    <xf numFmtId="181" fontId="51" fillId="0" borderId="56" xfId="13" applyNumberFormat="1" applyFont="1" applyBorder="1" applyAlignment="1" applyProtection="1">
      <alignment horizontal="center"/>
      <protection locked="0"/>
    </xf>
    <xf numFmtId="49" fontId="51" fillId="0" borderId="0" xfId="12" applyNumberFormat="1" applyFont="1" applyBorder="1" applyAlignment="1" applyProtection="1">
      <alignment horizontal="left"/>
      <protection locked="0"/>
    </xf>
    <xf numFmtId="181" fontId="51" fillId="0" borderId="0" xfId="13" applyNumberFormat="1" applyFont="1" applyBorder="1" applyAlignment="1" applyProtection="1">
      <alignment horizontal="center"/>
      <protection locked="0"/>
    </xf>
    <xf numFmtId="0" fontId="339" fillId="0" borderId="121" xfId="0" applyFont="1" applyBorder="1"/>
    <xf numFmtId="178" fontId="11" fillId="0" borderId="0" xfId="12" applyNumberFormat="1" applyFont="1" applyFill="1"/>
    <xf numFmtId="9" fontId="51" fillId="0" borderId="0" xfId="2" applyFont="1" applyFill="1" applyBorder="1" applyAlignment="1">
      <alignment horizontal="center"/>
    </xf>
    <xf numFmtId="0" fontId="14" fillId="0" borderId="234" xfId="15" applyFont="1" applyFill="1" applyBorder="1" applyAlignment="1">
      <alignment horizontal="center"/>
    </xf>
    <xf numFmtId="0" fontId="14" fillId="0" borderId="234" xfId="15" applyFont="1" applyFill="1" applyBorder="1" applyAlignment="1">
      <alignment horizontal="left"/>
    </xf>
    <xf numFmtId="0" fontId="14" fillId="0" borderId="234" xfId="16" applyFont="1" applyFill="1" applyBorder="1" applyAlignment="1">
      <alignment horizontal="center"/>
    </xf>
    <xf numFmtId="49" fontId="11" fillId="0" borderId="234" xfId="1216" applyNumberFormat="1" applyFill="1" applyBorder="1" applyAlignment="1">
      <alignment horizontal="center"/>
    </xf>
    <xf numFmtId="0" fontId="11" fillId="0" borderId="234" xfId="1216" applyNumberFormat="1" applyFill="1" applyBorder="1" applyAlignment="1">
      <alignment horizontal="center"/>
    </xf>
    <xf numFmtId="3" fontId="11" fillId="0" borderId="234" xfId="1216" applyNumberFormat="1" applyFill="1" applyBorder="1" applyAlignment="1">
      <alignment horizontal="center"/>
    </xf>
    <xf numFmtId="171" fontId="11" fillId="0" borderId="234" xfId="2" applyNumberFormat="1" applyFill="1" applyBorder="1" applyAlignment="1">
      <alignment horizontal="center"/>
    </xf>
    <xf numFmtId="49" fontId="11" fillId="0" borderId="234" xfId="1216" applyNumberFormat="1" applyBorder="1" applyAlignment="1">
      <alignment horizontal="center"/>
    </xf>
    <xf numFmtId="3" fontId="11" fillId="0" borderId="234" xfId="1216" applyNumberFormat="1" applyBorder="1" applyAlignment="1">
      <alignment horizontal="center"/>
    </xf>
    <xf numFmtId="0" fontId="11" fillId="0" borderId="234" xfId="1216" applyFill="1" applyBorder="1" applyAlignment="1">
      <alignment horizontal="center"/>
    </xf>
    <xf numFmtId="0" fontId="11" fillId="0" borderId="0" xfId="16" applyFont="1" applyFill="1" applyBorder="1" applyAlignment="1"/>
    <xf numFmtId="3" fontId="14" fillId="2" borderId="40" xfId="1216" applyNumberFormat="1" applyFont="1" applyFill="1" applyBorder="1" applyAlignment="1">
      <alignment horizontal="center"/>
    </xf>
    <xf numFmtId="49" fontId="11" fillId="0" borderId="0" xfId="1216" applyNumberFormat="1" applyAlignment="1">
      <alignment horizontal="center"/>
    </xf>
    <xf numFmtId="175" fontId="11" fillId="0" borderId="231" xfId="1216" applyNumberFormat="1" applyBorder="1" applyAlignment="1">
      <alignment horizontal="center"/>
    </xf>
    <xf numFmtId="49" fontId="14" fillId="37" borderId="0" xfId="1216" applyNumberFormat="1" applyFont="1" applyFill="1" applyAlignment="1">
      <alignment horizontal="center"/>
    </xf>
    <xf numFmtId="175" fontId="14" fillId="37" borderId="0" xfId="1216" applyNumberFormat="1" applyFont="1" applyFill="1" applyAlignment="1">
      <alignment horizontal="center"/>
    </xf>
    <xf numFmtId="178" fontId="51" fillId="0" borderId="0" xfId="1" applyNumberFormat="1" applyFont="1" applyAlignment="1"/>
    <xf numFmtId="0" fontId="11" fillId="37" borderId="0" xfId="12" applyFont="1" applyFill="1" applyBorder="1" applyAlignment="1">
      <alignment horizontal="left"/>
    </xf>
    <xf numFmtId="0" fontId="11" fillId="37" borderId="0" xfId="12" applyFont="1" applyFill="1" applyBorder="1" applyProtection="1">
      <protection locked="0"/>
    </xf>
    <xf numFmtId="0" fontId="51" fillId="0" borderId="57" xfId="0" applyFont="1" applyFill="1" applyBorder="1"/>
    <xf numFmtId="0" fontId="51" fillId="0" borderId="0" xfId="0" applyFont="1" applyAlignment="1">
      <alignment wrapText="1"/>
    </xf>
    <xf numFmtId="178" fontId="51" fillId="0" borderId="0" xfId="1" applyNumberFormat="1" applyFont="1" applyFill="1" applyBorder="1" applyAlignment="1">
      <alignment horizontal="center"/>
    </xf>
    <xf numFmtId="3" fontId="11" fillId="37" borderId="0" xfId="1216" applyNumberFormat="1" applyFont="1" applyFill="1" applyBorder="1" applyAlignment="1">
      <alignment horizontal="center"/>
    </xf>
    <xf numFmtId="3" fontId="11" fillId="37" borderId="0" xfId="1216" applyNumberFormat="1" applyFill="1" applyBorder="1" applyAlignment="1">
      <alignment horizontal="center"/>
    </xf>
    <xf numFmtId="3" fontId="11" fillId="3" borderId="0" xfId="1216" applyNumberFormat="1" applyFill="1" applyBorder="1" applyAlignment="1">
      <alignment horizontal="center"/>
    </xf>
    <xf numFmtId="0" fontId="11" fillId="0" borderId="255" xfId="1216" applyBorder="1"/>
    <xf numFmtId="0" fontId="11" fillId="0" borderId="256" xfId="1216" applyBorder="1"/>
    <xf numFmtId="0" fontId="11" fillId="0" borderId="256" xfId="1216" applyBorder="1" applyAlignment="1">
      <alignment horizontal="center"/>
    </xf>
    <xf numFmtId="194" fontId="11" fillId="0" borderId="256" xfId="1216" applyNumberFormat="1" applyBorder="1" applyAlignment="1">
      <alignment horizontal="center"/>
    </xf>
    <xf numFmtId="3" fontId="11" fillId="0" borderId="256" xfId="1216" applyNumberFormat="1" applyFont="1" applyFill="1" applyBorder="1" applyAlignment="1">
      <alignment horizontal="center"/>
    </xf>
    <xf numFmtId="3" fontId="11" fillId="0" borderId="257" xfId="1216" applyNumberFormat="1" applyFont="1" applyFill="1" applyBorder="1" applyAlignment="1">
      <alignment horizontal="center"/>
    </xf>
    <xf numFmtId="0" fontId="11" fillId="0" borderId="258" xfId="1216" applyBorder="1"/>
    <xf numFmtId="3" fontId="11" fillId="0" borderId="259" xfId="1216" applyNumberFormat="1" applyFont="1" applyFill="1" applyBorder="1" applyAlignment="1">
      <alignment horizontal="center"/>
    </xf>
    <xf numFmtId="3" fontId="11" fillId="37" borderId="259" xfId="1216" applyNumberFormat="1" applyFill="1" applyBorder="1" applyAlignment="1">
      <alignment horizontal="center"/>
    </xf>
    <xf numFmtId="0" fontId="11" fillId="0" borderId="260" xfId="1216" applyBorder="1"/>
    <xf numFmtId="0" fontId="11" fillId="0" borderId="80" xfId="1216" applyBorder="1"/>
    <xf numFmtId="0" fontId="11" fillId="0" borderId="80" xfId="1216" applyBorder="1" applyAlignment="1">
      <alignment horizontal="center"/>
    </xf>
    <xf numFmtId="3" fontId="11" fillId="0" borderId="80" xfId="1216" applyNumberFormat="1" applyBorder="1" applyAlignment="1">
      <alignment horizontal="center"/>
    </xf>
    <xf numFmtId="3" fontId="241" fillId="0" borderId="80" xfId="1216" applyNumberFormat="1" applyFont="1" applyBorder="1" applyAlignment="1">
      <alignment horizontal="center"/>
    </xf>
    <xf numFmtId="3" fontId="241" fillId="0" borderId="261" xfId="1216" applyNumberFormat="1" applyFont="1" applyBorder="1" applyAlignment="1">
      <alignment horizontal="center"/>
    </xf>
    <xf numFmtId="49" fontId="14" fillId="0" borderId="258" xfId="1216" applyNumberFormat="1" applyFont="1" applyBorder="1"/>
    <xf numFmtId="0" fontId="14" fillId="0" borderId="0" xfId="1216" applyFont="1" applyBorder="1"/>
    <xf numFmtId="0" fontId="226" fillId="0" borderId="118" xfId="3258" applyFont="1" applyBorder="1" applyAlignment="1">
      <alignment horizontal="center"/>
    </xf>
    <xf numFmtId="0" fontId="226" fillId="0" borderId="119" xfId="3258" applyFont="1" applyBorder="1" applyAlignment="1">
      <alignment horizontal="center"/>
    </xf>
    <xf numFmtId="0" fontId="226" fillId="0" borderId="120" xfId="3258" applyFont="1" applyBorder="1" applyAlignment="1">
      <alignment horizontal="center"/>
    </xf>
    <xf numFmtId="0" fontId="235" fillId="0" borderId="134" xfId="6031" applyFont="1" applyBorder="1" applyAlignment="1">
      <alignment horizontal="center"/>
    </xf>
    <xf numFmtId="0" fontId="235" fillId="0" borderId="135" xfId="6031" applyFont="1" applyBorder="1" applyAlignment="1">
      <alignment horizontal="center"/>
    </xf>
    <xf numFmtId="0" fontId="235" fillId="0" borderId="136" xfId="6031" applyFont="1" applyBorder="1" applyAlignment="1">
      <alignment horizontal="center"/>
    </xf>
    <xf numFmtId="0" fontId="235" fillId="0" borderId="117" xfId="6035" applyFont="1" applyBorder="1" applyAlignment="1">
      <alignment horizontal="center"/>
    </xf>
    <xf numFmtId="0" fontId="235" fillId="0" borderId="101" xfId="6035" applyFont="1" applyBorder="1" applyAlignment="1">
      <alignment horizontal="center"/>
    </xf>
    <xf numFmtId="0" fontId="88" fillId="0" borderId="126" xfId="3258" applyFont="1" applyBorder="1" applyAlignment="1">
      <alignment horizontal="center" vertical="center"/>
    </xf>
    <xf numFmtId="0" fontId="88" fillId="0" borderId="127" xfId="3258" applyFont="1" applyBorder="1" applyAlignment="1">
      <alignment horizontal="center" vertical="center"/>
    </xf>
    <xf numFmtId="0" fontId="88" fillId="0" borderId="214" xfId="3258" applyFont="1" applyBorder="1" applyAlignment="1">
      <alignment horizontal="center" vertical="center"/>
    </xf>
    <xf numFmtId="0" fontId="88" fillId="0" borderId="215" xfId="3258" applyFont="1" applyBorder="1" applyAlignment="1">
      <alignment horizontal="center" vertical="center"/>
    </xf>
    <xf numFmtId="0" fontId="11" fillId="0" borderId="134" xfId="0" applyFont="1" applyFill="1" applyBorder="1" applyAlignment="1" applyProtection="1">
      <alignment horizontal="left"/>
      <protection locked="0"/>
    </xf>
    <xf numFmtId="0" fontId="11" fillId="0" borderId="104" xfId="0" applyFont="1" applyFill="1" applyBorder="1" applyAlignment="1" applyProtection="1">
      <alignment horizontal="left"/>
      <protection locked="0"/>
    </xf>
    <xf numFmtId="0" fontId="11" fillId="0" borderId="136" xfId="0" applyFont="1" applyFill="1" applyBorder="1" applyAlignment="1" applyProtection="1">
      <alignment horizontal="left"/>
      <protection locked="0"/>
    </xf>
    <xf numFmtId="0" fontId="11" fillId="0" borderId="142" xfId="0" applyFont="1" applyFill="1" applyBorder="1" applyAlignment="1" applyProtection="1">
      <alignment horizontal="left"/>
      <protection locked="0"/>
    </xf>
    <xf numFmtId="0" fontId="11" fillId="0" borderId="112" xfId="0" applyFont="1" applyFill="1" applyBorder="1" applyAlignment="1" applyProtection="1">
      <alignment horizontal="left"/>
      <protection locked="0"/>
    </xf>
    <xf numFmtId="0" fontId="11" fillId="0" borderId="144" xfId="0" applyFont="1" applyFill="1" applyBorder="1" applyAlignment="1" applyProtection="1">
      <alignment horizontal="left"/>
      <protection locked="0"/>
    </xf>
    <xf numFmtId="0" fontId="11" fillId="0" borderId="111" xfId="0" applyFont="1" applyFill="1" applyBorder="1" applyAlignment="1" applyProtection="1">
      <alignment horizontal="left"/>
      <protection locked="0"/>
    </xf>
    <xf numFmtId="0" fontId="11" fillId="0" borderId="117" xfId="0" applyFont="1" applyFill="1" applyBorder="1" applyAlignment="1" applyProtection="1">
      <alignment horizontal="left"/>
      <protection locked="0"/>
    </xf>
    <xf numFmtId="0" fontId="11" fillId="0" borderId="148" xfId="0" applyFont="1" applyFill="1" applyBorder="1" applyAlignment="1" applyProtection="1">
      <alignment horizontal="left"/>
      <protection locked="0"/>
    </xf>
    <xf numFmtId="0" fontId="11" fillId="0" borderId="137" xfId="0" applyFont="1" applyFill="1" applyBorder="1" applyAlignment="1" applyProtection="1">
      <alignment horizontal="left"/>
      <protection locked="0"/>
    </xf>
    <xf numFmtId="0" fontId="11" fillId="0" borderId="109" xfId="0" applyFont="1" applyFill="1" applyBorder="1" applyAlignment="1" applyProtection="1">
      <alignment horizontal="left"/>
      <protection locked="0"/>
    </xf>
    <xf numFmtId="0" fontId="11" fillId="0" borderId="138" xfId="0" applyFont="1" applyFill="1" applyBorder="1" applyAlignment="1" applyProtection="1">
      <alignment horizontal="left"/>
      <protection locked="0"/>
    </xf>
    <xf numFmtId="0" fontId="11" fillId="0" borderId="110" xfId="0" applyFont="1" applyFill="1" applyBorder="1" applyAlignment="1" applyProtection="1">
      <alignment horizontal="left"/>
      <protection locked="0"/>
    </xf>
    <xf numFmtId="0" fontId="11" fillId="0" borderId="149" xfId="0" applyFont="1" applyFill="1" applyBorder="1" applyAlignment="1" applyProtection="1">
      <alignment horizontal="left"/>
      <protection locked="0"/>
    </xf>
    <xf numFmtId="0" fontId="11" fillId="0" borderId="57" xfId="0" applyFont="1" applyFill="1" applyBorder="1" applyAlignment="1" applyProtection="1">
      <alignment horizontal="left"/>
      <protection locked="0"/>
    </xf>
    <xf numFmtId="173" fontId="14" fillId="0" borderId="135" xfId="1216" applyNumberFormat="1" applyFont="1" applyBorder="1" applyAlignment="1">
      <alignment horizontal="center"/>
    </xf>
    <xf numFmtId="0" fontId="11" fillId="0" borderId="40" xfId="1500" applyBorder="1" applyAlignment="1">
      <alignment horizontal="center"/>
    </xf>
    <xf numFmtId="0" fontId="11" fillId="0" borderId="43" xfId="1500" applyBorder="1" applyAlignment="1">
      <alignment horizontal="center"/>
    </xf>
    <xf numFmtId="0" fontId="11" fillId="0" borderId="20" xfId="1500" applyBorder="1" applyAlignment="1">
      <alignment horizontal="center"/>
    </xf>
    <xf numFmtId="0" fontId="11" fillId="0" borderId="0" xfId="1500" applyBorder="1" applyAlignment="1">
      <alignment horizontal="center"/>
    </xf>
    <xf numFmtId="0" fontId="11" fillId="0" borderId="21" xfId="1500" applyBorder="1" applyAlignment="1">
      <alignment horizontal="center"/>
    </xf>
    <xf numFmtId="0" fontId="11" fillId="0" borderId="0" xfId="1077" applyFont="1" applyAlignment="1">
      <alignment vertical="top" wrapText="1"/>
    </xf>
    <xf numFmtId="0" fontId="94" fillId="0" borderId="0" xfId="1077" applyFont="1" applyAlignment="1">
      <alignment horizontal="center"/>
    </xf>
    <xf numFmtId="0" fontId="95" fillId="0" borderId="0" xfId="1077" applyFont="1" applyAlignment="1">
      <alignment horizontal="center"/>
    </xf>
    <xf numFmtId="0" fontId="11" fillId="0" borderId="13" xfId="1077" applyFill="1" applyBorder="1" applyAlignment="1">
      <alignment horizontal="center"/>
    </xf>
    <xf numFmtId="0" fontId="11" fillId="0" borderId="14" xfId="1077" applyFill="1" applyBorder="1" applyAlignment="1">
      <alignment horizontal="center"/>
    </xf>
    <xf numFmtId="0" fontId="11" fillId="0" borderId="42" xfId="1077" applyFill="1" applyBorder="1" applyAlignment="1">
      <alignment horizontal="center"/>
    </xf>
    <xf numFmtId="0" fontId="11" fillId="0" borderId="40" xfId="1077" applyFill="1" applyBorder="1" applyAlignment="1">
      <alignment horizontal="center"/>
    </xf>
    <xf numFmtId="0" fontId="14" fillId="0" borderId="61" xfId="1077" applyFont="1" applyFill="1" applyBorder="1" applyAlignment="1">
      <alignment horizontal="center"/>
    </xf>
    <xf numFmtId="0" fontId="14" fillId="0" borderId="3" xfId="1077" applyFont="1" applyFill="1" applyBorder="1" applyAlignment="1">
      <alignment horizontal="center"/>
    </xf>
    <xf numFmtId="0" fontId="14" fillId="0" borderId="62" xfId="1077" applyFont="1" applyFill="1" applyBorder="1" applyAlignment="1">
      <alignment horizontal="center"/>
    </xf>
    <xf numFmtId="0" fontId="14" fillId="0" borderId="63" xfId="1077" applyFont="1" applyFill="1" applyBorder="1" applyAlignment="1">
      <alignment horizontal="center" vertical="center" wrapText="1"/>
    </xf>
    <xf numFmtId="0" fontId="11" fillId="0" borderId="59" xfId="1077" applyFill="1" applyBorder="1" applyAlignment="1">
      <alignment horizontal="center" vertical="center" wrapText="1"/>
    </xf>
    <xf numFmtId="0" fontId="96" fillId="60" borderId="7" xfId="1077" applyFont="1" applyFill="1" applyBorder="1" applyAlignment="1">
      <alignment horizontal="left"/>
    </xf>
    <xf numFmtId="0" fontId="96" fillId="60" borderId="45" xfId="1077" applyFont="1" applyFill="1" applyBorder="1" applyAlignment="1">
      <alignment horizontal="left"/>
    </xf>
    <xf numFmtId="0" fontId="96" fillId="60" borderId="46" xfId="1077" applyFont="1" applyFill="1" applyBorder="1" applyAlignment="1">
      <alignment horizontal="left"/>
    </xf>
    <xf numFmtId="0" fontId="96" fillId="60" borderId="7" xfId="1077" applyFont="1" applyFill="1" applyBorder="1" applyAlignment="1">
      <alignment horizontal="left" vertical="top" wrapText="1"/>
    </xf>
    <xf numFmtId="0" fontId="96" fillId="60" borderId="45" xfId="1077" applyFont="1" applyFill="1" applyBorder="1" applyAlignment="1">
      <alignment horizontal="left" vertical="top" wrapText="1"/>
    </xf>
    <xf numFmtId="0" fontId="96" fillId="60" borderId="46" xfId="1077" applyFont="1" applyFill="1" applyBorder="1" applyAlignment="1">
      <alignment horizontal="left" vertical="top" wrapText="1"/>
    </xf>
    <xf numFmtId="0" fontId="11" fillId="0" borderId="0" xfId="1077" applyFont="1" applyAlignment="1">
      <alignment horizontal="left"/>
    </xf>
    <xf numFmtId="0" fontId="16" fillId="0" borderId="0" xfId="1077" applyFont="1" applyAlignment="1">
      <alignment horizontal="left"/>
    </xf>
    <xf numFmtId="0" fontId="20" fillId="0" borderId="0" xfId="1077" applyFont="1" applyAlignment="1">
      <alignment vertical="top" wrapText="1"/>
    </xf>
    <xf numFmtId="0" fontId="14" fillId="0" borderId="154" xfId="0" applyNumberFormat="1" applyFont="1" applyFill="1" applyBorder="1" applyAlignment="1">
      <alignment horizontal="center"/>
    </xf>
    <xf numFmtId="0" fontId="14" fillId="0" borderId="119" xfId="0" applyNumberFormat="1" applyFont="1" applyFill="1" applyBorder="1" applyAlignment="1">
      <alignment horizontal="center"/>
    </xf>
    <xf numFmtId="0" fontId="14" fillId="0" borderId="120" xfId="0" applyNumberFormat="1" applyFont="1" applyFill="1" applyBorder="1" applyAlignment="1">
      <alignment horizontal="center"/>
    </xf>
    <xf numFmtId="0" fontId="14" fillId="0" borderId="0" xfId="0" applyFont="1" applyBorder="1" applyAlignment="1">
      <alignment horizontal="center" wrapText="1"/>
    </xf>
    <xf numFmtId="0" fontId="14" fillId="0" borderId="157" xfId="0" applyNumberFormat="1" applyFont="1" applyFill="1" applyBorder="1" applyAlignment="1">
      <alignment horizontal="center" wrapText="1"/>
    </xf>
    <xf numFmtId="0" fontId="14" fillId="0" borderId="11" xfId="0" applyNumberFormat="1" applyFont="1" applyFill="1" applyBorder="1" applyAlignment="1">
      <alignment horizontal="center" wrapText="1"/>
    </xf>
    <xf numFmtId="0" fontId="14" fillId="0" borderId="157" xfId="0" applyFont="1" applyFill="1" applyBorder="1" applyAlignment="1">
      <alignment horizontal="center" wrapText="1"/>
    </xf>
    <xf numFmtId="0" fontId="14" fillId="0" borderId="133" xfId="0" applyFont="1" applyFill="1" applyBorder="1" applyAlignment="1">
      <alignment horizontal="center" wrapText="1"/>
    </xf>
    <xf numFmtId="1" fontId="331" fillId="92" borderId="234" xfId="1196" applyNumberFormat="1" applyFont="1" applyFill="1" applyBorder="1" applyAlignment="1">
      <alignment horizontal="center"/>
    </xf>
    <xf numFmtId="0" fontId="323" fillId="0" borderId="0" xfId="1196" applyFont="1" applyAlignment="1">
      <alignment horizontal="center" vertical="top"/>
    </xf>
    <xf numFmtId="0" fontId="244" fillId="0" borderId="230" xfId="1196" applyFont="1" applyBorder="1" applyAlignment="1">
      <alignment horizontal="center" vertical="center" wrapText="1"/>
    </xf>
    <xf numFmtId="0" fontId="244" fillId="0" borderId="231" xfId="1196" applyFont="1" applyBorder="1" applyAlignment="1">
      <alignment horizontal="center" vertical="center" wrapText="1"/>
    </xf>
    <xf numFmtId="0" fontId="244" fillId="0" borderId="232" xfId="1196" applyFont="1" applyBorder="1" applyAlignment="1">
      <alignment horizontal="center" vertical="center" wrapText="1"/>
    </xf>
    <xf numFmtId="0" fontId="324" fillId="0" borderId="230" xfId="1196" applyFont="1" applyBorder="1" applyAlignment="1">
      <alignment horizontal="center" vertical="center" wrapText="1"/>
    </xf>
    <xf numFmtId="0" fontId="324" fillId="0" borderId="231" xfId="1196" applyFont="1" applyBorder="1" applyAlignment="1">
      <alignment horizontal="center" vertical="center" wrapText="1"/>
    </xf>
    <xf numFmtId="0" fontId="324" fillId="0" borderId="232" xfId="1196" applyFont="1" applyBorder="1" applyAlignment="1">
      <alignment horizontal="center" vertical="center" wrapText="1"/>
    </xf>
    <xf numFmtId="0" fontId="39" fillId="0" borderId="0" xfId="1196" applyFont="1" applyAlignment="1">
      <alignment horizontal="center"/>
    </xf>
    <xf numFmtId="0" fontId="11" fillId="0" borderId="0" xfId="1196" applyAlignment="1">
      <alignment horizontal="center"/>
    </xf>
    <xf numFmtId="0" fontId="39" fillId="0" borderId="234" xfId="1196" applyFont="1" applyBorder="1" applyAlignment="1">
      <alignment horizontal="center"/>
    </xf>
    <xf numFmtId="0" fontId="11" fillId="0" borderId="234" xfId="1196" applyBorder="1" applyAlignment="1">
      <alignment horizontal="center"/>
    </xf>
    <xf numFmtId="0" fontId="11" fillId="0" borderId="5" xfId="1196" applyBorder="1" applyAlignment="1">
      <alignment horizontal="center"/>
    </xf>
    <xf numFmtId="0" fontId="11" fillId="0" borderId="160" xfId="1196" applyBorder="1" applyAlignment="1">
      <alignment horizontal="center"/>
    </xf>
    <xf numFmtId="0" fontId="39" fillId="0" borderId="233" xfId="1196" applyFont="1" applyBorder="1" applyAlignment="1">
      <alignment horizontal="center" vertical="center" wrapText="1"/>
    </xf>
    <xf numFmtId="0" fontId="39" fillId="0" borderId="133" xfId="1196" applyFont="1" applyBorder="1" applyAlignment="1">
      <alignment horizontal="center" vertical="center" wrapText="1"/>
    </xf>
    <xf numFmtId="0" fontId="11" fillId="0" borderId="233" xfId="1196" applyBorder="1" applyAlignment="1">
      <alignment horizontal="center"/>
    </xf>
    <xf numFmtId="0" fontId="11" fillId="0" borderId="244" xfId="1196" applyBorder="1" applyAlignment="1">
      <alignment horizontal="center"/>
    </xf>
    <xf numFmtId="0" fontId="11" fillId="0" borderId="240" xfId="1196" applyBorder="1" applyAlignment="1">
      <alignment horizontal="center"/>
    </xf>
    <xf numFmtId="0" fontId="11" fillId="0" borderId="164" xfId="1196" applyBorder="1" applyAlignment="1">
      <alignment horizontal="center"/>
    </xf>
    <xf numFmtId="0" fontId="11" fillId="0" borderId="233" xfId="1196" applyBorder="1" applyAlignment="1">
      <alignment horizontal="center" wrapText="1"/>
    </xf>
    <xf numFmtId="0" fontId="11" fillId="0" borderId="158" xfId="1196" applyBorder="1" applyAlignment="1">
      <alignment horizontal="center" wrapText="1"/>
    </xf>
    <xf numFmtId="0" fontId="1" fillId="0" borderId="233" xfId="1196" applyFont="1" applyBorder="1" applyAlignment="1">
      <alignment horizontal="center"/>
    </xf>
    <xf numFmtId="0" fontId="1" fillId="0" borderId="133" xfId="1196" applyFont="1" applyBorder="1" applyAlignment="1">
      <alignment horizontal="center"/>
    </xf>
    <xf numFmtId="0" fontId="11" fillId="0" borderId="152" xfId="1196" applyBorder="1" applyAlignment="1">
      <alignment horizontal="center"/>
    </xf>
    <xf numFmtId="0" fontId="11" fillId="0" borderId="133" xfId="1196" applyBorder="1" applyAlignment="1">
      <alignment horizontal="center"/>
    </xf>
    <xf numFmtId="0" fontId="11" fillId="0" borderId="133" xfId="1196" applyBorder="1" applyAlignment="1">
      <alignment horizontal="center" wrapText="1"/>
    </xf>
    <xf numFmtId="0" fontId="11" fillId="3" borderId="234" xfId="1196" applyFill="1" applyBorder="1" applyAlignment="1">
      <alignment horizontal="center"/>
    </xf>
    <xf numFmtId="178" fontId="11" fillId="0" borderId="165" xfId="1" applyNumberFormat="1" applyFont="1" applyBorder="1" applyAlignment="1">
      <alignment horizontal="center"/>
    </xf>
    <xf numFmtId="178" fontId="0" fillId="0" borderId="165" xfId="1" applyNumberFormat="1" applyFont="1" applyBorder="1" applyAlignment="1">
      <alignment horizontal="center"/>
    </xf>
  </cellXfs>
  <cellStyles count="54198">
    <cellStyle name="-" xfId="1529" xr:uid="{00000000-0005-0000-0000-000000000000}"/>
    <cellStyle name="$" xfId="20" xr:uid="{00000000-0005-0000-0000-000001000000}"/>
    <cellStyle name="$ &amp; ¢" xfId="1531" xr:uid="{00000000-0005-0000-0000-000002000000}"/>
    <cellStyle name="$ 2" xfId="1530" xr:uid="{00000000-0005-0000-0000-000003000000}"/>
    <cellStyle name="$ 2 2" xfId="13627" xr:uid="{00000000-0005-0000-0000-000004000000}"/>
    <cellStyle name="$ 2 3" xfId="12253" xr:uid="{00000000-0005-0000-0000-000005000000}"/>
    <cellStyle name="$ 3" xfId="3948" xr:uid="{00000000-0005-0000-0000-000006000000}"/>
    <cellStyle name="$ 3 2" xfId="12773" xr:uid="{00000000-0005-0000-0000-000007000000}"/>
    <cellStyle name="$ 4" xfId="6022" xr:uid="{00000000-0005-0000-0000-000008000000}"/>
    <cellStyle name="$ 4 2" xfId="12254" xr:uid="{00000000-0005-0000-0000-000009000000}"/>
    <cellStyle name="$.00" xfId="21" xr:uid="{00000000-0005-0000-0000-00000A000000}"/>
    <cellStyle name="$.00 2" xfId="12251" xr:uid="{00000000-0005-0000-0000-00000B000000}"/>
    <cellStyle name="$.00 2 2" xfId="13628" xr:uid="{00000000-0005-0000-0000-00000C000000}"/>
    <cellStyle name="$.00 3" xfId="12774" xr:uid="{00000000-0005-0000-0000-00000D000000}"/>
    <cellStyle name="$.00 4" xfId="12252" xr:uid="{00000000-0005-0000-0000-00000E000000}"/>
    <cellStyle name="$_9. Rev2Cost_GDPIPI" xfId="22" xr:uid="{00000000-0005-0000-0000-00000F000000}"/>
    <cellStyle name="$_9. Rev2Cost_GDPIPI 2" xfId="12249" xr:uid="{00000000-0005-0000-0000-000010000000}"/>
    <cellStyle name="$_9. Rev2Cost_GDPIPI 2 2" xfId="13629" xr:uid="{00000000-0005-0000-0000-000011000000}"/>
    <cellStyle name="$_9. Rev2Cost_GDPIPI 3" xfId="12775" xr:uid="{00000000-0005-0000-0000-000012000000}"/>
    <cellStyle name="$_9. Rev2Cost_GDPIPI 4" xfId="12250" xr:uid="{00000000-0005-0000-0000-000013000000}"/>
    <cellStyle name="$_lists" xfId="23" xr:uid="{00000000-0005-0000-0000-000014000000}"/>
    <cellStyle name="$_lists 2" xfId="12247" xr:uid="{00000000-0005-0000-0000-000015000000}"/>
    <cellStyle name="$_lists 2 2" xfId="13630" xr:uid="{00000000-0005-0000-0000-000016000000}"/>
    <cellStyle name="$_lists 3" xfId="12776" xr:uid="{00000000-0005-0000-0000-000017000000}"/>
    <cellStyle name="$_lists 4" xfId="12248" xr:uid="{00000000-0005-0000-0000-000018000000}"/>
    <cellStyle name="$_lists_4. Current Monthly Fixed Charge" xfId="24" xr:uid="{00000000-0005-0000-0000-000019000000}"/>
    <cellStyle name="$_lists_4. Current Monthly Fixed Charge 2" xfId="12245" xr:uid="{00000000-0005-0000-0000-00001A000000}"/>
    <cellStyle name="$_lists_4. Current Monthly Fixed Charge 2 2" xfId="13631" xr:uid="{00000000-0005-0000-0000-00001B000000}"/>
    <cellStyle name="$_lists_4. Current Monthly Fixed Charge 3" xfId="12777" xr:uid="{00000000-0005-0000-0000-00001C000000}"/>
    <cellStyle name="$_lists_4. Current Monthly Fixed Charge 4" xfId="12246" xr:uid="{00000000-0005-0000-0000-00001D000000}"/>
    <cellStyle name="$_Sheet4" xfId="25" xr:uid="{00000000-0005-0000-0000-00001E000000}"/>
    <cellStyle name="$_Sheet4 2" xfId="12243" xr:uid="{00000000-0005-0000-0000-00001F000000}"/>
    <cellStyle name="$_Sheet4 2 2" xfId="13632" xr:uid="{00000000-0005-0000-0000-000020000000}"/>
    <cellStyle name="$_Sheet4 3" xfId="12778" xr:uid="{00000000-0005-0000-0000-000021000000}"/>
    <cellStyle name="$_Sheet4 4" xfId="12244" xr:uid="{00000000-0005-0000-0000-000022000000}"/>
    <cellStyle name="$M" xfId="26" xr:uid="{00000000-0005-0000-0000-000023000000}"/>
    <cellStyle name="$M 2" xfId="12241" xr:uid="{00000000-0005-0000-0000-000024000000}"/>
    <cellStyle name="$M 2 2" xfId="13447" xr:uid="{00000000-0005-0000-0000-000025000000}"/>
    <cellStyle name="$M 2 3" xfId="13633" xr:uid="{00000000-0005-0000-0000-000026000000}"/>
    <cellStyle name="$M 3" xfId="12779" xr:uid="{00000000-0005-0000-0000-000027000000}"/>
    <cellStyle name="$M 3 2" xfId="13426" xr:uid="{00000000-0005-0000-0000-000028000000}"/>
    <cellStyle name="$M 4" xfId="12242" xr:uid="{00000000-0005-0000-0000-000029000000}"/>
    <cellStyle name="$M.00" xfId="27" xr:uid="{00000000-0005-0000-0000-00002A000000}"/>
    <cellStyle name="$M.00 2" xfId="12239" xr:uid="{00000000-0005-0000-0000-00002B000000}"/>
    <cellStyle name="$M.00 2 2" xfId="13634" xr:uid="{00000000-0005-0000-0000-00002C000000}"/>
    <cellStyle name="$M.00 3" xfId="12780" xr:uid="{00000000-0005-0000-0000-00002D000000}"/>
    <cellStyle name="$M.00 4" xfId="12240" xr:uid="{00000000-0005-0000-0000-00002E000000}"/>
    <cellStyle name="$M_9. Rev2Cost_GDPIPI" xfId="28" xr:uid="{00000000-0005-0000-0000-00002F000000}"/>
    <cellStyle name="%" xfId="1532" xr:uid="{00000000-0005-0000-0000-000030000000}"/>
    <cellStyle name="%.00" xfId="1533" xr:uid="{00000000-0005-0000-0000-000031000000}"/>
    <cellStyle name="(Heading)" xfId="1534" xr:uid="{00000000-0005-0000-0000-000032000000}"/>
    <cellStyle name="(Heading) 2" xfId="6021" xr:uid="{00000000-0005-0000-0000-000033000000}"/>
    <cellStyle name="(Lefting)" xfId="1535" xr:uid="{00000000-0005-0000-0000-000034000000}"/>
    <cellStyle name="(Lefting) 2" xfId="6020" xr:uid="{00000000-0005-0000-0000-000035000000}"/>
    <cellStyle name="(z*¯_x000f_°(”,¯?À(¢,¯?Ð(°,¯?à(Â,¯?ð(Ô,¯?" xfId="1536" xr:uid="{00000000-0005-0000-0000-000036000000}"/>
    <cellStyle name="******************************************" xfId="1537" xr:uid="{00000000-0005-0000-0000-000037000000}"/>
    <cellStyle name="_CNMD_Valuation Model_20081212_v2" xfId="1538" xr:uid="{00000000-0005-0000-0000-000038000000}"/>
    <cellStyle name="_Comma" xfId="1539" xr:uid="{00000000-0005-0000-0000-000039000000}"/>
    <cellStyle name="_Comps 4" xfId="1540" xr:uid="{00000000-0005-0000-0000-00003A000000}"/>
    <cellStyle name="_Cont Analysis" xfId="1541" xr:uid="{00000000-0005-0000-0000-00003B000000}"/>
    <cellStyle name="_Currency" xfId="1542" xr:uid="{00000000-0005-0000-0000-00003C000000}"/>
    <cellStyle name="_Currency_Analysis" xfId="1543" xr:uid="{00000000-0005-0000-0000-00003D000000}"/>
    <cellStyle name="_Currency_Smartportfolio model" xfId="1544" xr:uid="{00000000-0005-0000-0000-00003E000000}"/>
    <cellStyle name="_Currency_Smartportfolio model_DB-merged files" xfId="1545" xr:uid="{00000000-0005-0000-0000-00003F000000}"/>
    <cellStyle name="_CurrencySpace" xfId="1546" xr:uid="{00000000-0005-0000-0000-000040000000}"/>
    <cellStyle name="_Gamma Valuation - 8" xfId="1547" xr:uid="{00000000-0005-0000-0000-000041000000}"/>
    <cellStyle name="_ITRN" xfId="1548" xr:uid="{00000000-0005-0000-0000-000042000000}"/>
    <cellStyle name="-_Merger Model 17 Nov 04" xfId="1549" xr:uid="{00000000-0005-0000-0000-000043000000}"/>
    <cellStyle name="_Merger Model_KN&amp;Fzio_v2.30 - Street" xfId="1550" xr:uid="{00000000-0005-0000-0000-000044000000}"/>
    <cellStyle name="_Multiple" xfId="1551" xr:uid="{00000000-0005-0000-0000-000045000000}"/>
    <cellStyle name="_Multiple_Analysis" xfId="1552" xr:uid="{00000000-0005-0000-0000-000046000000}"/>
    <cellStyle name="_Multiple_Analysis_DB-merged files" xfId="1553" xr:uid="{00000000-0005-0000-0000-000047000000}"/>
    <cellStyle name="_Multiple_Smartportfolio model" xfId="1554" xr:uid="{00000000-0005-0000-0000-000048000000}"/>
    <cellStyle name="_Multiple_Smartportfolio model_DB-merged files" xfId="1555" xr:uid="{00000000-0005-0000-0000-000049000000}"/>
    <cellStyle name="_MultipleSpace" xfId="1556" xr:uid="{00000000-0005-0000-0000-00004A000000}"/>
    <cellStyle name="_MultipleSpace_Analysis" xfId="1557" xr:uid="{00000000-0005-0000-0000-00004B000000}"/>
    <cellStyle name="_MultipleSpace_csc" xfId="1558" xr:uid="{00000000-0005-0000-0000-00004C000000}"/>
    <cellStyle name="_MultipleSpace_Smartportfolio model" xfId="1559" xr:uid="{00000000-0005-0000-0000-00004D000000}"/>
    <cellStyle name="_MultipleSpace_Smartportfolio model_DB-merged files" xfId="1560" xr:uid="{00000000-0005-0000-0000-00004E000000}"/>
    <cellStyle name="_Percent" xfId="1561" xr:uid="{00000000-0005-0000-0000-00004F000000}"/>
    <cellStyle name="_Percent_Analysis" xfId="1562" xr:uid="{00000000-0005-0000-0000-000050000000}"/>
    <cellStyle name="_Percent_Smartportfolio model" xfId="1563" xr:uid="{00000000-0005-0000-0000-000051000000}"/>
    <cellStyle name="_Percent_Smartportfolio model_DB-merged files" xfId="1564" xr:uid="{00000000-0005-0000-0000-000052000000}"/>
    <cellStyle name="_PercentSpace" xfId="1565" xr:uid="{00000000-0005-0000-0000-000053000000}"/>
    <cellStyle name="_PercentSpace_Analysis" xfId="1566" xr:uid="{00000000-0005-0000-0000-000054000000}"/>
    <cellStyle name="_PercentSpace_Smartportfolio model" xfId="1567" xr:uid="{00000000-0005-0000-0000-000055000000}"/>
    <cellStyle name="_Sepracor Riders_Clean" xfId="1568" xr:uid="{00000000-0005-0000-0000-000056000000}"/>
    <cellStyle name="_SIAL_Model_5.22.09 v71" xfId="1569" xr:uid="{00000000-0005-0000-0000-000057000000}"/>
    <cellStyle name="£ BP" xfId="1570" xr:uid="{00000000-0005-0000-0000-000058000000}"/>
    <cellStyle name="¥ JY" xfId="1571" xr:uid="{00000000-0005-0000-0000-000059000000}"/>
    <cellStyle name="&lt;9#_x000f_¾Èƒé1ƒÃ_x0002_;M_x0014_}$‹E_x0010_‹_x0004_ˆ…Àt_x001b_Pÿ_x0015_ x¦" xfId="1572" xr:uid="{00000000-0005-0000-0000-00005A000000}"/>
    <cellStyle name="=C:\WINNT35\SYSTEM32\COMMAND.COM" xfId="1573" xr:uid="{00000000-0005-0000-0000-00005B000000}"/>
    <cellStyle name="0752-93035" xfId="1574" xr:uid="{00000000-0005-0000-0000-00005C000000}"/>
    <cellStyle name="1,comma" xfId="1575" xr:uid="{00000000-0005-0000-0000-00005D000000}"/>
    <cellStyle name="10Q" xfId="1576" xr:uid="{00000000-0005-0000-0000-00005E000000}"/>
    <cellStyle name="20% - Accent1 10" xfId="29" xr:uid="{00000000-0005-0000-0000-00005F000000}"/>
    <cellStyle name="20% - Accent1 11" xfId="30" xr:uid="{00000000-0005-0000-0000-000060000000}"/>
    <cellStyle name="20% - Accent1 12" xfId="31" xr:uid="{00000000-0005-0000-0000-000061000000}"/>
    <cellStyle name="20% - Accent1 13" xfId="32" xr:uid="{00000000-0005-0000-0000-000062000000}"/>
    <cellStyle name="20% - Accent1 14" xfId="33" xr:uid="{00000000-0005-0000-0000-000063000000}"/>
    <cellStyle name="20% - Accent1 15" xfId="34" xr:uid="{00000000-0005-0000-0000-000064000000}"/>
    <cellStyle name="20% - Accent1 16" xfId="35" xr:uid="{00000000-0005-0000-0000-000065000000}"/>
    <cellStyle name="20% - Accent1 17" xfId="22760" xr:uid="{00000000-0005-0000-0000-000066000000}"/>
    <cellStyle name="20% - Accent1 17 2" xfId="32844" xr:uid="{00000000-0005-0000-0000-000067000000}"/>
    <cellStyle name="20% - Accent1 17 2 2" xfId="52030" xr:uid="{00000000-0005-0000-0000-000068000000}"/>
    <cellStyle name="20% - Accent1 17 3" xfId="23117" xr:uid="{00000000-0005-0000-0000-000069000000}"/>
    <cellStyle name="20% - Accent1 17 3 2" xfId="42685" xr:uid="{00000000-0005-0000-0000-00006A000000}"/>
    <cellStyle name="20% - Accent1 17 4" xfId="42332" xr:uid="{00000000-0005-0000-0000-00006B000000}"/>
    <cellStyle name="20% - Accent1 18" xfId="22785" xr:uid="{00000000-0005-0000-0000-00006C000000}"/>
    <cellStyle name="20% - Accent1 18 2" xfId="32869" xr:uid="{00000000-0005-0000-0000-00006D000000}"/>
    <cellStyle name="20% - Accent1 18 2 2" xfId="52055" xr:uid="{00000000-0005-0000-0000-00006E000000}"/>
    <cellStyle name="20% - Accent1 18 3" xfId="23142" xr:uid="{00000000-0005-0000-0000-00006F000000}"/>
    <cellStyle name="20% - Accent1 18 3 2" xfId="42710" xr:uid="{00000000-0005-0000-0000-000070000000}"/>
    <cellStyle name="20% - Accent1 18 4" xfId="42357" xr:uid="{00000000-0005-0000-0000-000071000000}"/>
    <cellStyle name="20% - Accent1 19" xfId="22835" xr:uid="{00000000-0005-0000-0000-000072000000}"/>
    <cellStyle name="20% - Accent1 19 2" xfId="32919" xr:uid="{00000000-0005-0000-0000-000073000000}"/>
    <cellStyle name="20% - Accent1 19 2 2" xfId="52105" xr:uid="{00000000-0005-0000-0000-000074000000}"/>
    <cellStyle name="20% - Accent1 19 3" xfId="23192" xr:uid="{00000000-0005-0000-0000-000075000000}"/>
    <cellStyle name="20% - Accent1 19 3 2" xfId="42760" xr:uid="{00000000-0005-0000-0000-000076000000}"/>
    <cellStyle name="20% - Accent1 19 4" xfId="42407" xr:uid="{00000000-0005-0000-0000-000077000000}"/>
    <cellStyle name="20% - Accent1 2" xfId="36" xr:uid="{00000000-0005-0000-0000-000078000000}"/>
    <cellStyle name="20% - Accent1 2 10" xfId="1578" xr:uid="{00000000-0005-0000-0000-000079000000}"/>
    <cellStyle name="20% - Accent1 2 10 10" xfId="53321" xr:uid="{00000000-0005-0000-0000-00007A000000}"/>
    <cellStyle name="20% - Accent1 2 10 11" xfId="12893" xr:uid="{00000000-0005-0000-0000-00007B000000}"/>
    <cellStyle name="20% - Accent1 2 10 2" xfId="13849" xr:uid="{00000000-0005-0000-0000-00007C000000}"/>
    <cellStyle name="20% - Accent1 2 10 2 2" xfId="16113" xr:uid="{00000000-0005-0000-0000-00007D000000}"/>
    <cellStyle name="20% - Accent1 2 10 2 2 2" xfId="20577" xr:uid="{00000000-0005-0000-0000-00007E000000}"/>
    <cellStyle name="20% - Accent1 2 10 2 2 2 2" xfId="30945" xr:uid="{00000000-0005-0000-0000-00007F000000}"/>
    <cellStyle name="20% - Accent1 2 10 2 2 2 2 2" xfId="50134" xr:uid="{00000000-0005-0000-0000-000080000000}"/>
    <cellStyle name="20% - Accent1 2 10 2 2 2 3" xfId="40436" xr:uid="{00000000-0005-0000-0000-000081000000}"/>
    <cellStyle name="20% - Accent1 2 10 2 2 3" xfId="26490" xr:uid="{00000000-0005-0000-0000-000082000000}"/>
    <cellStyle name="20% - Accent1 2 10 2 2 3 2" xfId="45679" xr:uid="{00000000-0005-0000-0000-000083000000}"/>
    <cellStyle name="20% - Accent1 2 10 2 2 4" xfId="35981" xr:uid="{00000000-0005-0000-0000-000084000000}"/>
    <cellStyle name="20% - Accent1 2 10 2 3" xfId="18349" xr:uid="{00000000-0005-0000-0000-000085000000}"/>
    <cellStyle name="20% - Accent1 2 10 2 3 2" xfId="28717" xr:uid="{00000000-0005-0000-0000-000086000000}"/>
    <cellStyle name="20% - Accent1 2 10 2 3 2 2" xfId="47906" xr:uid="{00000000-0005-0000-0000-000087000000}"/>
    <cellStyle name="20% - Accent1 2 10 2 3 3" xfId="38208" xr:uid="{00000000-0005-0000-0000-000088000000}"/>
    <cellStyle name="20% - Accent1 2 10 2 4" xfId="24257" xr:uid="{00000000-0005-0000-0000-000089000000}"/>
    <cellStyle name="20% - Accent1 2 10 2 4 2" xfId="43451" xr:uid="{00000000-0005-0000-0000-00008A000000}"/>
    <cellStyle name="20% - Accent1 2 10 2 5" xfId="33753" xr:uid="{00000000-0005-0000-0000-00008B000000}"/>
    <cellStyle name="20% - Accent1 2 10 2 6" xfId="54173" xr:uid="{00000000-0005-0000-0000-00008C000000}"/>
    <cellStyle name="20% - Accent1 2 10 3" xfId="14428" xr:uid="{00000000-0005-0000-0000-00008D000000}"/>
    <cellStyle name="20% - Accent1 2 10 3 2" xfId="15557" xr:uid="{00000000-0005-0000-0000-00008E000000}"/>
    <cellStyle name="20% - Accent1 2 10 3 2 2" xfId="20021" xr:uid="{00000000-0005-0000-0000-00008F000000}"/>
    <cellStyle name="20% - Accent1 2 10 3 2 2 2" xfId="30389" xr:uid="{00000000-0005-0000-0000-000090000000}"/>
    <cellStyle name="20% - Accent1 2 10 3 2 2 2 2" xfId="49578" xr:uid="{00000000-0005-0000-0000-000091000000}"/>
    <cellStyle name="20% - Accent1 2 10 3 2 2 3" xfId="39880" xr:uid="{00000000-0005-0000-0000-000092000000}"/>
    <cellStyle name="20% - Accent1 2 10 3 2 3" xfId="25934" xr:uid="{00000000-0005-0000-0000-000093000000}"/>
    <cellStyle name="20% - Accent1 2 10 3 2 3 2" xfId="45123" xr:uid="{00000000-0005-0000-0000-000094000000}"/>
    <cellStyle name="20% - Accent1 2 10 3 2 4" xfId="35425" xr:uid="{00000000-0005-0000-0000-000095000000}"/>
    <cellStyle name="20% - Accent1 2 10 3 3" xfId="18906" xr:uid="{00000000-0005-0000-0000-000096000000}"/>
    <cellStyle name="20% - Accent1 2 10 3 3 2" xfId="29274" xr:uid="{00000000-0005-0000-0000-000097000000}"/>
    <cellStyle name="20% - Accent1 2 10 3 3 2 2" xfId="48463" xr:uid="{00000000-0005-0000-0000-000098000000}"/>
    <cellStyle name="20% - Accent1 2 10 3 3 3" xfId="38765" xr:uid="{00000000-0005-0000-0000-000099000000}"/>
    <cellStyle name="20% - Accent1 2 10 3 4" xfId="24819" xr:uid="{00000000-0005-0000-0000-00009A000000}"/>
    <cellStyle name="20% - Accent1 2 10 3 4 2" xfId="44008" xr:uid="{00000000-0005-0000-0000-00009B000000}"/>
    <cellStyle name="20% - Accent1 2 10 3 5" xfId="34310" xr:uid="{00000000-0005-0000-0000-00009C000000}"/>
    <cellStyle name="20% - Accent1 2 10 4" xfId="15000" xr:uid="{00000000-0005-0000-0000-00009D000000}"/>
    <cellStyle name="20% - Accent1 2 10 4 2" xfId="19464" xr:uid="{00000000-0005-0000-0000-00009E000000}"/>
    <cellStyle name="20% - Accent1 2 10 4 2 2" xfId="29832" xr:uid="{00000000-0005-0000-0000-00009F000000}"/>
    <cellStyle name="20% - Accent1 2 10 4 2 2 2" xfId="49021" xr:uid="{00000000-0005-0000-0000-0000A0000000}"/>
    <cellStyle name="20% - Accent1 2 10 4 2 3" xfId="39323" xr:uid="{00000000-0005-0000-0000-0000A1000000}"/>
    <cellStyle name="20% - Accent1 2 10 4 3" xfId="25377" xr:uid="{00000000-0005-0000-0000-0000A2000000}"/>
    <cellStyle name="20% - Accent1 2 10 4 3 2" xfId="44566" xr:uid="{00000000-0005-0000-0000-0000A3000000}"/>
    <cellStyle name="20% - Accent1 2 10 4 4" xfId="34868" xr:uid="{00000000-0005-0000-0000-0000A4000000}"/>
    <cellStyle name="20% - Accent1 2 10 5" xfId="16670" xr:uid="{00000000-0005-0000-0000-0000A5000000}"/>
    <cellStyle name="20% - Accent1 2 10 5 2" xfId="21134" xr:uid="{00000000-0005-0000-0000-0000A6000000}"/>
    <cellStyle name="20% - Accent1 2 10 5 2 2" xfId="31502" xr:uid="{00000000-0005-0000-0000-0000A7000000}"/>
    <cellStyle name="20% - Accent1 2 10 5 2 2 2" xfId="50691" xr:uid="{00000000-0005-0000-0000-0000A8000000}"/>
    <cellStyle name="20% - Accent1 2 10 5 2 3" xfId="40993" xr:uid="{00000000-0005-0000-0000-0000A9000000}"/>
    <cellStyle name="20% - Accent1 2 10 5 3" xfId="27047" xr:uid="{00000000-0005-0000-0000-0000AA000000}"/>
    <cellStyle name="20% - Accent1 2 10 5 3 2" xfId="46236" xr:uid="{00000000-0005-0000-0000-0000AB000000}"/>
    <cellStyle name="20% - Accent1 2 10 5 4" xfId="36538" xr:uid="{00000000-0005-0000-0000-0000AC000000}"/>
    <cellStyle name="20% - Accent1 2 10 6" xfId="17236" xr:uid="{00000000-0005-0000-0000-0000AD000000}"/>
    <cellStyle name="20% - Accent1 2 10 6 2" xfId="21691" xr:uid="{00000000-0005-0000-0000-0000AE000000}"/>
    <cellStyle name="20% - Accent1 2 10 6 2 2" xfId="32059" xr:uid="{00000000-0005-0000-0000-0000AF000000}"/>
    <cellStyle name="20% - Accent1 2 10 6 2 2 2" xfId="51248" xr:uid="{00000000-0005-0000-0000-0000B0000000}"/>
    <cellStyle name="20% - Accent1 2 10 6 2 3" xfId="41550" xr:uid="{00000000-0005-0000-0000-0000B1000000}"/>
    <cellStyle name="20% - Accent1 2 10 6 3" xfId="27604" xr:uid="{00000000-0005-0000-0000-0000B2000000}"/>
    <cellStyle name="20% - Accent1 2 10 6 3 2" xfId="46793" xr:uid="{00000000-0005-0000-0000-0000B3000000}"/>
    <cellStyle name="20% - Accent1 2 10 6 4" xfId="37095" xr:uid="{00000000-0005-0000-0000-0000B4000000}"/>
    <cellStyle name="20% - Accent1 2 10 7" xfId="17793" xr:uid="{00000000-0005-0000-0000-0000B5000000}"/>
    <cellStyle name="20% - Accent1 2 10 7 2" xfId="28161" xr:uid="{00000000-0005-0000-0000-0000B6000000}"/>
    <cellStyle name="20% - Accent1 2 10 7 2 2" xfId="47350" xr:uid="{00000000-0005-0000-0000-0000B7000000}"/>
    <cellStyle name="20% - Accent1 2 10 7 3" xfId="37652" xr:uid="{00000000-0005-0000-0000-0000B8000000}"/>
    <cellStyle name="20% - Accent1 2 10 8" xfId="23656" xr:uid="{00000000-0005-0000-0000-0000B9000000}"/>
    <cellStyle name="20% - Accent1 2 10 8 2" xfId="42895" xr:uid="{00000000-0005-0000-0000-0000BA000000}"/>
    <cellStyle name="20% - Accent1 2 10 9" xfId="33197" xr:uid="{00000000-0005-0000-0000-0000BB000000}"/>
    <cellStyle name="20% - Accent1 2 11" xfId="1577" xr:uid="{00000000-0005-0000-0000-0000BC000000}"/>
    <cellStyle name="20% - Accent1 2 11 2" xfId="53348" xr:uid="{00000000-0005-0000-0000-0000BD000000}"/>
    <cellStyle name="20% - Accent1 2 11 3" xfId="13494" xr:uid="{00000000-0005-0000-0000-0000BE000000}"/>
    <cellStyle name="20% - Accent1 2 12" xfId="22208" xr:uid="{00000000-0005-0000-0000-0000BF000000}"/>
    <cellStyle name="20% - Accent1 2 12 2" xfId="32567" xr:uid="{00000000-0005-0000-0000-0000C0000000}"/>
    <cellStyle name="20% - Accent1 2 12 2 2" xfId="51755" xr:uid="{00000000-0005-0000-0000-0000C1000000}"/>
    <cellStyle name="20% - Accent1 2 12 3" xfId="42057" xr:uid="{00000000-0005-0000-0000-0000C2000000}"/>
    <cellStyle name="20% - Accent1 2 13" xfId="22236" xr:uid="{00000000-0005-0000-0000-0000C3000000}"/>
    <cellStyle name="20% - Accent1 2 13 2" xfId="32593" xr:uid="{00000000-0005-0000-0000-0000C4000000}"/>
    <cellStyle name="20% - Accent1 2 13 2 2" xfId="51781" xr:uid="{00000000-0005-0000-0000-0000C5000000}"/>
    <cellStyle name="20% - Accent1 2 13 3" xfId="42083" xr:uid="{00000000-0005-0000-0000-0000C6000000}"/>
    <cellStyle name="20% - Accent1 2 14" xfId="12238" xr:uid="{00000000-0005-0000-0000-0000C7000000}"/>
    <cellStyle name="20% - Accent1 2 15" xfId="23250" xr:uid="{00000000-0005-0000-0000-0000C8000000}"/>
    <cellStyle name="20% - Accent1 2 15 2" xfId="42816" xr:uid="{00000000-0005-0000-0000-0000C9000000}"/>
    <cellStyle name="20% - Accent1 2 16" xfId="32991" xr:uid="{00000000-0005-0000-0000-0000CA000000}"/>
    <cellStyle name="20% - Accent1 2 16 2" xfId="52177" xr:uid="{00000000-0005-0000-0000-0000CB000000}"/>
    <cellStyle name="20% - Accent1 2 17" xfId="33085" xr:uid="{00000000-0005-0000-0000-0000CC000000}"/>
    <cellStyle name="20% - Accent1 2 18" xfId="52271" xr:uid="{00000000-0005-0000-0000-0000CD000000}"/>
    <cellStyle name="20% - Accent1 2 19" xfId="52328" xr:uid="{00000000-0005-0000-0000-0000CE000000}"/>
    <cellStyle name="20% - Accent1 2 2" xfId="37" xr:uid="{00000000-0005-0000-0000-0000CF000000}"/>
    <cellStyle name="20% - Accent1 2 2 2" xfId="1580" xr:uid="{00000000-0005-0000-0000-0000D0000000}"/>
    <cellStyle name="20% - Accent1 2 2 2 2" xfId="8322" xr:uid="{00000000-0005-0000-0000-0000D1000000}"/>
    <cellStyle name="20% - Accent1 2 2 2 2 2" xfId="11219" xr:uid="{00000000-0005-0000-0000-0000D2000000}"/>
    <cellStyle name="20% - Accent1 2 2 2 2 2 2" xfId="53973" xr:uid="{00000000-0005-0000-0000-0000D3000000}"/>
    <cellStyle name="20% - Accent1 2 2 2 2 3" xfId="53120" xr:uid="{00000000-0005-0000-0000-0000D4000000}"/>
    <cellStyle name="20% - Accent1 2 2 2 3" xfId="9779" xr:uid="{00000000-0005-0000-0000-0000D5000000}"/>
    <cellStyle name="20% - Accent1 2 2 2 3 2" xfId="53577" xr:uid="{00000000-0005-0000-0000-0000D6000000}"/>
    <cellStyle name="20% - Accent1 2 2 2 4" xfId="6842" xr:uid="{00000000-0005-0000-0000-0000D7000000}"/>
    <cellStyle name="20% - Accent1 2 2 2 4 2" xfId="52692" xr:uid="{00000000-0005-0000-0000-0000D8000000}"/>
    <cellStyle name="20% - Accent1 2 2 2 5" xfId="12705" xr:uid="{00000000-0005-0000-0000-0000D9000000}"/>
    <cellStyle name="20% - Accent1 2 2 3" xfId="1581" xr:uid="{00000000-0005-0000-0000-0000DA000000}"/>
    <cellStyle name="20% - Accent1 2 2 3 2" xfId="10561" xr:uid="{00000000-0005-0000-0000-0000DB000000}"/>
    <cellStyle name="20% - Accent1 2 2 3 2 2" xfId="53777" xr:uid="{00000000-0005-0000-0000-0000DC000000}"/>
    <cellStyle name="20% - Accent1 2 2 3 3" xfId="7661" xr:uid="{00000000-0005-0000-0000-0000DD000000}"/>
    <cellStyle name="20% - Accent1 2 2 3 3 2" xfId="52902" xr:uid="{00000000-0005-0000-0000-0000DE000000}"/>
    <cellStyle name="20% - Accent1 2 2 3 4" xfId="12237" xr:uid="{00000000-0005-0000-0000-0000DF000000}"/>
    <cellStyle name="20% - Accent1 2 2 4" xfId="1579" xr:uid="{00000000-0005-0000-0000-0000E0000000}"/>
    <cellStyle name="20% - Accent1 2 2 4 2" xfId="9121" xr:uid="{00000000-0005-0000-0000-0000E1000000}"/>
    <cellStyle name="20% - Accent1 2 2 4 2 2" xfId="51864" xr:uid="{00000000-0005-0000-0000-0000E2000000}"/>
    <cellStyle name="20% - Accent1 2 2 4 2 3" xfId="32677" xr:uid="{00000000-0005-0000-0000-0000E3000000}"/>
    <cellStyle name="20% - Accent1 2 2 4 3" xfId="42166" xr:uid="{00000000-0005-0000-0000-0000E4000000}"/>
    <cellStyle name="20% - Accent1 2 2 4 4" xfId="53381" xr:uid="{00000000-0005-0000-0000-0000E5000000}"/>
    <cellStyle name="20% - Accent1 2 2 4 5" xfId="22571" xr:uid="{00000000-0005-0000-0000-0000E6000000}"/>
    <cellStyle name="20% - Accent1 2 2 5" xfId="6135" xr:uid="{00000000-0005-0000-0000-0000E7000000}"/>
    <cellStyle name="20% - Accent1 2 2 5 2" xfId="23278" xr:uid="{00000000-0005-0000-0000-0000E8000000}"/>
    <cellStyle name="20% - Accent1 2 2 6" xfId="22950" xr:uid="{00000000-0005-0000-0000-0000E9000000}"/>
    <cellStyle name="20% - Accent1 2 2 6 2" xfId="42519" xr:uid="{00000000-0005-0000-0000-0000EA000000}"/>
    <cellStyle name="20% - Accent1 2 2 7" xfId="12128" xr:uid="{00000000-0005-0000-0000-0000EB000000}"/>
    <cellStyle name="20% - Accent1 2 2 8" xfId="52488" xr:uid="{00000000-0005-0000-0000-0000EC000000}"/>
    <cellStyle name="20% - Accent1 2 2 9" xfId="11986" xr:uid="{00000000-0005-0000-0000-0000ED000000}"/>
    <cellStyle name="20% - Accent1 2 20" xfId="52377" xr:uid="{00000000-0005-0000-0000-0000EE000000}"/>
    <cellStyle name="20% - Accent1 2 21" xfId="12100" xr:uid="{00000000-0005-0000-0000-0000EF000000}"/>
    <cellStyle name="20% - Accent1 2 22" xfId="52419" xr:uid="{00000000-0005-0000-0000-0000F0000000}"/>
    <cellStyle name="20% - Accent1 2 23" xfId="52446" xr:uid="{00000000-0005-0000-0000-0000F1000000}"/>
    <cellStyle name="20% - Accent1 2 24" xfId="11957" xr:uid="{00000000-0005-0000-0000-0000F2000000}"/>
    <cellStyle name="20% - Accent1 2 3" xfId="38" xr:uid="{00000000-0005-0000-0000-0000F3000000}"/>
    <cellStyle name="20% - Accent1 2 3 10" xfId="52529" xr:uid="{00000000-0005-0000-0000-0000F4000000}"/>
    <cellStyle name="20% - Accent1 2 3 11" xfId="11987" xr:uid="{00000000-0005-0000-0000-0000F5000000}"/>
    <cellStyle name="20% - Accent1 2 3 2" xfId="1583" xr:uid="{00000000-0005-0000-0000-0000F6000000}"/>
    <cellStyle name="20% - Accent1 2 3 2 10" xfId="17794" xr:uid="{00000000-0005-0000-0000-0000F7000000}"/>
    <cellStyle name="20% - Accent1 2 3 2 10 2" xfId="28162" xr:uid="{00000000-0005-0000-0000-0000F8000000}"/>
    <cellStyle name="20% - Accent1 2 3 2 10 2 2" xfId="47351" xr:uid="{00000000-0005-0000-0000-0000F9000000}"/>
    <cellStyle name="20% - Accent1 2 3 2 10 3" xfId="37653" xr:uid="{00000000-0005-0000-0000-0000FA000000}"/>
    <cellStyle name="20% - Accent1 2 3 2 11" xfId="23657" xr:uid="{00000000-0005-0000-0000-0000FB000000}"/>
    <cellStyle name="20% - Accent1 2 3 2 11 2" xfId="42896" xr:uid="{00000000-0005-0000-0000-0000FC000000}"/>
    <cellStyle name="20% - Accent1 2 3 2 12" xfId="33198" xr:uid="{00000000-0005-0000-0000-0000FD000000}"/>
    <cellStyle name="20% - Accent1 2 3 2 13" xfId="52730" xr:uid="{00000000-0005-0000-0000-0000FE000000}"/>
    <cellStyle name="20% - Accent1 2 3 2 14" xfId="12894" xr:uid="{00000000-0005-0000-0000-0000FF000000}"/>
    <cellStyle name="20% - Accent1 2 3 2 2" xfId="12895" xr:uid="{00000000-0005-0000-0000-000000010000}"/>
    <cellStyle name="20% - Accent1 2 3 2 2 10" xfId="23658" xr:uid="{00000000-0005-0000-0000-000001010000}"/>
    <cellStyle name="20% - Accent1 2 3 2 2 10 2" xfId="42897" xr:uid="{00000000-0005-0000-0000-000002010000}"/>
    <cellStyle name="20% - Accent1 2 3 2 2 11" xfId="33199" xr:uid="{00000000-0005-0000-0000-000003010000}"/>
    <cellStyle name="20% - Accent1 2 3 2 2 12" xfId="53158" xr:uid="{00000000-0005-0000-0000-000004010000}"/>
    <cellStyle name="20% - Accent1 2 3 2 2 2" xfId="12896" xr:uid="{00000000-0005-0000-0000-000005010000}"/>
    <cellStyle name="20% - Accent1 2 3 2 2 2 10" xfId="54011" xr:uid="{00000000-0005-0000-0000-000006010000}"/>
    <cellStyle name="20% - Accent1 2 3 2 2 2 2" xfId="13852" xr:uid="{00000000-0005-0000-0000-000007010000}"/>
    <cellStyle name="20% - Accent1 2 3 2 2 2 2 2" xfId="16116" xr:uid="{00000000-0005-0000-0000-000008010000}"/>
    <cellStyle name="20% - Accent1 2 3 2 2 2 2 2 2" xfId="20580" xr:uid="{00000000-0005-0000-0000-000009010000}"/>
    <cellStyle name="20% - Accent1 2 3 2 2 2 2 2 2 2" xfId="30948" xr:uid="{00000000-0005-0000-0000-00000A010000}"/>
    <cellStyle name="20% - Accent1 2 3 2 2 2 2 2 2 2 2" xfId="50137" xr:uid="{00000000-0005-0000-0000-00000B010000}"/>
    <cellStyle name="20% - Accent1 2 3 2 2 2 2 2 2 3" xfId="40439" xr:uid="{00000000-0005-0000-0000-00000C010000}"/>
    <cellStyle name="20% - Accent1 2 3 2 2 2 2 2 3" xfId="26493" xr:uid="{00000000-0005-0000-0000-00000D010000}"/>
    <cellStyle name="20% - Accent1 2 3 2 2 2 2 2 3 2" xfId="45682" xr:uid="{00000000-0005-0000-0000-00000E010000}"/>
    <cellStyle name="20% - Accent1 2 3 2 2 2 2 2 4" xfId="35984" xr:uid="{00000000-0005-0000-0000-00000F010000}"/>
    <cellStyle name="20% - Accent1 2 3 2 2 2 2 3" xfId="18352" xr:uid="{00000000-0005-0000-0000-000010010000}"/>
    <cellStyle name="20% - Accent1 2 3 2 2 2 2 3 2" xfId="28720" xr:uid="{00000000-0005-0000-0000-000011010000}"/>
    <cellStyle name="20% - Accent1 2 3 2 2 2 2 3 2 2" xfId="47909" xr:uid="{00000000-0005-0000-0000-000012010000}"/>
    <cellStyle name="20% - Accent1 2 3 2 2 2 2 3 3" xfId="38211" xr:uid="{00000000-0005-0000-0000-000013010000}"/>
    <cellStyle name="20% - Accent1 2 3 2 2 2 2 4" xfId="24260" xr:uid="{00000000-0005-0000-0000-000014010000}"/>
    <cellStyle name="20% - Accent1 2 3 2 2 2 2 4 2" xfId="43454" xr:uid="{00000000-0005-0000-0000-000015010000}"/>
    <cellStyle name="20% - Accent1 2 3 2 2 2 2 5" xfId="33756" xr:uid="{00000000-0005-0000-0000-000016010000}"/>
    <cellStyle name="20% - Accent1 2 3 2 2 2 3" xfId="14431" xr:uid="{00000000-0005-0000-0000-000017010000}"/>
    <cellStyle name="20% - Accent1 2 3 2 2 2 3 2" xfId="15560" xr:uid="{00000000-0005-0000-0000-000018010000}"/>
    <cellStyle name="20% - Accent1 2 3 2 2 2 3 2 2" xfId="20024" xr:uid="{00000000-0005-0000-0000-000019010000}"/>
    <cellStyle name="20% - Accent1 2 3 2 2 2 3 2 2 2" xfId="30392" xr:uid="{00000000-0005-0000-0000-00001A010000}"/>
    <cellStyle name="20% - Accent1 2 3 2 2 2 3 2 2 2 2" xfId="49581" xr:uid="{00000000-0005-0000-0000-00001B010000}"/>
    <cellStyle name="20% - Accent1 2 3 2 2 2 3 2 2 3" xfId="39883" xr:uid="{00000000-0005-0000-0000-00001C010000}"/>
    <cellStyle name="20% - Accent1 2 3 2 2 2 3 2 3" xfId="25937" xr:uid="{00000000-0005-0000-0000-00001D010000}"/>
    <cellStyle name="20% - Accent1 2 3 2 2 2 3 2 3 2" xfId="45126" xr:uid="{00000000-0005-0000-0000-00001E010000}"/>
    <cellStyle name="20% - Accent1 2 3 2 2 2 3 2 4" xfId="35428" xr:uid="{00000000-0005-0000-0000-00001F010000}"/>
    <cellStyle name="20% - Accent1 2 3 2 2 2 3 3" xfId="18909" xr:uid="{00000000-0005-0000-0000-000020010000}"/>
    <cellStyle name="20% - Accent1 2 3 2 2 2 3 3 2" xfId="29277" xr:uid="{00000000-0005-0000-0000-000021010000}"/>
    <cellStyle name="20% - Accent1 2 3 2 2 2 3 3 2 2" xfId="48466" xr:uid="{00000000-0005-0000-0000-000022010000}"/>
    <cellStyle name="20% - Accent1 2 3 2 2 2 3 3 3" xfId="38768" xr:uid="{00000000-0005-0000-0000-000023010000}"/>
    <cellStyle name="20% - Accent1 2 3 2 2 2 3 4" xfId="24822" xr:uid="{00000000-0005-0000-0000-000024010000}"/>
    <cellStyle name="20% - Accent1 2 3 2 2 2 3 4 2" xfId="44011" xr:uid="{00000000-0005-0000-0000-000025010000}"/>
    <cellStyle name="20% - Accent1 2 3 2 2 2 3 5" xfId="34313" xr:uid="{00000000-0005-0000-0000-000026010000}"/>
    <cellStyle name="20% - Accent1 2 3 2 2 2 4" xfId="15003" xr:uid="{00000000-0005-0000-0000-000027010000}"/>
    <cellStyle name="20% - Accent1 2 3 2 2 2 4 2" xfId="19467" xr:uid="{00000000-0005-0000-0000-000028010000}"/>
    <cellStyle name="20% - Accent1 2 3 2 2 2 4 2 2" xfId="29835" xr:uid="{00000000-0005-0000-0000-000029010000}"/>
    <cellStyle name="20% - Accent1 2 3 2 2 2 4 2 2 2" xfId="49024" xr:uid="{00000000-0005-0000-0000-00002A010000}"/>
    <cellStyle name="20% - Accent1 2 3 2 2 2 4 2 3" xfId="39326" xr:uid="{00000000-0005-0000-0000-00002B010000}"/>
    <cellStyle name="20% - Accent1 2 3 2 2 2 4 3" xfId="25380" xr:uid="{00000000-0005-0000-0000-00002C010000}"/>
    <cellStyle name="20% - Accent1 2 3 2 2 2 4 3 2" xfId="44569" xr:uid="{00000000-0005-0000-0000-00002D010000}"/>
    <cellStyle name="20% - Accent1 2 3 2 2 2 4 4" xfId="34871" xr:uid="{00000000-0005-0000-0000-00002E010000}"/>
    <cellStyle name="20% - Accent1 2 3 2 2 2 5" xfId="16673" xr:uid="{00000000-0005-0000-0000-00002F010000}"/>
    <cellStyle name="20% - Accent1 2 3 2 2 2 5 2" xfId="21137" xr:uid="{00000000-0005-0000-0000-000030010000}"/>
    <cellStyle name="20% - Accent1 2 3 2 2 2 5 2 2" xfId="31505" xr:uid="{00000000-0005-0000-0000-000031010000}"/>
    <cellStyle name="20% - Accent1 2 3 2 2 2 5 2 2 2" xfId="50694" xr:uid="{00000000-0005-0000-0000-000032010000}"/>
    <cellStyle name="20% - Accent1 2 3 2 2 2 5 2 3" xfId="40996" xr:uid="{00000000-0005-0000-0000-000033010000}"/>
    <cellStyle name="20% - Accent1 2 3 2 2 2 5 3" xfId="27050" xr:uid="{00000000-0005-0000-0000-000034010000}"/>
    <cellStyle name="20% - Accent1 2 3 2 2 2 5 3 2" xfId="46239" xr:uid="{00000000-0005-0000-0000-000035010000}"/>
    <cellStyle name="20% - Accent1 2 3 2 2 2 5 4" xfId="36541" xr:uid="{00000000-0005-0000-0000-000036010000}"/>
    <cellStyle name="20% - Accent1 2 3 2 2 2 6" xfId="17239" xr:uid="{00000000-0005-0000-0000-000037010000}"/>
    <cellStyle name="20% - Accent1 2 3 2 2 2 6 2" xfId="21694" xr:uid="{00000000-0005-0000-0000-000038010000}"/>
    <cellStyle name="20% - Accent1 2 3 2 2 2 6 2 2" xfId="32062" xr:uid="{00000000-0005-0000-0000-000039010000}"/>
    <cellStyle name="20% - Accent1 2 3 2 2 2 6 2 2 2" xfId="51251" xr:uid="{00000000-0005-0000-0000-00003A010000}"/>
    <cellStyle name="20% - Accent1 2 3 2 2 2 6 2 3" xfId="41553" xr:uid="{00000000-0005-0000-0000-00003B010000}"/>
    <cellStyle name="20% - Accent1 2 3 2 2 2 6 3" xfId="27607" xr:uid="{00000000-0005-0000-0000-00003C010000}"/>
    <cellStyle name="20% - Accent1 2 3 2 2 2 6 3 2" xfId="46796" xr:uid="{00000000-0005-0000-0000-00003D010000}"/>
    <cellStyle name="20% - Accent1 2 3 2 2 2 6 4" xfId="37098" xr:uid="{00000000-0005-0000-0000-00003E010000}"/>
    <cellStyle name="20% - Accent1 2 3 2 2 2 7" xfId="17796" xr:uid="{00000000-0005-0000-0000-00003F010000}"/>
    <cellStyle name="20% - Accent1 2 3 2 2 2 7 2" xfId="28164" xr:uid="{00000000-0005-0000-0000-000040010000}"/>
    <cellStyle name="20% - Accent1 2 3 2 2 2 7 2 2" xfId="47353" xr:uid="{00000000-0005-0000-0000-000041010000}"/>
    <cellStyle name="20% - Accent1 2 3 2 2 2 7 3" xfId="37655" xr:uid="{00000000-0005-0000-0000-000042010000}"/>
    <cellStyle name="20% - Accent1 2 3 2 2 2 8" xfId="23659" xr:uid="{00000000-0005-0000-0000-000043010000}"/>
    <cellStyle name="20% - Accent1 2 3 2 2 2 8 2" xfId="42898" xr:uid="{00000000-0005-0000-0000-000044010000}"/>
    <cellStyle name="20% - Accent1 2 3 2 2 2 9" xfId="33200" xr:uid="{00000000-0005-0000-0000-000045010000}"/>
    <cellStyle name="20% - Accent1 2 3 2 2 3" xfId="12897" xr:uid="{00000000-0005-0000-0000-000046010000}"/>
    <cellStyle name="20% - Accent1 2 3 2 2 3 2" xfId="13853" xr:uid="{00000000-0005-0000-0000-000047010000}"/>
    <cellStyle name="20% - Accent1 2 3 2 2 3 2 2" xfId="16117" xr:uid="{00000000-0005-0000-0000-000048010000}"/>
    <cellStyle name="20% - Accent1 2 3 2 2 3 2 2 2" xfId="20581" xr:uid="{00000000-0005-0000-0000-000049010000}"/>
    <cellStyle name="20% - Accent1 2 3 2 2 3 2 2 2 2" xfId="30949" xr:uid="{00000000-0005-0000-0000-00004A010000}"/>
    <cellStyle name="20% - Accent1 2 3 2 2 3 2 2 2 2 2" xfId="50138" xr:uid="{00000000-0005-0000-0000-00004B010000}"/>
    <cellStyle name="20% - Accent1 2 3 2 2 3 2 2 2 3" xfId="40440" xr:uid="{00000000-0005-0000-0000-00004C010000}"/>
    <cellStyle name="20% - Accent1 2 3 2 2 3 2 2 3" xfId="26494" xr:uid="{00000000-0005-0000-0000-00004D010000}"/>
    <cellStyle name="20% - Accent1 2 3 2 2 3 2 2 3 2" xfId="45683" xr:uid="{00000000-0005-0000-0000-00004E010000}"/>
    <cellStyle name="20% - Accent1 2 3 2 2 3 2 2 4" xfId="35985" xr:uid="{00000000-0005-0000-0000-00004F010000}"/>
    <cellStyle name="20% - Accent1 2 3 2 2 3 2 3" xfId="18353" xr:uid="{00000000-0005-0000-0000-000050010000}"/>
    <cellStyle name="20% - Accent1 2 3 2 2 3 2 3 2" xfId="28721" xr:uid="{00000000-0005-0000-0000-000051010000}"/>
    <cellStyle name="20% - Accent1 2 3 2 2 3 2 3 2 2" xfId="47910" xr:uid="{00000000-0005-0000-0000-000052010000}"/>
    <cellStyle name="20% - Accent1 2 3 2 2 3 2 3 3" xfId="38212" xr:uid="{00000000-0005-0000-0000-000053010000}"/>
    <cellStyle name="20% - Accent1 2 3 2 2 3 2 4" xfId="24261" xr:uid="{00000000-0005-0000-0000-000054010000}"/>
    <cellStyle name="20% - Accent1 2 3 2 2 3 2 4 2" xfId="43455" xr:uid="{00000000-0005-0000-0000-000055010000}"/>
    <cellStyle name="20% - Accent1 2 3 2 2 3 2 5" xfId="33757" xr:uid="{00000000-0005-0000-0000-000056010000}"/>
    <cellStyle name="20% - Accent1 2 3 2 2 3 3" xfId="14432" xr:uid="{00000000-0005-0000-0000-000057010000}"/>
    <cellStyle name="20% - Accent1 2 3 2 2 3 3 2" xfId="15561" xr:uid="{00000000-0005-0000-0000-000058010000}"/>
    <cellStyle name="20% - Accent1 2 3 2 2 3 3 2 2" xfId="20025" xr:uid="{00000000-0005-0000-0000-000059010000}"/>
    <cellStyle name="20% - Accent1 2 3 2 2 3 3 2 2 2" xfId="30393" xr:uid="{00000000-0005-0000-0000-00005A010000}"/>
    <cellStyle name="20% - Accent1 2 3 2 2 3 3 2 2 2 2" xfId="49582" xr:uid="{00000000-0005-0000-0000-00005B010000}"/>
    <cellStyle name="20% - Accent1 2 3 2 2 3 3 2 2 3" xfId="39884" xr:uid="{00000000-0005-0000-0000-00005C010000}"/>
    <cellStyle name="20% - Accent1 2 3 2 2 3 3 2 3" xfId="25938" xr:uid="{00000000-0005-0000-0000-00005D010000}"/>
    <cellStyle name="20% - Accent1 2 3 2 2 3 3 2 3 2" xfId="45127" xr:uid="{00000000-0005-0000-0000-00005E010000}"/>
    <cellStyle name="20% - Accent1 2 3 2 2 3 3 2 4" xfId="35429" xr:uid="{00000000-0005-0000-0000-00005F010000}"/>
    <cellStyle name="20% - Accent1 2 3 2 2 3 3 3" xfId="18910" xr:uid="{00000000-0005-0000-0000-000060010000}"/>
    <cellStyle name="20% - Accent1 2 3 2 2 3 3 3 2" xfId="29278" xr:uid="{00000000-0005-0000-0000-000061010000}"/>
    <cellStyle name="20% - Accent1 2 3 2 2 3 3 3 2 2" xfId="48467" xr:uid="{00000000-0005-0000-0000-000062010000}"/>
    <cellStyle name="20% - Accent1 2 3 2 2 3 3 3 3" xfId="38769" xr:uid="{00000000-0005-0000-0000-000063010000}"/>
    <cellStyle name="20% - Accent1 2 3 2 2 3 3 4" xfId="24823" xr:uid="{00000000-0005-0000-0000-000064010000}"/>
    <cellStyle name="20% - Accent1 2 3 2 2 3 3 4 2" xfId="44012" xr:uid="{00000000-0005-0000-0000-000065010000}"/>
    <cellStyle name="20% - Accent1 2 3 2 2 3 3 5" xfId="34314" xr:uid="{00000000-0005-0000-0000-000066010000}"/>
    <cellStyle name="20% - Accent1 2 3 2 2 3 4" xfId="15004" xr:uid="{00000000-0005-0000-0000-000067010000}"/>
    <cellStyle name="20% - Accent1 2 3 2 2 3 4 2" xfId="19468" xr:uid="{00000000-0005-0000-0000-000068010000}"/>
    <cellStyle name="20% - Accent1 2 3 2 2 3 4 2 2" xfId="29836" xr:uid="{00000000-0005-0000-0000-000069010000}"/>
    <cellStyle name="20% - Accent1 2 3 2 2 3 4 2 2 2" xfId="49025" xr:uid="{00000000-0005-0000-0000-00006A010000}"/>
    <cellStyle name="20% - Accent1 2 3 2 2 3 4 2 3" xfId="39327" xr:uid="{00000000-0005-0000-0000-00006B010000}"/>
    <cellStyle name="20% - Accent1 2 3 2 2 3 4 3" xfId="25381" xr:uid="{00000000-0005-0000-0000-00006C010000}"/>
    <cellStyle name="20% - Accent1 2 3 2 2 3 4 3 2" xfId="44570" xr:uid="{00000000-0005-0000-0000-00006D010000}"/>
    <cellStyle name="20% - Accent1 2 3 2 2 3 4 4" xfId="34872" xr:uid="{00000000-0005-0000-0000-00006E010000}"/>
    <cellStyle name="20% - Accent1 2 3 2 2 3 5" xfId="16674" xr:uid="{00000000-0005-0000-0000-00006F010000}"/>
    <cellStyle name="20% - Accent1 2 3 2 2 3 5 2" xfId="21138" xr:uid="{00000000-0005-0000-0000-000070010000}"/>
    <cellStyle name="20% - Accent1 2 3 2 2 3 5 2 2" xfId="31506" xr:uid="{00000000-0005-0000-0000-000071010000}"/>
    <cellStyle name="20% - Accent1 2 3 2 2 3 5 2 2 2" xfId="50695" xr:uid="{00000000-0005-0000-0000-000072010000}"/>
    <cellStyle name="20% - Accent1 2 3 2 2 3 5 2 3" xfId="40997" xr:uid="{00000000-0005-0000-0000-000073010000}"/>
    <cellStyle name="20% - Accent1 2 3 2 2 3 5 3" xfId="27051" xr:uid="{00000000-0005-0000-0000-000074010000}"/>
    <cellStyle name="20% - Accent1 2 3 2 2 3 5 3 2" xfId="46240" xr:uid="{00000000-0005-0000-0000-000075010000}"/>
    <cellStyle name="20% - Accent1 2 3 2 2 3 5 4" xfId="36542" xr:uid="{00000000-0005-0000-0000-000076010000}"/>
    <cellStyle name="20% - Accent1 2 3 2 2 3 6" xfId="17240" xr:uid="{00000000-0005-0000-0000-000077010000}"/>
    <cellStyle name="20% - Accent1 2 3 2 2 3 6 2" xfId="21695" xr:uid="{00000000-0005-0000-0000-000078010000}"/>
    <cellStyle name="20% - Accent1 2 3 2 2 3 6 2 2" xfId="32063" xr:uid="{00000000-0005-0000-0000-000079010000}"/>
    <cellStyle name="20% - Accent1 2 3 2 2 3 6 2 2 2" xfId="51252" xr:uid="{00000000-0005-0000-0000-00007A010000}"/>
    <cellStyle name="20% - Accent1 2 3 2 2 3 6 2 3" xfId="41554" xr:uid="{00000000-0005-0000-0000-00007B010000}"/>
    <cellStyle name="20% - Accent1 2 3 2 2 3 6 3" xfId="27608" xr:uid="{00000000-0005-0000-0000-00007C010000}"/>
    <cellStyle name="20% - Accent1 2 3 2 2 3 6 3 2" xfId="46797" xr:uid="{00000000-0005-0000-0000-00007D010000}"/>
    <cellStyle name="20% - Accent1 2 3 2 2 3 6 4" xfId="37099" xr:uid="{00000000-0005-0000-0000-00007E010000}"/>
    <cellStyle name="20% - Accent1 2 3 2 2 3 7" xfId="17797" xr:uid="{00000000-0005-0000-0000-00007F010000}"/>
    <cellStyle name="20% - Accent1 2 3 2 2 3 7 2" xfId="28165" xr:uid="{00000000-0005-0000-0000-000080010000}"/>
    <cellStyle name="20% - Accent1 2 3 2 2 3 7 2 2" xfId="47354" xr:uid="{00000000-0005-0000-0000-000081010000}"/>
    <cellStyle name="20% - Accent1 2 3 2 2 3 7 3" xfId="37656" xr:uid="{00000000-0005-0000-0000-000082010000}"/>
    <cellStyle name="20% - Accent1 2 3 2 2 3 8" xfId="23660" xr:uid="{00000000-0005-0000-0000-000083010000}"/>
    <cellStyle name="20% - Accent1 2 3 2 2 3 8 2" xfId="42899" xr:uid="{00000000-0005-0000-0000-000084010000}"/>
    <cellStyle name="20% - Accent1 2 3 2 2 3 9" xfId="33201" xr:uid="{00000000-0005-0000-0000-000085010000}"/>
    <cellStyle name="20% - Accent1 2 3 2 2 4" xfId="13851" xr:uid="{00000000-0005-0000-0000-000086010000}"/>
    <cellStyle name="20% - Accent1 2 3 2 2 4 2" xfId="16115" xr:uid="{00000000-0005-0000-0000-000087010000}"/>
    <cellStyle name="20% - Accent1 2 3 2 2 4 2 2" xfId="20579" xr:uid="{00000000-0005-0000-0000-000088010000}"/>
    <cellStyle name="20% - Accent1 2 3 2 2 4 2 2 2" xfId="30947" xr:uid="{00000000-0005-0000-0000-000089010000}"/>
    <cellStyle name="20% - Accent1 2 3 2 2 4 2 2 2 2" xfId="50136" xr:uid="{00000000-0005-0000-0000-00008A010000}"/>
    <cellStyle name="20% - Accent1 2 3 2 2 4 2 2 3" xfId="40438" xr:uid="{00000000-0005-0000-0000-00008B010000}"/>
    <cellStyle name="20% - Accent1 2 3 2 2 4 2 3" xfId="26492" xr:uid="{00000000-0005-0000-0000-00008C010000}"/>
    <cellStyle name="20% - Accent1 2 3 2 2 4 2 3 2" xfId="45681" xr:uid="{00000000-0005-0000-0000-00008D010000}"/>
    <cellStyle name="20% - Accent1 2 3 2 2 4 2 4" xfId="35983" xr:uid="{00000000-0005-0000-0000-00008E010000}"/>
    <cellStyle name="20% - Accent1 2 3 2 2 4 3" xfId="18351" xr:uid="{00000000-0005-0000-0000-00008F010000}"/>
    <cellStyle name="20% - Accent1 2 3 2 2 4 3 2" xfId="28719" xr:uid="{00000000-0005-0000-0000-000090010000}"/>
    <cellStyle name="20% - Accent1 2 3 2 2 4 3 2 2" xfId="47908" xr:uid="{00000000-0005-0000-0000-000091010000}"/>
    <cellStyle name="20% - Accent1 2 3 2 2 4 3 3" xfId="38210" xr:uid="{00000000-0005-0000-0000-000092010000}"/>
    <cellStyle name="20% - Accent1 2 3 2 2 4 4" xfId="24259" xr:uid="{00000000-0005-0000-0000-000093010000}"/>
    <cellStyle name="20% - Accent1 2 3 2 2 4 4 2" xfId="43453" xr:uid="{00000000-0005-0000-0000-000094010000}"/>
    <cellStyle name="20% - Accent1 2 3 2 2 4 5" xfId="33755" xr:uid="{00000000-0005-0000-0000-000095010000}"/>
    <cellStyle name="20% - Accent1 2 3 2 2 5" xfId="14430" xr:uid="{00000000-0005-0000-0000-000096010000}"/>
    <cellStyle name="20% - Accent1 2 3 2 2 5 2" xfId="15559" xr:uid="{00000000-0005-0000-0000-000097010000}"/>
    <cellStyle name="20% - Accent1 2 3 2 2 5 2 2" xfId="20023" xr:uid="{00000000-0005-0000-0000-000098010000}"/>
    <cellStyle name="20% - Accent1 2 3 2 2 5 2 2 2" xfId="30391" xr:uid="{00000000-0005-0000-0000-000099010000}"/>
    <cellStyle name="20% - Accent1 2 3 2 2 5 2 2 2 2" xfId="49580" xr:uid="{00000000-0005-0000-0000-00009A010000}"/>
    <cellStyle name="20% - Accent1 2 3 2 2 5 2 2 3" xfId="39882" xr:uid="{00000000-0005-0000-0000-00009B010000}"/>
    <cellStyle name="20% - Accent1 2 3 2 2 5 2 3" xfId="25936" xr:uid="{00000000-0005-0000-0000-00009C010000}"/>
    <cellStyle name="20% - Accent1 2 3 2 2 5 2 3 2" xfId="45125" xr:uid="{00000000-0005-0000-0000-00009D010000}"/>
    <cellStyle name="20% - Accent1 2 3 2 2 5 2 4" xfId="35427" xr:uid="{00000000-0005-0000-0000-00009E010000}"/>
    <cellStyle name="20% - Accent1 2 3 2 2 5 3" xfId="18908" xr:uid="{00000000-0005-0000-0000-00009F010000}"/>
    <cellStyle name="20% - Accent1 2 3 2 2 5 3 2" xfId="29276" xr:uid="{00000000-0005-0000-0000-0000A0010000}"/>
    <cellStyle name="20% - Accent1 2 3 2 2 5 3 2 2" xfId="48465" xr:uid="{00000000-0005-0000-0000-0000A1010000}"/>
    <cellStyle name="20% - Accent1 2 3 2 2 5 3 3" xfId="38767" xr:uid="{00000000-0005-0000-0000-0000A2010000}"/>
    <cellStyle name="20% - Accent1 2 3 2 2 5 4" xfId="24821" xr:uid="{00000000-0005-0000-0000-0000A3010000}"/>
    <cellStyle name="20% - Accent1 2 3 2 2 5 4 2" xfId="44010" xr:uid="{00000000-0005-0000-0000-0000A4010000}"/>
    <cellStyle name="20% - Accent1 2 3 2 2 5 5" xfId="34312" xr:uid="{00000000-0005-0000-0000-0000A5010000}"/>
    <cellStyle name="20% - Accent1 2 3 2 2 6" xfId="15002" xr:uid="{00000000-0005-0000-0000-0000A6010000}"/>
    <cellStyle name="20% - Accent1 2 3 2 2 6 2" xfId="19466" xr:uid="{00000000-0005-0000-0000-0000A7010000}"/>
    <cellStyle name="20% - Accent1 2 3 2 2 6 2 2" xfId="29834" xr:uid="{00000000-0005-0000-0000-0000A8010000}"/>
    <cellStyle name="20% - Accent1 2 3 2 2 6 2 2 2" xfId="49023" xr:uid="{00000000-0005-0000-0000-0000A9010000}"/>
    <cellStyle name="20% - Accent1 2 3 2 2 6 2 3" xfId="39325" xr:uid="{00000000-0005-0000-0000-0000AA010000}"/>
    <cellStyle name="20% - Accent1 2 3 2 2 6 3" xfId="25379" xr:uid="{00000000-0005-0000-0000-0000AB010000}"/>
    <cellStyle name="20% - Accent1 2 3 2 2 6 3 2" xfId="44568" xr:uid="{00000000-0005-0000-0000-0000AC010000}"/>
    <cellStyle name="20% - Accent1 2 3 2 2 6 4" xfId="34870" xr:uid="{00000000-0005-0000-0000-0000AD010000}"/>
    <cellStyle name="20% - Accent1 2 3 2 2 7" xfId="16672" xr:uid="{00000000-0005-0000-0000-0000AE010000}"/>
    <cellStyle name="20% - Accent1 2 3 2 2 7 2" xfId="21136" xr:uid="{00000000-0005-0000-0000-0000AF010000}"/>
    <cellStyle name="20% - Accent1 2 3 2 2 7 2 2" xfId="31504" xr:uid="{00000000-0005-0000-0000-0000B0010000}"/>
    <cellStyle name="20% - Accent1 2 3 2 2 7 2 2 2" xfId="50693" xr:uid="{00000000-0005-0000-0000-0000B1010000}"/>
    <cellStyle name="20% - Accent1 2 3 2 2 7 2 3" xfId="40995" xr:uid="{00000000-0005-0000-0000-0000B2010000}"/>
    <cellStyle name="20% - Accent1 2 3 2 2 7 3" xfId="27049" xr:uid="{00000000-0005-0000-0000-0000B3010000}"/>
    <cellStyle name="20% - Accent1 2 3 2 2 7 3 2" xfId="46238" xr:uid="{00000000-0005-0000-0000-0000B4010000}"/>
    <cellStyle name="20% - Accent1 2 3 2 2 7 4" xfId="36540" xr:uid="{00000000-0005-0000-0000-0000B5010000}"/>
    <cellStyle name="20% - Accent1 2 3 2 2 8" xfId="17238" xr:uid="{00000000-0005-0000-0000-0000B6010000}"/>
    <cellStyle name="20% - Accent1 2 3 2 2 8 2" xfId="21693" xr:uid="{00000000-0005-0000-0000-0000B7010000}"/>
    <cellStyle name="20% - Accent1 2 3 2 2 8 2 2" xfId="32061" xr:uid="{00000000-0005-0000-0000-0000B8010000}"/>
    <cellStyle name="20% - Accent1 2 3 2 2 8 2 2 2" xfId="51250" xr:uid="{00000000-0005-0000-0000-0000B9010000}"/>
    <cellStyle name="20% - Accent1 2 3 2 2 8 2 3" xfId="41552" xr:uid="{00000000-0005-0000-0000-0000BA010000}"/>
    <cellStyle name="20% - Accent1 2 3 2 2 8 3" xfId="27606" xr:uid="{00000000-0005-0000-0000-0000BB010000}"/>
    <cellStyle name="20% - Accent1 2 3 2 2 8 3 2" xfId="46795" xr:uid="{00000000-0005-0000-0000-0000BC010000}"/>
    <cellStyle name="20% - Accent1 2 3 2 2 8 4" xfId="37097" xr:uid="{00000000-0005-0000-0000-0000BD010000}"/>
    <cellStyle name="20% - Accent1 2 3 2 2 9" xfId="17795" xr:uid="{00000000-0005-0000-0000-0000BE010000}"/>
    <cellStyle name="20% - Accent1 2 3 2 2 9 2" xfId="28163" xr:uid="{00000000-0005-0000-0000-0000BF010000}"/>
    <cellStyle name="20% - Accent1 2 3 2 2 9 2 2" xfId="47352" xr:uid="{00000000-0005-0000-0000-0000C0010000}"/>
    <cellStyle name="20% - Accent1 2 3 2 2 9 3" xfId="37654" xr:uid="{00000000-0005-0000-0000-0000C1010000}"/>
    <cellStyle name="20% - Accent1 2 3 2 3" xfId="12898" xr:uid="{00000000-0005-0000-0000-0000C2010000}"/>
    <cellStyle name="20% - Accent1 2 3 2 3 10" xfId="53615" xr:uid="{00000000-0005-0000-0000-0000C3010000}"/>
    <cellStyle name="20% - Accent1 2 3 2 3 2" xfId="13854" xr:uid="{00000000-0005-0000-0000-0000C4010000}"/>
    <cellStyle name="20% - Accent1 2 3 2 3 2 2" xfId="16118" xr:uid="{00000000-0005-0000-0000-0000C5010000}"/>
    <cellStyle name="20% - Accent1 2 3 2 3 2 2 2" xfId="20582" xr:uid="{00000000-0005-0000-0000-0000C6010000}"/>
    <cellStyle name="20% - Accent1 2 3 2 3 2 2 2 2" xfId="30950" xr:uid="{00000000-0005-0000-0000-0000C7010000}"/>
    <cellStyle name="20% - Accent1 2 3 2 3 2 2 2 2 2" xfId="50139" xr:uid="{00000000-0005-0000-0000-0000C8010000}"/>
    <cellStyle name="20% - Accent1 2 3 2 3 2 2 2 3" xfId="40441" xr:uid="{00000000-0005-0000-0000-0000C9010000}"/>
    <cellStyle name="20% - Accent1 2 3 2 3 2 2 3" xfId="26495" xr:uid="{00000000-0005-0000-0000-0000CA010000}"/>
    <cellStyle name="20% - Accent1 2 3 2 3 2 2 3 2" xfId="45684" xr:uid="{00000000-0005-0000-0000-0000CB010000}"/>
    <cellStyle name="20% - Accent1 2 3 2 3 2 2 4" xfId="35986" xr:uid="{00000000-0005-0000-0000-0000CC010000}"/>
    <cellStyle name="20% - Accent1 2 3 2 3 2 3" xfId="18354" xr:uid="{00000000-0005-0000-0000-0000CD010000}"/>
    <cellStyle name="20% - Accent1 2 3 2 3 2 3 2" xfId="28722" xr:uid="{00000000-0005-0000-0000-0000CE010000}"/>
    <cellStyle name="20% - Accent1 2 3 2 3 2 3 2 2" xfId="47911" xr:uid="{00000000-0005-0000-0000-0000CF010000}"/>
    <cellStyle name="20% - Accent1 2 3 2 3 2 3 3" xfId="38213" xr:uid="{00000000-0005-0000-0000-0000D0010000}"/>
    <cellStyle name="20% - Accent1 2 3 2 3 2 4" xfId="24262" xr:uid="{00000000-0005-0000-0000-0000D1010000}"/>
    <cellStyle name="20% - Accent1 2 3 2 3 2 4 2" xfId="43456" xr:uid="{00000000-0005-0000-0000-0000D2010000}"/>
    <cellStyle name="20% - Accent1 2 3 2 3 2 5" xfId="33758" xr:uid="{00000000-0005-0000-0000-0000D3010000}"/>
    <cellStyle name="20% - Accent1 2 3 2 3 3" xfId="14433" xr:uid="{00000000-0005-0000-0000-0000D4010000}"/>
    <cellStyle name="20% - Accent1 2 3 2 3 3 2" xfId="15562" xr:uid="{00000000-0005-0000-0000-0000D5010000}"/>
    <cellStyle name="20% - Accent1 2 3 2 3 3 2 2" xfId="20026" xr:uid="{00000000-0005-0000-0000-0000D6010000}"/>
    <cellStyle name="20% - Accent1 2 3 2 3 3 2 2 2" xfId="30394" xr:uid="{00000000-0005-0000-0000-0000D7010000}"/>
    <cellStyle name="20% - Accent1 2 3 2 3 3 2 2 2 2" xfId="49583" xr:uid="{00000000-0005-0000-0000-0000D8010000}"/>
    <cellStyle name="20% - Accent1 2 3 2 3 3 2 2 3" xfId="39885" xr:uid="{00000000-0005-0000-0000-0000D9010000}"/>
    <cellStyle name="20% - Accent1 2 3 2 3 3 2 3" xfId="25939" xr:uid="{00000000-0005-0000-0000-0000DA010000}"/>
    <cellStyle name="20% - Accent1 2 3 2 3 3 2 3 2" xfId="45128" xr:uid="{00000000-0005-0000-0000-0000DB010000}"/>
    <cellStyle name="20% - Accent1 2 3 2 3 3 2 4" xfId="35430" xr:uid="{00000000-0005-0000-0000-0000DC010000}"/>
    <cellStyle name="20% - Accent1 2 3 2 3 3 3" xfId="18911" xr:uid="{00000000-0005-0000-0000-0000DD010000}"/>
    <cellStyle name="20% - Accent1 2 3 2 3 3 3 2" xfId="29279" xr:uid="{00000000-0005-0000-0000-0000DE010000}"/>
    <cellStyle name="20% - Accent1 2 3 2 3 3 3 2 2" xfId="48468" xr:uid="{00000000-0005-0000-0000-0000DF010000}"/>
    <cellStyle name="20% - Accent1 2 3 2 3 3 3 3" xfId="38770" xr:uid="{00000000-0005-0000-0000-0000E0010000}"/>
    <cellStyle name="20% - Accent1 2 3 2 3 3 4" xfId="24824" xr:uid="{00000000-0005-0000-0000-0000E1010000}"/>
    <cellStyle name="20% - Accent1 2 3 2 3 3 4 2" xfId="44013" xr:uid="{00000000-0005-0000-0000-0000E2010000}"/>
    <cellStyle name="20% - Accent1 2 3 2 3 3 5" xfId="34315" xr:uid="{00000000-0005-0000-0000-0000E3010000}"/>
    <cellStyle name="20% - Accent1 2 3 2 3 4" xfId="15005" xr:uid="{00000000-0005-0000-0000-0000E4010000}"/>
    <cellStyle name="20% - Accent1 2 3 2 3 4 2" xfId="19469" xr:uid="{00000000-0005-0000-0000-0000E5010000}"/>
    <cellStyle name="20% - Accent1 2 3 2 3 4 2 2" xfId="29837" xr:uid="{00000000-0005-0000-0000-0000E6010000}"/>
    <cellStyle name="20% - Accent1 2 3 2 3 4 2 2 2" xfId="49026" xr:uid="{00000000-0005-0000-0000-0000E7010000}"/>
    <cellStyle name="20% - Accent1 2 3 2 3 4 2 3" xfId="39328" xr:uid="{00000000-0005-0000-0000-0000E8010000}"/>
    <cellStyle name="20% - Accent1 2 3 2 3 4 3" xfId="25382" xr:uid="{00000000-0005-0000-0000-0000E9010000}"/>
    <cellStyle name="20% - Accent1 2 3 2 3 4 3 2" xfId="44571" xr:uid="{00000000-0005-0000-0000-0000EA010000}"/>
    <cellStyle name="20% - Accent1 2 3 2 3 4 4" xfId="34873" xr:uid="{00000000-0005-0000-0000-0000EB010000}"/>
    <cellStyle name="20% - Accent1 2 3 2 3 5" xfId="16675" xr:uid="{00000000-0005-0000-0000-0000EC010000}"/>
    <cellStyle name="20% - Accent1 2 3 2 3 5 2" xfId="21139" xr:uid="{00000000-0005-0000-0000-0000ED010000}"/>
    <cellStyle name="20% - Accent1 2 3 2 3 5 2 2" xfId="31507" xr:uid="{00000000-0005-0000-0000-0000EE010000}"/>
    <cellStyle name="20% - Accent1 2 3 2 3 5 2 2 2" xfId="50696" xr:uid="{00000000-0005-0000-0000-0000EF010000}"/>
    <cellStyle name="20% - Accent1 2 3 2 3 5 2 3" xfId="40998" xr:uid="{00000000-0005-0000-0000-0000F0010000}"/>
    <cellStyle name="20% - Accent1 2 3 2 3 5 3" xfId="27052" xr:uid="{00000000-0005-0000-0000-0000F1010000}"/>
    <cellStyle name="20% - Accent1 2 3 2 3 5 3 2" xfId="46241" xr:uid="{00000000-0005-0000-0000-0000F2010000}"/>
    <cellStyle name="20% - Accent1 2 3 2 3 5 4" xfId="36543" xr:uid="{00000000-0005-0000-0000-0000F3010000}"/>
    <cellStyle name="20% - Accent1 2 3 2 3 6" xfId="17241" xr:uid="{00000000-0005-0000-0000-0000F4010000}"/>
    <cellStyle name="20% - Accent1 2 3 2 3 6 2" xfId="21696" xr:uid="{00000000-0005-0000-0000-0000F5010000}"/>
    <cellStyle name="20% - Accent1 2 3 2 3 6 2 2" xfId="32064" xr:uid="{00000000-0005-0000-0000-0000F6010000}"/>
    <cellStyle name="20% - Accent1 2 3 2 3 6 2 2 2" xfId="51253" xr:uid="{00000000-0005-0000-0000-0000F7010000}"/>
    <cellStyle name="20% - Accent1 2 3 2 3 6 2 3" xfId="41555" xr:uid="{00000000-0005-0000-0000-0000F8010000}"/>
    <cellStyle name="20% - Accent1 2 3 2 3 6 3" xfId="27609" xr:uid="{00000000-0005-0000-0000-0000F9010000}"/>
    <cellStyle name="20% - Accent1 2 3 2 3 6 3 2" xfId="46798" xr:uid="{00000000-0005-0000-0000-0000FA010000}"/>
    <cellStyle name="20% - Accent1 2 3 2 3 6 4" xfId="37100" xr:uid="{00000000-0005-0000-0000-0000FB010000}"/>
    <cellStyle name="20% - Accent1 2 3 2 3 7" xfId="17798" xr:uid="{00000000-0005-0000-0000-0000FC010000}"/>
    <cellStyle name="20% - Accent1 2 3 2 3 7 2" xfId="28166" xr:uid="{00000000-0005-0000-0000-0000FD010000}"/>
    <cellStyle name="20% - Accent1 2 3 2 3 7 2 2" xfId="47355" xr:uid="{00000000-0005-0000-0000-0000FE010000}"/>
    <cellStyle name="20% - Accent1 2 3 2 3 7 3" xfId="37657" xr:uid="{00000000-0005-0000-0000-0000FF010000}"/>
    <cellStyle name="20% - Accent1 2 3 2 3 8" xfId="23661" xr:uid="{00000000-0005-0000-0000-000000020000}"/>
    <cellStyle name="20% - Accent1 2 3 2 3 8 2" xfId="42900" xr:uid="{00000000-0005-0000-0000-000001020000}"/>
    <cellStyle name="20% - Accent1 2 3 2 3 9" xfId="33202" xr:uid="{00000000-0005-0000-0000-000002020000}"/>
    <cellStyle name="20% - Accent1 2 3 2 4" xfId="12899" xr:uid="{00000000-0005-0000-0000-000003020000}"/>
    <cellStyle name="20% - Accent1 2 3 2 4 2" xfId="13855" xr:uid="{00000000-0005-0000-0000-000004020000}"/>
    <cellStyle name="20% - Accent1 2 3 2 4 2 2" xfId="16119" xr:uid="{00000000-0005-0000-0000-000005020000}"/>
    <cellStyle name="20% - Accent1 2 3 2 4 2 2 2" xfId="20583" xr:uid="{00000000-0005-0000-0000-000006020000}"/>
    <cellStyle name="20% - Accent1 2 3 2 4 2 2 2 2" xfId="30951" xr:uid="{00000000-0005-0000-0000-000007020000}"/>
    <cellStyle name="20% - Accent1 2 3 2 4 2 2 2 2 2" xfId="50140" xr:uid="{00000000-0005-0000-0000-000008020000}"/>
    <cellStyle name="20% - Accent1 2 3 2 4 2 2 2 3" xfId="40442" xr:uid="{00000000-0005-0000-0000-000009020000}"/>
    <cellStyle name="20% - Accent1 2 3 2 4 2 2 3" xfId="26496" xr:uid="{00000000-0005-0000-0000-00000A020000}"/>
    <cellStyle name="20% - Accent1 2 3 2 4 2 2 3 2" xfId="45685" xr:uid="{00000000-0005-0000-0000-00000B020000}"/>
    <cellStyle name="20% - Accent1 2 3 2 4 2 2 4" xfId="35987" xr:uid="{00000000-0005-0000-0000-00000C020000}"/>
    <cellStyle name="20% - Accent1 2 3 2 4 2 3" xfId="18355" xr:uid="{00000000-0005-0000-0000-00000D020000}"/>
    <cellStyle name="20% - Accent1 2 3 2 4 2 3 2" xfId="28723" xr:uid="{00000000-0005-0000-0000-00000E020000}"/>
    <cellStyle name="20% - Accent1 2 3 2 4 2 3 2 2" xfId="47912" xr:uid="{00000000-0005-0000-0000-00000F020000}"/>
    <cellStyle name="20% - Accent1 2 3 2 4 2 3 3" xfId="38214" xr:uid="{00000000-0005-0000-0000-000010020000}"/>
    <cellStyle name="20% - Accent1 2 3 2 4 2 4" xfId="24263" xr:uid="{00000000-0005-0000-0000-000011020000}"/>
    <cellStyle name="20% - Accent1 2 3 2 4 2 4 2" xfId="43457" xr:uid="{00000000-0005-0000-0000-000012020000}"/>
    <cellStyle name="20% - Accent1 2 3 2 4 2 5" xfId="33759" xr:uid="{00000000-0005-0000-0000-000013020000}"/>
    <cellStyle name="20% - Accent1 2 3 2 4 3" xfId="14434" xr:uid="{00000000-0005-0000-0000-000014020000}"/>
    <cellStyle name="20% - Accent1 2 3 2 4 3 2" xfId="15563" xr:uid="{00000000-0005-0000-0000-000015020000}"/>
    <cellStyle name="20% - Accent1 2 3 2 4 3 2 2" xfId="20027" xr:uid="{00000000-0005-0000-0000-000016020000}"/>
    <cellStyle name="20% - Accent1 2 3 2 4 3 2 2 2" xfId="30395" xr:uid="{00000000-0005-0000-0000-000017020000}"/>
    <cellStyle name="20% - Accent1 2 3 2 4 3 2 2 2 2" xfId="49584" xr:uid="{00000000-0005-0000-0000-000018020000}"/>
    <cellStyle name="20% - Accent1 2 3 2 4 3 2 2 3" xfId="39886" xr:uid="{00000000-0005-0000-0000-000019020000}"/>
    <cellStyle name="20% - Accent1 2 3 2 4 3 2 3" xfId="25940" xr:uid="{00000000-0005-0000-0000-00001A020000}"/>
    <cellStyle name="20% - Accent1 2 3 2 4 3 2 3 2" xfId="45129" xr:uid="{00000000-0005-0000-0000-00001B020000}"/>
    <cellStyle name="20% - Accent1 2 3 2 4 3 2 4" xfId="35431" xr:uid="{00000000-0005-0000-0000-00001C020000}"/>
    <cellStyle name="20% - Accent1 2 3 2 4 3 3" xfId="18912" xr:uid="{00000000-0005-0000-0000-00001D020000}"/>
    <cellStyle name="20% - Accent1 2 3 2 4 3 3 2" xfId="29280" xr:uid="{00000000-0005-0000-0000-00001E020000}"/>
    <cellStyle name="20% - Accent1 2 3 2 4 3 3 2 2" xfId="48469" xr:uid="{00000000-0005-0000-0000-00001F020000}"/>
    <cellStyle name="20% - Accent1 2 3 2 4 3 3 3" xfId="38771" xr:uid="{00000000-0005-0000-0000-000020020000}"/>
    <cellStyle name="20% - Accent1 2 3 2 4 3 4" xfId="24825" xr:uid="{00000000-0005-0000-0000-000021020000}"/>
    <cellStyle name="20% - Accent1 2 3 2 4 3 4 2" xfId="44014" xr:uid="{00000000-0005-0000-0000-000022020000}"/>
    <cellStyle name="20% - Accent1 2 3 2 4 3 5" xfId="34316" xr:uid="{00000000-0005-0000-0000-000023020000}"/>
    <cellStyle name="20% - Accent1 2 3 2 4 4" xfId="15006" xr:uid="{00000000-0005-0000-0000-000024020000}"/>
    <cellStyle name="20% - Accent1 2 3 2 4 4 2" xfId="19470" xr:uid="{00000000-0005-0000-0000-000025020000}"/>
    <cellStyle name="20% - Accent1 2 3 2 4 4 2 2" xfId="29838" xr:uid="{00000000-0005-0000-0000-000026020000}"/>
    <cellStyle name="20% - Accent1 2 3 2 4 4 2 2 2" xfId="49027" xr:uid="{00000000-0005-0000-0000-000027020000}"/>
    <cellStyle name="20% - Accent1 2 3 2 4 4 2 3" xfId="39329" xr:uid="{00000000-0005-0000-0000-000028020000}"/>
    <cellStyle name="20% - Accent1 2 3 2 4 4 3" xfId="25383" xr:uid="{00000000-0005-0000-0000-000029020000}"/>
    <cellStyle name="20% - Accent1 2 3 2 4 4 3 2" xfId="44572" xr:uid="{00000000-0005-0000-0000-00002A020000}"/>
    <cellStyle name="20% - Accent1 2 3 2 4 4 4" xfId="34874" xr:uid="{00000000-0005-0000-0000-00002B020000}"/>
    <cellStyle name="20% - Accent1 2 3 2 4 5" xfId="16676" xr:uid="{00000000-0005-0000-0000-00002C020000}"/>
    <cellStyle name="20% - Accent1 2 3 2 4 5 2" xfId="21140" xr:uid="{00000000-0005-0000-0000-00002D020000}"/>
    <cellStyle name="20% - Accent1 2 3 2 4 5 2 2" xfId="31508" xr:uid="{00000000-0005-0000-0000-00002E020000}"/>
    <cellStyle name="20% - Accent1 2 3 2 4 5 2 2 2" xfId="50697" xr:uid="{00000000-0005-0000-0000-00002F020000}"/>
    <cellStyle name="20% - Accent1 2 3 2 4 5 2 3" xfId="40999" xr:uid="{00000000-0005-0000-0000-000030020000}"/>
    <cellStyle name="20% - Accent1 2 3 2 4 5 3" xfId="27053" xr:uid="{00000000-0005-0000-0000-000031020000}"/>
    <cellStyle name="20% - Accent1 2 3 2 4 5 3 2" xfId="46242" xr:uid="{00000000-0005-0000-0000-000032020000}"/>
    <cellStyle name="20% - Accent1 2 3 2 4 5 4" xfId="36544" xr:uid="{00000000-0005-0000-0000-000033020000}"/>
    <cellStyle name="20% - Accent1 2 3 2 4 6" xfId="17242" xr:uid="{00000000-0005-0000-0000-000034020000}"/>
    <cellStyle name="20% - Accent1 2 3 2 4 6 2" xfId="21697" xr:uid="{00000000-0005-0000-0000-000035020000}"/>
    <cellStyle name="20% - Accent1 2 3 2 4 6 2 2" xfId="32065" xr:uid="{00000000-0005-0000-0000-000036020000}"/>
    <cellStyle name="20% - Accent1 2 3 2 4 6 2 2 2" xfId="51254" xr:uid="{00000000-0005-0000-0000-000037020000}"/>
    <cellStyle name="20% - Accent1 2 3 2 4 6 2 3" xfId="41556" xr:uid="{00000000-0005-0000-0000-000038020000}"/>
    <cellStyle name="20% - Accent1 2 3 2 4 6 3" xfId="27610" xr:uid="{00000000-0005-0000-0000-000039020000}"/>
    <cellStyle name="20% - Accent1 2 3 2 4 6 3 2" xfId="46799" xr:uid="{00000000-0005-0000-0000-00003A020000}"/>
    <cellStyle name="20% - Accent1 2 3 2 4 6 4" xfId="37101" xr:uid="{00000000-0005-0000-0000-00003B020000}"/>
    <cellStyle name="20% - Accent1 2 3 2 4 7" xfId="17799" xr:uid="{00000000-0005-0000-0000-00003C020000}"/>
    <cellStyle name="20% - Accent1 2 3 2 4 7 2" xfId="28167" xr:uid="{00000000-0005-0000-0000-00003D020000}"/>
    <cellStyle name="20% - Accent1 2 3 2 4 7 2 2" xfId="47356" xr:uid="{00000000-0005-0000-0000-00003E020000}"/>
    <cellStyle name="20% - Accent1 2 3 2 4 7 3" xfId="37658" xr:uid="{00000000-0005-0000-0000-00003F020000}"/>
    <cellStyle name="20% - Accent1 2 3 2 4 8" xfId="23662" xr:uid="{00000000-0005-0000-0000-000040020000}"/>
    <cellStyle name="20% - Accent1 2 3 2 4 8 2" xfId="42901" xr:uid="{00000000-0005-0000-0000-000041020000}"/>
    <cellStyle name="20% - Accent1 2 3 2 4 9" xfId="33203" xr:uid="{00000000-0005-0000-0000-000042020000}"/>
    <cellStyle name="20% - Accent1 2 3 2 5" xfId="13850" xr:uid="{00000000-0005-0000-0000-000043020000}"/>
    <cellStyle name="20% - Accent1 2 3 2 5 2" xfId="16114" xr:uid="{00000000-0005-0000-0000-000044020000}"/>
    <cellStyle name="20% - Accent1 2 3 2 5 2 2" xfId="20578" xr:uid="{00000000-0005-0000-0000-000045020000}"/>
    <cellStyle name="20% - Accent1 2 3 2 5 2 2 2" xfId="30946" xr:uid="{00000000-0005-0000-0000-000046020000}"/>
    <cellStyle name="20% - Accent1 2 3 2 5 2 2 2 2" xfId="50135" xr:uid="{00000000-0005-0000-0000-000047020000}"/>
    <cellStyle name="20% - Accent1 2 3 2 5 2 2 3" xfId="40437" xr:uid="{00000000-0005-0000-0000-000048020000}"/>
    <cellStyle name="20% - Accent1 2 3 2 5 2 3" xfId="26491" xr:uid="{00000000-0005-0000-0000-000049020000}"/>
    <cellStyle name="20% - Accent1 2 3 2 5 2 3 2" xfId="45680" xr:uid="{00000000-0005-0000-0000-00004A020000}"/>
    <cellStyle name="20% - Accent1 2 3 2 5 2 4" xfId="35982" xr:uid="{00000000-0005-0000-0000-00004B020000}"/>
    <cellStyle name="20% - Accent1 2 3 2 5 3" xfId="18350" xr:uid="{00000000-0005-0000-0000-00004C020000}"/>
    <cellStyle name="20% - Accent1 2 3 2 5 3 2" xfId="28718" xr:uid="{00000000-0005-0000-0000-00004D020000}"/>
    <cellStyle name="20% - Accent1 2 3 2 5 3 2 2" xfId="47907" xr:uid="{00000000-0005-0000-0000-00004E020000}"/>
    <cellStyle name="20% - Accent1 2 3 2 5 3 3" xfId="38209" xr:uid="{00000000-0005-0000-0000-00004F020000}"/>
    <cellStyle name="20% - Accent1 2 3 2 5 4" xfId="24258" xr:uid="{00000000-0005-0000-0000-000050020000}"/>
    <cellStyle name="20% - Accent1 2 3 2 5 4 2" xfId="43452" xr:uid="{00000000-0005-0000-0000-000051020000}"/>
    <cellStyle name="20% - Accent1 2 3 2 5 5" xfId="33754" xr:uid="{00000000-0005-0000-0000-000052020000}"/>
    <cellStyle name="20% - Accent1 2 3 2 6" xfId="14429" xr:uid="{00000000-0005-0000-0000-000053020000}"/>
    <cellStyle name="20% - Accent1 2 3 2 6 2" xfId="15558" xr:uid="{00000000-0005-0000-0000-000054020000}"/>
    <cellStyle name="20% - Accent1 2 3 2 6 2 2" xfId="20022" xr:uid="{00000000-0005-0000-0000-000055020000}"/>
    <cellStyle name="20% - Accent1 2 3 2 6 2 2 2" xfId="30390" xr:uid="{00000000-0005-0000-0000-000056020000}"/>
    <cellStyle name="20% - Accent1 2 3 2 6 2 2 2 2" xfId="49579" xr:uid="{00000000-0005-0000-0000-000057020000}"/>
    <cellStyle name="20% - Accent1 2 3 2 6 2 2 3" xfId="39881" xr:uid="{00000000-0005-0000-0000-000058020000}"/>
    <cellStyle name="20% - Accent1 2 3 2 6 2 3" xfId="25935" xr:uid="{00000000-0005-0000-0000-000059020000}"/>
    <cellStyle name="20% - Accent1 2 3 2 6 2 3 2" xfId="45124" xr:uid="{00000000-0005-0000-0000-00005A020000}"/>
    <cellStyle name="20% - Accent1 2 3 2 6 2 4" xfId="35426" xr:uid="{00000000-0005-0000-0000-00005B020000}"/>
    <cellStyle name="20% - Accent1 2 3 2 6 3" xfId="18907" xr:uid="{00000000-0005-0000-0000-00005C020000}"/>
    <cellStyle name="20% - Accent1 2 3 2 6 3 2" xfId="29275" xr:uid="{00000000-0005-0000-0000-00005D020000}"/>
    <cellStyle name="20% - Accent1 2 3 2 6 3 2 2" xfId="48464" xr:uid="{00000000-0005-0000-0000-00005E020000}"/>
    <cellStyle name="20% - Accent1 2 3 2 6 3 3" xfId="38766" xr:uid="{00000000-0005-0000-0000-00005F020000}"/>
    <cellStyle name="20% - Accent1 2 3 2 6 4" xfId="24820" xr:uid="{00000000-0005-0000-0000-000060020000}"/>
    <cellStyle name="20% - Accent1 2 3 2 6 4 2" xfId="44009" xr:uid="{00000000-0005-0000-0000-000061020000}"/>
    <cellStyle name="20% - Accent1 2 3 2 6 5" xfId="34311" xr:uid="{00000000-0005-0000-0000-000062020000}"/>
    <cellStyle name="20% - Accent1 2 3 2 7" xfId="15001" xr:uid="{00000000-0005-0000-0000-000063020000}"/>
    <cellStyle name="20% - Accent1 2 3 2 7 2" xfId="19465" xr:uid="{00000000-0005-0000-0000-000064020000}"/>
    <cellStyle name="20% - Accent1 2 3 2 7 2 2" xfId="29833" xr:uid="{00000000-0005-0000-0000-000065020000}"/>
    <cellStyle name="20% - Accent1 2 3 2 7 2 2 2" xfId="49022" xr:uid="{00000000-0005-0000-0000-000066020000}"/>
    <cellStyle name="20% - Accent1 2 3 2 7 2 3" xfId="39324" xr:uid="{00000000-0005-0000-0000-000067020000}"/>
    <cellStyle name="20% - Accent1 2 3 2 7 3" xfId="25378" xr:uid="{00000000-0005-0000-0000-000068020000}"/>
    <cellStyle name="20% - Accent1 2 3 2 7 3 2" xfId="44567" xr:uid="{00000000-0005-0000-0000-000069020000}"/>
    <cellStyle name="20% - Accent1 2 3 2 7 4" xfId="34869" xr:uid="{00000000-0005-0000-0000-00006A020000}"/>
    <cellStyle name="20% - Accent1 2 3 2 8" xfId="16671" xr:uid="{00000000-0005-0000-0000-00006B020000}"/>
    <cellStyle name="20% - Accent1 2 3 2 8 2" xfId="21135" xr:uid="{00000000-0005-0000-0000-00006C020000}"/>
    <cellStyle name="20% - Accent1 2 3 2 8 2 2" xfId="31503" xr:uid="{00000000-0005-0000-0000-00006D020000}"/>
    <cellStyle name="20% - Accent1 2 3 2 8 2 2 2" xfId="50692" xr:uid="{00000000-0005-0000-0000-00006E020000}"/>
    <cellStyle name="20% - Accent1 2 3 2 8 2 3" xfId="40994" xr:uid="{00000000-0005-0000-0000-00006F020000}"/>
    <cellStyle name="20% - Accent1 2 3 2 8 3" xfId="27048" xr:uid="{00000000-0005-0000-0000-000070020000}"/>
    <cellStyle name="20% - Accent1 2 3 2 8 3 2" xfId="46237" xr:uid="{00000000-0005-0000-0000-000071020000}"/>
    <cellStyle name="20% - Accent1 2 3 2 8 4" xfId="36539" xr:uid="{00000000-0005-0000-0000-000072020000}"/>
    <cellStyle name="20% - Accent1 2 3 2 9" xfId="17237" xr:uid="{00000000-0005-0000-0000-000073020000}"/>
    <cellStyle name="20% - Accent1 2 3 2 9 2" xfId="21692" xr:uid="{00000000-0005-0000-0000-000074020000}"/>
    <cellStyle name="20% - Accent1 2 3 2 9 2 2" xfId="32060" xr:uid="{00000000-0005-0000-0000-000075020000}"/>
    <cellStyle name="20% - Accent1 2 3 2 9 2 2 2" xfId="51249" xr:uid="{00000000-0005-0000-0000-000076020000}"/>
    <cellStyle name="20% - Accent1 2 3 2 9 2 3" xfId="41551" xr:uid="{00000000-0005-0000-0000-000077020000}"/>
    <cellStyle name="20% - Accent1 2 3 2 9 3" xfId="27605" xr:uid="{00000000-0005-0000-0000-000078020000}"/>
    <cellStyle name="20% - Accent1 2 3 2 9 3 2" xfId="46794" xr:uid="{00000000-0005-0000-0000-000079020000}"/>
    <cellStyle name="20% - Accent1 2 3 2 9 4" xfId="37096" xr:uid="{00000000-0005-0000-0000-00007A020000}"/>
    <cellStyle name="20% - Accent1 2 3 3" xfId="1582" xr:uid="{00000000-0005-0000-0000-00007B020000}"/>
    <cellStyle name="20% - Accent1 2 3 3 10" xfId="23663" xr:uid="{00000000-0005-0000-0000-00007C020000}"/>
    <cellStyle name="20% - Accent1 2 3 3 10 2" xfId="42902" xr:uid="{00000000-0005-0000-0000-00007D020000}"/>
    <cellStyle name="20% - Accent1 2 3 3 11" xfId="33204" xr:uid="{00000000-0005-0000-0000-00007E020000}"/>
    <cellStyle name="20% - Accent1 2 3 3 12" xfId="52940" xr:uid="{00000000-0005-0000-0000-00007F020000}"/>
    <cellStyle name="20% - Accent1 2 3 3 13" xfId="12900" xr:uid="{00000000-0005-0000-0000-000080020000}"/>
    <cellStyle name="20% - Accent1 2 3 3 2" xfId="12901" xr:uid="{00000000-0005-0000-0000-000081020000}"/>
    <cellStyle name="20% - Accent1 2 3 3 2 10" xfId="53815" xr:uid="{00000000-0005-0000-0000-000082020000}"/>
    <cellStyle name="20% - Accent1 2 3 3 2 2" xfId="13857" xr:uid="{00000000-0005-0000-0000-000083020000}"/>
    <cellStyle name="20% - Accent1 2 3 3 2 2 2" xfId="16121" xr:uid="{00000000-0005-0000-0000-000084020000}"/>
    <cellStyle name="20% - Accent1 2 3 3 2 2 2 2" xfId="20585" xr:uid="{00000000-0005-0000-0000-000085020000}"/>
    <cellStyle name="20% - Accent1 2 3 3 2 2 2 2 2" xfId="30953" xr:uid="{00000000-0005-0000-0000-000086020000}"/>
    <cellStyle name="20% - Accent1 2 3 3 2 2 2 2 2 2" xfId="50142" xr:uid="{00000000-0005-0000-0000-000087020000}"/>
    <cellStyle name="20% - Accent1 2 3 3 2 2 2 2 3" xfId="40444" xr:uid="{00000000-0005-0000-0000-000088020000}"/>
    <cellStyle name="20% - Accent1 2 3 3 2 2 2 3" xfId="26498" xr:uid="{00000000-0005-0000-0000-000089020000}"/>
    <cellStyle name="20% - Accent1 2 3 3 2 2 2 3 2" xfId="45687" xr:uid="{00000000-0005-0000-0000-00008A020000}"/>
    <cellStyle name="20% - Accent1 2 3 3 2 2 2 4" xfId="35989" xr:uid="{00000000-0005-0000-0000-00008B020000}"/>
    <cellStyle name="20% - Accent1 2 3 3 2 2 3" xfId="18357" xr:uid="{00000000-0005-0000-0000-00008C020000}"/>
    <cellStyle name="20% - Accent1 2 3 3 2 2 3 2" xfId="28725" xr:uid="{00000000-0005-0000-0000-00008D020000}"/>
    <cellStyle name="20% - Accent1 2 3 3 2 2 3 2 2" xfId="47914" xr:uid="{00000000-0005-0000-0000-00008E020000}"/>
    <cellStyle name="20% - Accent1 2 3 3 2 2 3 3" xfId="38216" xr:uid="{00000000-0005-0000-0000-00008F020000}"/>
    <cellStyle name="20% - Accent1 2 3 3 2 2 4" xfId="24265" xr:uid="{00000000-0005-0000-0000-000090020000}"/>
    <cellStyle name="20% - Accent1 2 3 3 2 2 4 2" xfId="43459" xr:uid="{00000000-0005-0000-0000-000091020000}"/>
    <cellStyle name="20% - Accent1 2 3 3 2 2 5" xfId="33761" xr:uid="{00000000-0005-0000-0000-000092020000}"/>
    <cellStyle name="20% - Accent1 2 3 3 2 3" xfId="14436" xr:uid="{00000000-0005-0000-0000-000093020000}"/>
    <cellStyle name="20% - Accent1 2 3 3 2 3 2" xfId="15565" xr:uid="{00000000-0005-0000-0000-000094020000}"/>
    <cellStyle name="20% - Accent1 2 3 3 2 3 2 2" xfId="20029" xr:uid="{00000000-0005-0000-0000-000095020000}"/>
    <cellStyle name="20% - Accent1 2 3 3 2 3 2 2 2" xfId="30397" xr:uid="{00000000-0005-0000-0000-000096020000}"/>
    <cellStyle name="20% - Accent1 2 3 3 2 3 2 2 2 2" xfId="49586" xr:uid="{00000000-0005-0000-0000-000097020000}"/>
    <cellStyle name="20% - Accent1 2 3 3 2 3 2 2 3" xfId="39888" xr:uid="{00000000-0005-0000-0000-000098020000}"/>
    <cellStyle name="20% - Accent1 2 3 3 2 3 2 3" xfId="25942" xr:uid="{00000000-0005-0000-0000-000099020000}"/>
    <cellStyle name="20% - Accent1 2 3 3 2 3 2 3 2" xfId="45131" xr:uid="{00000000-0005-0000-0000-00009A020000}"/>
    <cellStyle name="20% - Accent1 2 3 3 2 3 2 4" xfId="35433" xr:uid="{00000000-0005-0000-0000-00009B020000}"/>
    <cellStyle name="20% - Accent1 2 3 3 2 3 3" xfId="18914" xr:uid="{00000000-0005-0000-0000-00009C020000}"/>
    <cellStyle name="20% - Accent1 2 3 3 2 3 3 2" xfId="29282" xr:uid="{00000000-0005-0000-0000-00009D020000}"/>
    <cellStyle name="20% - Accent1 2 3 3 2 3 3 2 2" xfId="48471" xr:uid="{00000000-0005-0000-0000-00009E020000}"/>
    <cellStyle name="20% - Accent1 2 3 3 2 3 3 3" xfId="38773" xr:uid="{00000000-0005-0000-0000-00009F020000}"/>
    <cellStyle name="20% - Accent1 2 3 3 2 3 4" xfId="24827" xr:uid="{00000000-0005-0000-0000-0000A0020000}"/>
    <cellStyle name="20% - Accent1 2 3 3 2 3 4 2" xfId="44016" xr:uid="{00000000-0005-0000-0000-0000A1020000}"/>
    <cellStyle name="20% - Accent1 2 3 3 2 3 5" xfId="34318" xr:uid="{00000000-0005-0000-0000-0000A2020000}"/>
    <cellStyle name="20% - Accent1 2 3 3 2 4" xfId="15008" xr:uid="{00000000-0005-0000-0000-0000A3020000}"/>
    <cellStyle name="20% - Accent1 2 3 3 2 4 2" xfId="19472" xr:uid="{00000000-0005-0000-0000-0000A4020000}"/>
    <cellStyle name="20% - Accent1 2 3 3 2 4 2 2" xfId="29840" xr:uid="{00000000-0005-0000-0000-0000A5020000}"/>
    <cellStyle name="20% - Accent1 2 3 3 2 4 2 2 2" xfId="49029" xr:uid="{00000000-0005-0000-0000-0000A6020000}"/>
    <cellStyle name="20% - Accent1 2 3 3 2 4 2 3" xfId="39331" xr:uid="{00000000-0005-0000-0000-0000A7020000}"/>
    <cellStyle name="20% - Accent1 2 3 3 2 4 3" xfId="25385" xr:uid="{00000000-0005-0000-0000-0000A8020000}"/>
    <cellStyle name="20% - Accent1 2 3 3 2 4 3 2" xfId="44574" xr:uid="{00000000-0005-0000-0000-0000A9020000}"/>
    <cellStyle name="20% - Accent1 2 3 3 2 4 4" xfId="34876" xr:uid="{00000000-0005-0000-0000-0000AA020000}"/>
    <cellStyle name="20% - Accent1 2 3 3 2 5" xfId="16678" xr:uid="{00000000-0005-0000-0000-0000AB020000}"/>
    <cellStyle name="20% - Accent1 2 3 3 2 5 2" xfId="21142" xr:uid="{00000000-0005-0000-0000-0000AC020000}"/>
    <cellStyle name="20% - Accent1 2 3 3 2 5 2 2" xfId="31510" xr:uid="{00000000-0005-0000-0000-0000AD020000}"/>
    <cellStyle name="20% - Accent1 2 3 3 2 5 2 2 2" xfId="50699" xr:uid="{00000000-0005-0000-0000-0000AE020000}"/>
    <cellStyle name="20% - Accent1 2 3 3 2 5 2 3" xfId="41001" xr:uid="{00000000-0005-0000-0000-0000AF020000}"/>
    <cellStyle name="20% - Accent1 2 3 3 2 5 3" xfId="27055" xr:uid="{00000000-0005-0000-0000-0000B0020000}"/>
    <cellStyle name="20% - Accent1 2 3 3 2 5 3 2" xfId="46244" xr:uid="{00000000-0005-0000-0000-0000B1020000}"/>
    <cellStyle name="20% - Accent1 2 3 3 2 5 4" xfId="36546" xr:uid="{00000000-0005-0000-0000-0000B2020000}"/>
    <cellStyle name="20% - Accent1 2 3 3 2 6" xfId="17244" xr:uid="{00000000-0005-0000-0000-0000B3020000}"/>
    <cellStyle name="20% - Accent1 2 3 3 2 6 2" xfId="21699" xr:uid="{00000000-0005-0000-0000-0000B4020000}"/>
    <cellStyle name="20% - Accent1 2 3 3 2 6 2 2" xfId="32067" xr:uid="{00000000-0005-0000-0000-0000B5020000}"/>
    <cellStyle name="20% - Accent1 2 3 3 2 6 2 2 2" xfId="51256" xr:uid="{00000000-0005-0000-0000-0000B6020000}"/>
    <cellStyle name="20% - Accent1 2 3 3 2 6 2 3" xfId="41558" xr:uid="{00000000-0005-0000-0000-0000B7020000}"/>
    <cellStyle name="20% - Accent1 2 3 3 2 6 3" xfId="27612" xr:uid="{00000000-0005-0000-0000-0000B8020000}"/>
    <cellStyle name="20% - Accent1 2 3 3 2 6 3 2" xfId="46801" xr:uid="{00000000-0005-0000-0000-0000B9020000}"/>
    <cellStyle name="20% - Accent1 2 3 3 2 6 4" xfId="37103" xr:uid="{00000000-0005-0000-0000-0000BA020000}"/>
    <cellStyle name="20% - Accent1 2 3 3 2 7" xfId="17801" xr:uid="{00000000-0005-0000-0000-0000BB020000}"/>
    <cellStyle name="20% - Accent1 2 3 3 2 7 2" xfId="28169" xr:uid="{00000000-0005-0000-0000-0000BC020000}"/>
    <cellStyle name="20% - Accent1 2 3 3 2 7 2 2" xfId="47358" xr:uid="{00000000-0005-0000-0000-0000BD020000}"/>
    <cellStyle name="20% - Accent1 2 3 3 2 7 3" xfId="37660" xr:uid="{00000000-0005-0000-0000-0000BE020000}"/>
    <cellStyle name="20% - Accent1 2 3 3 2 8" xfId="23664" xr:uid="{00000000-0005-0000-0000-0000BF020000}"/>
    <cellStyle name="20% - Accent1 2 3 3 2 8 2" xfId="42903" xr:uid="{00000000-0005-0000-0000-0000C0020000}"/>
    <cellStyle name="20% - Accent1 2 3 3 2 9" xfId="33205" xr:uid="{00000000-0005-0000-0000-0000C1020000}"/>
    <cellStyle name="20% - Accent1 2 3 3 3" xfId="12902" xr:uid="{00000000-0005-0000-0000-0000C2020000}"/>
    <cellStyle name="20% - Accent1 2 3 3 3 2" xfId="13858" xr:uid="{00000000-0005-0000-0000-0000C3020000}"/>
    <cellStyle name="20% - Accent1 2 3 3 3 2 2" xfId="16122" xr:uid="{00000000-0005-0000-0000-0000C4020000}"/>
    <cellStyle name="20% - Accent1 2 3 3 3 2 2 2" xfId="20586" xr:uid="{00000000-0005-0000-0000-0000C5020000}"/>
    <cellStyle name="20% - Accent1 2 3 3 3 2 2 2 2" xfId="30954" xr:uid="{00000000-0005-0000-0000-0000C6020000}"/>
    <cellStyle name="20% - Accent1 2 3 3 3 2 2 2 2 2" xfId="50143" xr:uid="{00000000-0005-0000-0000-0000C7020000}"/>
    <cellStyle name="20% - Accent1 2 3 3 3 2 2 2 3" xfId="40445" xr:uid="{00000000-0005-0000-0000-0000C8020000}"/>
    <cellStyle name="20% - Accent1 2 3 3 3 2 2 3" xfId="26499" xr:uid="{00000000-0005-0000-0000-0000C9020000}"/>
    <cellStyle name="20% - Accent1 2 3 3 3 2 2 3 2" xfId="45688" xr:uid="{00000000-0005-0000-0000-0000CA020000}"/>
    <cellStyle name="20% - Accent1 2 3 3 3 2 2 4" xfId="35990" xr:uid="{00000000-0005-0000-0000-0000CB020000}"/>
    <cellStyle name="20% - Accent1 2 3 3 3 2 3" xfId="18358" xr:uid="{00000000-0005-0000-0000-0000CC020000}"/>
    <cellStyle name="20% - Accent1 2 3 3 3 2 3 2" xfId="28726" xr:uid="{00000000-0005-0000-0000-0000CD020000}"/>
    <cellStyle name="20% - Accent1 2 3 3 3 2 3 2 2" xfId="47915" xr:uid="{00000000-0005-0000-0000-0000CE020000}"/>
    <cellStyle name="20% - Accent1 2 3 3 3 2 3 3" xfId="38217" xr:uid="{00000000-0005-0000-0000-0000CF020000}"/>
    <cellStyle name="20% - Accent1 2 3 3 3 2 4" xfId="24266" xr:uid="{00000000-0005-0000-0000-0000D0020000}"/>
    <cellStyle name="20% - Accent1 2 3 3 3 2 4 2" xfId="43460" xr:uid="{00000000-0005-0000-0000-0000D1020000}"/>
    <cellStyle name="20% - Accent1 2 3 3 3 2 5" xfId="33762" xr:uid="{00000000-0005-0000-0000-0000D2020000}"/>
    <cellStyle name="20% - Accent1 2 3 3 3 3" xfId="14437" xr:uid="{00000000-0005-0000-0000-0000D3020000}"/>
    <cellStyle name="20% - Accent1 2 3 3 3 3 2" xfId="15566" xr:uid="{00000000-0005-0000-0000-0000D4020000}"/>
    <cellStyle name="20% - Accent1 2 3 3 3 3 2 2" xfId="20030" xr:uid="{00000000-0005-0000-0000-0000D5020000}"/>
    <cellStyle name="20% - Accent1 2 3 3 3 3 2 2 2" xfId="30398" xr:uid="{00000000-0005-0000-0000-0000D6020000}"/>
    <cellStyle name="20% - Accent1 2 3 3 3 3 2 2 2 2" xfId="49587" xr:uid="{00000000-0005-0000-0000-0000D7020000}"/>
    <cellStyle name="20% - Accent1 2 3 3 3 3 2 2 3" xfId="39889" xr:uid="{00000000-0005-0000-0000-0000D8020000}"/>
    <cellStyle name="20% - Accent1 2 3 3 3 3 2 3" xfId="25943" xr:uid="{00000000-0005-0000-0000-0000D9020000}"/>
    <cellStyle name="20% - Accent1 2 3 3 3 3 2 3 2" xfId="45132" xr:uid="{00000000-0005-0000-0000-0000DA020000}"/>
    <cellStyle name="20% - Accent1 2 3 3 3 3 2 4" xfId="35434" xr:uid="{00000000-0005-0000-0000-0000DB020000}"/>
    <cellStyle name="20% - Accent1 2 3 3 3 3 3" xfId="18915" xr:uid="{00000000-0005-0000-0000-0000DC020000}"/>
    <cellStyle name="20% - Accent1 2 3 3 3 3 3 2" xfId="29283" xr:uid="{00000000-0005-0000-0000-0000DD020000}"/>
    <cellStyle name="20% - Accent1 2 3 3 3 3 3 2 2" xfId="48472" xr:uid="{00000000-0005-0000-0000-0000DE020000}"/>
    <cellStyle name="20% - Accent1 2 3 3 3 3 3 3" xfId="38774" xr:uid="{00000000-0005-0000-0000-0000DF020000}"/>
    <cellStyle name="20% - Accent1 2 3 3 3 3 4" xfId="24828" xr:uid="{00000000-0005-0000-0000-0000E0020000}"/>
    <cellStyle name="20% - Accent1 2 3 3 3 3 4 2" xfId="44017" xr:uid="{00000000-0005-0000-0000-0000E1020000}"/>
    <cellStyle name="20% - Accent1 2 3 3 3 3 5" xfId="34319" xr:uid="{00000000-0005-0000-0000-0000E2020000}"/>
    <cellStyle name="20% - Accent1 2 3 3 3 4" xfId="15009" xr:uid="{00000000-0005-0000-0000-0000E3020000}"/>
    <cellStyle name="20% - Accent1 2 3 3 3 4 2" xfId="19473" xr:uid="{00000000-0005-0000-0000-0000E4020000}"/>
    <cellStyle name="20% - Accent1 2 3 3 3 4 2 2" xfId="29841" xr:uid="{00000000-0005-0000-0000-0000E5020000}"/>
    <cellStyle name="20% - Accent1 2 3 3 3 4 2 2 2" xfId="49030" xr:uid="{00000000-0005-0000-0000-0000E6020000}"/>
    <cellStyle name="20% - Accent1 2 3 3 3 4 2 3" xfId="39332" xr:uid="{00000000-0005-0000-0000-0000E7020000}"/>
    <cellStyle name="20% - Accent1 2 3 3 3 4 3" xfId="25386" xr:uid="{00000000-0005-0000-0000-0000E8020000}"/>
    <cellStyle name="20% - Accent1 2 3 3 3 4 3 2" xfId="44575" xr:uid="{00000000-0005-0000-0000-0000E9020000}"/>
    <cellStyle name="20% - Accent1 2 3 3 3 4 4" xfId="34877" xr:uid="{00000000-0005-0000-0000-0000EA020000}"/>
    <cellStyle name="20% - Accent1 2 3 3 3 5" xfId="16679" xr:uid="{00000000-0005-0000-0000-0000EB020000}"/>
    <cellStyle name="20% - Accent1 2 3 3 3 5 2" xfId="21143" xr:uid="{00000000-0005-0000-0000-0000EC020000}"/>
    <cellStyle name="20% - Accent1 2 3 3 3 5 2 2" xfId="31511" xr:uid="{00000000-0005-0000-0000-0000ED020000}"/>
    <cellStyle name="20% - Accent1 2 3 3 3 5 2 2 2" xfId="50700" xr:uid="{00000000-0005-0000-0000-0000EE020000}"/>
    <cellStyle name="20% - Accent1 2 3 3 3 5 2 3" xfId="41002" xr:uid="{00000000-0005-0000-0000-0000EF020000}"/>
    <cellStyle name="20% - Accent1 2 3 3 3 5 3" xfId="27056" xr:uid="{00000000-0005-0000-0000-0000F0020000}"/>
    <cellStyle name="20% - Accent1 2 3 3 3 5 3 2" xfId="46245" xr:uid="{00000000-0005-0000-0000-0000F1020000}"/>
    <cellStyle name="20% - Accent1 2 3 3 3 5 4" xfId="36547" xr:uid="{00000000-0005-0000-0000-0000F2020000}"/>
    <cellStyle name="20% - Accent1 2 3 3 3 6" xfId="17245" xr:uid="{00000000-0005-0000-0000-0000F3020000}"/>
    <cellStyle name="20% - Accent1 2 3 3 3 6 2" xfId="21700" xr:uid="{00000000-0005-0000-0000-0000F4020000}"/>
    <cellStyle name="20% - Accent1 2 3 3 3 6 2 2" xfId="32068" xr:uid="{00000000-0005-0000-0000-0000F5020000}"/>
    <cellStyle name="20% - Accent1 2 3 3 3 6 2 2 2" xfId="51257" xr:uid="{00000000-0005-0000-0000-0000F6020000}"/>
    <cellStyle name="20% - Accent1 2 3 3 3 6 2 3" xfId="41559" xr:uid="{00000000-0005-0000-0000-0000F7020000}"/>
    <cellStyle name="20% - Accent1 2 3 3 3 6 3" xfId="27613" xr:uid="{00000000-0005-0000-0000-0000F8020000}"/>
    <cellStyle name="20% - Accent1 2 3 3 3 6 3 2" xfId="46802" xr:uid="{00000000-0005-0000-0000-0000F9020000}"/>
    <cellStyle name="20% - Accent1 2 3 3 3 6 4" xfId="37104" xr:uid="{00000000-0005-0000-0000-0000FA020000}"/>
    <cellStyle name="20% - Accent1 2 3 3 3 7" xfId="17802" xr:uid="{00000000-0005-0000-0000-0000FB020000}"/>
    <cellStyle name="20% - Accent1 2 3 3 3 7 2" xfId="28170" xr:uid="{00000000-0005-0000-0000-0000FC020000}"/>
    <cellStyle name="20% - Accent1 2 3 3 3 7 2 2" xfId="47359" xr:uid="{00000000-0005-0000-0000-0000FD020000}"/>
    <cellStyle name="20% - Accent1 2 3 3 3 7 3" xfId="37661" xr:uid="{00000000-0005-0000-0000-0000FE020000}"/>
    <cellStyle name="20% - Accent1 2 3 3 3 8" xfId="23665" xr:uid="{00000000-0005-0000-0000-0000FF020000}"/>
    <cellStyle name="20% - Accent1 2 3 3 3 8 2" xfId="42904" xr:uid="{00000000-0005-0000-0000-000000030000}"/>
    <cellStyle name="20% - Accent1 2 3 3 3 9" xfId="33206" xr:uid="{00000000-0005-0000-0000-000001030000}"/>
    <cellStyle name="20% - Accent1 2 3 3 4" xfId="13856" xr:uid="{00000000-0005-0000-0000-000002030000}"/>
    <cellStyle name="20% - Accent1 2 3 3 4 2" xfId="16120" xr:uid="{00000000-0005-0000-0000-000003030000}"/>
    <cellStyle name="20% - Accent1 2 3 3 4 2 2" xfId="20584" xr:uid="{00000000-0005-0000-0000-000004030000}"/>
    <cellStyle name="20% - Accent1 2 3 3 4 2 2 2" xfId="30952" xr:uid="{00000000-0005-0000-0000-000005030000}"/>
    <cellStyle name="20% - Accent1 2 3 3 4 2 2 2 2" xfId="50141" xr:uid="{00000000-0005-0000-0000-000006030000}"/>
    <cellStyle name="20% - Accent1 2 3 3 4 2 2 3" xfId="40443" xr:uid="{00000000-0005-0000-0000-000007030000}"/>
    <cellStyle name="20% - Accent1 2 3 3 4 2 3" xfId="26497" xr:uid="{00000000-0005-0000-0000-000008030000}"/>
    <cellStyle name="20% - Accent1 2 3 3 4 2 3 2" xfId="45686" xr:uid="{00000000-0005-0000-0000-000009030000}"/>
    <cellStyle name="20% - Accent1 2 3 3 4 2 4" xfId="35988" xr:uid="{00000000-0005-0000-0000-00000A030000}"/>
    <cellStyle name="20% - Accent1 2 3 3 4 3" xfId="18356" xr:uid="{00000000-0005-0000-0000-00000B030000}"/>
    <cellStyle name="20% - Accent1 2 3 3 4 3 2" xfId="28724" xr:uid="{00000000-0005-0000-0000-00000C030000}"/>
    <cellStyle name="20% - Accent1 2 3 3 4 3 2 2" xfId="47913" xr:uid="{00000000-0005-0000-0000-00000D030000}"/>
    <cellStyle name="20% - Accent1 2 3 3 4 3 3" xfId="38215" xr:uid="{00000000-0005-0000-0000-00000E030000}"/>
    <cellStyle name="20% - Accent1 2 3 3 4 4" xfId="24264" xr:uid="{00000000-0005-0000-0000-00000F030000}"/>
    <cellStyle name="20% - Accent1 2 3 3 4 4 2" xfId="43458" xr:uid="{00000000-0005-0000-0000-000010030000}"/>
    <cellStyle name="20% - Accent1 2 3 3 4 5" xfId="33760" xr:uid="{00000000-0005-0000-0000-000011030000}"/>
    <cellStyle name="20% - Accent1 2 3 3 5" xfId="14435" xr:uid="{00000000-0005-0000-0000-000012030000}"/>
    <cellStyle name="20% - Accent1 2 3 3 5 2" xfId="15564" xr:uid="{00000000-0005-0000-0000-000013030000}"/>
    <cellStyle name="20% - Accent1 2 3 3 5 2 2" xfId="20028" xr:uid="{00000000-0005-0000-0000-000014030000}"/>
    <cellStyle name="20% - Accent1 2 3 3 5 2 2 2" xfId="30396" xr:uid="{00000000-0005-0000-0000-000015030000}"/>
    <cellStyle name="20% - Accent1 2 3 3 5 2 2 2 2" xfId="49585" xr:uid="{00000000-0005-0000-0000-000016030000}"/>
    <cellStyle name="20% - Accent1 2 3 3 5 2 2 3" xfId="39887" xr:uid="{00000000-0005-0000-0000-000017030000}"/>
    <cellStyle name="20% - Accent1 2 3 3 5 2 3" xfId="25941" xr:uid="{00000000-0005-0000-0000-000018030000}"/>
    <cellStyle name="20% - Accent1 2 3 3 5 2 3 2" xfId="45130" xr:uid="{00000000-0005-0000-0000-000019030000}"/>
    <cellStyle name="20% - Accent1 2 3 3 5 2 4" xfId="35432" xr:uid="{00000000-0005-0000-0000-00001A030000}"/>
    <cellStyle name="20% - Accent1 2 3 3 5 3" xfId="18913" xr:uid="{00000000-0005-0000-0000-00001B030000}"/>
    <cellStyle name="20% - Accent1 2 3 3 5 3 2" xfId="29281" xr:uid="{00000000-0005-0000-0000-00001C030000}"/>
    <cellStyle name="20% - Accent1 2 3 3 5 3 2 2" xfId="48470" xr:uid="{00000000-0005-0000-0000-00001D030000}"/>
    <cellStyle name="20% - Accent1 2 3 3 5 3 3" xfId="38772" xr:uid="{00000000-0005-0000-0000-00001E030000}"/>
    <cellStyle name="20% - Accent1 2 3 3 5 4" xfId="24826" xr:uid="{00000000-0005-0000-0000-00001F030000}"/>
    <cellStyle name="20% - Accent1 2 3 3 5 4 2" xfId="44015" xr:uid="{00000000-0005-0000-0000-000020030000}"/>
    <cellStyle name="20% - Accent1 2 3 3 5 5" xfId="34317" xr:uid="{00000000-0005-0000-0000-000021030000}"/>
    <cellStyle name="20% - Accent1 2 3 3 6" xfId="15007" xr:uid="{00000000-0005-0000-0000-000022030000}"/>
    <cellStyle name="20% - Accent1 2 3 3 6 2" xfId="19471" xr:uid="{00000000-0005-0000-0000-000023030000}"/>
    <cellStyle name="20% - Accent1 2 3 3 6 2 2" xfId="29839" xr:uid="{00000000-0005-0000-0000-000024030000}"/>
    <cellStyle name="20% - Accent1 2 3 3 6 2 2 2" xfId="49028" xr:uid="{00000000-0005-0000-0000-000025030000}"/>
    <cellStyle name="20% - Accent1 2 3 3 6 2 3" xfId="39330" xr:uid="{00000000-0005-0000-0000-000026030000}"/>
    <cellStyle name="20% - Accent1 2 3 3 6 3" xfId="25384" xr:uid="{00000000-0005-0000-0000-000027030000}"/>
    <cellStyle name="20% - Accent1 2 3 3 6 3 2" xfId="44573" xr:uid="{00000000-0005-0000-0000-000028030000}"/>
    <cellStyle name="20% - Accent1 2 3 3 6 4" xfId="34875" xr:uid="{00000000-0005-0000-0000-000029030000}"/>
    <cellStyle name="20% - Accent1 2 3 3 7" xfId="16677" xr:uid="{00000000-0005-0000-0000-00002A030000}"/>
    <cellStyle name="20% - Accent1 2 3 3 7 2" xfId="21141" xr:uid="{00000000-0005-0000-0000-00002B030000}"/>
    <cellStyle name="20% - Accent1 2 3 3 7 2 2" xfId="31509" xr:uid="{00000000-0005-0000-0000-00002C030000}"/>
    <cellStyle name="20% - Accent1 2 3 3 7 2 2 2" xfId="50698" xr:uid="{00000000-0005-0000-0000-00002D030000}"/>
    <cellStyle name="20% - Accent1 2 3 3 7 2 3" xfId="41000" xr:uid="{00000000-0005-0000-0000-00002E030000}"/>
    <cellStyle name="20% - Accent1 2 3 3 7 3" xfId="27054" xr:uid="{00000000-0005-0000-0000-00002F030000}"/>
    <cellStyle name="20% - Accent1 2 3 3 7 3 2" xfId="46243" xr:uid="{00000000-0005-0000-0000-000030030000}"/>
    <cellStyle name="20% - Accent1 2 3 3 7 4" xfId="36545" xr:uid="{00000000-0005-0000-0000-000031030000}"/>
    <cellStyle name="20% - Accent1 2 3 3 8" xfId="17243" xr:uid="{00000000-0005-0000-0000-000032030000}"/>
    <cellStyle name="20% - Accent1 2 3 3 8 2" xfId="21698" xr:uid="{00000000-0005-0000-0000-000033030000}"/>
    <cellStyle name="20% - Accent1 2 3 3 8 2 2" xfId="32066" xr:uid="{00000000-0005-0000-0000-000034030000}"/>
    <cellStyle name="20% - Accent1 2 3 3 8 2 2 2" xfId="51255" xr:uid="{00000000-0005-0000-0000-000035030000}"/>
    <cellStyle name="20% - Accent1 2 3 3 8 2 3" xfId="41557" xr:uid="{00000000-0005-0000-0000-000036030000}"/>
    <cellStyle name="20% - Accent1 2 3 3 8 3" xfId="27611" xr:uid="{00000000-0005-0000-0000-000037030000}"/>
    <cellStyle name="20% - Accent1 2 3 3 8 3 2" xfId="46800" xr:uid="{00000000-0005-0000-0000-000038030000}"/>
    <cellStyle name="20% - Accent1 2 3 3 8 4" xfId="37102" xr:uid="{00000000-0005-0000-0000-000039030000}"/>
    <cellStyle name="20% - Accent1 2 3 3 9" xfId="17800" xr:uid="{00000000-0005-0000-0000-00003A030000}"/>
    <cellStyle name="20% - Accent1 2 3 3 9 2" xfId="28168" xr:uid="{00000000-0005-0000-0000-00003B030000}"/>
    <cellStyle name="20% - Accent1 2 3 3 9 2 2" xfId="47357" xr:uid="{00000000-0005-0000-0000-00003C030000}"/>
    <cellStyle name="20% - Accent1 2 3 3 9 3" xfId="37659" xr:uid="{00000000-0005-0000-0000-00003D030000}"/>
    <cellStyle name="20% - Accent1 2 3 4" xfId="12903" xr:uid="{00000000-0005-0000-0000-00003E030000}"/>
    <cellStyle name="20% - Accent1 2 3 4 10" xfId="53419" xr:uid="{00000000-0005-0000-0000-00003F030000}"/>
    <cellStyle name="20% - Accent1 2 3 4 2" xfId="13859" xr:uid="{00000000-0005-0000-0000-000040030000}"/>
    <cellStyle name="20% - Accent1 2 3 4 2 2" xfId="16123" xr:uid="{00000000-0005-0000-0000-000041030000}"/>
    <cellStyle name="20% - Accent1 2 3 4 2 2 2" xfId="20587" xr:uid="{00000000-0005-0000-0000-000042030000}"/>
    <cellStyle name="20% - Accent1 2 3 4 2 2 2 2" xfId="30955" xr:uid="{00000000-0005-0000-0000-000043030000}"/>
    <cellStyle name="20% - Accent1 2 3 4 2 2 2 2 2" xfId="50144" xr:uid="{00000000-0005-0000-0000-000044030000}"/>
    <cellStyle name="20% - Accent1 2 3 4 2 2 2 3" xfId="40446" xr:uid="{00000000-0005-0000-0000-000045030000}"/>
    <cellStyle name="20% - Accent1 2 3 4 2 2 3" xfId="26500" xr:uid="{00000000-0005-0000-0000-000046030000}"/>
    <cellStyle name="20% - Accent1 2 3 4 2 2 3 2" xfId="45689" xr:uid="{00000000-0005-0000-0000-000047030000}"/>
    <cellStyle name="20% - Accent1 2 3 4 2 2 4" xfId="35991" xr:uid="{00000000-0005-0000-0000-000048030000}"/>
    <cellStyle name="20% - Accent1 2 3 4 2 3" xfId="18359" xr:uid="{00000000-0005-0000-0000-000049030000}"/>
    <cellStyle name="20% - Accent1 2 3 4 2 3 2" xfId="28727" xr:uid="{00000000-0005-0000-0000-00004A030000}"/>
    <cellStyle name="20% - Accent1 2 3 4 2 3 2 2" xfId="47916" xr:uid="{00000000-0005-0000-0000-00004B030000}"/>
    <cellStyle name="20% - Accent1 2 3 4 2 3 3" xfId="38218" xr:uid="{00000000-0005-0000-0000-00004C030000}"/>
    <cellStyle name="20% - Accent1 2 3 4 2 4" xfId="24267" xr:uid="{00000000-0005-0000-0000-00004D030000}"/>
    <cellStyle name="20% - Accent1 2 3 4 2 4 2" xfId="43461" xr:uid="{00000000-0005-0000-0000-00004E030000}"/>
    <cellStyle name="20% - Accent1 2 3 4 2 5" xfId="33763" xr:uid="{00000000-0005-0000-0000-00004F030000}"/>
    <cellStyle name="20% - Accent1 2 3 4 3" xfId="14438" xr:uid="{00000000-0005-0000-0000-000050030000}"/>
    <cellStyle name="20% - Accent1 2 3 4 3 2" xfId="15567" xr:uid="{00000000-0005-0000-0000-000051030000}"/>
    <cellStyle name="20% - Accent1 2 3 4 3 2 2" xfId="20031" xr:uid="{00000000-0005-0000-0000-000052030000}"/>
    <cellStyle name="20% - Accent1 2 3 4 3 2 2 2" xfId="30399" xr:uid="{00000000-0005-0000-0000-000053030000}"/>
    <cellStyle name="20% - Accent1 2 3 4 3 2 2 2 2" xfId="49588" xr:uid="{00000000-0005-0000-0000-000054030000}"/>
    <cellStyle name="20% - Accent1 2 3 4 3 2 2 3" xfId="39890" xr:uid="{00000000-0005-0000-0000-000055030000}"/>
    <cellStyle name="20% - Accent1 2 3 4 3 2 3" xfId="25944" xr:uid="{00000000-0005-0000-0000-000056030000}"/>
    <cellStyle name="20% - Accent1 2 3 4 3 2 3 2" xfId="45133" xr:uid="{00000000-0005-0000-0000-000057030000}"/>
    <cellStyle name="20% - Accent1 2 3 4 3 2 4" xfId="35435" xr:uid="{00000000-0005-0000-0000-000058030000}"/>
    <cellStyle name="20% - Accent1 2 3 4 3 3" xfId="18916" xr:uid="{00000000-0005-0000-0000-000059030000}"/>
    <cellStyle name="20% - Accent1 2 3 4 3 3 2" xfId="29284" xr:uid="{00000000-0005-0000-0000-00005A030000}"/>
    <cellStyle name="20% - Accent1 2 3 4 3 3 2 2" xfId="48473" xr:uid="{00000000-0005-0000-0000-00005B030000}"/>
    <cellStyle name="20% - Accent1 2 3 4 3 3 3" xfId="38775" xr:uid="{00000000-0005-0000-0000-00005C030000}"/>
    <cellStyle name="20% - Accent1 2 3 4 3 4" xfId="24829" xr:uid="{00000000-0005-0000-0000-00005D030000}"/>
    <cellStyle name="20% - Accent1 2 3 4 3 4 2" xfId="44018" xr:uid="{00000000-0005-0000-0000-00005E030000}"/>
    <cellStyle name="20% - Accent1 2 3 4 3 5" xfId="34320" xr:uid="{00000000-0005-0000-0000-00005F030000}"/>
    <cellStyle name="20% - Accent1 2 3 4 4" xfId="15010" xr:uid="{00000000-0005-0000-0000-000060030000}"/>
    <cellStyle name="20% - Accent1 2 3 4 4 2" xfId="19474" xr:uid="{00000000-0005-0000-0000-000061030000}"/>
    <cellStyle name="20% - Accent1 2 3 4 4 2 2" xfId="29842" xr:uid="{00000000-0005-0000-0000-000062030000}"/>
    <cellStyle name="20% - Accent1 2 3 4 4 2 2 2" xfId="49031" xr:uid="{00000000-0005-0000-0000-000063030000}"/>
    <cellStyle name="20% - Accent1 2 3 4 4 2 3" xfId="39333" xr:uid="{00000000-0005-0000-0000-000064030000}"/>
    <cellStyle name="20% - Accent1 2 3 4 4 3" xfId="25387" xr:uid="{00000000-0005-0000-0000-000065030000}"/>
    <cellStyle name="20% - Accent1 2 3 4 4 3 2" xfId="44576" xr:uid="{00000000-0005-0000-0000-000066030000}"/>
    <cellStyle name="20% - Accent1 2 3 4 4 4" xfId="34878" xr:uid="{00000000-0005-0000-0000-000067030000}"/>
    <cellStyle name="20% - Accent1 2 3 4 5" xfId="16680" xr:uid="{00000000-0005-0000-0000-000068030000}"/>
    <cellStyle name="20% - Accent1 2 3 4 5 2" xfId="21144" xr:uid="{00000000-0005-0000-0000-000069030000}"/>
    <cellStyle name="20% - Accent1 2 3 4 5 2 2" xfId="31512" xr:uid="{00000000-0005-0000-0000-00006A030000}"/>
    <cellStyle name="20% - Accent1 2 3 4 5 2 2 2" xfId="50701" xr:uid="{00000000-0005-0000-0000-00006B030000}"/>
    <cellStyle name="20% - Accent1 2 3 4 5 2 3" xfId="41003" xr:uid="{00000000-0005-0000-0000-00006C030000}"/>
    <cellStyle name="20% - Accent1 2 3 4 5 3" xfId="27057" xr:uid="{00000000-0005-0000-0000-00006D030000}"/>
    <cellStyle name="20% - Accent1 2 3 4 5 3 2" xfId="46246" xr:uid="{00000000-0005-0000-0000-00006E030000}"/>
    <cellStyle name="20% - Accent1 2 3 4 5 4" xfId="36548" xr:uid="{00000000-0005-0000-0000-00006F030000}"/>
    <cellStyle name="20% - Accent1 2 3 4 6" xfId="17246" xr:uid="{00000000-0005-0000-0000-000070030000}"/>
    <cellStyle name="20% - Accent1 2 3 4 6 2" xfId="21701" xr:uid="{00000000-0005-0000-0000-000071030000}"/>
    <cellStyle name="20% - Accent1 2 3 4 6 2 2" xfId="32069" xr:uid="{00000000-0005-0000-0000-000072030000}"/>
    <cellStyle name="20% - Accent1 2 3 4 6 2 2 2" xfId="51258" xr:uid="{00000000-0005-0000-0000-000073030000}"/>
    <cellStyle name="20% - Accent1 2 3 4 6 2 3" xfId="41560" xr:uid="{00000000-0005-0000-0000-000074030000}"/>
    <cellStyle name="20% - Accent1 2 3 4 6 3" xfId="27614" xr:uid="{00000000-0005-0000-0000-000075030000}"/>
    <cellStyle name="20% - Accent1 2 3 4 6 3 2" xfId="46803" xr:uid="{00000000-0005-0000-0000-000076030000}"/>
    <cellStyle name="20% - Accent1 2 3 4 6 4" xfId="37105" xr:uid="{00000000-0005-0000-0000-000077030000}"/>
    <cellStyle name="20% - Accent1 2 3 4 7" xfId="17803" xr:uid="{00000000-0005-0000-0000-000078030000}"/>
    <cellStyle name="20% - Accent1 2 3 4 7 2" xfId="28171" xr:uid="{00000000-0005-0000-0000-000079030000}"/>
    <cellStyle name="20% - Accent1 2 3 4 7 2 2" xfId="47360" xr:uid="{00000000-0005-0000-0000-00007A030000}"/>
    <cellStyle name="20% - Accent1 2 3 4 7 3" xfId="37662" xr:uid="{00000000-0005-0000-0000-00007B030000}"/>
    <cellStyle name="20% - Accent1 2 3 4 8" xfId="23666" xr:uid="{00000000-0005-0000-0000-00007C030000}"/>
    <cellStyle name="20% - Accent1 2 3 4 8 2" xfId="42905" xr:uid="{00000000-0005-0000-0000-00007D030000}"/>
    <cellStyle name="20% - Accent1 2 3 4 9" xfId="33207" xr:uid="{00000000-0005-0000-0000-00007E030000}"/>
    <cellStyle name="20% - Accent1 2 3 5" xfId="12904" xr:uid="{00000000-0005-0000-0000-00007F030000}"/>
    <cellStyle name="20% - Accent1 2 3 5 2" xfId="13860" xr:uid="{00000000-0005-0000-0000-000080030000}"/>
    <cellStyle name="20% - Accent1 2 3 5 2 2" xfId="16124" xr:uid="{00000000-0005-0000-0000-000081030000}"/>
    <cellStyle name="20% - Accent1 2 3 5 2 2 2" xfId="20588" xr:uid="{00000000-0005-0000-0000-000082030000}"/>
    <cellStyle name="20% - Accent1 2 3 5 2 2 2 2" xfId="30956" xr:uid="{00000000-0005-0000-0000-000083030000}"/>
    <cellStyle name="20% - Accent1 2 3 5 2 2 2 2 2" xfId="50145" xr:uid="{00000000-0005-0000-0000-000084030000}"/>
    <cellStyle name="20% - Accent1 2 3 5 2 2 2 3" xfId="40447" xr:uid="{00000000-0005-0000-0000-000085030000}"/>
    <cellStyle name="20% - Accent1 2 3 5 2 2 3" xfId="26501" xr:uid="{00000000-0005-0000-0000-000086030000}"/>
    <cellStyle name="20% - Accent1 2 3 5 2 2 3 2" xfId="45690" xr:uid="{00000000-0005-0000-0000-000087030000}"/>
    <cellStyle name="20% - Accent1 2 3 5 2 2 4" xfId="35992" xr:uid="{00000000-0005-0000-0000-000088030000}"/>
    <cellStyle name="20% - Accent1 2 3 5 2 3" xfId="18360" xr:uid="{00000000-0005-0000-0000-000089030000}"/>
    <cellStyle name="20% - Accent1 2 3 5 2 3 2" xfId="28728" xr:uid="{00000000-0005-0000-0000-00008A030000}"/>
    <cellStyle name="20% - Accent1 2 3 5 2 3 2 2" xfId="47917" xr:uid="{00000000-0005-0000-0000-00008B030000}"/>
    <cellStyle name="20% - Accent1 2 3 5 2 3 3" xfId="38219" xr:uid="{00000000-0005-0000-0000-00008C030000}"/>
    <cellStyle name="20% - Accent1 2 3 5 2 4" xfId="24268" xr:uid="{00000000-0005-0000-0000-00008D030000}"/>
    <cellStyle name="20% - Accent1 2 3 5 2 4 2" xfId="43462" xr:uid="{00000000-0005-0000-0000-00008E030000}"/>
    <cellStyle name="20% - Accent1 2 3 5 2 5" xfId="33764" xr:uid="{00000000-0005-0000-0000-00008F030000}"/>
    <cellStyle name="20% - Accent1 2 3 5 3" xfId="14439" xr:uid="{00000000-0005-0000-0000-000090030000}"/>
    <cellStyle name="20% - Accent1 2 3 5 3 2" xfId="15568" xr:uid="{00000000-0005-0000-0000-000091030000}"/>
    <cellStyle name="20% - Accent1 2 3 5 3 2 2" xfId="20032" xr:uid="{00000000-0005-0000-0000-000092030000}"/>
    <cellStyle name="20% - Accent1 2 3 5 3 2 2 2" xfId="30400" xr:uid="{00000000-0005-0000-0000-000093030000}"/>
    <cellStyle name="20% - Accent1 2 3 5 3 2 2 2 2" xfId="49589" xr:uid="{00000000-0005-0000-0000-000094030000}"/>
    <cellStyle name="20% - Accent1 2 3 5 3 2 2 3" xfId="39891" xr:uid="{00000000-0005-0000-0000-000095030000}"/>
    <cellStyle name="20% - Accent1 2 3 5 3 2 3" xfId="25945" xr:uid="{00000000-0005-0000-0000-000096030000}"/>
    <cellStyle name="20% - Accent1 2 3 5 3 2 3 2" xfId="45134" xr:uid="{00000000-0005-0000-0000-000097030000}"/>
    <cellStyle name="20% - Accent1 2 3 5 3 2 4" xfId="35436" xr:uid="{00000000-0005-0000-0000-000098030000}"/>
    <cellStyle name="20% - Accent1 2 3 5 3 3" xfId="18917" xr:uid="{00000000-0005-0000-0000-000099030000}"/>
    <cellStyle name="20% - Accent1 2 3 5 3 3 2" xfId="29285" xr:uid="{00000000-0005-0000-0000-00009A030000}"/>
    <cellStyle name="20% - Accent1 2 3 5 3 3 2 2" xfId="48474" xr:uid="{00000000-0005-0000-0000-00009B030000}"/>
    <cellStyle name="20% - Accent1 2 3 5 3 3 3" xfId="38776" xr:uid="{00000000-0005-0000-0000-00009C030000}"/>
    <cellStyle name="20% - Accent1 2 3 5 3 4" xfId="24830" xr:uid="{00000000-0005-0000-0000-00009D030000}"/>
    <cellStyle name="20% - Accent1 2 3 5 3 4 2" xfId="44019" xr:uid="{00000000-0005-0000-0000-00009E030000}"/>
    <cellStyle name="20% - Accent1 2 3 5 3 5" xfId="34321" xr:uid="{00000000-0005-0000-0000-00009F030000}"/>
    <cellStyle name="20% - Accent1 2 3 5 4" xfId="15011" xr:uid="{00000000-0005-0000-0000-0000A0030000}"/>
    <cellStyle name="20% - Accent1 2 3 5 4 2" xfId="19475" xr:uid="{00000000-0005-0000-0000-0000A1030000}"/>
    <cellStyle name="20% - Accent1 2 3 5 4 2 2" xfId="29843" xr:uid="{00000000-0005-0000-0000-0000A2030000}"/>
    <cellStyle name="20% - Accent1 2 3 5 4 2 2 2" xfId="49032" xr:uid="{00000000-0005-0000-0000-0000A3030000}"/>
    <cellStyle name="20% - Accent1 2 3 5 4 2 3" xfId="39334" xr:uid="{00000000-0005-0000-0000-0000A4030000}"/>
    <cellStyle name="20% - Accent1 2 3 5 4 3" xfId="25388" xr:uid="{00000000-0005-0000-0000-0000A5030000}"/>
    <cellStyle name="20% - Accent1 2 3 5 4 3 2" xfId="44577" xr:uid="{00000000-0005-0000-0000-0000A6030000}"/>
    <cellStyle name="20% - Accent1 2 3 5 4 4" xfId="34879" xr:uid="{00000000-0005-0000-0000-0000A7030000}"/>
    <cellStyle name="20% - Accent1 2 3 5 5" xfId="16681" xr:uid="{00000000-0005-0000-0000-0000A8030000}"/>
    <cellStyle name="20% - Accent1 2 3 5 5 2" xfId="21145" xr:uid="{00000000-0005-0000-0000-0000A9030000}"/>
    <cellStyle name="20% - Accent1 2 3 5 5 2 2" xfId="31513" xr:uid="{00000000-0005-0000-0000-0000AA030000}"/>
    <cellStyle name="20% - Accent1 2 3 5 5 2 2 2" xfId="50702" xr:uid="{00000000-0005-0000-0000-0000AB030000}"/>
    <cellStyle name="20% - Accent1 2 3 5 5 2 3" xfId="41004" xr:uid="{00000000-0005-0000-0000-0000AC030000}"/>
    <cellStyle name="20% - Accent1 2 3 5 5 3" xfId="27058" xr:uid="{00000000-0005-0000-0000-0000AD030000}"/>
    <cellStyle name="20% - Accent1 2 3 5 5 3 2" xfId="46247" xr:uid="{00000000-0005-0000-0000-0000AE030000}"/>
    <cellStyle name="20% - Accent1 2 3 5 5 4" xfId="36549" xr:uid="{00000000-0005-0000-0000-0000AF030000}"/>
    <cellStyle name="20% - Accent1 2 3 5 6" xfId="17247" xr:uid="{00000000-0005-0000-0000-0000B0030000}"/>
    <cellStyle name="20% - Accent1 2 3 5 6 2" xfId="21702" xr:uid="{00000000-0005-0000-0000-0000B1030000}"/>
    <cellStyle name="20% - Accent1 2 3 5 6 2 2" xfId="32070" xr:uid="{00000000-0005-0000-0000-0000B2030000}"/>
    <cellStyle name="20% - Accent1 2 3 5 6 2 2 2" xfId="51259" xr:uid="{00000000-0005-0000-0000-0000B3030000}"/>
    <cellStyle name="20% - Accent1 2 3 5 6 2 3" xfId="41561" xr:uid="{00000000-0005-0000-0000-0000B4030000}"/>
    <cellStyle name="20% - Accent1 2 3 5 6 3" xfId="27615" xr:uid="{00000000-0005-0000-0000-0000B5030000}"/>
    <cellStyle name="20% - Accent1 2 3 5 6 3 2" xfId="46804" xr:uid="{00000000-0005-0000-0000-0000B6030000}"/>
    <cellStyle name="20% - Accent1 2 3 5 6 4" xfId="37106" xr:uid="{00000000-0005-0000-0000-0000B7030000}"/>
    <cellStyle name="20% - Accent1 2 3 5 7" xfId="17804" xr:uid="{00000000-0005-0000-0000-0000B8030000}"/>
    <cellStyle name="20% - Accent1 2 3 5 7 2" xfId="28172" xr:uid="{00000000-0005-0000-0000-0000B9030000}"/>
    <cellStyle name="20% - Accent1 2 3 5 7 2 2" xfId="47361" xr:uid="{00000000-0005-0000-0000-0000BA030000}"/>
    <cellStyle name="20% - Accent1 2 3 5 7 3" xfId="37663" xr:uid="{00000000-0005-0000-0000-0000BB030000}"/>
    <cellStyle name="20% - Accent1 2 3 5 8" xfId="23667" xr:uid="{00000000-0005-0000-0000-0000BC030000}"/>
    <cellStyle name="20% - Accent1 2 3 5 8 2" xfId="42906" xr:uid="{00000000-0005-0000-0000-0000BD030000}"/>
    <cellStyle name="20% - Accent1 2 3 5 9" xfId="33208" xr:uid="{00000000-0005-0000-0000-0000BE030000}"/>
    <cellStyle name="20% - Accent1 2 3 6" xfId="22864" xr:uid="{00000000-0005-0000-0000-0000BF030000}"/>
    <cellStyle name="20% - Accent1 2 3 6 2" xfId="32948" xr:uid="{00000000-0005-0000-0000-0000C0030000}"/>
    <cellStyle name="20% - Accent1 2 3 6 2 2" xfId="52134" xr:uid="{00000000-0005-0000-0000-0000C1030000}"/>
    <cellStyle name="20% - Accent1 2 3 6 3" xfId="42436" xr:uid="{00000000-0005-0000-0000-0000C2030000}"/>
    <cellStyle name="20% - Accent1 2 3 7" xfId="23346" xr:uid="{00000000-0005-0000-0000-0000C3030000}"/>
    <cellStyle name="20% - Accent1 2 3 8" xfId="23221" xr:uid="{00000000-0005-0000-0000-0000C4030000}"/>
    <cellStyle name="20% - Accent1 2 3 8 2" xfId="42789" xr:uid="{00000000-0005-0000-0000-0000C5030000}"/>
    <cellStyle name="20% - Accent1 2 3 9" xfId="12236" xr:uid="{00000000-0005-0000-0000-0000C6030000}"/>
    <cellStyle name="20% - Accent1 2 4" xfId="1584" xr:uid="{00000000-0005-0000-0000-0000C7030000}"/>
    <cellStyle name="20% - Accent1 2 4 2" xfId="12905" xr:uid="{00000000-0005-0000-0000-0000C8030000}"/>
    <cellStyle name="20% - Accent1 2 4 2 10" xfId="23668" xr:uid="{00000000-0005-0000-0000-0000C9030000}"/>
    <cellStyle name="20% - Accent1 2 4 2 10 2" xfId="42907" xr:uid="{00000000-0005-0000-0000-0000CA030000}"/>
    <cellStyle name="20% - Accent1 2 4 2 11" xfId="33209" xr:uid="{00000000-0005-0000-0000-0000CB030000}"/>
    <cellStyle name="20% - Accent1 2 4 2 12" xfId="52761" xr:uid="{00000000-0005-0000-0000-0000CC030000}"/>
    <cellStyle name="20% - Accent1 2 4 2 2" xfId="12906" xr:uid="{00000000-0005-0000-0000-0000CD030000}"/>
    <cellStyle name="20% - Accent1 2 4 2 2 10" xfId="53189" xr:uid="{00000000-0005-0000-0000-0000CE030000}"/>
    <cellStyle name="20% - Accent1 2 4 2 2 2" xfId="13862" xr:uid="{00000000-0005-0000-0000-0000CF030000}"/>
    <cellStyle name="20% - Accent1 2 4 2 2 2 2" xfId="16126" xr:uid="{00000000-0005-0000-0000-0000D0030000}"/>
    <cellStyle name="20% - Accent1 2 4 2 2 2 2 2" xfId="20590" xr:uid="{00000000-0005-0000-0000-0000D1030000}"/>
    <cellStyle name="20% - Accent1 2 4 2 2 2 2 2 2" xfId="30958" xr:uid="{00000000-0005-0000-0000-0000D2030000}"/>
    <cellStyle name="20% - Accent1 2 4 2 2 2 2 2 2 2" xfId="50147" xr:uid="{00000000-0005-0000-0000-0000D3030000}"/>
    <cellStyle name="20% - Accent1 2 4 2 2 2 2 2 3" xfId="40449" xr:uid="{00000000-0005-0000-0000-0000D4030000}"/>
    <cellStyle name="20% - Accent1 2 4 2 2 2 2 3" xfId="26503" xr:uid="{00000000-0005-0000-0000-0000D5030000}"/>
    <cellStyle name="20% - Accent1 2 4 2 2 2 2 3 2" xfId="45692" xr:uid="{00000000-0005-0000-0000-0000D6030000}"/>
    <cellStyle name="20% - Accent1 2 4 2 2 2 2 4" xfId="35994" xr:uid="{00000000-0005-0000-0000-0000D7030000}"/>
    <cellStyle name="20% - Accent1 2 4 2 2 2 3" xfId="18362" xr:uid="{00000000-0005-0000-0000-0000D8030000}"/>
    <cellStyle name="20% - Accent1 2 4 2 2 2 3 2" xfId="28730" xr:uid="{00000000-0005-0000-0000-0000D9030000}"/>
    <cellStyle name="20% - Accent1 2 4 2 2 2 3 2 2" xfId="47919" xr:uid="{00000000-0005-0000-0000-0000DA030000}"/>
    <cellStyle name="20% - Accent1 2 4 2 2 2 3 3" xfId="38221" xr:uid="{00000000-0005-0000-0000-0000DB030000}"/>
    <cellStyle name="20% - Accent1 2 4 2 2 2 4" xfId="24270" xr:uid="{00000000-0005-0000-0000-0000DC030000}"/>
    <cellStyle name="20% - Accent1 2 4 2 2 2 4 2" xfId="43464" xr:uid="{00000000-0005-0000-0000-0000DD030000}"/>
    <cellStyle name="20% - Accent1 2 4 2 2 2 5" xfId="33766" xr:uid="{00000000-0005-0000-0000-0000DE030000}"/>
    <cellStyle name="20% - Accent1 2 4 2 2 2 6" xfId="54042" xr:uid="{00000000-0005-0000-0000-0000DF030000}"/>
    <cellStyle name="20% - Accent1 2 4 2 2 3" xfId="14441" xr:uid="{00000000-0005-0000-0000-0000E0030000}"/>
    <cellStyle name="20% - Accent1 2 4 2 2 3 2" xfId="15570" xr:uid="{00000000-0005-0000-0000-0000E1030000}"/>
    <cellStyle name="20% - Accent1 2 4 2 2 3 2 2" xfId="20034" xr:uid="{00000000-0005-0000-0000-0000E2030000}"/>
    <cellStyle name="20% - Accent1 2 4 2 2 3 2 2 2" xfId="30402" xr:uid="{00000000-0005-0000-0000-0000E3030000}"/>
    <cellStyle name="20% - Accent1 2 4 2 2 3 2 2 2 2" xfId="49591" xr:uid="{00000000-0005-0000-0000-0000E4030000}"/>
    <cellStyle name="20% - Accent1 2 4 2 2 3 2 2 3" xfId="39893" xr:uid="{00000000-0005-0000-0000-0000E5030000}"/>
    <cellStyle name="20% - Accent1 2 4 2 2 3 2 3" xfId="25947" xr:uid="{00000000-0005-0000-0000-0000E6030000}"/>
    <cellStyle name="20% - Accent1 2 4 2 2 3 2 3 2" xfId="45136" xr:uid="{00000000-0005-0000-0000-0000E7030000}"/>
    <cellStyle name="20% - Accent1 2 4 2 2 3 2 4" xfId="35438" xr:uid="{00000000-0005-0000-0000-0000E8030000}"/>
    <cellStyle name="20% - Accent1 2 4 2 2 3 3" xfId="18919" xr:uid="{00000000-0005-0000-0000-0000E9030000}"/>
    <cellStyle name="20% - Accent1 2 4 2 2 3 3 2" xfId="29287" xr:uid="{00000000-0005-0000-0000-0000EA030000}"/>
    <cellStyle name="20% - Accent1 2 4 2 2 3 3 2 2" xfId="48476" xr:uid="{00000000-0005-0000-0000-0000EB030000}"/>
    <cellStyle name="20% - Accent1 2 4 2 2 3 3 3" xfId="38778" xr:uid="{00000000-0005-0000-0000-0000EC030000}"/>
    <cellStyle name="20% - Accent1 2 4 2 2 3 4" xfId="24832" xr:uid="{00000000-0005-0000-0000-0000ED030000}"/>
    <cellStyle name="20% - Accent1 2 4 2 2 3 4 2" xfId="44021" xr:uid="{00000000-0005-0000-0000-0000EE030000}"/>
    <cellStyle name="20% - Accent1 2 4 2 2 3 5" xfId="34323" xr:uid="{00000000-0005-0000-0000-0000EF030000}"/>
    <cellStyle name="20% - Accent1 2 4 2 2 4" xfId="15013" xr:uid="{00000000-0005-0000-0000-0000F0030000}"/>
    <cellStyle name="20% - Accent1 2 4 2 2 4 2" xfId="19477" xr:uid="{00000000-0005-0000-0000-0000F1030000}"/>
    <cellStyle name="20% - Accent1 2 4 2 2 4 2 2" xfId="29845" xr:uid="{00000000-0005-0000-0000-0000F2030000}"/>
    <cellStyle name="20% - Accent1 2 4 2 2 4 2 2 2" xfId="49034" xr:uid="{00000000-0005-0000-0000-0000F3030000}"/>
    <cellStyle name="20% - Accent1 2 4 2 2 4 2 3" xfId="39336" xr:uid="{00000000-0005-0000-0000-0000F4030000}"/>
    <cellStyle name="20% - Accent1 2 4 2 2 4 3" xfId="25390" xr:uid="{00000000-0005-0000-0000-0000F5030000}"/>
    <cellStyle name="20% - Accent1 2 4 2 2 4 3 2" xfId="44579" xr:uid="{00000000-0005-0000-0000-0000F6030000}"/>
    <cellStyle name="20% - Accent1 2 4 2 2 4 4" xfId="34881" xr:uid="{00000000-0005-0000-0000-0000F7030000}"/>
    <cellStyle name="20% - Accent1 2 4 2 2 5" xfId="16683" xr:uid="{00000000-0005-0000-0000-0000F8030000}"/>
    <cellStyle name="20% - Accent1 2 4 2 2 5 2" xfId="21147" xr:uid="{00000000-0005-0000-0000-0000F9030000}"/>
    <cellStyle name="20% - Accent1 2 4 2 2 5 2 2" xfId="31515" xr:uid="{00000000-0005-0000-0000-0000FA030000}"/>
    <cellStyle name="20% - Accent1 2 4 2 2 5 2 2 2" xfId="50704" xr:uid="{00000000-0005-0000-0000-0000FB030000}"/>
    <cellStyle name="20% - Accent1 2 4 2 2 5 2 3" xfId="41006" xr:uid="{00000000-0005-0000-0000-0000FC030000}"/>
    <cellStyle name="20% - Accent1 2 4 2 2 5 3" xfId="27060" xr:uid="{00000000-0005-0000-0000-0000FD030000}"/>
    <cellStyle name="20% - Accent1 2 4 2 2 5 3 2" xfId="46249" xr:uid="{00000000-0005-0000-0000-0000FE030000}"/>
    <cellStyle name="20% - Accent1 2 4 2 2 5 4" xfId="36551" xr:uid="{00000000-0005-0000-0000-0000FF030000}"/>
    <cellStyle name="20% - Accent1 2 4 2 2 6" xfId="17249" xr:uid="{00000000-0005-0000-0000-000000040000}"/>
    <cellStyle name="20% - Accent1 2 4 2 2 6 2" xfId="21704" xr:uid="{00000000-0005-0000-0000-000001040000}"/>
    <cellStyle name="20% - Accent1 2 4 2 2 6 2 2" xfId="32072" xr:uid="{00000000-0005-0000-0000-000002040000}"/>
    <cellStyle name="20% - Accent1 2 4 2 2 6 2 2 2" xfId="51261" xr:uid="{00000000-0005-0000-0000-000003040000}"/>
    <cellStyle name="20% - Accent1 2 4 2 2 6 2 3" xfId="41563" xr:uid="{00000000-0005-0000-0000-000004040000}"/>
    <cellStyle name="20% - Accent1 2 4 2 2 6 3" xfId="27617" xr:uid="{00000000-0005-0000-0000-000005040000}"/>
    <cellStyle name="20% - Accent1 2 4 2 2 6 3 2" xfId="46806" xr:uid="{00000000-0005-0000-0000-000006040000}"/>
    <cellStyle name="20% - Accent1 2 4 2 2 6 4" xfId="37108" xr:uid="{00000000-0005-0000-0000-000007040000}"/>
    <cellStyle name="20% - Accent1 2 4 2 2 7" xfId="17806" xr:uid="{00000000-0005-0000-0000-000008040000}"/>
    <cellStyle name="20% - Accent1 2 4 2 2 7 2" xfId="28174" xr:uid="{00000000-0005-0000-0000-000009040000}"/>
    <cellStyle name="20% - Accent1 2 4 2 2 7 2 2" xfId="47363" xr:uid="{00000000-0005-0000-0000-00000A040000}"/>
    <cellStyle name="20% - Accent1 2 4 2 2 7 3" xfId="37665" xr:uid="{00000000-0005-0000-0000-00000B040000}"/>
    <cellStyle name="20% - Accent1 2 4 2 2 8" xfId="23669" xr:uid="{00000000-0005-0000-0000-00000C040000}"/>
    <cellStyle name="20% - Accent1 2 4 2 2 8 2" xfId="42908" xr:uid="{00000000-0005-0000-0000-00000D040000}"/>
    <cellStyle name="20% - Accent1 2 4 2 2 9" xfId="33210" xr:uid="{00000000-0005-0000-0000-00000E040000}"/>
    <cellStyle name="20% - Accent1 2 4 2 3" xfId="12907" xr:uid="{00000000-0005-0000-0000-00000F040000}"/>
    <cellStyle name="20% - Accent1 2 4 2 3 10" xfId="53646" xr:uid="{00000000-0005-0000-0000-000010040000}"/>
    <cellStyle name="20% - Accent1 2 4 2 3 2" xfId="13863" xr:uid="{00000000-0005-0000-0000-000011040000}"/>
    <cellStyle name="20% - Accent1 2 4 2 3 2 2" xfId="16127" xr:uid="{00000000-0005-0000-0000-000012040000}"/>
    <cellStyle name="20% - Accent1 2 4 2 3 2 2 2" xfId="20591" xr:uid="{00000000-0005-0000-0000-000013040000}"/>
    <cellStyle name="20% - Accent1 2 4 2 3 2 2 2 2" xfId="30959" xr:uid="{00000000-0005-0000-0000-000014040000}"/>
    <cellStyle name="20% - Accent1 2 4 2 3 2 2 2 2 2" xfId="50148" xr:uid="{00000000-0005-0000-0000-000015040000}"/>
    <cellStyle name="20% - Accent1 2 4 2 3 2 2 2 3" xfId="40450" xr:uid="{00000000-0005-0000-0000-000016040000}"/>
    <cellStyle name="20% - Accent1 2 4 2 3 2 2 3" xfId="26504" xr:uid="{00000000-0005-0000-0000-000017040000}"/>
    <cellStyle name="20% - Accent1 2 4 2 3 2 2 3 2" xfId="45693" xr:uid="{00000000-0005-0000-0000-000018040000}"/>
    <cellStyle name="20% - Accent1 2 4 2 3 2 2 4" xfId="35995" xr:uid="{00000000-0005-0000-0000-000019040000}"/>
    <cellStyle name="20% - Accent1 2 4 2 3 2 3" xfId="18363" xr:uid="{00000000-0005-0000-0000-00001A040000}"/>
    <cellStyle name="20% - Accent1 2 4 2 3 2 3 2" xfId="28731" xr:uid="{00000000-0005-0000-0000-00001B040000}"/>
    <cellStyle name="20% - Accent1 2 4 2 3 2 3 2 2" xfId="47920" xr:uid="{00000000-0005-0000-0000-00001C040000}"/>
    <cellStyle name="20% - Accent1 2 4 2 3 2 3 3" xfId="38222" xr:uid="{00000000-0005-0000-0000-00001D040000}"/>
    <cellStyle name="20% - Accent1 2 4 2 3 2 4" xfId="24271" xr:uid="{00000000-0005-0000-0000-00001E040000}"/>
    <cellStyle name="20% - Accent1 2 4 2 3 2 4 2" xfId="43465" xr:uid="{00000000-0005-0000-0000-00001F040000}"/>
    <cellStyle name="20% - Accent1 2 4 2 3 2 5" xfId="33767" xr:uid="{00000000-0005-0000-0000-000020040000}"/>
    <cellStyle name="20% - Accent1 2 4 2 3 3" xfId="14442" xr:uid="{00000000-0005-0000-0000-000021040000}"/>
    <cellStyle name="20% - Accent1 2 4 2 3 3 2" xfId="15571" xr:uid="{00000000-0005-0000-0000-000022040000}"/>
    <cellStyle name="20% - Accent1 2 4 2 3 3 2 2" xfId="20035" xr:uid="{00000000-0005-0000-0000-000023040000}"/>
    <cellStyle name="20% - Accent1 2 4 2 3 3 2 2 2" xfId="30403" xr:uid="{00000000-0005-0000-0000-000024040000}"/>
    <cellStyle name="20% - Accent1 2 4 2 3 3 2 2 2 2" xfId="49592" xr:uid="{00000000-0005-0000-0000-000025040000}"/>
    <cellStyle name="20% - Accent1 2 4 2 3 3 2 2 3" xfId="39894" xr:uid="{00000000-0005-0000-0000-000026040000}"/>
    <cellStyle name="20% - Accent1 2 4 2 3 3 2 3" xfId="25948" xr:uid="{00000000-0005-0000-0000-000027040000}"/>
    <cellStyle name="20% - Accent1 2 4 2 3 3 2 3 2" xfId="45137" xr:uid="{00000000-0005-0000-0000-000028040000}"/>
    <cellStyle name="20% - Accent1 2 4 2 3 3 2 4" xfId="35439" xr:uid="{00000000-0005-0000-0000-000029040000}"/>
    <cellStyle name="20% - Accent1 2 4 2 3 3 3" xfId="18920" xr:uid="{00000000-0005-0000-0000-00002A040000}"/>
    <cellStyle name="20% - Accent1 2 4 2 3 3 3 2" xfId="29288" xr:uid="{00000000-0005-0000-0000-00002B040000}"/>
    <cellStyle name="20% - Accent1 2 4 2 3 3 3 2 2" xfId="48477" xr:uid="{00000000-0005-0000-0000-00002C040000}"/>
    <cellStyle name="20% - Accent1 2 4 2 3 3 3 3" xfId="38779" xr:uid="{00000000-0005-0000-0000-00002D040000}"/>
    <cellStyle name="20% - Accent1 2 4 2 3 3 4" xfId="24833" xr:uid="{00000000-0005-0000-0000-00002E040000}"/>
    <cellStyle name="20% - Accent1 2 4 2 3 3 4 2" xfId="44022" xr:uid="{00000000-0005-0000-0000-00002F040000}"/>
    <cellStyle name="20% - Accent1 2 4 2 3 3 5" xfId="34324" xr:uid="{00000000-0005-0000-0000-000030040000}"/>
    <cellStyle name="20% - Accent1 2 4 2 3 4" xfId="15014" xr:uid="{00000000-0005-0000-0000-000031040000}"/>
    <cellStyle name="20% - Accent1 2 4 2 3 4 2" xfId="19478" xr:uid="{00000000-0005-0000-0000-000032040000}"/>
    <cellStyle name="20% - Accent1 2 4 2 3 4 2 2" xfId="29846" xr:uid="{00000000-0005-0000-0000-000033040000}"/>
    <cellStyle name="20% - Accent1 2 4 2 3 4 2 2 2" xfId="49035" xr:uid="{00000000-0005-0000-0000-000034040000}"/>
    <cellStyle name="20% - Accent1 2 4 2 3 4 2 3" xfId="39337" xr:uid="{00000000-0005-0000-0000-000035040000}"/>
    <cellStyle name="20% - Accent1 2 4 2 3 4 3" xfId="25391" xr:uid="{00000000-0005-0000-0000-000036040000}"/>
    <cellStyle name="20% - Accent1 2 4 2 3 4 3 2" xfId="44580" xr:uid="{00000000-0005-0000-0000-000037040000}"/>
    <cellStyle name="20% - Accent1 2 4 2 3 4 4" xfId="34882" xr:uid="{00000000-0005-0000-0000-000038040000}"/>
    <cellStyle name="20% - Accent1 2 4 2 3 5" xfId="16684" xr:uid="{00000000-0005-0000-0000-000039040000}"/>
    <cellStyle name="20% - Accent1 2 4 2 3 5 2" xfId="21148" xr:uid="{00000000-0005-0000-0000-00003A040000}"/>
    <cellStyle name="20% - Accent1 2 4 2 3 5 2 2" xfId="31516" xr:uid="{00000000-0005-0000-0000-00003B040000}"/>
    <cellStyle name="20% - Accent1 2 4 2 3 5 2 2 2" xfId="50705" xr:uid="{00000000-0005-0000-0000-00003C040000}"/>
    <cellStyle name="20% - Accent1 2 4 2 3 5 2 3" xfId="41007" xr:uid="{00000000-0005-0000-0000-00003D040000}"/>
    <cellStyle name="20% - Accent1 2 4 2 3 5 3" xfId="27061" xr:uid="{00000000-0005-0000-0000-00003E040000}"/>
    <cellStyle name="20% - Accent1 2 4 2 3 5 3 2" xfId="46250" xr:uid="{00000000-0005-0000-0000-00003F040000}"/>
    <cellStyle name="20% - Accent1 2 4 2 3 5 4" xfId="36552" xr:uid="{00000000-0005-0000-0000-000040040000}"/>
    <cellStyle name="20% - Accent1 2 4 2 3 6" xfId="17250" xr:uid="{00000000-0005-0000-0000-000041040000}"/>
    <cellStyle name="20% - Accent1 2 4 2 3 6 2" xfId="21705" xr:uid="{00000000-0005-0000-0000-000042040000}"/>
    <cellStyle name="20% - Accent1 2 4 2 3 6 2 2" xfId="32073" xr:uid="{00000000-0005-0000-0000-000043040000}"/>
    <cellStyle name="20% - Accent1 2 4 2 3 6 2 2 2" xfId="51262" xr:uid="{00000000-0005-0000-0000-000044040000}"/>
    <cellStyle name="20% - Accent1 2 4 2 3 6 2 3" xfId="41564" xr:uid="{00000000-0005-0000-0000-000045040000}"/>
    <cellStyle name="20% - Accent1 2 4 2 3 6 3" xfId="27618" xr:uid="{00000000-0005-0000-0000-000046040000}"/>
    <cellStyle name="20% - Accent1 2 4 2 3 6 3 2" xfId="46807" xr:uid="{00000000-0005-0000-0000-000047040000}"/>
    <cellStyle name="20% - Accent1 2 4 2 3 6 4" xfId="37109" xr:uid="{00000000-0005-0000-0000-000048040000}"/>
    <cellStyle name="20% - Accent1 2 4 2 3 7" xfId="17807" xr:uid="{00000000-0005-0000-0000-000049040000}"/>
    <cellStyle name="20% - Accent1 2 4 2 3 7 2" xfId="28175" xr:uid="{00000000-0005-0000-0000-00004A040000}"/>
    <cellStyle name="20% - Accent1 2 4 2 3 7 2 2" xfId="47364" xr:uid="{00000000-0005-0000-0000-00004B040000}"/>
    <cellStyle name="20% - Accent1 2 4 2 3 7 3" xfId="37666" xr:uid="{00000000-0005-0000-0000-00004C040000}"/>
    <cellStyle name="20% - Accent1 2 4 2 3 8" xfId="23670" xr:uid="{00000000-0005-0000-0000-00004D040000}"/>
    <cellStyle name="20% - Accent1 2 4 2 3 8 2" xfId="42909" xr:uid="{00000000-0005-0000-0000-00004E040000}"/>
    <cellStyle name="20% - Accent1 2 4 2 3 9" xfId="33211" xr:uid="{00000000-0005-0000-0000-00004F040000}"/>
    <cellStyle name="20% - Accent1 2 4 2 4" xfId="13861" xr:uid="{00000000-0005-0000-0000-000050040000}"/>
    <cellStyle name="20% - Accent1 2 4 2 4 2" xfId="16125" xr:uid="{00000000-0005-0000-0000-000051040000}"/>
    <cellStyle name="20% - Accent1 2 4 2 4 2 2" xfId="20589" xr:uid="{00000000-0005-0000-0000-000052040000}"/>
    <cellStyle name="20% - Accent1 2 4 2 4 2 2 2" xfId="30957" xr:uid="{00000000-0005-0000-0000-000053040000}"/>
    <cellStyle name="20% - Accent1 2 4 2 4 2 2 2 2" xfId="50146" xr:uid="{00000000-0005-0000-0000-000054040000}"/>
    <cellStyle name="20% - Accent1 2 4 2 4 2 2 3" xfId="40448" xr:uid="{00000000-0005-0000-0000-000055040000}"/>
    <cellStyle name="20% - Accent1 2 4 2 4 2 3" xfId="26502" xr:uid="{00000000-0005-0000-0000-000056040000}"/>
    <cellStyle name="20% - Accent1 2 4 2 4 2 3 2" xfId="45691" xr:uid="{00000000-0005-0000-0000-000057040000}"/>
    <cellStyle name="20% - Accent1 2 4 2 4 2 4" xfId="35993" xr:uid="{00000000-0005-0000-0000-000058040000}"/>
    <cellStyle name="20% - Accent1 2 4 2 4 3" xfId="18361" xr:uid="{00000000-0005-0000-0000-000059040000}"/>
    <cellStyle name="20% - Accent1 2 4 2 4 3 2" xfId="28729" xr:uid="{00000000-0005-0000-0000-00005A040000}"/>
    <cellStyle name="20% - Accent1 2 4 2 4 3 2 2" xfId="47918" xr:uid="{00000000-0005-0000-0000-00005B040000}"/>
    <cellStyle name="20% - Accent1 2 4 2 4 3 3" xfId="38220" xr:uid="{00000000-0005-0000-0000-00005C040000}"/>
    <cellStyle name="20% - Accent1 2 4 2 4 4" xfId="24269" xr:uid="{00000000-0005-0000-0000-00005D040000}"/>
    <cellStyle name="20% - Accent1 2 4 2 4 4 2" xfId="43463" xr:uid="{00000000-0005-0000-0000-00005E040000}"/>
    <cellStyle name="20% - Accent1 2 4 2 4 5" xfId="33765" xr:uid="{00000000-0005-0000-0000-00005F040000}"/>
    <cellStyle name="20% - Accent1 2 4 2 5" xfId="14440" xr:uid="{00000000-0005-0000-0000-000060040000}"/>
    <cellStyle name="20% - Accent1 2 4 2 5 2" xfId="15569" xr:uid="{00000000-0005-0000-0000-000061040000}"/>
    <cellStyle name="20% - Accent1 2 4 2 5 2 2" xfId="20033" xr:uid="{00000000-0005-0000-0000-000062040000}"/>
    <cellStyle name="20% - Accent1 2 4 2 5 2 2 2" xfId="30401" xr:uid="{00000000-0005-0000-0000-000063040000}"/>
    <cellStyle name="20% - Accent1 2 4 2 5 2 2 2 2" xfId="49590" xr:uid="{00000000-0005-0000-0000-000064040000}"/>
    <cellStyle name="20% - Accent1 2 4 2 5 2 2 3" xfId="39892" xr:uid="{00000000-0005-0000-0000-000065040000}"/>
    <cellStyle name="20% - Accent1 2 4 2 5 2 3" xfId="25946" xr:uid="{00000000-0005-0000-0000-000066040000}"/>
    <cellStyle name="20% - Accent1 2 4 2 5 2 3 2" xfId="45135" xr:uid="{00000000-0005-0000-0000-000067040000}"/>
    <cellStyle name="20% - Accent1 2 4 2 5 2 4" xfId="35437" xr:uid="{00000000-0005-0000-0000-000068040000}"/>
    <cellStyle name="20% - Accent1 2 4 2 5 3" xfId="18918" xr:uid="{00000000-0005-0000-0000-000069040000}"/>
    <cellStyle name="20% - Accent1 2 4 2 5 3 2" xfId="29286" xr:uid="{00000000-0005-0000-0000-00006A040000}"/>
    <cellStyle name="20% - Accent1 2 4 2 5 3 2 2" xfId="48475" xr:uid="{00000000-0005-0000-0000-00006B040000}"/>
    <cellStyle name="20% - Accent1 2 4 2 5 3 3" xfId="38777" xr:uid="{00000000-0005-0000-0000-00006C040000}"/>
    <cellStyle name="20% - Accent1 2 4 2 5 4" xfId="24831" xr:uid="{00000000-0005-0000-0000-00006D040000}"/>
    <cellStyle name="20% - Accent1 2 4 2 5 4 2" xfId="44020" xr:uid="{00000000-0005-0000-0000-00006E040000}"/>
    <cellStyle name="20% - Accent1 2 4 2 5 5" xfId="34322" xr:uid="{00000000-0005-0000-0000-00006F040000}"/>
    <cellStyle name="20% - Accent1 2 4 2 6" xfId="15012" xr:uid="{00000000-0005-0000-0000-000070040000}"/>
    <cellStyle name="20% - Accent1 2 4 2 6 2" xfId="19476" xr:uid="{00000000-0005-0000-0000-000071040000}"/>
    <cellStyle name="20% - Accent1 2 4 2 6 2 2" xfId="29844" xr:uid="{00000000-0005-0000-0000-000072040000}"/>
    <cellStyle name="20% - Accent1 2 4 2 6 2 2 2" xfId="49033" xr:uid="{00000000-0005-0000-0000-000073040000}"/>
    <cellStyle name="20% - Accent1 2 4 2 6 2 3" xfId="39335" xr:uid="{00000000-0005-0000-0000-000074040000}"/>
    <cellStyle name="20% - Accent1 2 4 2 6 3" xfId="25389" xr:uid="{00000000-0005-0000-0000-000075040000}"/>
    <cellStyle name="20% - Accent1 2 4 2 6 3 2" xfId="44578" xr:uid="{00000000-0005-0000-0000-000076040000}"/>
    <cellStyle name="20% - Accent1 2 4 2 6 4" xfId="34880" xr:uid="{00000000-0005-0000-0000-000077040000}"/>
    <cellStyle name="20% - Accent1 2 4 2 7" xfId="16682" xr:uid="{00000000-0005-0000-0000-000078040000}"/>
    <cellStyle name="20% - Accent1 2 4 2 7 2" xfId="21146" xr:uid="{00000000-0005-0000-0000-000079040000}"/>
    <cellStyle name="20% - Accent1 2 4 2 7 2 2" xfId="31514" xr:uid="{00000000-0005-0000-0000-00007A040000}"/>
    <cellStyle name="20% - Accent1 2 4 2 7 2 2 2" xfId="50703" xr:uid="{00000000-0005-0000-0000-00007B040000}"/>
    <cellStyle name="20% - Accent1 2 4 2 7 2 3" xfId="41005" xr:uid="{00000000-0005-0000-0000-00007C040000}"/>
    <cellStyle name="20% - Accent1 2 4 2 7 3" xfId="27059" xr:uid="{00000000-0005-0000-0000-00007D040000}"/>
    <cellStyle name="20% - Accent1 2 4 2 7 3 2" xfId="46248" xr:uid="{00000000-0005-0000-0000-00007E040000}"/>
    <cellStyle name="20% - Accent1 2 4 2 7 4" xfId="36550" xr:uid="{00000000-0005-0000-0000-00007F040000}"/>
    <cellStyle name="20% - Accent1 2 4 2 8" xfId="17248" xr:uid="{00000000-0005-0000-0000-000080040000}"/>
    <cellStyle name="20% - Accent1 2 4 2 8 2" xfId="21703" xr:uid="{00000000-0005-0000-0000-000081040000}"/>
    <cellStyle name="20% - Accent1 2 4 2 8 2 2" xfId="32071" xr:uid="{00000000-0005-0000-0000-000082040000}"/>
    <cellStyle name="20% - Accent1 2 4 2 8 2 2 2" xfId="51260" xr:uid="{00000000-0005-0000-0000-000083040000}"/>
    <cellStyle name="20% - Accent1 2 4 2 8 2 3" xfId="41562" xr:uid="{00000000-0005-0000-0000-000084040000}"/>
    <cellStyle name="20% - Accent1 2 4 2 8 3" xfId="27616" xr:uid="{00000000-0005-0000-0000-000085040000}"/>
    <cellStyle name="20% - Accent1 2 4 2 8 3 2" xfId="46805" xr:uid="{00000000-0005-0000-0000-000086040000}"/>
    <cellStyle name="20% - Accent1 2 4 2 8 4" xfId="37107" xr:uid="{00000000-0005-0000-0000-000087040000}"/>
    <cellStyle name="20% - Accent1 2 4 2 9" xfId="17805" xr:uid="{00000000-0005-0000-0000-000088040000}"/>
    <cellStyle name="20% - Accent1 2 4 2 9 2" xfId="28173" xr:uid="{00000000-0005-0000-0000-000089040000}"/>
    <cellStyle name="20% - Accent1 2 4 2 9 2 2" xfId="47362" xr:uid="{00000000-0005-0000-0000-00008A040000}"/>
    <cellStyle name="20% - Accent1 2 4 2 9 3" xfId="37664" xr:uid="{00000000-0005-0000-0000-00008B040000}"/>
    <cellStyle name="20% - Accent1 2 4 3" xfId="12908" xr:uid="{00000000-0005-0000-0000-00008C040000}"/>
    <cellStyle name="20% - Accent1 2 4 3 10" xfId="23671" xr:uid="{00000000-0005-0000-0000-00008D040000}"/>
    <cellStyle name="20% - Accent1 2 4 3 10 2" xfId="42910" xr:uid="{00000000-0005-0000-0000-00008E040000}"/>
    <cellStyle name="20% - Accent1 2 4 3 11" xfId="33212" xr:uid="{00000000-0005-0000-0000-00008F040000}"/>
    <cellStyle name="20% - Accent1 2 4 3 12" xfId="52971" xr:uid="{00000000-0005-0000-0000-000090040000}"/>
    <cellStyle name="20% - Accent1 2 4 3 2" xfId="12909" xr:uid="{00000000-0005-0000-0000-000091040000}"/>
    <cellStyle name="20% - Accent1 2 4 3 2 10" xfId="53846" xr:uid="{00000000-0005-0000-0000-000092040000}"/>
    <cellStyle name="20% - Accent1 2 4 3 2 2" xfId="13865" xr:uid="{00000000-0005-0000-0000-000093040000}"/>
    <cellStyle name="20% - Accent1 2 4 3 2 2 2" xfId="16129" xr:uid="{00000000-0005-0000-0000-000094040000}"/>
    <cellStyle name="20% - Accent1 2 4 3 2 2 2 2" xfId="20593" xr:uid="{00000000-0005-0000-0000-000095040000}"/>
    <cellStyle name="20% - Accent1 2 4 3 2 2 2 2 2" xfId="30961" xr:uid="{00000000-0005-0000-0000-000096040000}"/>
    <cellStyle name="20% - Accent1 2 4 3 2 2 2 2 2 2" xfId="50150" xr:uid="{00000000-0005-0000-0000-000097040000}"/>
    <cellStyle name="20% - Accent1 2 4 3 2 2 2 2 3" xfId="40452" xr:uid="{00000000-0005-0000-0000-000098040000}"/>
    <cellStyle name="20% - Accent1 2 4 3 2 2 2 3" xfId="26506" xr:uid="{00000000-0005-0000-0000-000099040000}"/>
    <cellStyle name="20% - Accent1 2 4 3 2 2 2 3 2" xfId="45695" xr:uid="{00000000-0005-0000-0000-00009A040000}"/>
    <cellStyle name="20% - Accent1 2 4 3 2 2 2 4" xfId="35997" xr:uid="{00000000-0005-0000-0000-00009B040000}"/>
    <cellStyle name="20% - Accent1 2 4 3 2 2 3" xfId="18365" xr:uid="{00000000-0005-0000-0000-00009C040000}"/>
    <cellStyle name="20% - Accent1 2 4 3 2 2 3 2" xfId="28733" xr:uid="{00000000-0005-0000-0000-00009D040000}"/>
    <cellStyle name="20% - Accent1 2 4 3 2 2 3 2 2" xfId="47922" xr:uid="{00000000-0005-0000-0000-00009E040000}"/>
    <cellStyle name="20% - Accent1 2 4 3 2 2 3 3" xfId="38224" xr:uid="{00000000-0005-0000-0000-00009F040000}"/>
    <cellStyle name="20% - Accent1 2 4 3 2 2 4" xfId="24273" xr:uid="{00000000-0005-0000-0000-0000A0040000}"/>
    <cellStyle name="20% - Accent1 2 4 3 2 2 4 2" xfId="43467" xr:uid="{00000000-0005-0000-0000-0000A1040000}"/>
    <cellStyle name="20% - Accent1 2 4 3 2 2 5" xfId="33769" xr:uid="{00000000-0005-0000-0000-0000A2040000}"/>
    <cellStyle name="20% - Accent1 2 4 3 2 3" xfId="14444" xr:uid="{00000000-0005-0000-0000-0000A3040000}"/>
    <cellStyle name="20% - Accent1 2 4 3 2 3 2" xfId="15573" xr:uid="{00000000-0005-0000-0000-0000A4040000}"/>
    <cellStyle name="20% - Accent1 2 4 3 2 3 2 2" xfId="20037" xr:uid="{00000000-0005-0000-0000-0000A5040000}"/>
    <cellStyle name="20% - Accent1 2 4 3 2 3 2 2 2" xfId="30405" xr:uid="{00000000-0005-0000-0000-0000A6040000}"/>
    <cellStyle name="20% - Accent1 2 4 3 2 3 2 2 2 2" xfId="49594" xr:uid="{00000000-0005-0000-0000-0000A7040000}"/>
    <cellStyle name="20% - Accent1 2 4 3 2 3 2 2 3" xfId="39896" xr:uid="{00000000-0005-0000-0000-0000A8040000}"/>
    <cellStyle name="20% - Accent1 2 4 3 2 3 2 3" xfId="25950" xr:uid="{00000000-0005-0000-0000-0000A9040000}"/>
    <cellStyle name="20% - Accent1 2 4 3 2 3 2 3 2" xfId="45139" xr:uid="{00000000-0005-0000-0000-0000AA040000}"/>
    <cellStyle name="20% - Accent1 2 4 3 2 3 2 4" xfId="35441" xr:uid="{00000000-0005-0000-0000-0000AB040000}"/>
    <cellStyle name="20% - Accent1 2 4 3 2 3 3" xfId="18922" xr:uid="{00000000-0005-0000-0000-0000AC040000}"/>
    <cellStyle name="20% - Accent1 2 4 3 2 3 3 2" xfId="29290" xr:uid="{00000000-0005-0000-0000-0000AD040000}"/>
    <cellStyle name="20% - Accent1 2 4 3 2 3 3 2 2" xfId="48479" xr:uid="{00000000-0005-0000-0000-0000AE040000}"/>
    <cellStyle name="20% - Accent1 2 4 3 2 3 3 3" xfId="38781" xr:uid="{00000000-0005-0000-0000-0000AF040000}"/>
    <cellStyle name="20% - Accent1 2 4 3 2 3 4" xfId="24835" xr:uid="{00000000-0005-0000-0000-0000B0040000}"/>
    <cellStyle name="20% - Accent1 2 4 3 2 3 4 2" xfId="44024" xr:uid="{00000000-0005-0000-0000-0000B1040000}"/>
    <cellStyle name="20% - Accent1 2 4 3 2 3 5" xfId="34326" xr:uid="{00000000-0005-0000-0000-0000B2040000}"/>
    <cellStyle name="20% - Accent1 2 4 3 2 4" xfId="15016" xr:uid="{00000000-0005-0000-0000-0000B3040000}"/>
    <cellStyle name="20% - Accent1 2 4 3 2 4 2" xfId="19480" xr:uid="{00000000-0005-0000-0000-0000B4040000}"/>
    <cellStyle name="20% - Accent1 2 4 3 2 4 2 2" xfId="29848" xr:uid="{00000000-0005-0000-0000-0000B5040000}"/>
    <cellStyle name="20% - Accent1 2 4 3 2 4 2 2 2" xfId="49037" xr:uid="{00000000-0005-0000-0000-0000B6040000}"/>
    <cellStyle name="20% - Accent1 2 4 3 2 4 2 3" xfId="39339" xr:uid="{00000000-0005-0000-0000-0000B7040000}"/>
    <cellStyle name="20% - Accent1 2 4 3 2 4 3" xfId="25393" xr:uid="{00000000-0005-0000-0000-0000B8040000}"/>
    <cellStyle name="20% - Accent1 2 4 3 2 4 3 2" xfId="44582" xr:uid="{00000000-0005-0000-0000-0000B9040000}"/>
    <cellStyle name="20% - Accent1 2 4 3 2 4 4" xfId="34884" xr:uid="{00000000-0005-0000-0000-0000BA040000}"/>
    <cellStyle name="20% - Accent1 2 4 3 2 5" xfId="16686" xr:uid="{00000000-0005-0000-0000-0000BB040000}"/>
    <cellStyle name="20% - Accent1 2 4 3 2 5 2" xfId="21150" xr:uid="{00000000-0005-0000-0000-0000BC040000}"/>
    <cellStyle name="20% - Accent1 2 4 3 2 5 2 2" xfId="31518" xr:uid="{00000000-0005-0000-0000-0000BD040000}"/>
    <cellStyle name="20% - Accent1 2 4 3 2 5 2 2 2" xfId="50707" xr:uid="{00000000-0005-0000-0000-0000BE040000}"/>
    <cellStyle name="20% - Accent1 2 4 3 2 5 2 3" xfId="41009" xr:uid="{00000000-0005-0000-0000-0000BF040000}"/>
    <cellStyle name="20% - Accent1 2 4 3 2 5 3" xfId="27063" xr:uid="{00000000-0005-0000-0000-0000C0040000}"/>
    <cellStyle name="20% - Accent1 2 4 3 2 5 3 2" xfId="46252" xr:uid="{00000000-0005-0000-0000-0000C1040000}"/>
    <cellStyle name="20% - Accent1 2 4 3 2 5 4" xfId="36554" xr:uid="{00000000-0005-0000-0000-0000C2040000}"/>
    <cellStyle name="20% - Accent1 2 4 3 2 6" xfId="17252" xr:uid="{00000000-0005-0000-0000-0000C3040000}"/>
    <cellStyle name="20% - Accent1 2 4 3 2 6 2" xfId="21707" xr:uid="{00000000-0005-0000-0000-0000C4040000}"/>
    <cellStyle name="20% - Accent1 2 4 3 2 6 2 2" xfId="32075" xr:uid="{00000000-0005-0000-0000-0000C5040000}"/>
    <cellStyle name="20% - Accent1 2 4 3 2 6 2 2 2" xfId="51264" xr:uid="{00000000-0005-0000-0000-0000C6040000}"/>
    <cellStyle name="20% - Accent1 2 4 3 2 6 2 3" xfId="41566" xr:uid="{00000000-0005-0000-0000-0000C7040000}"/>
    <cellStyle name="20% - Accent1 2 4 3 2 6 3" xfId="27620" xr:uid="{00000000-0005-0000-0000-0000C8040000}"/>
    <cellStyle name="20% - Accent1 2 4 3 2 6 3 2" xfId="46809" xr:uid="{00000000-0005-0000-0000-0000C9040000}"/>
    <cellStyle name="20% - Accent1 2 4 3 2 6 4" xfId="37111" xr:uid="{00000000-0005-0000-0000-0000CA040000}"/>
    <cellStyle name="20% - Accent1 2 4 3 2 7" xfId="17809" xr:uid="{00000000-0005-0000-0000-0000CB040000}"/>
    <cellStyle name="20% - Accent1 2 4 3 2 7 2" xfId="28177" xr:uid="{00000000-0005-0000-0000-0000CC040000}"/>
    <cellStyle name="20% - Accent1 2 4 3 2 7 2 2" xfId="47366" xr:uid="{00000000-0005-0000-0000-0000CD040000}"/>
    <cellStyle name="20% - Accent1 2 4 3 2 7 3" xfId="37668" xr:uid="{00000000-0005-0000-0000-0000CE040000}"/>
    <cellStyle name="20% - Accent1 2 4 3 2 8" xfId="23672" xr:uid="{00000000-0005-0000-0000-0000CF040000}"/>
    <cellStyle name="20% - Accent1 2 4 3 2 8 2" xfId="42911" xr:uid="{00000000-0005-0000-0000-0000D0040000}"/>
    <cellStyle name="20% - Accent1 2 4 3 2 9" xfId="33213" xr:uid="{00000000-0005-0000-0000-0000D1040000}"/>
    <cellStyle name="20% - Accent1 2 4 3 3" xfId="12910" xr:uid="{00000000-0005-0000-0000-0000D2040000}"/>
    <cellStyle name="20% - Accent1 2 4 3 3 2" xfId="13866" xr:uid="{00000000-0005-0000-0000-0000D3040000}"/>
    <cellStyle name="20% - Accent1 2 4 3 3 2 2" xfId="16130" xr:uid="{00000000-0005-0000-0000-0000D4040000}"/>
    <cellStyle name="20% - Accent1 2 4 3 3 2 2 2" xfId="20594" xr:uid="{00000000-0005-0000-0000-0000D5040000}"/>
    <cellStyle name="20% - Accent1 2 4 3 3 2 2 2 2" xfId="30962" xr:uid="{00000000-0005-0000-0000-0000D6040000}"/>
    <cellStyle name="20% - Accent1 2 4 3 3 2 2 2 2 2" xfId="50151" xr:uid="{00000000-0005-0000-0000-0000D7040000}"/>
    <cellStyle name="20% - Accent1 2 4 3 3 2 2 2 3" xfId="40453" xr:uid="{00000000-0005-0000-0000-0000D8040000}"/>
    <cellStyle name="20% - Accent1 2 4 3 3 2 2 3" xfId="26507" xr:uid="{00000000-0005-0000-0000-0000D9040000}"/>
    <cellStyle name="20% - Accent1 2 4 3 3 2 2 3 2" xfId="45696" xr:uid="{00000000-0005-0000-0000-0000DA040000}"/>
    <cellStyle name="20% - Accent1 2 4 3 3 2 2 4" xfId="35998" xr:uid="{00000000-0005-0000-0000-0000DB040000}"/>
    <cellStyle name="20% - Accent1 2 4 3 3 2 3" xfId="18366" xr:uid="{00000000-0005-0000-0000-0000DC040000}"/>
    <cellStyle name="20% - Accent1 2 4 3 3 2 3 2" xfId="28734" xr:uid="{00000000-0005-0000-0000-0000DD040000}"/>
    <cellStyle name="20% - Accent1 2 4 3 3 2 3 2 2" xfId="47923" xr:uid="{00000000-0005-0000-0000-0000DE040000}"/>
    <cellStyle name="20% - Accent1 2 4 3 3 2 3 3" xfId="38225" xr:uid="{00000000-0005-0000-0000-0000DF040000}"/>
    <cellStyle name="20% - Accent1 2 4 3 3 2 4" xfId="24274" xr:uid="{00000000-0005-0000-0000-0000E0040000}"/>
    <cellStyle name="20% - Accent1 2 4 3 3 2 4 2" xfId="43468" xr:uid="{00000000-0005-0000-0000-0000E1040000}"/>
    <cellStyle name="20% - Accent1 2 4 3 3 2 5" xfId="33770" xr:uid="{00000000-0005-0000-0000-0000E2040000}"/>
    <cellStyle name="20% - Accent1 2 4 3 3 3" xfId="14445" xr:uid="{00000000-0005-0000-0000-0000E3040000}"/>
    <cellStyle name="20% - Accent1 2 4 3 3 3 2" xfId="15574" xr:uid="{00000000-0005-0000-0000-0000E4040000}"/>
    <cellStyle name="20% - Accent1 2 4 3 3 3 2 2" xfId="20038" xr:uid="{00000000-0005-0000-0000-0000E5040000}"/>
    <cellStyle name="20% - Accent1 2 4 3 3 3 2 2 2" xfId="30406" xr:uid="{00000000-0005-0000-0000-0000E6040000}"/>
    <cellStyle name="20% - Accent1 2 4 3 3 3 2 2 2 2" xfId="49595" xr:uid="{00000000-0005-0000-0000-0000E7040000}"/>
    <cellStyle name="20% - Accent1 2 4 3 3 3 2 2 3" xfId="39897" xr:uid="{00000000-0005-0000-0000-0000E8040000}"/>
    <cellStyle name="20% - Accent1 2 4 3 3 3 2 3" xfId="25951" xr:uid="{00000000-0005-0000-0000-0000E9040000}"/>
    <cellStyle name="20% - Accent1 2 4 3 3 3 2 3 2" xfId="45140" xr:uid="{00000000-0005-0000-0000-0000EA040000}"/>
    <cellStyle name="20% - Accent1 2 4 3 3 3 2 4" xfId="35442" xr:uid="{00000000-0005-0000-0000-0000EB040000}"/>
    <cellStyle name="20% - Accent1 2 4 3 3 3 3" xfId="18923" xr:uid="{00000000-0005-0000-0000-0000EC040000}"/>
    <cellStyle name="20% - Accent1 2 4 3 3 3 3 2" xfId="29291" xr:uid="{00000000-0005-0000-0000-0000ED040000}"/>
    <cellStyle name="20% - Accent1 2 4 3 3 3 3 2 2" xfId="48480" xr:uid="{00000000-0005-0000-0000-0000EE040000}"/>
    <cellStyle name="20% - Accent1 2 4 3 3 3 3 3" xfId="38782" xr:uid="{00000000-0005-0000-0000-0000EF040000}"/>
    <cellStyle name="20% - Accent1 2 4 3 3 3 4" xfId="24836" xr:uid="{00000000-0005-0000-0000-0000F0040000}"/>
    <cellStyle name="20% - Accent1 2 4 3 3 3 4 2" xfId="44025" xr:uid="{00000000-0005-0000-0000-0000F1040000}"/>
    <cellStyle name="20% - Accent1 2 4 3 3 3 5" xfId="34327" xr:uid="{00000000-0005-0000-0000-0000F2040000}"/>
    <cellStyle name="20% - Accent1 2 4 3 3 4" xfId="15017" xr:uid="{00000000-0005-0000-0000-0000F3040000}"/>
    <cellStyle name="20% - Accent1 2 4 3 3 4 2" xfId="19481" xr:uid="{00000000-0005-0000-0000-0000F4040000}"/>
    <cellStyle name="20% - Accent1 2 4 3 3 4 2 2" xfId="29849" xr:uid="{00000000-0005-0000-0000-0000F5040000}"/>
    <cellStyle name="20% - Accent1 2 4 3 3 4 2 2 2" xfId="49038" xr:uid="{00000000-0005-0000-0000-0000F6040000}"/>
    <cellStyle name="20% - Accent1 2 4 3 3 4 2 3" xfId="39340" xr:uid="{00000000-0005-0000-0000-0000F7040000}"/>
    <cellStyle name="20% - Accent1 2 4 3 3 4 3" xfId="25394" xr:uid="{00000000-0005-0000-0000-0000F8040000}"/>
    <cellStyle name="20% - Accent1 2 4 3 3 4 3 2" xfId="44583" xr:uid="{00000000-0005-0000-0000-0000F9040000}"/>
    <cellStyle name="20% - Accent1 2 4 3 3 4 4" xfId="34885" xr:uid="{00000000-0005-0000-0000-0000FA040000}"/>
    <cellStyle name="20% - Accent1 2 4 3 3 5" xfId="16687" xr:uid="{00000000-0005-0000-0000-0000FB040000}"/>
    <cellStyle name="20% - Accent1 2 4 3 3 5 2" xfId="21151" xr:uid="{00000000-0005-0000-0000-0000FC040000}"/>
    <cellStyle name="20% - Accent1 2 4 3 3 5 2 2" xfId="31519" xr:uid="{00000000-0005-0000-0000-0000FD040000}"/>
    <cellStyle name="20% - Accent1 2 4 3 3 5 2 2 2" xfId="50708" xr:uid="{00000000-0005-0000-0000-0000FE040000}"/>
    <cellStyle name="20% - Accent1 2 4 3 3 5 2 3" xfId="41010" xr:uid="{00000000-0005-0000-0000-0000FF040000}"/>
    <cellStyle name="20% - Accent1 2 4 3 3 5 3" xfId="27064" xr:uid="{00000000-0005-0000-0000-000000050000}"/>
    <cellStyle name="20% - Accent1 2 4 3 3 5 3 2" xfId="46253" xr:uid="{00000000-0005-0000-0000-000001050000}"/>
    <cellStyle name="20% - Accent1 2 4 3 3 5 4" xfId="36555" xr:uid="{00000000-0005-0000-0000-000002050000}"/>
    <cellStyle name="20% - Accent1 2 4 3 3 6" xfId="17253" xr:uid="{00000000-0005-0000-0000-000003050000}"/>
    <cellStyle name="20% - Accent1 2 4 3 3 6 2" xfId="21708" xr:uid="{00000000-0005-0000-0000-000004050000}"/>
    <cellStyle name="20% - Accent1 2 4 3 3 6 2 2" xfId="32076" xr:uid="{00000000-0005-0000-0000-000005050000}"/>
    <cellStyle name="20% - Accent1 2 4 3 3 6 2 2 2" xfId="51265" xr:uid="{00000000-0005-0000-0000-000006050000}"/>
    <cellStyle name="20% - Accent1 2 4 3 3 6 2 3" xfId="41567" xr:uid="{00000000-0005-0000-0000-000007050000}"/>
    <cellStyle name="20% - Accent1 2 4 3 3 6 3" xfId="27621" xr:uid="{00000000-0005-0000-0000-000008050000}"/>
    <cellStyle name="20% - Accent1 2 4 3 3 6 3 2" xfId="46810" xr:uid="{00000000-0005-0000-0000-000009050000}"/>
    <cellStyle name="20% - Accent1 2 4 3 3 6 4" xfId="37112" xr:uid="{00000000-0005-0000-0000-00000A050000}"/>
    <cellStyle name="20% - Accent1 2 4 3 3 7" xfId="17810" xr:uid="{00000000-0005-0000-0000-00000B050000}"/>
    <cellStyle name="20% - Accent1 2 4 3 3 7 2" xfId="28178" xr:uid="{00000000-0005-0000-0000-00000C050000}"/>
    <cellStyle name="20% - Accent1 2 4 3 3 7 2 2" xfId="47367" xr:uid="{00000000-0005-0000-0000-00000D050000}"/>
    <cellStyle name="20% - Accent1 2 4 3 3 7 3" xfId="37669" xr:uid="{00000000-0005-0000-0000-00000E050000}"/>
    <cellStyle name="20% - Accent1 2 4 3 3 8" xfId="23673" xr:uid="{00000000-0005-0000-0000-00000F050000}"/>
    <cellStyle name="20% - Accent1 2 4 3 3 8 2" xfId="42912" xr:uid="{00000000-0005-0000-0000-000010050000}"/>
    <cellStyle name="20% - Accent1 2 4 3 3 9" xfId="33214" xr:uid="{00000000-0005-0000-0000-000011050000}"/>
    <cellStyle name="20% - Accent1 2 4 3 4" xfId="13864" xr:uid="{00000000-0005-0000-0000-000012050000}"/>
    <cellStyle name="20% - Accent1 2 4 3 4 2" xfId="16128" xr:uid="{00000000-0005-0000-0000-000013050000}"/>
    <cellStyle name="20% - Accent1 2 4 3 4 2 2" xfId="20592" xr:uid="{00000000-0005-0000-0000-000014050000}"/>
    <cellStyle name="20% - Accent1 2 4 3 4 2 2 2" xfId="30960" xr:uid="{00000000-0005-0000-0000-000015050000}"/>
    <cellStyle name="20% - Accent1 2 4 3 4 2 2 2 2" xfId="50149" xr:uid="{00000000-0005-0000-0000-000016050000}"/>
    <cellStyle name="20% - Accent1 2 4 3 4 2 2 3" xfId="40451" xr:uid="{00000000-0005-0000-0000-000017050000}"/>
    <cellStyle name="20% - Accent1 2 4 3 4 2 3" xfId="26505" xr:uid="{00000000-0005-0000-0000-000018050000}"/>
    <cellStyle name="20% - Accent1 2 4 3 4 2 3 2" xfId="45694" xr:uid="{00000000-0005-0000-0000-000019050000}"/>
    <cellStyle name="20% - Accent1 2 4 3 4 2 4" xfId="35996" xr:uid="{00000000-0005-0000-0000-00001A050000}"/>
    <cellStyle name="20% - Accent1 2 4 3 4 3" xfId="18364" xr:uid="{00000000-0005-0000-0000-00001B050000}"/>
    <cellStyle name="20% - Accent1 2 4 3 4 3 2" xfId="28732" xr:uid="{00000000-0005-0000-0000-00001C050000}"/>
    <cellStyle name="20% - Accent1 2 4 3 4 3 2 2" xfId="47921" xr:uid="{00000000-0005-0000-0000-00001D050000}"/>
    <cellStyle name="20% - Accent1 2 4 3 4 3 3" xfId="38223" xr:uid="{00000000-0005-0000-0000-00001E050000}"/>
    <cellStyle name="20% - Accent1 2 4 3 4 4" xfId="24272" xr:uid="{00000000-0005-0000-0000-00001F050000}"/>
    <cellStyle name="20% - Accent1 2 4 3 4 4 2" xfId="43466" xr:uid="{00000000-0005-0000-0000-000020050000}"/>
    <cellStyle name="20% - Accent1 2 4 3 4 5" xfId="33768" xr:uid="{00000000-0005-0000-0000-000021050000}"/>
    <cellStyle name="20% - Accent1 2 4 3 5" xfId="14443" xr:uid="{00000000-0005-0000-0000-000022050000}"/>
    <cellStyle name="20% - Accent1 2 4 3 5 2" xfId="15572" xr:uid="{00000000-0005-0000-0000-000023050000}"/>
    <cellStyle name="20% - Accent1 2 4 3 5 2 2" xfId="20036" xr:uid="{00000000-0005-0000-0000-000024050000}"/>
    <cellStyle name="20% - Accent1 2 4 3 5 2 2 2" xfId="30404" xr:uid="{00000000-0005-0000-0000-000025050000}"/>
    <cellStyle name="20% - Accent1 2 4 3 5 2 2 2 2" xfId="49593" xr:uid="{00000000-0005-0000-0000-000026050000}"/>
    <cellStyle name="20% - Accent1 2 4 3 5 2 2 3" xfId="39895" xr:uid="{00000000-0005-0000-0000-000027050000}"/>
    <cellStyle name="20% - Accent1 2 4 3 5 2 3" xfId="25949" xr:uid="{00000000-0005-0000-0000-000028050000}"/>
    <cellStyle name="20% - Accent1 2 4 3 5 2 3 2" xfId="45138" xr:uid="{00000000-0005-0000-0000-000029050000}"/>
    <cellStyle name="20% - Accent1 2 4 3 5 2 4" xfId="35440" xr:uid="{00000000-0005-0000-0000-00002A050000}"/>
    <cellStyle name="20% - Accent1 2 4 3 5 3" xfId="18921" xr:uid="{00000000-0005-0000-0000-00002B050000}"/>
    <cellStyle name="20% - Accent1 2 4 3 5 3 2" xfId="29289" xr:uid="{00000000-0005-0000-0000-00002C050000}"/>
    <cellStyle name="20% - Accent1 2 4 3 5 3 2 2" xfId="48478" xr:uid="{00000000-0005-0000-0000-00002D050000}"/>
    <cellStyle name="20% - Accent1 2 4 3 5 3 3" xfId="38780" xr:uid="{00000000-0005-0000-0000-00002E050000}"/>
    <cellStyle name="20% - Accent1 2 4 3 5 4" xfId="24834" xr:uid="{00000000-0005-0000-0000-00002F050000}"/>
    <cellStyle name="20% - Accent1 2 4 3 5 4 2" xfId="44023" xr:uid="{00000000-0005-0000-0000-000030050000}"/>
    <cellStyle name="20% - Accent1 2 4 3 5 5" xfId="34325" xr:uid="{00000000-0005-0000-0000-000031050000}"/>
    <cellStyle name="20% - Accent1 2 4 3 6" xfId="15015" xr:uid="{00000000-0005-0000-0000-000032050000}"/>
    <cellStyle name="20% - Accent1 2 4 3 6 2" xfId="19479" xr:uid="{00000000-0005-0000-0000-000033050000}"/>
    <cellStyle name="20% - Accent1 2 4 3 6 2 2" xfId="29847" xr:uid="{00000000-0005-0000-0000-000034050000}"/>
    <cellStyle name="20% - Accent1 2 4 3 6 2 2 2" xfId="49036" xr:uid="{00000000-0005-0000-0000-000035050000}"/>
    <cellStyle name="20% - Accent1 2 4 3 6 2 3" xfId="39338" xr:uid="{00000000-0005-0000-0000-000036050000}"/>
    <cellStyle name="20% - Accent1 2 4 3 6 3" xfId="25392" xr:uid="{00000000-0005-0000-0000-000037050000}"/>
    <cellStyle name="20% - Accent1 2 4 3 6 3 2" xfId="44581" xr:uid="{00000000-0005-0000-0000-000038050000}"/>
    <cellStyle name="20% - Accent1 2 4 3 6 4" xfId="34883" xr:uid="{00000000-0005-0000-0000-000039050000}"/>
    <cellStyle name="20% - Accent1 2 4 3 7" xfId="16685" xr:uid="{00000000-0005-0000-0000-00003A050000}"/>
    <cellStyle name="20% - Accent1 2 4 3 7 2" xfId="21149" xr:uid="{00000000-0005-0000-0000-00003B050000}"/>
    <cellStyle name="20% - Accent1 2 4 3 7 2 2" xfId="31517" xr:uid="{00000000-0005-0000-0000-00003C050000}"/>
    <cellStyle name="20% - Accent1 2 4 3 7 2 2 2" xfId="50706" xr:uid="{00000000-0005-0000-0000-00003D050000}"/>
    <cellStyle name="20% - Accent1 2 4 3 7 2 3" xfId="41008" xr:uid="{00000000-0005-0000-0000-00003E050000}"/>
    <cellStyle name="20% - Accent1 2 4 3 7 3" xfId="27062" xr:uid="{00000000-0005-0000-0000-00003F050000}"/>
    <cellStyle name="20% - Accent1 2 4 3 7 3 2" xfId="46251" xr:uid="{00000000-0005-0000-0000-000040050000}"/>
    <cellStyle name="20% - Accent1 2 4 3 7 4" xfId="36553" xr:uid="{00000000-0005-0000-0000-000041050000}"/>
    <cellStyle name="20% - Accent1 2 4 3 8" xfId="17251" xr:uid="{00000000-0005-0000-0000-000042050000}"/>
    <cellStyle name="20% - Accent1 2 4 3 8 2" xfId="21706" xr:uid="{00000000-0005-0000-0000-000043050000}"/>
    <cellStyle name="20% - Accent1 2 4 3 8 2 2" xfId="32074" xr:uid="{00000000-0005-0000-0000-000044050000}"/>
    <cellStyle name="20% - Accent1 2 4 3 8 2 2 2" xfId="51263" xr:uid="{00000000-0005-0000-0000-000045050000}"/>
    <cellStyle name="20% - Accent1 2 4 3 8 2 3" xfId="41565" xr:uid="{00000000-0005-0000-0000-000046050000}"/>
    <cellStyle name="20% - Accent1 2 4 3 8 3" xfId="27619" xr:uid="{00000000-0005-0000-0000-000047050000}"/>
    <cellStyle name="20% - Accent1 2 4 3 8 3 2" xfId="46808" xr:uid="{00000000-0005-0000-0000-000048050000}"/>
    <cellStyle name="20% - Accent1 2 4 3 8 4" xfId="37110" xr:uid="{00000000-0005-0000-0000-000049050000}"/>
    <cellStyle name="20% - Accent1 2 4 3 9" xfId="17808" xr:uid="{00000000-0005-0000-0000-00004A050000}"/>
    <cellStyle name="20% - Accent1 2 4 3 9 2" xfId="28176" xr:uid="{00000000-0005-0000-0000-00004B050000}"/>
    <cellStyle name="20% - Accent1 2 4 3 9 2 2" xfId="47365" xr:uid="{00000000-0005-0000-0000-00004C050000}"/>
    <cellStyle name="20% - Accent1 2 4 3 9 3" xfId="37667" xr:uid="{00000000-0005-0000-0000-00004D050000}"/>
    <cellStyle name="20% - Accent1 2 4 4" xfId="12911" xr:uid="{00000000-0005-0000-0000-00004E050000}"/>
    <cellStyle name="20% - Accent1 2 4 4 10" xfId="53450" xr:uid="{00000000-0005-0000-0000-00004F050000}"/>
    <cellStyle name="20% - Accent1 2 4 4 2" xfId="13867" xr:uid="{00000000-0005-0000-0000-000050050000}"/>
    <cellStyle name="20% - Accent1 2 4 4 2 2" xfId="16131" xr:uid="{00000000-0005-0000-0000-000051050000}"/>
    <cellStyle name="20% - Accent1 2 4 4 2 2 2" xfId="20595" xr:uid="{00000000-0005-0000-0000-000052050000}"/>
    <cellStyle name="20% - Accent1 2 4 4 2 2 2 2" xfId="30963" xr:uid="{00000000-0005-0000-0000-000053050000}"/>
    <cellStyle name="20% - Accent1 2 4 4 2 2 2 2 2" xfId="50152" xr:uid="{00000000-0005-0000-0000-000054050000}"/>
    <cellStyle name="20% - Accent1 2 4 4 2 2 2 3" xfId="40454" xr:uid="{00000000-0005-0000-0000-000055050000}"/>
    <cellStyle name="20% - Accent1 2 4 4 2 2 3" xfId="26508" xr:uid="{00000000-0005-0000-0000-000056050000}"/>
    <cellStyle name="20% - Accent1 2 4 4 2 2 3 2" xfId="45697" xr:uid="{00000000-0005-0000-0000-000057050000}"/>
    <cellStyle name="20% - Accent1 2 4 4 2 2 4" xfId="35999" xr:uid="{00000000-0005-0000-0000-000058050000}"/>
    <cellStyle name="20% - Accent1 2 4 4 2 3" xfId="18367" xr:uid="{00000000-0005-0000-0000-000059050000}"/>
    <cellStyle name="20% - Accent1 2 4 4 2 3 2" xfId="28735" xr:uid="{00000000-0005-0000-0000-00005A050000}"/>
    <cellStyle name="20% - Accent1 2 4 4 2 3 2 2" xfId="47924" xr:uid="{00000000-0005-0000-0000-00005B050000}"/>
    <cellStyle name="20% - Accent1 2 4 4 2 3 3" xfId="38226" xr:uid="{00000000-0005-0000-0000-00005C050000}"/>
    <cellStyle name="20% - Accent1 2 4 4 2 4" xfId="24275" xr:uid="{00000000-0005-0000-0000-00005D050000}"/>
    <cellStyle name="20% - Accent1 2 4 4 2 4 2" xfId="43469" xr:uid="{00000000-0005-0000-0000-00005E050000}"/>
    <cellStyle name="20% - Accent1 2 4 4 2 5" xfId="33771" xr:uid="{00000000-0005-0000-0000-00005F050000}"/>
    <cellStyle name="20% - Accent1 2 4 4 3" xfId="14446" xr:uid="{00000000-0005-0000-0000-000060050000}"/>
    <cellStyle name="20% - Accent1 2 4 4 3 2" xfId="15575" xr:uid="{00000000-0005-0000-0000-000061050000}"/>
    <cellStyle name="20% - Accent1 2 4 4 3 2 2" xfId="20039" xr:uid="{00000000-0005-0000-0000-000062050000}"/>
    <cellStyle name="20% - Accent1 2 4 4 3 2 2 2" xfId="30407" xr:uid="{00000000-0005-0000-0000-000063050000}"/>
    <cellStyle name="20% - Accent1 2 4 4 3 2 2 2 2" xfId="49596" xr:uid="{00000000-0005-0000-0000-000064050000}"/>
    <cellStyle name="20% - Accent1 2 4 4 3 2 2 3" xfId="39898" xr:uid="{00000000-0005-0000-0000-000065050000}"/>
    <cellStyle name="20% - Accent1 2 4 4 3 2 3" xfId="25952" xr:uid="{00000000-0005-0000-0000-000066050000}"/>
    <cellStyle name="20% - Accent1 2 4 4 3 2 3 2" xfId="45141" xr:uid="{00000000-0005-0000-0000-000067050000}"/>
    <cellStyle name="20% - Accent1 2 4 4 3 2 4" xfId="35443" xr:uid="{00000000-0005-0000-0000-000068050000}"/>
    <cellStyle name="20% - Accent1 2 4 4 3 3" xfId="18924" xr:uid="{00000000-0005-0000-0000-000069050000}"/>
    <cellStyle name="20% - Accent1 2 4 4 3 3 2" xfId="29292" xr:uid="{00000000-0005-0000-0000-00006A050000}"/>
    <cellStyle name="20% - Accent1 2 4 4 3 3 2 2" xfId="48481" xr:uid="{00000000-0005-0000-0000-00006B050000}"/>
    <cellStyle name="20% - Accent1 2 4 4 3 3 3" xfId="38783" xr:uid="{00000000-0005-0000-0000-00006C050000}"/>
    <cellStyle name="20% - Accent1 2 4 4 3 4" xfId="24837" xr:uid="{00000000-0005-0000-0000-00006D050000}"/>
    <cellStyle name="20% - Accent1 2 4 4 3 4 2" xfId="44026" xr:uid="{00000000-0005-0000-0000-00006E050000}"/>
    <cellStyle name="20% - Accent1 2 4 4 3 5" xfId="34328" xr:uid="{00000000-0005-0000-0000-00006F050000}"/>
    <cellStyle name="20% - Accent1 2 4 4 4" xfId="15018" xr:uid="{00000000-0005-0000-0000-000070050000}"/>
    <cellStyle name="20% - Accent1 2 4 4 4 2" xfId="19482" xr:uid="{00000000-0005-0000-0000-000071050000}"/>
    <cellStyle name="20% - Accent1 2 4 4 4 2 2" xfId="29850" xr:uid="{00000000-0005-0000-0000-000072050000}"/>
    <cellStyle name="20% - Accent1 2 4 4 4 2 2 2" xfId="49039" xr:uid="{00000000-0005-0000-0000-000073050000}"/>
    <cellStyle name="20% - Accent1 2 4 4 4 2 3" xfId="39341" xr:uid="{00000000-0005-0000-0000-000074050000}"/>
    <cellStyle name="20% - Accent1 2 4 4 4 3" xfId="25395" xr:uid="{00000000-0005-0000-0000-000075050000}"/>
    <cellStyle name="20% - Accent1 2 4 4 4 3 2" xfId="44584" xr:uid="{00000000-0005-0000-0000-000076050000}"/>
    <cellStyle name="20% - Accent1 2 4 4 4 4" xfId="34886" xr:uid="{00000000-0005-0000-0000-000077050000}"/>
    <cellStyle name="20% - Accent1 2 4 4 5" xfId="16688" xr:uid="{00000000-0005-0000-0000-000078050000}"/>
    <cellStyle name="20% - Accent1 2 4 4 5 2" xfId="21152" xr:uid="{00000000-0005-0000-0000-000079050000}"/>
    <cellStyle name="20% - Accent1 2 4 4 5 2 2" xfId="31520" xr:uid="{00000000-0005-0000-0000-00007A050000}"/>
    <cellStyle name="20% - Accent1 2 4 4 5 2 2 2" xfId="50709" xr:uid="{00000000-0005-0000-0000-00007B050000}"/>
    <cellStyle name="20% - Accent1 2 4 4 5 2 3" xfId="41011" xr:uid="{00000000-0005-0000-0000-00007C050000}"/>
    <cellStyle name="20% - Accent1 2 4 4 5 3" xfId="27065" xr:uid="{00000000-0005-0000-0000-00007D050000}"/>
    <cellStyle name="20% - Accent1 2 4 4 5 3 2" xfId="46254" xr:uid="{00000000-0005-0000-0000-00007E050000}"/>
    <cellStyle name="20% - Accent1 2 4 4 5 4" xfId="36556" xr:uid="{00000000-0005-0000-0000-00007F050000}"/>
    <cellStyle name="20% - Accent1 2 4 4 6" xfId="17254" xr:uid="{00000000-0005-0000-0000-000080050000}"/>
    <cellStyle name="20% - Accent1 2 4 4 6 2" xfId="21709" xr:uid="{00000000-0005-0000-0000-000081050000}"/>
    <cellStyle name="20% - Accent1 2 4 4 6 2 2" xfId="32077" xr:uid="{00000000-0005-0000-0000-000082050000}"/>
    <cellStyle name="20% - Accent1 2 4 4 6 2 2 2" xfId="51266" xr:uid="{00000000-0005-0000-0000-000083050000}"/>
    <cellStyle name="20% - Accent1 2 4 4 6 2 3" xfId="41568" xr:uid="{00000000-0005-0000-0000-000084050000}"/>
    <cellStyle name="20% - Accent1 2 4 4 6 3" xfId="27622" xr:uid="{00000000-0005-0000-0000-000085050000}"/>
    <cellStyle name="20% - Accent1 2 4 4 6 3 2" xfId="46811" xr:uid="{00000000-0005-0000-0000-000086050000}"/>
    <cellStyle name="20% - Accent1 2 4 4 6 4" xfId="37113" xr:uid="{00000000-0005-0000-0000-000087050000}"/>
    <cellStyle name="20% - Accent1 2 4 4 7" xfId="17811" xr:uid="{00000000-0005-0000-0000-000088050000}"/>
    <cellStyle name="20% - Accent1 2 4 4 7 2" xfId="28179" xr:uid="{00000000-0005-0000-0000-000089050000}"/>
    <cellStyle name="20% - Accent1 2 4 4 7 2 2" xfId="47368" xr:uid="{00000000-0005-0000-0000-00008A050000}"/>
    <cellStyle name="20% - Accent1 2 4 4 7 3" xfId="37670" xr:uid="{00000000-0005-0000-0000-00008B050000}"/>
    <cellStyle name="20% - Accent1 2 4 4 8" xfId="23674" xr:uid="{00000000-0005-0000-0000-00008C050000}"/>
    <cellStyle name="20% - Accent1 2 4 4 8 2" xfId="42913" xr:uid="{00000000-0005-0000-0000-00008D050000}"/>
    <cellStyle name="20% - Accent1 2 4 4 9" xfId="33215" xr:uid="{00000000-0005-0000-0000-00008E050000}"/>
    <cellStyle name="20% - Accent1 2 4 5" xfId="12912" xr:uid="{00000000-0005-0000-0000-00008F050000}"/>
    <cellStyle name="20% - Accent1 2 4 5 2" xfId="13868" xr:uid="{00000000-0005-0000-0000-000090050000}"/>
    <cellStyle name="20% - Accent1 2 4 5 2 2" xfId="16132" xr:uid="{00000000-0005-0000-0000-000091050000}"/>
    <cellStyle name="20% - Accent1 2 4 5 2 2 2" xfId="20596" xr:uid="{00000000-0005-0000-0000-000092050000}"/>
    <cellStyle name="20% - Accent1 2 4 5 2 2 2 2" xfId="30964" xr:uid="{00000000-0005-0000-0000-000093050000}"/>
    <cellStyle name="20% - Accent1 2 4 5 2 2 2 2 2" xfId="50153" xr:uid="{00000000-0005-0000-0000-000094050000}"/>
    <cellStyle name="20% - Accent1 2 4 5 2 2 2 3" xfId="40455" xr:uid="{00000000-0005-0000-0000-000095050000}"/>
    <cellStyle name="20% - Accent1 2 4 5 2 2 3" xfId="26509" xr:uid="{00000000-0005-0000-0000-000096050000}"/>
    <cellStyle name="20% - Accent1 2 4 5 2 2 3 2" xfId="45698" xr:uid="{00000000-0005-0000-0000-000097050000}"/>
    <cellStyle name="20% - Accent1 2 4 5 2 2 4" xfId="36000" xr:uid="{00000000-0005-0000-0000-000098050000}"/>
    <cellStyle name="20% - Accent1 2 4 5 2 3" xfId="18368" xr:uid="{00000000-0005-0000-0000-000099050000}"/>
    <cellStyle name="20% - Accent1 2 4 5 2 3 2" xfId="28736" xr:uid="{00000000-0005-0000-0000-00009A050000}"/>
    <cellStyle name="20% - Accent1 2 4 5 2 3 2 2" xfId="47925" xr:uid="{00000000-0005-0000-0000-00009B050000}"/>
    <cellStyle name="20% - Accent1 2 4 5 2 3 3" xfId="38227" xr:uid="{00000000-0005-0000-0000-00009C050000}"/>
    <cellStyle name="20% - Accent1 2 4 5 2 4" xfId="24276" xr:uid="{00000000-0005-0000-0000-00009D050000}"/>
    <cellStyle name="20% - Accent1 2 4 5 2 4 2" xfId="43470" xr:uid="{00000000-0005-0000-0000-00009E050000}"/>
    <cellStyle name="20% - Accent1 2 4 5 2 5" xfId="33772" xr:uid="{00000000-0005-0000-0000-00009F050000}"/>
    <cellStyle name="20% - Accent1 2 4 5 3" xfId="14447" xr:uid="{00000000-0005-0000-0000-0000A0050000}"/>
    <cellStyle name="20% - Accent1 2 4 5 3 2" xfId="15576" xr:uid="{00000000-0005-0000-0000-0000A1050000}"/>
    <cellStyle name="20% - Accent1 2 4 5 3 2 2" xfId="20040" xr:uid="{00000000-0005-0000-0000-0000A2050000}"/>
    <cellStyle name="20% - Accent1 2 4 5 3 2 2 2" xfId="30408" xr:uid="{00000000-0005-0000-0000-0000A3050000}"/>
    <cellStyle name="20% - Accent1 2 4 5 3 2 2 2 2" xfId="49597" xr:uid="{00000000-0005-0000-0000-0000A4050000}"/>
    <cellStyle name="20% - Accent1 2 4 5 3 2 2 3" xfId="39899" xr:uid="{00000000-0005-0000-0000-0000A5050000}"/>
    <cellStyle name="20% - Accent1 2 4 5 3 2 3" xfId="25953" xr:uid="{00000000-0005-0000-0000-0000A6050000}"/>
    <cellStyle name="20% - Accent1 2 4 5 3 2 3 2" xfId="45142" xr:uid="{00000000-0005-0000-0000-0000A7050000}"/>
    <cellStyle name="20% - Accent1 2 4 5 3 2 4" xfId="35444" xr:uid="{00000000-0005-0000-0000-0000A8050000}"/>
    <cellStyle name="20% - Accent1 2 4 5 3 3" xfId="18925" xr:uid="{00000000-0005-0000-0000-0000A9050000}"/>
    <cellStyle name="20% - Accent1 2 4 5 3 3 2" xfId="29293" xr:uid="{00000000-0005-0000-0000-0000AA050000}"/>
    <cellStyle name="20% - Accent1 2 4 5 3 3 2 2" xfId="48482" xr:uid="{00000000-0005-0000-0000-0000AB050000}"/>
    <cellStyle name="20% - Accent1 2 4 5 3 3 3" xfId="38784" xr:uid="{00000000-0005-0000-0000-0000AC050000}"/>
    <cellStyle name="20% - Accent1 2 4 5 3 4" xfId="24838" xr:uid="{00000000-0005-0000-0000-0000AD050000}"/>
    <cellStyle name="20% - Accent1 2 4 5 3 4 2" xfId="44027" xr:uid="{00000000-0005-0000-0000-0000AE050000}"/>
    <cellStyle name="20% - Accent1 2 4 5 3 5" xfId="34329" xr:uid="{00000000-0005-0000-0000-0000AF050000}"/>
    <cellStyle name="20% - Accent1 2 4 5 4" xfId="15019" xr:uid="{00000000-0005-0000-0000-0000B0050000}"/>
    <cellStyle name="20% - Accent1 2 4 5 4 2" xfId="19483" xr:uid="{00000000-0005-0000-0000-0000B1050000}"/>
    <cellStyle name="20% - Accent1 2 4 5 4 2 2" xfId="29851" xr:uid="{00000000-0005-0000-0000-0000B2050000}"/>
    <cellStyle name="20% - Accent1 2 4 5 4 2 2 2" xfId="49040" xr:uid="{00000000-0005-0000-0000-0000B3050000}"/>
    <cellStyle name="20% - Accent1 2 4 5 4 2 3" xfId="39342" xr:uid="{00000000-0005-0000-0000-0000B4050000}"/>
    <cellStyle name="20% - Accent1 2 4 5 4 3" xfId="25396" xr:uid="{00000000-0005-0000-0000-0000B5050000}"/>
    <cellStyle name="20% - Accent1 2 4 5 4 3 2" xfId="44585" xr:uid="{00000000-0005-0000-0000-0000B6050000}"/>
    <cellStyle name="20% - Accent1 2 4 5 4 4" xfId="34887" xr:uid="{00000000-0005-0000-0000-0000B7050000}"/>
    <cellStyle name="20% - Accent1 2 4 5 5" xfId="16689" xr:uid="{00000000-0005-0000-0000-0000B8050000}"/>
    <cellStyle name="20% - Accent1 2 4 5 5 2" xfId="21153" xr:uid="{00000000-0005-0000-0000-0000B9050000}"/>
    <cellStyle name="20% - Accent1 2 4 5 5 2 2" xfId="31521" xr:uid="{00000000-0005-0000-0000-0000BA050000}"/>
    <cellStyle name="20% - Accent1 2 4 5 5 2 2 2" xfId="50710" xr:uid="{00000000-0005-0000-0000-0000BB050000}"/>
    <cellStyle name="20% - Accent1 2 4 5 5 2 3" xfId="41012" xr:uid="{00000000-0005-0000-0000-0000BC050000}"/>
    <cellStyle name="20% - Accent1 2 4 5 5 3" xfId="27066" xr:uid="{00000000-0005-0000-0000-0000BD050000}"/>
    <cellStyle name="20% - Accent1 2 4 5 5 3 2" xfId="46255" xr:uid="{00000000-0005-0000-0000-0000BE050000}"/>
    <cellStyle name="20% - Accent1 2 4 5 5 4" xfId="36557" xr:uid="{00000000-0005-0000-0000-0000BF050000}"/>
    <cellStyle name="20% - Accent1 2 4 5 6" xfId="17255" xr:uid="{00000000-0005-0000-0000-0000C0050000}"/>
    <cellStyle name="20% - Accent1 2 4 5 6 2" xfId="21710" xr:uid="{00000000-0005-0000-0000-0000C1050000}"/>
    <cellStyle name="20% - Accent1 2 4 5 6 2 2" xfId="32078" xr:uid="{00000000-0005-0000-0000-0000C2050000}"/>
    <cellStyle name="20% - Accent1 2 4 5 6 2 2 2" xfId="51267" xr:uid="{00000000-0005-0000-0000-0000C3050000}"/>
    <cellStyle name="20% - Accent1 2 4 5 6 2 3" xfId="41569" xr:uid="{00000000-0005-0000-0000-0000C4050000}"/>
    <cellStyle name="20% - Accent1 2 4 5 6 3" xfId="27623" xr:uid="{00000000-0005-0000-0000-0000C5050000}"/>
    <cellStyle name="20% - Accent1 2 4 5 6 3 2" xfId="46812" xr:uid="{00000000-0005-0000-0000-0000C6050000}"/>
    <cellStyle name="20% - Accent1 2 4 5 6 4" xfId="37114" xr:uid="{00000000-0005-0000-0000-0000C7050000}"/>
    <cellStyle name="20% - Accent1 2 4 5 7" xfId="17812" xr:uid="{00000000-0005-0000-0000-0000C8050000}"/>
    <cellStyle name="20% - Accent1 2 4 5 7 2" xfId="28180" xr:uid="{00000000-0005-0000-0000-0000C9050000}"/>
    <cellStyle name="20% - Accent1 2 4 5 7 2 2" xfId="47369" xr:uid="{00000000-0005-0000-0000-0000CA050000}"/>
    <cellStyle name="20% - Accent1 2 4 5 7 3" xfId="37671" xr:uid="{00000000-0005-0000-0000-0000CB050000}"/>
    <cellStyle name="20% - Accent1 2 4 5 8" xfId="23675" xr:uid="{00000000-0005-0000-0000-0000CC050000}"/>
    <cellStyle name="20% - Accent1 2 4 5 8 2" xfId="42914" xr:uid="{00000000-0005-0000-0000-0000CD050000}"/>
    <cellStyle name="20% - Accent1 2 4 5 9" xfId="33216" xr:uid="{00000000-0005-0000-0000-0000CE050000}"/>
    <cellStyle name="20% - Accent1 2 4 6" xfId="12235" xr:uid="{00000000-0005-0000-0000-0000CF050000}"/>
    <cellStyle name="20% - Accent1 2 4 7" xfId="52561" xr:uid="{00000000-0005-0000-0000-0000D0050000}"/>
    <cellStyle name="20% - Accent1 2 4 8" xfId="11988" xr:uid="{00000000-0005-0000-0000-0000D1050000}"/>
    <cellStyle name="20% - Accent1 2 5" xfId="1585" xr:uid="{00000000-0005-0000-0000-0000D2050000}"/>
    <cellStyle name="20% - Accent1 2 5 2" xfId="12913" xr:uid="{00000000-0005-0000-0000-0000D3050000}"/>
    <cellStyle name="20% - Accent1 2 5 2 10" xfId="23676" xr:uid="{00000000-0005-0000-0000-0000D4050000}"/>
    <cellStyle name="20% - Accent1 2 5 2 10 2" xfId="42915" xr:uid="{00000000-0005-0000-0000-0000D5050000}"/>
    <cellStyle name="20% - Accent1 2 5 2 11" xfId="33217" xr:uid="{00000000-0005-0000-0000-0000D6050000}"/>
    <cellStyle name="20% - Accent1 2 5 2 12" xfId="52795" xr:uid="{00000000-0005-0000-0000-0000D7050000}"/>
    <cellStyle name="20% - Accent1 2 5 2 2" xfId="12914" xr:uid="{00000000-0005-0000-0000-0000D8050000}"/>
    <cellStyle name="20% - Accent1 2 5 2 2 10" xfId="53223" xr:uid="{00000000-0005-0000-0000-0000D9050000}"/>
    <cellStyle name="20% - Accent1 2 5 2 2 2" xfId="13870" xr:uid="{00000000-0005-0000-0000-0000DA050000}"/>
    <cellStyle name="20% - Accent1 2 5 2 2 2 2" xfId="16134" xr:uid="{00000000-0005-0000-0000-0000DB050000}"/>
    <cellStyle name="20% - Accent1 2 5 2 2 2 2 2" xfId="20598" xr:uid="{00000000-0005-0000-0000-0000DC050000}"/>
    <cellStyle name="20% - Accent1 2 5 2 2 2 2 2 2" xfId="30966" xr:uid="{00000000-0005-0000-0000-0000DD050000}"/>
    <cellStyle name="20% - Accent1 2 5 2 2 2 2 2 2 2" xfId="50155" xr:uid="{00000000-0005-0000-0000-0000DE050000}"/>
    <cellStyle name="20% - Accent1 2 5 2 2 2 2 2 3" xfId="40457" xr:uid="{00000000-0005-0000-0000-0000DF050000}"/>
    <cellStyle name="20% - Accent1 2 5 2 2 2 2 3" xfId="26511" xr:uid="{00000000-0005-0000-0000-0000E0050000}"/>
    <cellStyle name="20% - Accent1 2 5 2 2 2 2 3 2" xfId="45700" xr:uid="{00000000-0005-0000-0000-0000E1050000}"/>
    <cellStyle name="20% - Accent1 2 5 2 2 2 2 4" xfId="36002" xr:uid="{00000000-0005-0000-0000-0000E2050000}"/>
    <cellStyle name="20% - Accent1 2 5 2 2 2 3" xfId="18370" xr:uid="{00000000-0005-0000-0000-0000E3050000}"/>
    <cellStyle name="20% - Accent1 2 5 2 2 2 3 2" xfId="28738" xr:uid="{00000000-0005-0000-0000-0000E4050000}"/>
    <cellStyle name="20% - Accent1 2 5 2 2 2 3 2 2" xfId="47927" xr:uid="{00000000-0005-0000-0000-0000E5050000}"/>
    <cellStyle name="20% - Accent1 2 5 2 2 2 3 3" xfId="38229" xr:uid="{00000000-0005-0000-0000-0000E6050000}"/>
    <cellStyle name="20% - Accent1 2 5 2 2 2 4" xfId="24278" xr:uid="{00000000-0005-0000-0000-0000E7050000}"/>
    <cellStyle name="20% - Accent1 2 5 2 2 2 4 2" xfId="43472" xr:uid="{00000000-0005-0000-0000-0000E8050000}"/>
    <cellStyle name="20% - Accent1 2 5 2 2 2 5" xfId="33774" xr:uid="{00000000-0005-0000-0000-0000E9050000}"/>
    <cellStyle name="20% - Accent1 2 5 2 2 2 6" xfId="54076" xr:uid="{00000000-0005-0000-0000-0000EA050000}"/>
    <cellStyle name="20% - Accent1 2 5 2 2 3" xfId="14449" xr:uid="{00000000-0005-0000-0000-0000EB050000}"/>
    <cellStyle name="20% - Accent1 2 5 2 2 3 2" xfId="15578" xr:uid="{00000000-0005-0000-0000-0000EC050000}"/>
    <cellStyle name="20% - Accent1 2 5 2 2 3 2 2" xfId="20042" xr:uid="{00000000-0005-0000-0000-0000ED050000}"/>
    <cellStyle name="20% - Accent1 2 5 2 2 3 2 2 2" xfId="30410" xr:uid="{00000000-0005-0000-0000-0000EE050000}"/>
    <cellStyle name="20% - Accent1 2 5 2 2 3 2 2 2 2" xfId="49599" xr:uid="{00000000-0005-0000-0000-0000EF050000}"/>
    <cellStyle name="20% - Accent1 2 5 2 2 3 2 2 3" xfId="39901" xr:uid="{00000000-0005-0000-0000-0000F0050000}"/>
    <cellStyle name="20% - Accent1 2 5 2 2 3 2 3" xfId="25955" xr:uid="{00000000-0005-0000-0000-0000F1050000}"/>
    <cellStyle name="20% - Accent1 2 5 2 2 3 2 3 2" xfId="45144" xr:uid="{00000000-0005-0000-0000-0000F2050000}"/>
    <cellStyle name="20% - Accent1 2 5 2 2 3 2 4" xfId="35446" xr:uid="{00000000-0005-0000-0000-0000F3050000}"/>
    <cellStyle name="20% - Accent1 2 5 2 2 3 3" xfId="18927" xr:uid="{00000000-0005-0000-0000-0000F4050000}"/>
    <cellStyle name="20% - Accent1 2 5 2 2 3 3 2" xfId="29295" xr:uid="{00000000-0005-0000-0000-0000F5050000}"/>
    <cellStyle name="20% - Accent1 2 5 2 2 3 3 2 2" xfId="48484" xr:uid="{00000000-0005-0000-0000-0000F6050000}"/>
    <cellStyle name="20% - Accent1 2 5 2 2 3 3 3" xfId="38786" xr:uid="{00000000-0005-0000-0000-0000F7050000}"/>
    <cellStyle name="20% - Accent1 2 5 2 2 3 4" xfId="24840" xr:uid="{00000000-0005-0000-0000-0000F8050000}"/>
    <cellStyle name="20% - Accent1 2 5 2 2 3 4 2" xfId="44029" xr:uid="{00000000-0005-0000-0000-0000F9050000}"/>
    <cellStyle name="20% - Accent1 2 5 2 2 3 5" xfId="34331" xr:uid="{00000000-0005-0000-0000-0000FA050000}"/>
    <cellStyle name="20% - Accent1 2 5 2 2 4" xfId="15021" xr:uid="{00000000-0005-0000-0000-0000FB050000}"/>
    <cellStyle name="20% - Accent1 2 5 2 2 4 2" xfId="19485" xr:uid="{00000000-0005-0000-0000-0000FC050000}"/>
    <cellStyle name="20% - Accent1 2 5 2 2 4 2 2" xfId="29853" xr:uid="{00000000-0005-0000-0000-0000FD050000}"/>
    <cellStyle name="20% - Accent1 2 5 2 2 4 2 2 2" xfId="49042" xr:uid="{00000000-0005-0000-0000-0000FE050000}"/>
    <cellStyle name="20% - Accent1 2 5 2 2 4 2 3" xfId="39344" xr:uid="{00000000-0005-0000-0000-0000FF050000}"/>
    <cellStyle name="20% - Accent1 2 5 2 2 4 3" xfId="25398" xr:uid="{00000000-0005-0000-0000-000000060000}"/>
    <cellStyle name="20% - Accent1 2 5 2 2 4 3 2" xfId="44587" xr:uid="{00000000-0005-0000-0000-000001060000}"/>
    <cellStyle name="20% - Accent1 2 5 2 2 4 4" xfId="34889" xr:uid="{00000000-0005-0000-0000-000002060000}"/>
    <cellStyle name="20% - Accent1 2 5 2 2 5" xfId="16691" xr:uid="{00000000-0005-0000-0000-000003060000}"/>
    <cellStyle name="20% - Accent1 2 5 2 2 5 2" xfId="21155" xr:uid="{00000000-0005-0000-0000-000004060000}"/>
    <cellStyle name="20% - Accent1 2 5 2 2 5 2 2" xfId="31523" xr:uid="{00000000-0005-0000-0000-000005060000}"/>
    <cellStyle name="20% - Accent1 2 5 2 2 5 2 2 2" xfId="50712" xr:uid="{00000000-0005-0000-0000-000006060000}"/>
    <cellStyle name="20% - Accent1 2 5 2 2 5 2 3" xfId="41014" xr:uid="{00000000-0005-0000-0000-000007060000}"/>
    <cellStyle name="20% - Accent1 2 5 2 2 5 3" xfId="27068" xr:uid="{00000000-0005-0000-0000-000008060000}"/>
    <cellStyle name="20% - Accent1 2 5 2 2 5 3 2" xfId="46257" xr:uid="{00000000-0005-0000-0000-000009060000}"/>
    <cellStyle name="20% - Accent1 2 5 2 2 5 4" xfId="36559" xr:uid="{00000000-0005-0000-0000-00000A060000}"/>
    <cellStyle name="20% - Accent1 2 5 2 2 6" xfId="17257" xr:uid="{00000000-0005-0000-0000-00000B060000}"/>
    <cellStyle name="20% - Accent1 2 5 2 2 6 2" xfId="21712" xr:uid="{00000000-0005-0000-0000-00000C060000}"/>
    <cellStyle name="20% - Accent1 2 5 2 2 6 2 2" xfId="32080" xr:uid="{00000000-0005-0000-0000-00000D060000}"/>
    <cellStyle name="20% - Accent1 2 5 2 2 6 2 2 2" xfId="51269" xr:uid="{00000000-0005-0000-0000-00000E060000}"/>
    <cellStyle name="20% - Accent1 2 5 2 2 6 2 3" xfId="41571" xr:uid="{00000000-0005-0000-0000-00000F060000}"/>
    <cellStyle name="20% - Accent1 2 5 2 2 6 3" xfId="27625" xr:uid="{00000000-0005-0000-0000-000010060000}"/>
    <cellStyle name="20% - Accent1 2 5 2 2 6 3 2" xfId="46814" xr:uid="{00000000-0005-0000-0000-000011060000}"/>
    <cellStyle name="20% - Accent1 2 5 2 2 6 4" xfId="37116" xr:uid="{00000000-0005-0000-0000-000012060000}"/>
    <cellStyle name="20% - Accent1 2 5 2 2 7" xfId="17814" xr:uid="{00000000-0005-0000-0000-000013060000}"/>
    <cellStyle name="20% - Accent1 2 5 2 2 7 2" xfId="28182" xr:uid="{00000000-0005-0000-0000-000014060000}"/>
    <cellStyle name="20% - Accent1 2 5 2 2 7 2 2" xfId="47371" xr:uid="{00000000-0005-0000-0000-000015060000}"/>
    <cellStyle name="20% - Accent1 2 5 2 2 7 3" xfId="37673" xr:uid="{00000000-0005-0000-0000-000016060000}"/>
    <cellStyle name="20% - Accent1 2 5 2 2 8" xfId="23677" xr:uid="{00000000-0005-0000-0000-000017060000}"/>
    <cellStyle name="20% - Accent1 2 5 2 2 8 2" xfId="42916" xr:uid="{00000000-0005-0000-0000-000018060000}"/>
    <cellStyle name="20% - Accent1 2 5 2 2 9" xfId="33218" xr:uid="{00000000-0005-0000-0000-000019060000}"/>
    <cellStyle name="20% - Accent1 2 5 2 3" xfId="12915" xr:uid="{00000000-0005-0000-0000-00001A060000}"/>
    <cellStyle name="20% - Accent1 2 5 2 3 10" xfId="53680" xr:uid="{00000000-0005-0000-0000-00001B060000}"/>
    <cellStyle name="20% - Accent1 2 5 2 3 2" xfId="13871" xr:uid="{00000000-0005-0000-0000-00001C060000}"/>
    <cellStyle name="20% - Accent1 2 5 2 3 2 2" xfId="16135" xr:uid="{00000000-0005-0000-0000-00001D060000}"/>
    <cellStyle name="20% - Accent1 2 5 2 3 2 2 2" xfId="20599" xr:uid="{00000000-0005-0000-0000-00001E060000}"/>
    <cellStyle name="20% - Accent1 2 5 2 3 2 2 2 2" xfId="30967" xr:uid="{00000000-0005-0000-0000-00001F060000}"/>
    <cellStyle name="20% - Accent1 2 5 2 3 2 2 2 2 2" xfId="50156" xr:uid="{00000000-0005-0000-0000-000020060000}"/>
    <cellStyle name="20% - Accent1 2 5 2 3 2 2 2 3" xfId="40458" xr:uid="{00000000-0005-0000-0000-000021060000}"/>
    <cellStyle name="20% - Accent1 2 5 2 3 2 2 3" xfId="26512" xr:uid="{00000000-0005-0000-0000-000022060000}"/>
    <cellStyle name="20% - Accent1 2 5 2 3 2 2 3 2" xfId="45701" xr:uid="{00000000-0005-0000-0000-000023060000}"/>
    <cellStyle name="20% - Accent1 2 5 2 3 2 2 4" xfId="36003" xr:uid="{00000000-0005-0000-0000-000024060000}"/>
    <cellStyle name="20% - Accent1 2 5 2 3 2 3" xfId="18371" xr:uid="{00000000-0005-0000-0000-000025060000}"/>
    <cellStyle name="20% - Accent1 2 5 2 3 2 3 2" xfId="28739" xr:uid="{00000000-0005-0000-0000-000026060000}"/>
    <cellStyle name="20% - Accent1 2 5 2 3 2 3 2 2" xfId="47928" xr:uid="{00000000-0005-0000-0000-000027060000}"/>
    <cellStyle name="20% - Accent1 2 5 2 3 2 3 3" xfId="38230" xr:uid="{00000000-0005-0000-0000-000028060000}"/>
    <cellStyle name="20% - Accent1 2 5 2 3 2 4" xfId="24279" xr:uid="{00000000-0005-0000-0000-000029060000}"/>
    <cellStyle name="20% - Accent1 2 5 2 3 2 4 2" xfId="43473" xr:uid="{00000000-0005-0000-0000-00002A060000}"/>
    <cellStyle name="20% - Accent1 2 5 2 3 2 5" xfId="33775" xr:uid="{00000000-0005-0000-0000-00002B060000}"/>
    <cellStyle name="20% - Accent1 2 5 2 3 3" xfId="14450" xr:uid="{00000000-0005-0000-0000-00002C060000}"/>
    <cellStyle name="20% - Accent1 2 5 2 3 3 2" xfId="15579" xr:uid="{00000000-0005-0000-0000-00002D060000}"/>
    <cellStyle name="20% - Accent1 2 5 2 3 3 2 2" xfId="20043" xr:uid="{00000000-0005-0000-0000-00002E060000}"/>
    <cellStyle name="20% - Accent1 2 5 2 3 3 2 2 2" xfId="30411" xr:uid="{00000000-0005-0000-0000-00002F060000}"/>
    <cellStyle name="20% - Accent1 2 5 2 3 3 2 2 2 2" xfId="49600" xr:uid="{00000000-0005-0000-0000-000030060000}"/>
    <cellStyle name="20% - Accent1 2 5 2 3 3 2 2 3" xfId="39902" xr:uid="{00000000-0005-0000-0000-000031060000}"/>
    <cellStyle name="20% - Accent1 2 5 2 3 3 2 3" xfId="25956" xr:uid="{00000000-0005-0000-0000-000032060000}"/>
    <cellStyle name="20% - Accent1 2 5 2 3 3 2 3 2" xfId="45145" xr:uid="{00000000-0005-0000-0000-000033060000}"/>
    <cellStyle name="20% - Accent1 2 5 2 3 3 2 4" xfId="35447" xr:uid="{00000000-0005-0000-0000-000034060000}"/>
    <cellStyle name="20% - Accent1 2 5 2 3 3 3" xfId="18928" xr:uid="{00000000-0005-0000-0000-000035060000}"/>
    <cellStyle name="20% - Accent1 2 5 2 3 3 3 2" xfId="29296" xr:uid="{00000000-0005-0000-0000-000036060000}"/>
    <cellStyle name="20% - Accent1 2 5 2 3 3 3 2 2" xfId="48485" xr:uid="{00000000-0005-0000-0000-000037060000}"/>
    <cellStyle name="20% - Accent1 2 5 2 3 3 3 3" xfId="38787" xr:uid="{00000000-0005-0000-0000-000038060000}"/>
    <cellStyle name="20% - Accent1 2 5 2 3 3 4" xfId="24841" xr:uid="{00000000-0005-0000-0000-000039060000}"/>
    <cellStyle name="20% - Accent1 2 5 2 3 3 4 2" xfId="44030" xr:uid="{00000000-0005-0000-0000-00003A060000}"/>
    <cellStyle name="20% - Accent1 2 5 2 3 3 5" xfId="34332" xr:uid="{00000000-0005-0000-0000-00003B060000}"/>
    <cellStyle name="20% - Accent1 2 5 2 3 4" xfId="15022" xr:uid="{00000000-0005-0000-0000-00003C060000}"/>
    <cellStyle name="20% - Accent1 2 5 2 3 4 2" xfId="19486" xr:uid="{00000000-0005-0000-0000-00003D060000}"/>
    <cellStyle name="20% - Accent1 2 5 2 3 4 2 2" xfId="29854" xr:uid="{00000000-0005-0000-0000-00003E060000}"/>
    <cellStyle name="20% - Accent1 2 5 2 3 4 2 2 2" xfId="49043" xr:uid="{00000000-0005-0000-0000-00003F060000}"/>
    <cellStyle name="20% - Accent1 2 5 2 3 4 2 3" xfId="39345" xr:uid="{00000000-0005-0000-0000-000040060000}"/>
    <cellStyle name="20% - Accent1 2 5 2 3 4 3" xfId="25399" xr:uid="{00000000-0005-0000-0000-000041060000}"/>
    <cellStyle name="20% - Accent1 2 5 2 3 4 3 2" xfId="44588" xr:uid="{00000000-0005-0000-0000-000042060000}"/>
    <cellStyle name="20% - Accent1 2 5 2 3 4 4" xfId="34890" xr:uid="{00000000-0005-0000-0000-000043060000}"/>
    <cellStyle name="20% - Accent1 2 5 2 3 5" xfId="16692" xr:uid="{00000000-0005-0000-0000-000044060000}"/>
    <cellStyle name="20% - Accent1 2 5 2 3 5 2" xfId="21156" xr:uid="{00000000-0005-0000-0000-000045060000}"/>
    <cellStyle name="20% - Accent1 2 5 2 3 5 2 2" xfId="31524" xr:uid="{00000000-0005-0000-0000-000046060000}"/>
    <cellStyle name="20% - Accent1 2 5 2 3 5 2 2 2" xfId="50713" xr:uid="{00000000-0005-0000-0000-000047060000}"/>
    <cellStyle name="20% - Accent1 2 5 2 3 5 2 3" xfId="41015" xr:uid="{00000000-0005-0000-0000-000048060000}"/>
    <cellStyle name="20% - Accent1 2 5 2 3 5 3" xfId="27069" xr:uid="{00000000-0005-0000-0000-000049060000}"/>
    <cellStyle name="20% - Accent1 2 5 2 3 5 3 2" xfId="46258" xr:uid="{00000000-0005-0000-0000-00004A060000}"/>
    <cellStyle name="20% - Accent1 2 5 2 3 5 4" xfId="36560" xr:uid="{00000000-0005-0000-0000-00004B060000}"/>
    <cellStyle name="20% - Accent1 2 5 2 3 6" xfId="17258" xr:uid="{00000000-0005-0000-0000-00004C060000}"/>
    <cellStyle name="20% - Accent1 2 5 2 3 6 2" xfId="21713" xr:uid="{00000000-0005-0000-0000-00004D060000}"/>
    <cellStyle name="20% - Accent1 2 5 2 3 6 2 2" xfId="32081" xr:uid="{00000000-0005-0000-0000-00004E060000}"/>
    <cellStyle name="20% - Accent1 2 5 2 3 6 2 2 2" xfId="51270" xr:uid="{00000000-0005-0000-0000-00004F060000}"/>
    <cellStyle name="20% - Accent1 2 5 2 3 6 2 3" xfId="41572" xr:uid="{00000000-0005-0000-0000-000050060000}"/>
    <cellStyle name="20% - Accent1 2 5 2 3 6 3" xfId="27626" xr:uid="{00000000-0005-0000-0000-000051060000}"/>
    <cellStyle name="20% - Accent1 2 5 2 3 6 3 2" xfId="46815" xr:uid="{00000000-0005-0000-0000-000052060000}"/>
    <cellStyle name="20% - Accent1 2 5 2 3 6 4" xfId="37117" xr:uid="{00000000-0005-0000-0000-000053060000}"/>
    <cellStyle name="20% - Accent1 2 5 2 3 7" xfId="17815" xr:uid="{00000000-0005-0000-0000-000054060000}"/>
    <cellStyle name="20% - Accent1 2 5 2 3 7 2" xfId="28183" xr:uid="{00000000-0005-0000-0000-000055060000}"/>
    <cellStyle name="20% - Accent1 2 5 2 3 7 2 2" xfId="47372" xr:uid="{00000000-0005-0000-0000-000056060000}"/>
    <cellStyle name="20% - Accent1 2 5 2 3 7 3" xfId="37674" xr:uid="{00000000-0005-0000-0000-000057060000}"/>
    <cellStyle name="20% - Accent1 2 5 2 3 8" xfId="23678" xr:uid="{00000000-0005-0000-0000-000058060000}"/>
    <cellStyle name="20% - Accent1 2 5 2 3 8 2" xfId="42917" xr:uid="{00000000-0005-0000-0000-000059060000}"/>
    <cellStyle name="20% - Accent1 2 5 2 3 9" xfId="33219" xr:uid="{00000000-0005-0000-0000-00005A060000}"/>
    <cellStyle name="20% - Accent1 2 5 2 4" xfId="13869" xr:uid="{00000000-0005-0000-0000-00005B060000}"/>
    <cellStyle name="20% - Accent1 2 5 2 4 2" xfId="16133" xr:uid="{00000000-0005-0000-0000-00005C060000}"/>
    <cellStyle name="20% - Accent1 2 5 2 4 2 2" xfId="20597" xr:uid="{00000000-0005-0000-0000-00005D060000}"/>
    <cellStyle name="20% - Accent1 2 5 2 4 2 2 2" xfId="30965" xr:uid="{00000000-0005-0000-0000-00005E060000}"/>
    <cellStyle name="20% - Accent1 2 5 2 4 2 2 2 2" xfId="50154" xr:uid="{00000000-0005-0000-0000-00005F060000}"/>
    <cellStyle name="20% - Accent1 2 5 2 4 2 2 3" xfId="40456" xr:uid="{00000000-0005-0000-0000-000060060000}"/>
    <cellStyle name="20% - Accent1 2 5 2 4 2 3" xfId="26510" xr:uid="{00000000-0005-0000-0000-000061060000}"/>
    <cellStyle name="20% - Accent1 2 5 2 4 2 3 2" xfId="45699" xr:uid="{00000000-0005-0000-0000-000062060000}"/>
    <cellStyle name="20% - Accent1 2 5 2 4 2 4" xfId="36001" xr:uid="{00000000-0005-0000-0000-000063060000}"/>
    <cellStyle name="20% - Accent1 2 5 2 4 3" xfId="18369" xr:uid="{00000000-0005-0000-0000-000064060000}"/>
    <cellStyle name="20% - Accent1 2 5 2 4 3 2" xfId="28737" xr:uid="{00000000-0005-0000-0000-000065060000}"/>
    <cellStyle name="20% - Accent1 2 5 2 4 3 2 2" xfId="47926" xr:uid="{00000000-0005-0000-0000-000066060000}"/>
    <cellStyle name="20% - Accent1 2 5 2 4 3 3" xfId="38228" xr:uid="{00000000-0005-0000-0000-000067060000}"/>
    <cellStyle name="20% - Accent1 2 5 2 4 4" xfId="24277" xr:uid="{00000000-0005-0000-0000-000068060000}"/>
    <cellStyle name="20% - Accent1 2 5 2 4 4 2" xfId="43471" xr:uid="{00000000-0005-0000-0000-000069060000}"/>
    <cellStyle name="20% - Accent1 2 5 2 4 5" xfId="33773" xr:uid="{00000000-0005-0000-0000-00006A060000}"/>
    <cellStyle name="20% - Accent1 2 5 2 5" xfId="14448" xr:uid="{00000000-0005-0000-0000-00006B060000}"/>
    <cellStyle name="20% - Accent1 2 5 2 5 2" xfId="15577" xr:uid="{00000000-0005-0000-0000-00006C060000}"/>
    <cellStyle name="20% - Accent1 2 5 2 5 2 2" xfId="20041" xr:uid="{00000000-0005-0000-0000-00006D060000}"/>
    <cellStyle name="20% - Accent1 2 5 2 5 2 2 2" xfId="30409" xr:uid="{00000000-0005-0000-0000-00006E060000}"/>
    <cellStyle name="20% - Accent1 2 5 2 5 2 2 2 2" xfId="49598" xr:uid="{00000000-0005-0000-0000-00006F060000}"/>
    <cellStyle name="20% - Accent1 2 5 2 5 2 2 3" xfId="39900" xr:uid="{00000000-0005-0000-0000-000070060000}"/>
    <cellStyle name="20% - Accent1 2 5 2 5 2 3" xfId="25954" xr:uid="{00000000-0005-0000-0000-000071060000}"/>
    <cellStyle name="20% - Accent1 2 5 2 5 2 3 2" xfId="45143" xr:uid="{00000000-0005-0000-0000-000072060000}"/>
    <cellStyle name="20% - Accent1 2 5 2 5 2 4" xfId="35445" xr:uid="{00000000-0005-0000-0000-000073060000}"/>
    <cellStyle name="20% - Accent1 2 5 2 5 3" xfId="18926" xr:uid="{00000000-0005-0000-0000-000074060000}"/>
    <cellStyle name="20% - Accent1 2 5 2 5 3 2" xfId="29294" xr:uid="{00000000-0005-0000-0000-000075060000}"/>
    <cellStyle name="20% - Accent1 2 5 2 5 3 2 2" xfId="48483" xr:uid="{00000000-0005-0000-0000-000076060000}"/>
    <cellStyle name="20% - Accent1 2 5 2 5 3 3" xfId="38785" xr:uid="{00000000-0005-0000-0000-000077060000}"/>
    <cellStyle name="20% - Accent1 2 5 2 5 4" xfId="24839" xr:uid="{00000000-0005-0000-0000-000078060000}"/>
    <cellStyle name="20% - Accent1 2 5 2 5 4 2" xfId="44028" xr:uid="{00000000-0005-0000-0000-000079060000}"/>
    <cellStyle name="20% - Accent1 2 5 2 5 5" xfId="34330" xr:uid="{00000000-0005-0000-0000-00007A060000}"/>
    <cellStyle name="20% - Accent1 2 5 2 6" xfId="15020" xr:uid="{00000000-0005-0000-0000-00007B060000}"/>
    <cellStyle name="20% - Accent1 2 5 2 6 2" xfId="19484" xr:uid="{00000000-0005-0000-0000-00007C060000}"/>
    <cellStyle name="20% - Accent1 2 5 2 6 2 2" xfId="29852" xr:uid="{00000000-0005-0000-0000-00007D060000}"/>
    <cellStyle name="20% - Accent1 2 5 2 6 2 2 2" xfId="49041" xr:uid="{00000000-0005-0000-0000-00007E060000}"/>
    <cellStyle name="20% - Accent1 2 5 2 6 2 3" xfId="39343" xr:uid="{00000000-0005-0000-0000-00007F060000}"/>
    <cellStyle name="20% - Accent1 2 5 2 6 3" xfId="25397" xr:uid="{00000000-0005-0000-0000-000080060000}"/>
    <cellStyle name="20% - Accent1 2 5 2 6 3 2" xfId="44586" xr:uid="{00000000-0005-0000-0000-000081060000}"/>
    <cellStyle name="20% - Accent1 2 5 2 6 4" xfId="34888" xr:uid="{00000000-0005-0000-0000-000082060000}"/>
    <cellStyle name="20% - Accent1 2 5 2 7" xfId="16690" xr:uid="{00000000-0005-0000-0000-000083060000}"/>
    <cellStyle name="20% - Accent1 2 5 2 7 2" xfId="21154" xr:uid="{00000000-0005-0000-0000-000084060000}"/>
    <cellStyle name="20% - Accent1 2 5 2 7 2 2" xfId="31522" xr:uid="{00000000-0005-0000-0000-000085060000}"/>
    <cellStyle name="20% - Accent1 2 5 2 7 2 2 2" xfId="50711" xr:uid="{00000000-0005-0000-0000-000086060000}"/>
    <cellStyle name="20% - Accent1 2 5 2 7 2 3" xfId="41013" xr:uid="{00000000-0005-0000-0000-000087060000}"/>
    <cellStyle name="20% - Accent1 2 5 2 7 3" xfId="27067" xr:uid="{00000000-0005-0000-0000-000088060000}"/>
    <cellStyle name="20% - Accent1 2 5 2 7 3 2" xfId="46256" xr:uid="{00000000-0005-0000-0000-000089060000}"/>
    <cellStyle name="20% - Accent1 2 5 2 7 4" xfId="36558" xr:uid="{00000000-0005-0000-0000-00008A060000}"/>
    <cellStyle name="20% - Accent1 2 5 2 8" xfId="17256" xr:uid="{00000000-0005-0000-0000-00008B060000}"/>
    <cellStyle name="20% - Accent1 2 5 2 8 2" xfId="21711" xr:uid="{00000000-0005-0000-0000-00008C060000}"/>
    <cellStyle name="20% - Accent1 2 5 2 8 2 2" xfId="32079" xr:uid="{00000000-0005-0000-0000-00008D060000}"/>
    <cellStyle name="20% - Accent1 2 5 2 8 2 2 2" xfId="51268" xr:uid="{00000000-0005-0000-0000-00008E060000}"/>
    <cellStyle name="20% - Accent1 2 5 2 8 2 3" xfId="41570" xr:uid="{00000000-0005-0000-0000-00008F060000}"/>
    <cellStyle name="20% - Accent1 2 5 2 8 3" xfId="27624" xr:uid="{00000000-0005-0000-0000-000090060000}"/>
    <cellStyle name="20% - Accent1 2 5 2 8 3 2" xfId="46813" xr:uid="{00000000-0005-0000-0000-000091060000}"/>
    <cellStyle name="20% - Accent1 2 5 2 8 4" xfId="37115" xr:uid="{00000000-0005-0000-0000-000092060000}"/>
    <cellStyle name="20% - Accent1 2 5 2 9" xfId="17813" xr:uid="{00000000-0005-0000-0000-000093060000}"/>
    <cellStyle name="20% - Accent1 2 5 2 9 2" xfId="28181" xr:uid="{00000000-0005-0000-0000-000094060000}"/>
    <cellStyle name="20% - Accent1 2 5 2 9 2 2" xfId="47370" xr:uid="{00000000-0005-0000-0000-000095060000}"/>
    <cellStyle name="20% - Accent1 2 5 2 9 3" xfId="37672" xr:uid="{00000000-0005-0000-0000-000096060000}"/>
    <cellStyle name="20% - Accent1 2 5 3" xfId="12916" xr:uid="{00000000-0005-0000-0000-000097060000}"/>
    <cellStyle name="20% - Accent1 2 5 3 10" xfId="53005" xr:uid="{00000000-0005-0000-0000-000098060000}"/>
    <cellStyle name="20% - Accent1 2 5 3 2" xfId="13872" xr:uid="{00000000-0005-0000-0000-000099060000}"/>
    <cellStyle name="20% - Accent1 2 5 3 2 2" xfId="16136" xr:uid="{00000000-0005-0000-0000-00009A060000}"/>
    <cellStyle name="20% - Accent1 2 5 3 2 2 2" xfId="20600" xr:uid="{00000000-0005-0000-0000-00009B060000}"/>
    <cellStyle name="20% - Accent1 2 5 3 2 2 2 2" xfId="30968" xr:uid="{00000000-0005-0000-0000-00009C060000}"/>
    <cellStyle name="20% - Accent1 2 5 3 2 2 2 2 2" xfId="50157" xr:uid="{00000000-0005-0000-0000-00009D060000}"/>
    <cellStyle name="20% - Accent1 2 5 3 2 2 2 3" xfId="40459" xr:uid="{00000000-0005-0000-0000-00009E060000}"/>
    <cellStyle name="20% - Accent1 2 5 3 2 2 3" xfId="26513" xr:uid="{00000000-0005-0000-0000-00009F060000}"/>
    <cellStyle name="20% - Accent1 2 5 3 2 2 3 2" xfId="45702" xr:uid="{00000000-0005-0000-0000-0000A0060000}"/>
    <cellStyle name="20% - Accent1 2 5 3 2 2 4" xfId="36004" xr:uid="{00000000-0005-0000-0000-0000A1060000}"/>
    <cellStyle name="20% - Accent1 2 5 3 2 3" xfId="18372" xr:uid="{00000000-0005-0000-0000-0000A2060000}"/>
    <cellStyle name="20% - Accent1 2 5 3 2 3 2" xfId="28740" xr:uid="{00000000-0005-0000-0000-0000A3060000}"/>
    <cellStyle name="20% - Accent1 2 5 3 2 3 2 2" xfId="47929" xr:uid="{00000000-0005-0000-0000-0000A4060000}"/>
    <cellStyle name="20% - Accent1 2 5 3 2 3 3" xfId="38231" xr:uid="{00000000-0005-0000-0000-0000A5060000}"/>
    <cellStyle name="20% - Accent1 2 5 3 2 4" xfId="24280" xr:uid="{00000000-0005-0000-0000-0000A6060000}"/>
    <cellStyle name="20% - Accent1 2 5 3 2 4 2" xfId="43474" xr:uid="{00000000-0005-0000-0000-0000A7060000}"/>
    <cellStyle name="20% - Accent1 2 5 3 2 5" xfId="33776" xr:uid="{00000000-0005-0000-0000-0000A8060000}"/>
    <cellStyle name="20% - Accent1 2 5 3 2 6" xfId="53880" xr:uid="{00000000-0005-0000-0000-0000A9060000}"/>
    <cellStyle name="20% - Accent1 2 5 3 3" xfId="14451" xr:uid="{00000000-0005-0000-0000-0000AA060000}"/>
    <cellStyle name="20% - Accent1 2 5 3 3 2" xfId="15580" xr:uid="{00000000-0005-0000-0000-0000AB060000}"/>
    <cellStyle name="20% - Accent1 2 5 3 3 2 2" xfId="20044" xr:uid="{00000000-0005-0000-0000-0000AC060000}"/>
    <cellStyle name="20% - Accent1 2 5 3 3 2 2 2" xfId="30412" xr:uid="{00000000-0005-0000-0000-0000AD060000}"/>
    <cellStyle name="20% - Accent1 2 5 3 3 2 2 2 2" xfId="49601" xr:uid="{00000000-0005-0000-0000-0000AE060000}"/>
    <cellStyle name="20% - Accent1 2 5 3 3 2 2 3" xfId="39903" xr:uid="{00000000-0005-0000-0000-0000AF060000}"/>
    <cellStyle name="20% - Accent1 2 5 3 3 2 3" xfId="25957" xr:uid="{00000000-0005-0000-0000-0000B0060000}"/>
    <cellStyle name="20% - Accent1 2 5 3 3 2 3 2" xfId="45146" xr:uid="{00000000-0005-0000-0000-0000B1060000}"/>
    <cellStyle name="20% - Accent1 2 5 3 3 2 4" xfId="35448" xr:uid="{00000000-0005-0000-0000-0000B2060000}"/>
    <cellStyle name="20% - Accent1 2 5 3 3 3" xfId="18929" xr:uid="{00000000-0005-0000-0000-0000B3060000}"/>
    <cellStyle name="20% - Accent1 2 5 3 3 3 2" xfId="29297" xr:uid="{00000000-0005-0000-0000-0000B4060000}"/>
    <cellStyle name="20% - Accent1 2 5 3 3 3 2 2" xfId="48486" xr:uid="{00000000-0005-0000-0000-0000B5060000}"/>
    <cellStyle name="20% - Accent1 2 5 3 3 3 3" xfId="38788" xr:uid="{00000000-0005-0000-0000-0000B6060000}"/>
    <cellStyle name="20% - Accent1 2 5 3 3 4" xfId="24842" xr:uid="{00000000-0005-0000-0000-0000B7060000}"/>
    <cellStyle name="20% - Accent1 2 5 3 3 4 2" xfId="44031" xr:uid="{00000000-0005-0000-0000-0000B8060000}"/>
    <cellStyle name="20% - Accent1 2 5 3 3 5" xfId="34333" xr:uid="{00000000-0005-0000-0000-0000B9060000}"/>
    <cellStyle name="20% - Accent1 2 5 3 4" xfId="15023" xr:uid="{00000000-0005-0000-0000-0000BA060000}"/>
    <cellStyle name="20% - Accent1 2 5 3 4 2" xfId="19487" xr:uid="{00000000-0005-0000-0000-0000BB060000}"/>
    <cellStyle name="20% - Accent1 2 5 3 4 2 2" xfId="29855" xr:uid="{00000000-0005-0000-0000-0000BC060000}"/>
    <cellStyle name="20% - Accent1 2 5 3 4 2 2 2" xfId="49044" xr:uid="{00000000-0005-0000-0000-0000BD060000}"/>
    <cellStyle name="20% - Accent1 2 5 3 4 2 3" xfId="39346" xr:uid="{00000000-0005-0000-0000-0000BE060000}"/>
    <cellStyle name="20% - Accent1 2 5 3 4 3" xfId="25400" xr:uid="{00000000-0005-0000-0000-0000BF060000}"/>
    <cellStyle name="20% - Accent1 2 5 3 4 3 2" xfId="44589" xr:uid="{00000000-0005-0000-0000-0000C0060000}"/>
    <cellStyle name="20% - Accent1 2 5 3 4 4" xfId="34891" xr:uid="{00000000-0005-0000-0000-0000C1060000}"/>
    <cellStyle name="20% - Accent1 2 5 3 5" xfId="16693" xr:uid="{00000000-0005-0000-0000-0000C2060000}"/>
    <cellStyle name="20% - Accent1 2 5 3 5 2" xfId="21157" xr:uid="{00000000-0005-0000-0000-0000C3060000}"/>
    <cellStyle name="20% - Accent1 2 5 3 5 2 2" xfId="31525" xr:uid="{00000000-0005-0000-0000-0000C4060000}"/>
    <cellStyle name="20% - Accent1 2 5 3 5 2 2 2" xfId="50714" xr:uid="{00000000-0005-0000-0000-0000C5060000}"/>
    <cellStyle name="20% - Accent1 2 5 3 5 2 3" xfId="41016" xr:uid="{00000000-0005-0000-0000-0000C6060000}"/>
    <cellStyle name="20% - Accent1 2 5 3 5 3" xfId="27070" xr:uid="{00000000-0005-0000-0000-0000C7060000}"/>
    <cellStyle name="20% - Accent1 2 5 3 5 3 2" xfId="46259" xr:uid="{00000000-0005-0000-0000-0000C8060000}"/>
    <cellStyle name="20% - Accent1 2 5 3 5 4" xfId="36561" xr:uid="{00000000-0005-0000-0000-0000C9060000}"/>
    <cellStyle name="20% - Accent1 2 5 3 6" xfId="17259" xr:uid="{00000000-0005-0000-0000-0000CA060000}"/>
    <cellStyle name="20% - Accent1 2 5 3 6 2" xfId="21714" xr:uid="{00000000-0005-0000-0000-0000CB060000}"/>
    <cellStyle name="20% - Accent1 2 5 3 6 2 2" xfId="32082" xr:uid="{00000000-0005-0000-0000-0000CC060000}"/>
    <cellStyle name="20% - Accent1 2 5 3 6 2 2 2" xfId="51271" xr:uid="{00000000-0005-0000-0000-0000CD060000}"/>
    <cellStyle name="20% - Accent1 2 5 3 6 2 3" xfId="41573" xr:uid="{00000000-0005-0000-0000-0000CE060000}"/>
    <cellStyle name="20% - Accent1 2 5 3 6 3" xfId="27627" xr:uid="{00000000-0005-0000-0000-0000CF060000}"/>
    <cellStyle name="20% - Accent1 2 5 3 6 3 2" xfId="46816" xr:uid="{00000000-0005-0000-0000-0000D0060000}"/>
    <cellStyle name="20% - Accent1 2 5 3 6 4" xfId="37118" xr:uid="{00000000-0005-0000-0000-0000D1060000}"/>
    <cellStyle name="20% - Accent1 2 5 3 7" xfId="17816" xr:uid="{00000000-0005-0000-0000-0000D2060000}"/>
    <cellStyle name="20% - Accent1 2 5 3 7 2" xfId="28184" xr:uid="{00000000-0005-0000-0000-0000D3060000}"/>
    <cellStyle name="20% - Accent1 2 5 3 7 2 2" xfId="47373" xr:uid="{00000000-0005-0000-0000-0000D4060000}"/>
    <cellStyle name="20% - Accent1 2 5 3 7 3" xfId="37675" xr:uid="{00000000-0005-0000-0000-0000D5060000}"/>
    <cellStyle name="20% - Accent1 2 5 3 8" xfId="23679" xr:uid="{00000000-0005-0000-0000-0000D6060000}"/>
    <cellStyle name="20% - Accent1 2 5 3 8 2" xfId="42918" xr:uid="{00000000-0005-0000-0000-0000D7060000}"/>
    <cellStyle name="20% - Accent1 2 5 3 9" xfId="33220" xr:uid="{00000000-0005-0000-0000-0000D8060000}"/>
    <cellStyle name="20% - Accent1 2 5 4" xfId="12917" xr:uid="{00000000-0005-0000-0000-0000D9060000}"/>
    <cellStyle name="20% - Accent1 2 5 4 10" xfId="53484" xr:uid="{00000000-0005-0000-0000-0000DA060000}"/>
    <cellStyle name="20% - Accent1 2 5 4 2" xfId="13873" xr:uid="{00000000-0005-0000-0000-0000DB060000}"/>
    <cellStyle name="20% - Accent1 2 5 4 2 2" xfId="16137" xr:uid="{00000000-0005-0000-0000-0000DC060000}"/>
    <cellStyle name="20% - Accent1 2 5 4 2 2 2" xfId="20601" xr:uid="{00000000-0005-0000-0000-0000DD060000}"/>
    <cellStyle name="20% - Accent1 2 5 4 2 2 2 2" xfId="30969" xr:uid="{00000000-0005-0000-0000-0000DE060000}"/>
    <cellStyle name="20% - Accent1 2 5 4 2 2 2 2 2" xfId="50158" xr:uid="{00000000-0005-0000-0000-0000DF060000}"/>
    <cellStyle name="20% - Accent1 2 5 4 2 2 2 3" xfId="40460" xr:uid="{00000000-0005-0000-0000-0000E0060000}"/>
    <cellStyle name="20% - Accent1 2 5 4 2 2 3" xfId="26514" xr:uid="{00000000-0005-0000-0000-0000E1060000}"/>
    <cellStyle name="20% - Accent1 2 5 4 2 2 3 2" xfId="45703" xr:uid="{00000000-0005-0000-0000-0000E2060000}"/>
    <cellStyle name="20% - Accent1 2 5 4 2 2 4" xfId="36005" xr:uid="{00000000-0005-0000-0000-0000E3060000}"/>
    <cellStyle name="20% - Accent1 2 5 4 2 3" xfId="18373" xr:uid="{00000000-0005-0000-0000-0000E4060000}"/>
    <cellStyle name="20% - Accent1 2 5 4 2 3 2" xfId="28741" xr:uid="{00000000-0005-0000-0000-0000E5060000}"/>
    <cellStyle name="20% - Accent1 2 5 4 2 3 2 2" xfId="47930" xr:uid="{00000000-0005-0000-0000-0000E6060000}"/>
    <cellStyle name="20% - Accent1 2 5 4 2 3 3" xfId="38232" xr:uid="{00000000-0005-0000-0000-0000E7060000}"/>
    <cellStyle name="20% - Accent1 2 5 4 2 4" xfId="24281" xr:uid="{00000000-0005-0000-0000-0000E8060000}"/>
    <cellStyle name="20% - Accent1 2 5 4 2 4 2" xfId="43475" xr:uid="{00000000-0005-0000-0000-0000E9060000}"/>
    <cellStyle name="20% - Accent1 2 5 4 2 5" xfId="33777" xr:uid="{00000000-0005-0000-0000-0000EA060000}"/>
    <cellStyle name="20% - Accent1 2 5 4 3" xfId="14452" xr:uid="{00000000-0005-0000-0000-0000EB060000}"/>
    <cellStyle name="20% - Accent1 2 5 4 3 2" xfId="15581" xr:uid="{00000000-0005-0000-0000-0000EC060000}"/>
    <cellStyle name="20% - Accent1 2 5 4 3 2 2" xfId="20045" xr:uid="{00000000-0005-0000-0000-0000ED060000}"/>
    <cellStyle name="20% - Accent1 2 5 4 3 2 2 2" xfId="30413" xr:uid="{00000000-0005-0000-0000-0000EE060000}"/>
    <cellStyle name="20% - Accent1 2 5 4 3 2 2 2 2" xfId="49602" xr:uid="{00000000-0005-0000-0000-0000EF060000}"/>
    <cellStyle name="20% - Accent1 2 5 4 3 2 2 3" xfId="39904" xr:uid="{00000000-0005-0000-0000-0000F0060000}"/>
    <cellStyle name="20% - Accent1 2 5 4 3 2 3" xfId="25958" xr:uid="{00000000-0005-0000-0000-0000F1060000}"/>
    <cellStyle name="20% - Accent1 2 5 4 3 2 3 2" xfId="45147" xr:uid="{00000000-0005-0000-0000-0000F2060000}"/>
    <cellStyle name="20% - Accent1 2 5 4 3 2 4" xfId="35449" xr:uid="{00000000-0005-0000-0000-0000F3060000}"/>
    <cellStyle name="20% - Accent1 2 5 4 3 3" xfId="18930" xr:uid="{00000000-0005-0000-0000-0000F4060000}"/>
    <cellStyle name="20% - Accent1 2 5 4 3 3 2" xfId="29298" xr:uid="{00000000-0005-0000-0000-0000F5060000}"/>
    <cellStyle name="20% - Accent1 2 5 4 3 3 2 2" xfId="48487" xr:uid="{00000000-0005-0000-0000-0000F6060000}"/>
    <cellStyle name="20% - Accent1 2 5 4 3 3 3" xfId="38789" xr:uid="{00000000-0005-0000-0000-0000F7060000}"/>
    <cellStyle name="20% - Accent1 2 5 4 3 4" xfId="24843" xr:uid="{00000000-0005-0000-0000-0000F8060000}"/>
    <cellStyle name="20% - Accent1 2 5 4 3 4 2" xfId="44032" xr:uid="{00000000-0005-0000-0000-0000F9060000}"/>
    <cellStyle name="20% - Accent1 2 5 4 3 5" xfId="34334" xr:uid="{00000000-0005-0000-0000-0000FA060000}"/>
    <cellStyle name="20% - Accent1 2 5 4 4" xfId="15024" xr:uid="{00000000-0005-0000-0000-0000FB060000}"/>
    <cellStyle name="20% - Accent1 2 5 4 4 2" xfId="19488" xr:uid="{00000000-0005-0000-0000-0000FC060000}"/>
    <cellStyle name="20% - Accent1 2 5 4 4 2 2" xfId="29856" xr:uid="{00000000-0005-0000-0000-0000FD060000}"/>
    <cellStyle name="20% - Accent1 2 5 4 4 2 2 2" xfId="49045" xr:uid="{00000000-0005-0000-0000-0000FE060000}"/>
    <cellStyle name="20% - Accent1 2 5 4 4 2 3" xfId="39347" xr:uid="{00000000-0005-0000-0000-0000FF060000}"/>
    <cellStyle name="20% - Accent1 2 5 4 4 3" xfId="25401" xr:uid="{00000000-0005-0000-0000-000000070000}"/>
    <cellStyle name="20% - Accent1 2 5 4 4 3 2" xfId="44590" xr:uid="{00000000-0005-0000-0000-000001070000}"/>
    <cellStyle name="20% - Accent1 2 5 4 4 4" xfId="34892" xr:uid="{00000000-0005-0000-0000-000002070000}"/>
    <cellStyle name="20% - Accent1 2 5 4 5" xfId="16694" xr:uid="{00000000-0005-0000-0000-000003070000}"/>
    <cellStyle name="20% - Accent1 2 5 4 5 2" xfId="21158" xr:uid="{00000000-0005-0000-0000-000004070000}"/>
    <cellStyle name="20% - Accent1 2 5 4 5 2 2" xfId="31526" xr:uid="{00000000-0005-0000-0000-000005070000}"/>
    <cellStyle name="20% - Accent1 2 5 4 5 2 2 2" xfId="50715" xr:uid="{00000000-0005-0000-0000-000006070000}"/>
    <cellStyle name="20% - Accent1 2 5 4 5 2 3" xfId="41017" xr:uid="{00000000-0005-0000-0000-000007070000}"/>
    <cellStyle name="20% - Accent1 2 5 4 5 3" xfId="27071" xr:uid="{00000000-0005-0000-0000-000008070000}"/>
    <cellStyle name="20% - Accent1 2 5 4 5 3 2" xfId="46260" xr:uid="{00000000-0005-0000-0000-000009070000}"/>
    <cellStyle name="20% - Accent1 2 5 4 5 4" xfId="36562" xr:uid="{00000000-0005-0000-0000-00000A070000}"/>
    <cellStyle name="20% - Accent1 2 5 4 6" xfId="17260" xr:uid="{00000000-0005-0000-0000-00000B070000}"/>
    <cellStyle name="20% - Accent1 2 5 4 6 2" xfId="21715" xr:uid="{00000000-0005-0000-0000-00000C070000}"/>
    <cellStyle name="20% - Accent1 2 5 4 6 2 2" xfId="32083" xr:uid="{00000000-0005-0000-0000-00000D070000}"/>
    <cellStyle name="20% - Accent1 2 5 4 6 2 2 2" xfId="51272" xr:uid="{00000000-0005-0000-0000-00000E070000}"/>
    <cellStyle name="20% - Accent1 2 5 4 6 2 3" xfId="41574" xr:uid="{00000000-0005-0000-0000-00000F070000}"/>
    <cellStyle name="20% - Accent1 2 5 4 6 3" xfId="27628" xr:uid="{00000000-0005-0000-0000-000010070000}"/>
    <cellStyle name="20% - Accent1 2 5 4 6 3 2" xfId="46817" xr:uid="{00000000-0005-0000-0000-000011070000}"/>
    <cellStyle name="20% - Accent1 2 5 4 6 4" xfId="37119" xr:uid="{00000000-0005-0000-0000-000012070000}"/>
    <cellStyle name="20% - Accent1 2 5 4 7" xfId="17817" xr:uid="{00000000-0005-0000-0000-000013070000}"/>
    <cellStyle name="20% - Accent1 2 5 4 7 2" xfId="28185" xr:uid="{00000000-0005-0000-0000-000014070000}"/>
    <cellStyle name="20% - Accent1 2 5 4 7 2 2" xfId="47374" xr:uid="{00000000-0005-0000-0000-000015070000}"/>
    <cellStyle name="20% - Accent1 2 5 4 7 3" xfId="37676" xr:uid="{00000000-0005-0000-0000-000016070000}"/>
    <cellStyle name="20% - Accent1 2 5 4 8" xfId="23680" xr:uid="{00000000-0005-0000-0000-000017070000}"/>
    <cellStyle name="20% - Accent1 2 5 4 8 2" xfId="42919" xr:uid="{00000000-0005-0000-0000-000018070000}"/>
    <cellStyle name="20% - Accent1 2 5 4 9" xfId="33221" xr:uid="{00000000-0005-0000-0000-000019070000}"/>
    <cellStyle name="20% - Accent1 2 5 5" xfId="12234" xr:uid="{00000000-0005-0000-0000-00001A070000}"/>
    <cellStyle name="20% - Accent1 2 5 6" xfId="52595" xr:uid="{00000000-0005-0000-0000-00001B070000}"/>
    <cellStyle name="20% - Accent1 2 5 7" xfId="11985" xr:uid="{00000000-0005-0000-0000-00001C070000}"/>
    <cellStyle name="20% - Accent1 2 6" xfId="1586" xr:uid="{00000000-0005-0000-0000-00001D070000}"/>
    <cellStyle name="20% - Accent1 2 6 2" xfId="12918" xr:uid="{00000000-0005-0000-0000-00001E070000}"/>
    <cellStyle name="20% - Accent1 2 6 2 10" xfId="52828" xr:uid="{00000000-0005-0000-0000-00001F070000}"/>
    <cellStyle name="20% - Accent1 2 6 2 2" xfId="13874" xr:uid="{00000000-0005-0000-0000-000020070000}"/>
    <cellStyle name="20% - Accent1 2 6 2 2 2" xfId="16138" xr:uid="{00000000-0005-0000-0000-000021070000}"/>
    <cellStyle name="20% - Accent1 2 6 2 2 2 2" xfId="20602" xr:uid="{00000000-0005-0000-0000-000022070000}"/>
    <cellStyle name="20% - Accent1 2 6 2 2 2 2 2" xfId="30970" xr:uid="{00000000-0005-0000-0000-000023070000}"/>
    <cellStyle name="20% - Accent1 2 6 2 2 2 2 2 2" xfId="50159" xr:uid="{00000000-0005-0000-0000-000024070000}"/>
    <cellStyle name="20% - Accent1 2 6 2 2 2 2 3" xfId="40461" xr:uid="{00000000-0005-0000-0000-000025070000}"/>
    <cellStyle name="20% - Accent1 2 6 2 2 2 3" xfId="26515" xr:uid="{00000000-0005-0000-0000-000026070000}"/>
    <cellStyle name="20% - Accent1 2 6 2 2 2 3 2" xfId="45704" xr:uid="{00000000-0005-0000-0000-000027070000}"/>
    <cellStyle name="20% - Accent1 2 6 2 2 2 4" xfId="36006" xr:uid="{00000000-0005-0000-0000-000028070000}"/>
    <cellStyle name="20% - Accent1 2 6 2 2 2 5" xfId="54109" xr:uid="{00000000-0005-0000-0000-000029070000}"/>
    <cellStyle name="20% - Accent1 2 6 2 2 3" xfId="18374" xr:uid="{00000000-0005-0000-0000-00002A070000}"/>
    <cellStyle name="20% - Accent1 2 6 2 2 3 2" xfId="28742" xr:uid="{00000000-0005-0000-0000-00002B070000}"/>
    <cellStyle name="20% - Accent1 2 6 2 2 3 2 2" xfId="47931" xr:uid="{00000000-0005-0000-0000-00002C070000}"/>
    <cellStyle name="20% - Accent1 2 6 2 2 3 3" xfId="38233" xr:uid="{00000000-0005-0000-0000-00002D070000}"/>
    <cellStyle name="20% - Accent1 2 6 2 2 4" xfId="24282" xr:uid="{00000000-0005-0000-0000-00002E070000}"/>
    <cellStyle name="20% - Accent1 2 6 2 2 4 2" xfId="43476" xr:uid="{00000000-0005-0000-0000-00002F070000}"/>
    <cellStyle name="20% - Accent1 2 6 2 2 5" xfId="33778" xr:uid="{00000000-0005-0000-0000-000030070000}"/>
    <cellStyle name="20% - Accent1 2 6 2 2 6" xfId="53256" xr:uid="{00000000-0005-0000-0000-000031070000}"/>
    <cellStyle name="20% - Accent1 2 6 2 3" xfId="14453" xr:uid="{00000000-0005-0000-0000-000032070000}"/>
    <cellStyle name="20% - Accent1 2 6 2 3 2" xfId="15582" xr:uid="{00000000-0005-0000-0000-000033070000}"/>
    <cellStyle name="20% - Accent1 2 6 2 3 2 2" xfId="20046" xr:uid="{00000000-0005-0000-0000-000034070000}"/>
    <cellStyle name="20% - Accent1 2 6 2 3 2 2 2" xfId="30414" xr:uid="{00000000-0005-0000-0000-000035070000}"/>
    <cellStyle name="20% - Accent1 2 6 2 3 2 2 2 2" xfId="49603" xr:uid="{00000000-0005-0000-0000-000036070000}"/>
    <cellStyle name="20% - Accent1 2 6 2 3 2 2 3" xfId="39905" xr:uid="{00000000-0005-0000-0000-000037070000}"/>
    <cellStyle name="20% - Accent1 2 6 2 3 2 3" xfId="25959" xr:uid="{00000000-0005-0000-0000-000038070000}"/>
    <cellStyle name="20% - Accent1 2 6 2 3 2 3 2" xfId="45148" xr:uid="{00000000-0005-0000-0000-000039070000}"/>
    <cellStyle name="20% - Accent1 2 6 2 3 2 4" xfId="35450" xr:uid="{00000000-0005-0000-0000-00003A070000}"/>
    <cellStyle name="20% - Accent1 2 6 2 3 3" xfId="18931" xr:uid="{00000000-0005-0000-0000-00003B070000}"/>
    <cellStyle name="20% - Accent1 2 6 2 3 3 2" xfId="29299" xr:uid="{00000000-0005-0000-0000-00003C070000}"/>
    <cellStyle name="20% - Accent1 2 6 2 3 3 2 2" xfId="48488" xr:uid="{00000000-0005-0000-0000-00003D070000}"/>
    <cellStyle name="20% - Accent1 2 6 2 3 3 3" xfId="38790" xr:uid="{00000000-0005-0000-0000-00003E070000}"/>
    <cellStyle name="20% - Accent1 2 6 2 3 4" xfId="24844" xr:uid="{00000000-0005-0000-0000-00003F070000}"/>
    <cellStyle name="20% - Accent1 2 6 2 3 4 2" xfId="44033" xr:uid="{00000000-0005-0000-0000-000040070000}"/>
    <cellStyle name="20% - Accent1 2 6 2 3 5" xfId="34335" xr:uid="{00000000-0005-0000-0000-000041070000}"/>
    <cellStyle name="20% - Accent1 2 6 2 3 6" xfId="53713" xr:uid="{00000000-0005-0000-0000-000042070000}"/>
    <cellStyle name="20% - Accent1 2 6 2 4" xfId="15025" xr:uid="{00000000-0005-0000-0000-000043070000}"/>
    <cellStyle name="20% - Accent1 2 6 2 4 2" xfId="19489" xr:uid="{00000000-0005-0000-0000-000044070000}"/>
    <cellStyle name="20% - Accent1 2 6 2 4 2 2" xfId="29857" xr:uid="{00000000-0005-0000-0000-000045070000}"/>
    <cellStyle name="20% - Accent1 2 6 2 4 2 2 2" xfId="49046" xr:uid="{00000000-0005-0000-0000-000046070000}"/>
    <cellStyle name="20% - Accent1 2 6 2 4 2 3" xfId="39348" xr:uid="{00000000-0005-0000-0000-000047070000}"/>
    <cellStyle name="20% - Accent1 2 6 2 4 3" xfId="25402" xr:uid="{00000000-0005-0000-0000-000048070000}"/>
    <cellStyle name="20% - Accent1 2 6 2 4 3 2" xfId="44591" xr:uid="{00000000-0005-0000-0000-000049070000}"/>
    <cellStyle name="20% - Accent1 2 6 2 4 4" xfId="34893" xr:uid="{00000000-0005-0000-0000-00004A070000}"/>
    <cellStyle name="20% - Accent1 2 6 2 5" xfId="16695" xr:uid="{00000000-0005-0000-0000-00004B070000}"/>
    <cellStyle name="20% - Accent1 2 6 2 5 2" xfId="21159" xr:uid="{00000000-0005-0000-0000-00004C070000}"/>
    <cellStyle name="20% - Accent1 2 6 2 5 2 2" xfId="31527" xr:uid="{00000000-0005-0000-0000-00004D070000}"/>
    <cellStyle name="20% - Accent1 2 6 2 5 2 2 2" xfId="50716" xr:uid="{00000000-0005-0000-0000-00004E070000}"/>
    <cellStyle name="20% - Accent1 2 6 2 5 2 3" xfId="41018" xr:uid="{00000000-0005-0000-0000-00004F070000}"/>
    <cellStyle name="20% - Accent1 2 6 2 5 3" xfId="27072" xr:uid="{00000000-0005-0000-0000-000050070000}"/>
    <cellStyle name="20% - Accent1 2 6 2 5 3 2" xfId="46261" xr:uid="{00000000-0005-0000-0000-000051070000}"/>
    <cellStyle name="20% - Accent1 2 6 2 5 4" xfId="36563" xr:uid="{00000000-0005-0000-0000-000052070000}"/>
    <cellStyle name="20% - Accent1 2 6 2 6" xfId="17261" xr:uid="{00000000-0005-0000-0000-000053070000}"/>
    <cellStyle name="20% - Accent1 2 6 2 6 2" xfId="21716" xr:uid="{00000000-0005-0000-0000-000054070000}"/>
    <cellStyle name="20% - Accent1 2 6 2 6 2 2" xfId="32084" xr:uid="{00000000-0005-0000-0000-000055070000}"/>
    <cellStyle name="20% - Accent1 2 6 2 6 2 2 2" xfId="51273" xr:uid="{00000000-0005-0000-0000-000056070000}"/>
    <cellStyle name="20% - Accent1 2 6 2 6 2 3" xfId="41575" xr:uid="{00000000-0005-0000-0000-000057070000}"/>
    <cellStyle name="20% - Accent1 2 6 2 6 3" xfId="27629" xr:uid="{00000000-0005-0000-0000-000058070000}"/>
    <cellStyle name="20% - Accent1 2 6 2 6 3 2" xfId="46818" xr:uid="{00000000-0005-0000-0000-000059070000}"/>
    <cellStyle name="20% - Accent1 2 6 2 6 4" xfId="37120" xr:uid="{00000000-0005-0000-0000-00005A070000}"/>
    <cellStyle name="20% - Accent1 2 6 2 7" xfId="17818" xr:uid="{00000000-0005-0000-0000-00005B070000}"/>
    <cellStyle name="20% - Accent1 2 6 2 7 2" xfId="28186" xr:uid="{00000000-0005-0000-0000-00005C070000}"/>
    <cellStyle name="20% - Accent1 2 6 2 7 2 2" xfId="47375" xr:uid="{00000000-0005-0000-0000-00005D070000}"/>
    <cellStyle name="20% - Accent1 2 6 2 7 3" xfId="37677" xr:uid="{00000000-0005-0000-0000-00005E070000}"/>
    <cellStyle name="20% - Accent1 2 6 2 8" xfId="23681" xr:uid="{00000000-0005-0000-0000-00005F070000}"/>
    <cellStyle name="20% - Accent1 2 6 2 8 2" xfId="42920" xr:uid="{00000000-0005-0000-0000-000060070000}"/>
    <cellStyle name="20% - Accent1 2 6 2 9" xfId="33222" xr:uid="{00000000-0005-0000-0000-000061070000}"/>
    <cellStyle name="20% - Accent1 2 6 3" xfId="12919" xr:uid="{00000000-0005-0000-0000-000062070000}"/>
    <cellStyle name="20% - Accent1 2 6 3 10" xfId="53038" xr:uid="{00000000-0005-0000-0000-000063070000}"/>
    <cellStyle name="20% - Accent1 2 6 3 2" xfId="13875" xr:uid="{00000000-0005-0000-0000-000064070000}"/>
    <cellStyle name="20% - Accent1 2 6 3 2 2" xfId="16139" xr:uid="{00000000-0005-0000-0000-000065070000}"/>
    <cellStyle name="20% - Accent1 2 6 3 2 2 2" xfId="20603" xr:uid="{00000000-0005-0000-0000-000066070000}"/>
    <cellStyle name="20% - Accent1 2 6 3 2 2 2 2" xfId="30971" xr:uid="{00000000-0005-0000-0000-000067070000}"/>
    <cellStyle name="20% - Accent1 2 6 3 2 2 2 2 2" xfId="50160" xr:uid="{00000000-0005-0000-0000-000068070000}"/>
    <cellStyle name="20% - Accent1 2 6 3 2 2 2 3" xfId="40462" xr:uid="{00000000-0005-0000-0000-000069070000}"/>
    <cellStyle name="20% - Accent1 2 6 3 2 2 3" xfId="26516" xr:uid="{00000000-0005-0000-0000-00006A070000}"/>
    <cellStyle name="20% - Accent1 2 6 3 2 2 3 2" xfId="45705" xr:uid="{00000000-0005-0000-0000-00006B070000}"/>
    <cellStyle name="20% - Accent1 2 6 3 2 2 4" xfId="36007" xr:uid="{00000000-0005-0000-0000-00006C070000}"/>
    <cellStyle name="20% - Accent1 2 6 3 2 3" xfId="18375" xr:uid="{00000000-0005-0000-0000-00006D070000}"/>
    <cellStyle name="20% - Accent1 2 6 3 2 3 2" xfId="28743" xr:uid="{00000000-0005-0000-0000-00006E070000}"/>
    <cellStyle name="20% - Accent1 2 6 3 2 3 2 2" xfId="47932" xr:uid="{00000000-0005-0000-0000-00006F070000}"/>
    <cellStyle name="20% - Accent1 2 6 3 2 3 3" xfId="38234" xr:uid="{00000000-0005-0000-0000-000070070000}"/>
    <cellStyle name="20% - Accent1 2 6 3 2 4" xfId="24283" xr:uid="{00000000-0005-0000-0000-000071070000}"/>
    <cellStyle name="20% - Accent1 2 6 3 2 4 2" xfId="43477" xr:uid="{00000000-0005-0000-0000-000072070000}"/>
    <cellStyle name="20% - Accent1 2 6 3 2 5" xfId="33779" xr:uid="{00000000-0005-0000-0000-000073070000}"/>
    <cellStyle name="20% - Accent1 2 6 3 2 6" xfId="53913" xr:uid="{00000000-0005-0000-0000-000074070000}"/>
    <cellStyle name="20% - Accent1 2 6 3 3" xfId="14454" xr:uid="{00000000-0005-0000-0000-000075070000}"/>
    <cellStyle name="20% - Accent1 2 6 3 3 2" xfId="15583" xr:uid="{00000000-0005-0000-0000-000076070000}"/>
    <cellStyle name="20% - Accent1 2 6 3 3 2 2" xfId="20047" xr:uid="{00000000-0005-0000-0000-000077070000}"/>
    <cellStyle name="20% - Accent1 2 6 3 3 2 2 2" xfId="30415" xr:uid="{00000000-0005-0000-0000-000078070000}"/>
    <cellStyle name="20% - Accent1 2 6 3 3 2 2 2 2" xfId="49604" xr:uid="{00000000-0005-0000-0000-000079070000}"/>
    <cellStyle name="20% - Accent1 2 6 3 3 2 2 3" xfId="39906" xr:uid="{00000000-0005-0000-0000-00007A070000}"/>
    <cellStyle name="20% - Accent1 2 6 3 3 2 3" xfId="25960" xr:uid="{00000000-0005-0000-0000-00007B070000}"/>
    <cellStyle name="20% - Accent1 2 6 3 3 2 3 2" xfId="45149" xr:uid="{00000000-0005-0000-0000-00007C070000}"/>
    <cellStyle name="20% - Accent1 2 6 3 3 2 4" xfId="35451" xr:uid="{00000000-0005-0000-0000-00007D070000}"/>
    <cellStyle name="20% - Accent1 2 6 3 3 3" xfId="18932" xr:uid="{00000000-0005-0000-0000-00007E070000}"/>
    <cellStyle name="20% - Accent1 2 6 3 3 3 2" xfId="29300" xr:uid="{00000000-0005-0000-0000-00007F070000}"/>
    <cellStyle name="20% - Accent1 2 6 3 3 3 2 2" xfId="48489" xr:uid="{00000000-0005-0000-0000-000080070000}"/>
    <cellStyle name="20% - Accent1 2 6 3 3 3 3" xfId="38791" xr:uid="{00000000-0005-0000-0000-000081070000}"/>
    <cellStyle name="20% - Accent1 2 6 3 3 4" xfId="24845" xr:uid="{00000000-0005-0000-0000-000082070000}"/>
    <cellStyle name="20% - Accent1 2 6 3 3 4 2" xfId="44034" xr:uid="{00000000-0005-0000-0000-000083070000}"/>
    <cellStyle name="20% - Accent1 2 6 3 3 5" xfId="34336" xr:uid="{00000000-0005-0000-0000-000084070000}"/>
    <cellStyle name="20% - Accent1 2 6 3 4" xfId="15026" xr:uid="{00000000-0005-0000-0000-000085070000}"/>
    <cellStyle name="20% - Accent1 2 6 3 4 2" xfId="19490" xr:uid="{00000000-0005-0000-0000-000086070000}"/>
    <cellStyle name="20% - Accent1 2 6 3 4 2 2" xfId="29858" xr:uid="{00000000-0005-0000-0000-000087070000}"/>
    <cellStyle name="20% - Accent1 2 6 3 4 2 2 2" xfId="49047" xr:uid="{00000000-0005-0000-0000-000088070000}"/>
    <cellStyle name="20% - Accent1 2 6 3 4 2 3" xfId="39349" xr:uid="{00000000-0005-0000-0000-000089070000}"/>
    <cellStyle name="20% - Accent1 2 6 3 4 3" xfId="25403" xr:uid="{00000000-0005-0000-0000-00008A070000}"/>
    <cellStyle name="20% - Accent1 2 6 3 4 3 2" xfId="44592" xr:uid="{00000000-0005-0000-0000-00008B070000}"/>
    <cellStyle name="20% - Accent1 2 6 3 4 4" xfId="34894" xr:uid="{00000000-0005-0000-0000-00008C070000}"/>
    <cellStyle name="20% - Accent1 2 6 3 5" xfId="16696" xr:uid="{00000000-0005-0000-0000-00008D070000}"/>
    <cellStyle name="20% - Accent1 2 6 3 5 2" xfId="21160" xr:uid="{00000000-0005-0000-0000-00008E070000}"/>
    <cellStyle name="20% - Accent1 2 6 3 5 2 2" xfId="31528" xr:uid="{00000000-0005-0000-0000-00008F070000}"/>
    <cellStyle name="20% - Accent1 2 6 3 5 2 2 2" xfId="50717" xr:uid="{00000000-0005-0000-0000-000090070000}"/>
    <cellStyle name="20% - Accent1 2 6 3 5 2 3" xfId="41019" xr:uid="{00000000-0005-0000-0000-000091070000}"/>
    <cellStyle name="20% - Accent1 2 6 3 5 3" xfId="27073" xr:uid="{00000000-0005-0000-0000-000092070000}"/>
    <cellStyle name="20% - Accent1 2 6 3 5 3 2" xfId="46262" xr:uid="{00000000-0005-0000-0000-000093070000}"/>
    <cellStyle name="20% - Accent1 2 6 3 5 4" xfId="36564" xr:uid="{00000000-0005-0000-0000-000094070000}"/>
    <cellStyle name="20% - Accent1 2 6 3 6" xfId="17262" xr:uid="{00000000-0005-0000-0000-000095070000}"/>
    <cellStyle name="20% - Accent1 2 6 3 6 2" xfId="21717" xr:uid="{00000000-0005-0000-0000-000096070000}"/>
    <cellStyle name="20% - Accent1 2 6 3 6 2 2" xfId="32085" xr:uid="{00000000-0005-0000-0000-000097070000}"/>
    <cellStyle name="20% - Accent1 2 6 3 6 2 2 2" xfId="51274" xr:uid="{00000000-0005-0000-0000-000098070000}"/>
    <cellStyle name="20% - Accent1 2 6 3 6 2 3" xfId="41576" xr:uid="{00000000-0005-0000-0000-000099070000}"/>
    <cellStyle name="20% - Accent1 2 6 3 6 3" xfId="27630" xr:uid="{00000000-0005-0000-0000-00009A070000}"/>
    <cellStyle name="20% - Accent1 2 6 3 6 3 2" xfId="46819" xr:uid="{00000000-0005-0000-0000-00009B070000}"/>
    <cellStyle name="20% - Accent1 2 6 3 6 4" xfId="37121" xr:uid="{00000000-0005-0000-0000-00009C070000}"/>
    <cellStyle name="20% - Accent1 2 6 3 7" xfId="17819" xr:uid="{00000000-0005-0000-0000-00009D070000}"/>
    <cellStyle name="20% - Accent1 2 6 3 7 2" xfId="28187" xr:uid="{00000000-0005-0000-0000-00009E070000}"/>
    <cellStyle name="20% - Accent1 2 6 3 7 2 2" xfId="47376" xr:uid="{00000000-0005-0000-0000-00009F070000}"/>
    <cellStyle name="20% - Accent1 2 6 3 7 3" xfId="37678" xr:uid="{00000000-0005-0000-0000-0000A0070000}"/>
    <cellStyle name="20% - Accent1 2 6 3 8" xfId="23682" xr:uid="{00000000-0005-0000-0000-0000A1070000}"/>
    <cellStyle name="20% - Accent1 2 6 3 8 2" xfId="42921" xr:uid="{00000000-0005-0000-0000-0000A2070000}"/>
    <cellStyle name="20% - Accent1 2 6 3 9" xfId="33223" xr:uid="{00000000-0005-0000-0000-0000A3070000}"/>
    <cellStyle name="20% - Accent1 2 6 4" xfId="53517" xr:uid="{00000000-0005-0000-0000-0000A4070000}"/>
    <cellStyle name="20% - Accent1 2 6 5" xfId="52632" xr:uid="{00000000-0005-0000-0000-0000A5070000}"/>
    <cellStyle name="20% - Accent1 2 6 6" xfId="12233" xr:uid="{00000000-0005-0000-0000-0000A6070000}"/>
    <cellStyle name="20% - Accent1 2 7" xfId="1587" xr:uid="{00000000-0005-0000-0000-0000A7070000}"/>
    <cellStyle name="20% - Accent1 2 7 10" xfId="52659" xr:uid="{00000000-0005-0000-0000-0000A8070000}"/>
    <cellStyle name="20% - Accent1 2 7 11" xfId="12682" xr:uid="{00000000-0005-0000-0000-0000A9070000}"/>
    <cellStyle name="20% - Accent1 2 7 2" xfId="13803" xr:uid="{00000000-0005-0000-0000-0000AA070000}"/>
    <cellStyle name="20% - Accent1 2 7 2 2" xfId="16067" xr:uid="{00000000-0005-0000-0000-0000AB070000}"/>
    <cellStyle name="20% - Accent1 2 7 2 2 2" xfId="20531" xr:uid="{00000000-0005-0000-0000-0000AC070000}"/>
    <cellStyle name="20% - Accent1 2 7 2 2 2 2" xfId="30899" xr:uid="{00000000-0005-0000-0000-0000AD070000}"/>
    <cellStyle name="20% - Accent1 2 7 2 2 2 2 2" xfId="50088" xr:uid="{00000000-0005-0000-0000-0000AE070000}"/>
    <cellStyle name="20% - Accent1 2 7 2 2 2 3" xfId="40390" xr:uid="{00000000-0005-0000-0000-0000AF070000}"/>
    <cellStyle name="20% - Accent1 2 7 2 2 3" xfId="26444" xr:uid="{00000000-0005-0000-0000-0000B0070000}"/>
    <cellStyle name="20% - Accent1 2 7 2 2 3 2" xfId="45633" xr:uid="{00000000-0005-0000-0000-0000B1070000}"/>
    <cellStyle name="20% - Accent1 2 7 2 2 4" xfId="35935" xr:uid="{00000000-0005-0000-0000-0000B2070000}"/>
    <cellStyle name="20% - Accent1 2 7 2 2 5" xfId="53940" xr:uid="{00000000-0005-0000-0000-0000B3070000}"/>
    <cellStyle name="20% - Accent1 2 7 2 3" xfId="18303" xr:uid="{00000000-0005-0000-0000-0000B4070000}"/>
    <cellStyle name="20% - Accent1 2 7 2 3 2" xfId="28671" xr:uid="{00000000-0005-0000-0000-0000B5070000}"/>
    <cellStyle name="20% - Accent1 2 7 2 3 2 2" xfId="47860" xr:uid="{00000000-0005-0000-0000-0000B6070000}"/>
    <cellStyle name="20% - Accent1 2 7 2 3 3" xfId="38162" xr:uid="{00000000-0005-0000-0000-0000B7070000}"/>
    <cellStyle name="20% - Accent1 2 7 2 4" xfId="24211" xr:uid="{00000000-0005-0000-0000-0000B8070000}"/>
    <cellStyle name="20% - Accent1 2 7 2 4 2" xfId="43405" xr:uid="{00000000-0005-0000-0000-0000B9070000}"/>
    <cellStyle name="20% - Accent1 2 7 2 5" xfId="33707" xr:uid="{00000000-0005-0000-0000-0000BA070000}"/>
    <cellStyle name="20% - Accent1 2 7 2 6" xfId="53087" xr:uid="{00000000-0005-0000-0000-0000BB070000}"/>
    <cellStyle name="20% - Accent1 2 7 3" xfId="14382" xr:uid="{00000000-0005-0000-0000-0000BC070000}"/>
    <cellStyle name="20% - Accent1 2 7 3 2" xfId="15511" xr:uid="{00000000-0005-0000-0000-0000BD070000}"/>
    <cellStyle name="20% - Accent1 2 7 3 2 2" xfId="19975" xr:uid="{00000000-0005-0000-0000-0000BE070000}"/>
    <cellStyle name="20% - Accent1 2 7 3 2 2 2" xfId="30343" xr:uid="{00000000-0005-0000-0000-0000BF070000}"/>
    <cellStyle name="20% - Accent1 2 7 3 2 2 2 2" xfId="49532" xr:uid="{00000000-0005-0000-0000-0000C0070000}"/>
    <cellStyle name="20% - Accent1 2 7 3 2 2 3" xfId="39834" xr:uid="{00000000-0005-0000-0000-0000C1070000}"/>
    <cellStyle name="20% - Accent1 2 7 3 2 3" xfId="25888" xr:uid="{00000000-0005-0000-0000-0000C2070000}"/>
    <cellStyle name="20% - Accent1 2 7 3 2 3 2" xfId="45077" xr:uid="{00000000-0005-0000-0000-0000C3070000}"/>
    <cellStyle name="20% - Accent1 2 7 3 2 4" xfId="35379" xr:uid="{00000000-0005-0000-0000-0000C4070000}"/>
    <cellStyle name="20% - Accent1 2 7 3 3" xfId="18860" xr:uid="{00000000-0005-0000-0000-0000C5070000}"/>
    <cellStyle name="20% - Accent1 2 7 3 3 2" xfId="29228" xr:uid="{00000000-0005-0000-0000-0000C6070000}"/>
    <cellStyle name="20% - Accent1 2 7 3 3 2 2" xfId="48417" xr:uid="{00000000-0005-0000-0000-0000C7070000}"/>
    <cellStyle name="20% - Accent1 2 7 3 3 3" xfId="38719" xr:uid="{00000000-0005-0000-0000-0000C8070000}"/>
    <cellStyle name="20% - Accent1 2 7 3 4" xfId="24773" xr:uid="{00000000-0005-0000-0000-0000C9070000}"/>
    <cellStyle name="20% - Accent1 2 7 3 4 2" xfId="43962" xr:uid="{00000000-0005-0000-0000-0000CA070000}"/>
    <cellStyle name="20% - Accent1 2 7 3 5" xfId="34264" xr:uid="{00000000-0005-0000-0000-0000CB070000}"/>
    <cellStyle name="20% - Accent1 2 7 3 6" xfId="53544" xr:uid="{00000000-0005-0000-0000-0000CC070000}"/>
    <cellStyle name="20% - Accent1 2 7 4" xfId="14954" xr:uid="{00000000-0005-0000-0000-0000CD070000}"/>
    <cellStyle name="20% - Accent1 2 7 4 2" xfId="19418" xr:uid="{00000000-0005-0000-0000-0000CE070000}"/>
    <cellStyle name="20% - Accent1 2 7 4 2 2" xfId="29786" xr:uid="{00000000-0005-0000-0000-0000CF070000}"/>
    <cellStyle name="20% - Accent1 2 7 4 2 2 2" xfId="48975" xr:uid="{00000000-0005-0000-0000-0000D0070000}"/>
    <cellStyle name="20% - Accent1 2 7 4 2 3" xfId="39277" xr:uid="{00000000-0005-0000-0000-0000D1070000}"/>
    <cellStyle name="20% - Accent1 2 7 4 3" xfId="25331" xr:uid="{00000000-0005-0000-0000-0000D2070000}"/>
    <cellStyle name="20% - Accent1 2 7 4 3 2" xfId="44520" xr:uid="{00000000-0005-0000-0000-0000D3070000}"/>
    <cellStyle name="20% - Accent1 2 7 4 4" xfId="34822" xr:uid="{00000000-0005-0000-0000-0000D4070000}"/>
    <cellStyle name="20% - Accent1 2 7 5" xfId="16624" xr:uid="{00000000-0005-0000-0000-0000D5070000}"/>
    <cellStyle name="20% - Accent1 2 7 5 2" xfId="21088" xr:uid="{00000000-0005-0000-0000-0000D6070000}"/>
    <cellStyle name="20% - Accent1 2 7 5 2 2" xfId="31456" xr:uid="{00000000-0005-0000-0000-0000D7070000}"/>
    <cellStyle name="20% - Accent1 2 7 5 2 2 2" xfId="50645" xr:uid="{00000000-0005-0000-0000-0000D8070000}"/>
    <cellStyle name="20% - Accent1 2 7 5 2 3" xfId="40947" xr:uid="{00000000-0005-0000-0000-0000D9070000}"/>
    <cellStyle name="20% - Accent1 2 7 5 3" xfId="27001" xr:uid="{00000000-0005-0000-0000-0000DA070000}"/>
    <cellStyle name="20% - Accent1 2 7 5 3 2" xfId="46190" xr:uid="{00000000-0005-0000-0000-0000DB070000}"/>
    <cellStyle name="20% - Accent1 2 7 5 4" xfId="36492" xr:uid="{00000000-0005-0000-0000-0000DC070000}"/>
    <cellStyle name="20% - Accent1 2 7 6" xfId="17190" xr:uid="{00000000-0005-0000-0000-0000DD070000}"/>
    <cellStyle name="20% - Accent1 2 7 6 2" xfId="21645" xr:uid="{00000000-0005-0000-0000-0000DE070000}"/>
    <cellStyle name="20% - Accent1 2 7 6 2 2" xfId="32013" xr:uid="{00000000-0005-0000-0000-0000DF070000}"/>
    <cellStyle name="20% - Accent1 2 7 6 2 2 2" xfId="51202" xr:uid="{00000000-0005-0000-0000-0000E0070000}"/>
    <cellStyle name="20% - Accent1 2 7 6 2 3" xfId="41504" xr:uid="{00000000-0005-0000-0000-0000E1070000}"/>
    <cellStyle name="20% - Accent1 2 7 6 3" xfId="27558" xr:uid="{00000000-0005-0000-0000-0000E2070000}"/>
    <cellStyle name="20% - Accent1 2 7 6 3 2" xfId="46747" xr:uid="{00000000-0005-0000-0000-0000E3070000}"/>
    <cellStyle name="20% - Accent1 2 7 6 4" xfId="37049" xr:uid="{00000000-0005-0000-0000-0000E4070000}"/>
    <cellStyle name="20% - Accent1 2 7 7" xfId="17747" xr:uid="{00000000-0005-0000-0000-0000E5070000}"/>
    <cellStyle name="20% - Accent1 2 7 7 2" xfId="28115" xr:uid="{00000000-0005-0000-0000-0000E6070000}"/>
    <cellStyle name="20% - Accent1 2 7 7 2 2" xfId="47304" xr:uid="{00000000-0005-0000-0000-0000E7070000}"/>
    <cellStyle name="20% - Accent1 2 7 7 3" xfId="37606" xr:uid="{00000000-0005-0000-0000-0000E8070000}"/>
    <cellStyle name="20% - Accent1 2 7 8" xfId="23562" xr:uid="{00000000-0005-0000-0000-0000E9070000}"/>
    <cellStyle name="20% - Accent1 2 7 8 2" xfId="42849" xr:uid="{00000000-0005-0000-0000-0000EA070000}"/>
    <cellStyle name="20% - Accent1 2 7 9" xfId="33151" xr:uid="{00000000-0005-0000-0000-0000EB070000}"/>
    <cellStyle name="20% - Accent1 2 8" xfId="1588" xr:uid="{00000000-0005-0000-0000-0000EC070000}"/>
    <cellStyle name="20% - Accent1 2 8 10" xfId="52859" xr:uid="{00000000-0005-0000-0000-0000ED070000}"/>
    <cellStyle name="20% - Accent1 2 8 11" xfId="12782" xr:uid="{00000000-0005-0000-0000-0000EE070000}"/>
    <cellStyle name="20% - Accent1 2 8 2" xfId="13817" xr:uid="{00000000-0005-0000-0000-0000EF070000}"/>
    <cellStyle name="20% - Accent1 2 8 2 2" xfId="16081" xr:uid="{00000000-0005-0000-0000-0000F0070000}"/>
    <cellStyle name="20% - Accent1 2 8 2 2 2" xfId="20545" xr:uid="{00000000-0005-0000-0000-0000F1070000}"/>
    <cellStyle name="20% - Accent1 2 8 2 2 2 2" xfId="30913" xr:uid="{00000000-0005-0000-0000-0000F2070000}"/>
    <cellStyle name="20% - Accent1 2 8 2 2 2 2 2" xfId="50102" xr:uid="{00000000-0005-0000-0000-0000F3070000}"/>
    <cellStyle name="20% - Accent1 2 8 2 2 2 3" xfId="40404" xr:uid="{00000000-0005-0000-0000-0000F4070000}"/>
    <cellStyle name="20% - Accent1 2 8 2 2 3" xfId="26458" xr:uid="{00000000-0005-0000-0000-0000F5070000}"/>
    <cellStyle name="20% - Accent1 2 8 2 2 3 2" xfId="45647" xr:uid="{00000000-0005-0000-0000-0000F6070000}"/>
    <cellStyle name="20% - Accent1 2 8 2 2 4" xfId="35949" xr:uid="{00000000-0005-0000-0000-0000F7070000}"/>
    <cellStyle name="20% - Accent1 2 8 2 3" xfId="18317" xr:uid="{00000000-0005-0000-0000-0000F8070000}"/>
    <cellStyle name="20% - Accent1 2 8 2 3 2" xfId="28685" xr:uid="{00000000-0005-0000-0000-0000F9070000}"/>
    <cellStyle name="20% - Accent1 2 8 2 3 2 2" xfId="47874" xr:uid="{00000000-0005-0000-0000-0000FA070000}"/>
    <cellStyle name="20% - Accent1 2 8 2 3 3" xfId="38176" xr:uid="{00000000-0005-0000-0000-0000FB070000}"/>
    <cellStyle name="20% - Accent1 2 8 2 4" xfId="24225" xr:uid="{00000000-0005-0000-0000-0000FC070000}"/>
    <cellStyle name="20% - Accent1 2 8 2 4 2" xfId="43419" xr:uid="{00000000-0005-0000-0000-0000FD070000}"/>
    <cellStyle name="20% - Accent1 2 8 2 5" xfId="33721" xr:uid="{00000000-0005-0000-0000-0000FE070000}"/>
    <cellStyle name="20% - Accent1 2 8 2 6" xfId="53743" xr:uid="{00000000-0005-0000-0000-0000FF070000}"/>
    <cellStyle name="20% - Accent1 2 8 3" xfId="14396" xr:uid="{00000000-0005-0000-0000-000000080000}"/>
    <cellStyle name="20% - Accent1 2 8 3 2" xfId="15525" xr:uid="{00000000-0005-0000-0000-000001080000}"/>
    <cellStyle name="20% - Accent1 2 8 3 2 2" xfId="19989" xr:uid="{00000000-0005-0000-0000-000002080000}"/>
    <cellStyle name="20% - Accent1 2 8 3 2 2 2" xfId="30357" xr:uid="{00000000-0005-0000-0000-000003080000}"/>
    <cellStyle name="20% - Accent1 2 8 3 2 2 2 2" xfId="49546" xr:uid="{00000000-0005-0000-0000-000004080000}"/>
    <cellStyle name="20% - Accent1 2 8 3 2 2 3" xfId="39848" xr:uid="{00000000-0005-0000-0000-000005080000}"/>
    <cellStyle name="20% - Accent1 2 8 3 2 3" xfId="25902" xr:uid="{00000000-0005-0000-0000-000006080000}"/>
    <cellStyle name="20% - Accent1 2 8 3 2 3 2" xfId="45091" xr:uid="{00000000-0005-0000-0000-000007080000}"/>
    <cellStyle name="20% - Accent1 2 8 3 2 4" xfId="35393" xr:uid="{00000000-0005-0000-0000-000008080000}"/>
    <cellStyle name="20% - Accent1 2 8 3 3" xfId="18874" xr:uid="{00000000-0005-0000-0000-000009080000}"/>
    <cellStyle name="20% - Accent1 2 8 3 3 2" xfId="29242" xr:uid="{00000000-0005-0000-0000-00000A080000}"/>
    <cellStyle name="20% - Accent1 2 8 3 3 2 2" xfId="48431" xr:uid="{00000000-0005-0000-0000-00000B080000}"/>
    <cellStyle name="20% - Accent1 2 8 3 3 3" xfId="38733" xr:uid="{00000000-0005-0000-0000-00000C080000}"/>
    <cellStyle name="20% - Accent1 2 8 3 4" xfId="24787" xr:uid="{00000000-0005-0000-0000-00000D080000}"/>
    <cellStyle name="20% - Accent1 2 8 3 4 2" xfId="43976" xr:uid="{00000000-0005-0000-0000-00000E080000}"/>
    <cellStyle name="20% - Accent1 2 8 3 5" xfId="34278" xr:uid="{00000000-0005-0000-0000-00000F080000}"/>
    <cellStyle name="20% - Accent1 2 8 4" xfId="14968" xr:uid="{00000000-0005-0000-0000-000010080000}"/>
    <cellStyle name="20% - Accent1 2 8 4 2" xfId="19432" xr:uid="{00000000-0005-0000-0000-000011080000}"/>
    <cellStyle name="20% - Accent1 2 8 4 2 2" xfId="29800" xr:uid="{00000000-0005-0000-0000-000012080000}"/>
    <cellStyle name="20% - Accent1 2 8 4 2 2 2" xfId="48989" xr:uid="{00000000-0005-0000-0000-000013080000}"/>
    <cellStyle name="20% - Accent1 2 8 4 2 3" xfId="39291" xr:uid="{00000000-0005-0000-0000-000014080000}"/>
    <cellStyle name="20% - Accent1 2 8 4 3" xfId="25345" xr:uid="{00000000-0005-0000-0000-000015080000}"/>
    <cellStyle name="20% - Accent1 2 8 4 3 2" xfId="44534" xr:uid="{00000000-0005-0000-0000-000016080000}"/>
    <cellStyle name="20% - Accent1 2 8 4 4" xfId="34836" xr:uid="{00000000-0005-0000-0000-000017080000}"/>
    <cellStyle name="20% - Accent1 2 8 5" xfId="16638" xr:uid="{00000000-0005-0000-0000-000018080000}"/>
    <cellStyle name="20% - Accent1 2 8 5 2" xfId="21102" xr:uid="{00000000-0005-0000-0000-000019080000}"/>
    <cellStyle name="20% - Accent1 2 8 5 2 2" xfId="31470" xr:uid="{00000000-0005-0000-0000-00001A080000}"/>
    <cellStyle name="20% - Accent1 2 8 5 2 2 2" xfId="50659" xr:uid="{00000000-0005-0000-0000-00001B080000}"/>
    <cellStyle name="20% - Accent1 2 8 5 2 3" xfId="40961" xr:uid="{00000000-0005-0000-0000-00001C080000}"/>
    <cellStyle name="20% - Accent1 2 8 5 3" xfId="27015" xr:uid="{00000000-0005-0000-0000-00001D080000}"/>
    <cellStyle name="20% - Accent1 2 8 5 3 2" xfId="46204" xr:uid="{00000000-0005-0000-0000-00001E080000}"/>
    <cellStyle name="20% - Accent1 2 8 5 4" xfId="36506" xr:uid="{00000000-0005-0000-0000-00001F080000}"/>
    <cellStyle name="20% - Accent1 2 8 6" xfId="17204" xr:uid="{00000000-0005-0000-0000-000020080000}"/>
    <cellStyle name="20% - Accent1 2 8 6 2" xfId="21659" xr:uid="{00000000-0005-0000-0000-000021080000}"/>
    <cellStyle name="20% - Accent1 2 8 6 2 2" xfId="32027" xr:uid="{00000000-0005-0000-0000-000022080000}"/>
    <cellStyle name="20% - Accent1 2 8 6 2 2 2" xfId="51216" xr:uid="{00000000-0005-0000-0000-000023080000}"/>
    <cellStyle name="20% - Accent1 2 8 6 2 3" xfId="41518" xr:uid="{00000000-0005-0000-0000-000024080000}"/>
    <cellStyle name="20% - Accent1 2 8 6 3" xfId="27572" xr:uid="{00000000-0005-0000-0000-000025080000}"/>
    <cellStyle name="20% - Accent1 2 8 6 3 2" xfId="46761" xr:uid="{00000000-0005-0000-0000-000026080000}"/>
    <cellStyle name="20% - Accent1 2 8 6 4" xfId="37063" xr:uid="{00000000-0005-0000-0000-000027080000}"/>
    <cellStyle name="20% - Accent1 2 8 7" xfId="17761" xr:uid="{00000000-0005-0000-0000-000028080000}"/>
    <cellStyle name="20% - Accent1 2 8 7 2" xfId="28129" xr:uid="{00000000-0005-0000-0000-000029080000}"/>
    <cellStyle name="20% - Accent1 2 8 7 2 2" xfId="47318" xr:uid="{00000000-0005-0000-0000-00002A080000}"/>
    <cellStyle name="20% - Accent1 2 8 7 3" xfId="37620" xr:uid="{00000000-0005-0000-0000-00002B080000}"/>
    <cellStyle name="20% - Accent1 2 8 8" xfId="23585" xr:uid="{00000000-0005-0000-0000-00002C080000}"/>
    <cellStyle name="20% - Accent1 2 8 8 2" xfId="42863" xr:uid="{00000000-0005-0000-0000-00002D080000}"/>
    <cellStyle name="20% - Accent1 2 8 9" xfId="33165" xr:uid="{00000000-0005-0000-0000-00002E080000}"/>
    <cellStyle name="20% - Accent1 2 9" xfId="1589" xr:uid="{00000000-0005-0000-0000-00002F080000}"/>
    <cellStyle name="20% - Accent1 2 9 2" xfId="54140" xr:uid="{00000000-0005-0000-0000-000030080000}"/>
    <cellStyle name="20% - Accent1 2 9 3" xfId="53288" xr:uid="{00000000-0005-0000-0000-000031080000}"/>
    <cellStyle name="20% - Accent1 2 9 4" xfId="12920" xr:uid="{00000000-0005-0000-0000-000032080000}"/>
    <cellStyle name="20% - Accent1 20" xfId="22850" xr:uid="{00000000-0005-0000-0000-000033080000}"/>
    <cellStyle name="20% - Accent1 20 2" xfId="32934" xr:uid="{00000000-0005-0000-0000-000034080000}"/>
    <cellStyle name="20% - Accent1 20 2 2" xfId="52120" xr:uid="{00000000-0005-0000-0000-000035080000}"/>
    <cellStyle name="20% - Accent1 20 3" xfId="23207" xr:uid="{00000000-0005-0000-0000-000036080000}"/>
    <cellStyle name="20% - Accent1 20 3 2" xfId="42775" xr:uid="{00000000-0005-0000-0000-000037080000}"/>
    <cellStyle name="20% - Accent1 20 4" xfId="42422" xr:uid="{00000000-0005-0000-0000-000038080000}"/>
    <cellStyle name="20% - Accent1 21" xfId="22733" xr:uid="{00000000-0005-0000-0000-000039080000}"/>
    <cellStyle name="20% - Accent1 21 2" xfId="32817" xr:uid="{00000000-0005-0000-0000-00003A080000}"/>
    <cellStyle name="20% - Accent1 21 2 2" xfId="52003" xr:uid="{00000000-0005-0000-0000-00003B080000}"/>
    <cellStyle name="20% - Accent1 21 3" xfId="42305" xr:uid="{00000000-0005-0000-0000-00003C080000}"/>
    <cellStyle name="20% - Accent1 22" xfId="23090" xr:uid="{00000000-0005-0000-0000-00003D080000}"/>
    <cellStyle name="20% - Accent1 22 2" xfId="42658" xr:uid="{00000000-0005-0000-0000-00003E080000}"/>
    <cellStyle name="20% - Accent1 23" xfId="33104" xr:uid="{00000000-0005-0000-0000-00003F080000}"/>
    <cellStyle name="20% - Accent1 3" xfId="39" xr:uid="{00000000-0005-0000-0000-000040080000}"/>
    <cellStyle name="20% - Accent1 3 2" xfId="1591" xr:uid="{00000000-0005-0000-0000-000041080000}"/>
    <cellStyle name="20% - Accent1 3 2 2" xfId="1592" xr:uid="{00000000-0005-0000-0000-000042080000}"/>
    <cellStyle name="20% - Accent1 3 2 2 2" xfId="1593" xr:uid="{00000000-0005-0000-0000-000043080000}"/>
    <cellStyle name="20% - Accent1 3 2 2 2 2" xfId="1594" xr:uid="{00000000-0005-0000-0000-000044080000}"/>
    <cellStyle name="20% - Accent1 3 2 2 3" xfId="1595" xr:uid="{00000000-0005-0000-0000-000045080000}"/>
    <cellStyle name="20% - Accent1 3 2 3" xfId="1596" xr:uid="{00000000-0005-0000-0000-000046080000}"/>
    <cellStyle name="20% - Accent1 3 2 3 2" xfId="1597" xr:uid="{00000000-0005-0000-0000-000047080000}"/>
    <cellStyle name="20% - Accent1 3 2 4" xfId="1598" xr:uid="{00000000-0005-0000-0000-000048080000}"/>
    <cellStyle name="20% - Accent1 3 2 5" xfId="12921" xr:uid="{00000000-0005-0000-0000-000049080000}"/>
    <cellStyle name="20% - Accent1 3 3" xfId="1599" xr:uid="{00000000-0005-0000-0000-00004A080000}"/>
    <cellStyle name="20% - Accent1 3 3 2" xfId="1600" xr:uid="{00000000-0005-0000-0000-00004B080000}"/>
    <cellStyle name="20% - Accent1 3 3 2 2" xfId="1601" xr:uid="{00000000-0005-0000-0000-00004C080000}"/>
    <cellStyle name="20% - Accent1 3 3 2 2 2" xfId="1602" xr:uid="{00000000-0005-0000-0000-00004D080000}"/>
    <cellStyle name="20% - Accent1 3 3 2 3" xfId="1603" xr:uid="{00000000-0005-0000-0000-00004E080000}"/>
    <cellStyle name="20% - Accent1 3 3 3" xfId="1604" xr:uid="{00000000-0005-0000-0000-00004F080000}"/>
    <cellStyle name="20% - Accent1 3 3 3 2" xfId="1605" xr:uid="{00000000-0005-0000-0000-000050080000}"/>
    <cellStyle name="20% - Accent1 3 3 4" xfId="1606" xr:uid="{00000000-0005-0000-0000-000051080000}"/>
    <cellStyle name="20% - Accent1 3 3 5" xfId="13522" xr:uid="{00000000-0005-0000-0000-000052080000}"/>
    <cellStyle name="20% - Accent1 3 4" xfId="1607" xr:uid="{00000000-0005-0000-0000-000053080000}"/>
    <cellStyle name="20% - Accent1 3 4 2" xfId="1608" xr:uid="{00000000-0005-0000-0000-000054080000}"/>
    <cellStyle name="20% - Accent1 3 4 2 2" xfId="1609" xr:uid="{00000000-0005-0000-0000-000055080000}"/>
    <cellStyle name="20% - Accent1 3 4 3" xfId="1610" xr:uid="{00000000-0005-0000-0000-000056080000}"/>
    <cellStyle name="20% - Accent1 3 4 4" xfId="22268" xr:uid="{00000000-0005-0000-0000-000057080000}"/>
    <cellStyle name="20% - Accent1 3 5" xfId="1611" xr:uid="{00000000-0005-0000-0000-000058080000}"/>
    <cellStyle name="20% - Accent1 3 5 2" xfId="1612" xr:uid="{00000000-0005-0000-0000-000059080000}"/>
    <cellStyle name="20% - Accent1 3 5 3" xfId="23345" xr:uid="{00000000-0005-0000-0000-00005A080000}"/>
    <cellStyle name="20% - Accent1 3 6" xfId="1613" xr:uid="{00000000-0005-0000-0000-00005B080000}"/>
    <cellStyle name="20% - Accent1 3 7" xfId="1590" xr:uid="{00000000-0005-0000-0000-00005C080000}"/>
    <cellStyle name="20% - Accent1 3 8" xfId="12232" xr:uid="{00000000-0005-0000-0000-00005D080000}"/>
    <cellStyle name="20% - Accent1 4" xfId="40" xr:uid="{00000000-0005-0000-0000-00005E080000}"/>
    <cellStyle name="20% - Accent1 4 2" xfId="1614" xr:uid="{00000000-0005-0000-0000-00005F080000}"/>
    <cellStyle name="20% - Accent1 4 2 2" xfId="13685" xr:uid="{00000000-0005-0000-0000-000060080000}"/>
    <cellStyle name="20% - Accent1 4 3" xfId="22269" xr:uid="{00000000-0005-0000-0000-000061080000}"/>
    <cellStyle name="20% - Accent1 4 4" xfId="23344" xr:uid="{00000000-0005-0000-0000-000062080000}"/>
    <cellStyle name="20% - Accent1 4 5" xfId="12231" xr:uid="{00000000-0005-0000-0000-000063080000}"/>
    <cellStyle name="20% - Accent1 5" xfId="41" xr:uid="{00000000-0005-0000-0000-000064080000}"/>
    <cellStyle name="20% - Accent1 5 2" xfId="1615" xr:uid="{00000000-0005-0000-0000-000065080000}"/>
    <cellStyle name="20% - Accent1 5 2 2" xfId="22270" xr:uid="{00000000-0005-0000-0000-000066080000}"/>
    <cellStyle name="20% - Accent1 5 3" xfId="23522" xr:uid="{00000000-0005-0000-0000-000067080000}"/>
    <cellStyle name="20% - Accent1 5 4" xfId="12624" xr:uid="{00000000-0005-0000-0000-000068080000}"/>
    <cellStyle name="20% - Accent1 6" xfId="42" xr:uid="{00000000-0005-0000-0000-000069080000}"/>
    <cellStyle name="20% - Accent1 6 2" xfId="1616" xr:uid="{00000000-0005-0000-0000-00006A080000}"/>
    <cellStyle name="20% - Accent1 6 2 2" xfId="22271" xr:uid="{00000000-0005-0000-0000-00006B080000}"/>
    <cellStyle name="20% - Accent1 6 3" xfId="23584" xr:uid="{00000000-0005-0000-0000-00006C080000}"/>
    <cellStyle name="20% - Accent1 6 4" xfId="12781" xr:uid="{00000000-0005-0000-0000-00006D080000}"/>
    <cellStyle name="20% - Accent1 7" xfId="43" xr:uid="{00000000-0005-0000-0000-00006E080000}"/>
    <cellStyle name="20% - Accent1 7 2" xfId="1617" xr:uid="{00000000-0005-0000-0000-00006F080000}"/>
    <cellStyle name="20% - Accent1 8" xfId="44" xr:uid="{00000000-0005-0000-0000-000070080000}"/>
    <cellStyle name="20% - Accent1 8 2" xfId="1618" xr:uid="{00000000-0005-0000-0000-000071080000}"/>
    <cellStyle name="20% - Accent1 9" xfId="45" xr:uid="{00000000-0005-0000-0000-000072080000}"/>
    <cellStyle name="20% - Accent2 10" xfId="46" xr:uid="{00000000-0005-0000-0000-000073080000}"/>
    <cellStyle name="20% - Accent2 11" xfId="47" xr:uid="{00000000-0005-0000-0000-000074080000}"/>
    <cellStyle name="20% - Accent2 12" xfId="48" xr:uid="{00000000-0005-0000-0000-000075080000}"/>
    <cellStyle name="20% - Accent2 13" xfId="49" xr:uid="{00000000-0005-0000-0000-000076080000}"/>
    <cellStyle name="20% - Accent2 14" xfId="50" xr:uid="{00000000-0005-0000-0000-000077080000}"/>
    <cellStyle name="20% - Accent2 15" xfId="51" xr:uid="{00000000-0005-0000-0000-000078080000}"/>
    <cellStyle name="20% - Accent2 16" xfId="52" xr:uid="{00000000-0005-0000-0000-000079080000}"/>
    <cellStyle name="20% - Accent2 17" xfId="22762" xr:uid="{00000000-0005-0000-0000-00007A080000}"/>
    <cellStyle name="20% - Accent2 17 2" xfId="32846" xr:uid="{00000000-0005-0000-0000-00007B080000}"/>
    <cellStyle name="20% - Accent2 17 2 2" xfId="52032" xr:uid="{00000000-0005-0000-0000-00007C080000}"/>
    <cellStyle name="20% - Accent2 17 3" xfId="23119" xr:uid="{00000000-0005-0000-0000-00007D080000}"/>
    <cellStyle name="20% - Accent2 17 3 2" xfId="42687" xr:uid="{00000000-0005-0000-0000-00007E080000}"/>
    <cellStyle name="20% - Accent2 17 4" xfId="42334" xr:uid="{00000000-0005-0000-0000-00007F080000}"/>
    <cellStyle name="20% - Accent2 18" xfId="22789" xr:uid="{00000000-0005-0000-0000-000080080000}"/>
    <cellStyle name="20% - Accent2 18 2" xfId="32873" xr:uid="{00000000-0005-0000-0000-000081080000}"/>
    <cellStyle name="20% - Accent2 18 2 2" xfId="52059" xr:uid="{00000000-0005-0000-0000-000082080000}"/>
    <cellStyle name="20% - Accent2 18 3" xfId="23146" xr:uid="{00000000-0005-0000-0000-000083080000}"/>
    <cellStyle name="20% - Accent2 18 3 2" xfId="42714" xr:uid="{00000000-0005-0000-0000-000084080000}"/>
    <cellStyle name="20% - Accent2 18 4" xfId="42361" xr:uid="{00000000-0005-0000-0000-000085080000}"/>
    <cellStyle name="20% - Accent2 19" xfId="22837" xr:uid="{00000000-0005-0000-0000-000086080000}"/>
    <cellStyle name="20% - Accent2 19 2" xfId="32921" xr:uid="{00000000-0005-0000-0000-000087080000}"/>
    <cellStyle name="20% - Accent2 19 2 2" xfId="52107" xr:uid="{00000000-0005-0000-0000-000088080000}"/>
    <cellStyle name="20% - Accent2 19 3" xfId="23194" xr:uid="{00000000-0005-0000-0000-000089080000}"/>
    <cellStyle name="20% - Accent2 19 3 2" xfId="42762" xr:uid="{00000000-0005-0000-0000-00008A080000}"/>
    <cellStyle name="20% - Accent2 19 4" xfId="42409" xr:uid="{00000000-0005-0000-0000-00008B080000}"/>
    <cellStyle name="20% - Accent2 2" xfId="53" xr:uid="{00000000-0005-0000-0000-00008C080000}"/>
    <cellStyle name="20% - Accent2 2 10" xfId="1620" xr:uid="{00000000-0005-0000-0000-00008D080000}"/>
    <cellStyle name="20% - Accent2 2 10 10" xfId="53323" xr:uid="{00000000-0005-0000-0000-00008E080000}"/>
    <cellStyle name="20% - Accent2 2 10 11" xfId="12922" xr:uid="{00000000-0005-0000-0000-00008F080000}"/>
    <cellStyle name="20% - Accent2 2 10 2" xfId="13876" xr:uid="{00000000-0005-0000-0000-000090080000}"/>
    <cellStyle name="20% - Accent2 2 10 2 2" xfId="16140" xr:uid="{00000000-0005-0000-0000-000091080000}"/>
    <cellStyle name="20% - Accent2 2 10 2 2 2" xfId="20604" xr:uid="{00000000-0005-0000-0000-000092080000}"/>
    <cellStyle name="20% - Accent2 2 10 2 2 2 2" xfId="30972" xr:uid="{00000000-0005-0000-0000-000093080000}"/>
    <cellStyle name="20% - Accent2 2 10 2 2 2 2 2" xfId="50161" xr:uid="{00000000-0005-0000-0000-000094080000}"/>
    <cellStyle name="20% - Accent2 2 10 2 2 2 3" xfId="40463" xr:uid="{00000000-0005-0000-0000-000095080000}"/>
    <cellStyle name="20% - Accent2 2 10 2 2 3" xfId="26517" xr:uid="{00000000-0005-0000-0000-000096080000}"/>
    <cellStyle name="20% - Accent2 2 10 2 2 3 2" xfId="45706" xr:uid="{00000000-0005-0000-0000-000097080000}"/>
    <cellStyle name="20% - Accent2 2 10 2 2 4" xfId="36008" xr:uid="{00000000-0005-0000-0000-000098080000}"/>
    <cellStyle name="20% - Accent2 2 10 2 3" xfId="18376" xr:uid="{00000000-0005-0000-0000-000099080000}"/>
    <cellStyle name="20% - Accent2 2 10 2 3 2" xfId="28744" xr:uid="{00000000-0005-0000-0000-00009A080000}"/>
    <cellStyle name="20% - Accent2 2 10 2 3 2 2" xfId="47933" xr:uid="{00000000-0005-0000-0000-00009B080000}"/>
    <cellStyle name="20% - Accent2 2 10 2 3 3" xfId="38235" xr:uid="{00000000-0005-0000-0000-00009C080000}"/>
    <cellStyle name="20% - Accent2 2 10 2 4" xfId="24284" xr:uid="{00000000-0005-0000-0000-00009D080000}"/>
    <cellStyle name="20% - Accent2 2 10 2 4 2" xfId="43478" xr:uid="{00000000-0005-0000-0000-00009E080000}"/>
    <cellStyle name="20% - Accent2 2 10 2 5" xfId="33780" xr:uid="{00000000-0005-0000-0000-00009F080000}"/>
    <cellStyle name="20% - Accent2 2 10 2 6" xfId="54175" xr:uid="{00000000-0005-0000-0000-0000A0080000}"/>
    <cellStyle name="20% - Accent2 2 10 3" xfId="14455" xr:uid="{00000000-0005-0000-0000-0000A1080000}"/>
    <cellStyle name="20% - Accent2 2 10 3 2" xfId="15584" xr:uid="{00000000-0005-0000-0000-0000A2080000}"/>
    <cellStyle name="20% - Accent2 2 10 3 2 2" xfId="20048" xr:uid="{00000000-0005-0000-0000-0000A3080000}"/>
    <cellStyle name="20% - Accent2 2 10 3 2 2 2" xfId="30416" xr:uid="{00000000-0005-0000-0000-0000A4080000}"/>
    <cellStyle name="20% - Accent2 2 10 3 2 2 2 2" xfId="49605" xr:uid="{00000000-0005-0000-0000-0000A5080000}"/>
    <cellStyle name="20% - Accent2 2 10 3 2 2 3" xfId="39907" xr:uid="{00000000-0005-0000-0000-0000A6080000}"/>
    <cellStyle name="20% - Accent2 2 10 3 2 3" xfId="25961" xr:uid="{00000000-0005-0000-0000-0000A7080000}"/>
    <cellStyle name="20% - Accent2 2 10 3 2 3 2" xfId="45150" xr:uid="{00000000-0005-0000-0000-0000A8080000}"/>
    <cellStyle name="20% - Accent2 2 10 3 2 4" xfId="35452" xr:uid="{00000000-0005-0000-0000-0000A9080000}"/>
    <cellStyle name="20% - Accent2 2 10 3 3" xfId="18933" xr:uid="{00000000-0005-0000-0000-0000AA080000}"/>
    <cellStyle name="20% - Accent2 2 10 3 3 2" xfId="29301" xr:uid="{00000000-0005-0000-0000-0000AB080000}"/>
    <cellStyle name="20% - Accent2 2 10 3 3 2 2" xfId="48490" xr:uid="{00000000-0005-0000-0000-0000AC080000}"/>
    <cellStyle name="20% - Accent2 2 10 3 3 3" xfId="38792" xr:uid="{00000000-0005-0000-0000-0000AD080000}"/>
    <cellStyle name="20% - Accent2 2 10 3 4" xfId="24846" xr:uid="{00000000-0005-0000-0000-0000AE080000}"/>
    <cellStyle name="20% - Accent2 2 10 3 4 2" xfId="44035" xr:uid="{00000000-0005-0000-0000-0000AF080000}"/>
    <cellStyle name="20% - Accent2 2 10 3 5" xfId="34337" xr:uid="{00000000-0005-0000-0000-0000B0080000}"/>
    <cellStyle name="20% - Accent2 2 10 4" xfId="15027" xr:uid="{00000000-0005-0000-0000-0000B1080000}"/>
    <cellStyle name="20% - Accent2 2 10 4 2" xfId="19491" xr:uid="{00000000-0005-0000-0000-0000B2080000}"/>
    <cellStyle name="20% - Accent2 2 10 4 2 2" xfId="29859" xr:uid="{00000000-0005-0000-0000-0000B3080000}"/>
    <cellStyle name="20% - Accent2 2 10 4 2 2 2" xfId="49048" xr:uid="{00000000-0005-0000-0000-0000B4080000}"/>
    <cellStyle name="20% - Accent2 2 10 4 2 3" xfId="39350" xr:uid="{00000000-0005-0000-0000-0000B5080000}"/>
    <cellStyle name="20% - Accent2 2 10 4 3" xfId="25404" xr:uid="{00000000-0005-0000-0000-0000B6080000}"/>
    <cellStyle name="20% - Accent2 2 10 4 3 2" xfId="44593" xr:uid="{00000000-0005-0000-0000-0000B7080000}"/>
    <cellStyle name="20% - Accent2 2 10 4 4" xfId="34895" xr:uid="{00000000-0005-0000-0000-0000B8080000}"/>
    <cellStyle name="20% - Accent2 2 10 5" xfId="16697" xr:uid="{00000000-0005-0000-0000-0000B9080000}"/>
    <cellStyle name="20% - Accent2 2 10 5 2" xfId="21161" xr:uid="{00000000-0005-0000-0000-0000BA080000}"/>
    <cellStyle name="20% - Accent2 2 10 5 2 2" xfId="31529" xr:uid="{00000000-0005-0000-0000-0000BB080000}"/>
    <cellStyle name="20% - Accent2 2 10 5 2 2 2" xfId="50718" xr:uid="{00000000-0005-0000-0000-0000BC080000}"/>
    <cellStyle name="20% - Accent2 2 10 5 2 3" xfId="41020" xr:uid="{00000000-0005-0000-0000-0000BD080000}"/>
    <cellStyle name="20% - Accent2 2 10 5 3" xfId="27074" xr:uid="{00000000-0005-0000-0000-0000BE080000}"/>
    <cellStyle name="20% - Accent2 2 10 5 3 2" xfId="46263" xr:uid="{00000000-0005-0000-0000-0000BF080000}"/>
    <cellStyle name="20% - Accent2 2 10 5 4" xfId="36565" xr:uid="{00000000-0005-0000-0000-0000C0080000}"/>
    <cellStyle name="20% - Accent2 2 10 6" xfId="17263" xr:uid="{00000000-0005-0000-0000-0000C1080000}"/>
    <cellStyle name="20% - Accent2 2 10 6 2" xfId="21718" xr:uid="{00000000-0005-0000-0000-0000C2080000}"/>
    <cellStyle name="20% - Accent2 2 10 6 2 2" xfId="32086" xr:uid="{00000000-0005-0000-0000-0000C3080000}"/>
    <cellStyle name="20% - Accent2 2 10 6 2 2 2" xfId="51275" xr:uid="{00000000-0005-0000-0000-0000C4080000}"/>
    <cellStyle name="20% - Accent2 2 10 6 2 3" xfId="41577" xr:uid="{00000000-0005-0000-0000-0000C5080000}"/>
    <cellStyle name="20% - Accent2 2 10 6 3" xfId="27631" xr:uid="{00000000-0005-0000-0000-0000C6080000}"/>
    <cellStyle name="20% - Accent2 2 10 6 3 2" xfId="46820" xr:uid="{00000000-0005-0000-0000-0000C7080000}"/>
    <cellStyle name="20% - Accent2 2 10 6 4" xfId="37122" xr:uid="{00000000-0005-0000-0000-0000C8080000}"/>
    <cellStyle name="20% - Accent2 2 10 7" xfId="17820" xr:uid="{00000000-0005-0000-0000-0000C9080000}"/>
    <cellStyle name="20% - Accent2 2 10 7 2" xfId="28188" xr:uid="{00000000-0005-0000-0000-0000CA080000}"/>
    <cellStyle name="20% - Accent2 2 10 7 2 2" xfId="47377" xr:uid="{00000000-0005-0000-0000-0000CB080000}"/>
    <cellStyle name="20% - Accent2 2 10 7 3" xfId="37679" xr:uid="{00000000-0005-0000-0000-0000CC080000}"/>
    <cellStyle name="20% - Accent2 2 10 8" xfId="23683" xr:uid="{00000000-0005-0000-0000-0000CD080000}"/>
    <cellStyle name="20% - Accent2 2 10 8 2" xfId="42922" xr:uid="{00000000-0005-0000-0000-0000CE080000}"/>
    <cellStyle name="20% - Accent2 2 10 9" xfId="33224" xr:uid="{00000000-0005-0000-0000-0000CF080000}"/>
    <cellStyle name="20% - Accent2 2 11" xfId="1619" xr:uid="{00000000-0005-0000-0000-0000D0080000}"/>
    <cellStyle name="20% - Accent2 2 11 2" xfId="32569" xr:uid="{00000000-0005-0000-0000-0000D1080000}"/>
    <cellStyle name="20% - Accent2 2 11 2 2" xfId="51757" xr:uid="{00000000-0005-0000-0000-0000D2080000}"/>
    <cellStyle name="20% - Accent2 2 11 3" xfId="42059" xr:uid="{00000000-0005-0000-0000-0000D3080000}"/>
    <cellStyle name="20% - Accent2 2 11 4" xfId="53350" xr:uid="{00000000-0005-0000-0000-0000D4080000}"/>
    <cellStyle name="20% - Accent2 2 11 5" xfId="22210" xr:uid="{00000000-0005-0000-0000-0000D5080000}"/>
    <cellStyle name="20% - Accent2 2 12" xfId="22238" xr:uid="{00000000-0005-0000-0000-0000D6080000}"/>
    <cellStyle name="20% - Accent2 2 12 2" xfId="32595" xr:uid="{00000000-0005-0000-0000-0000D7080000}"/>
    <cellStyle name="20% - Accent2 2 12 2 2" xfId="51783" xr:uid="{00000000-0005-0000-0000-0000D8080000}"/>
    <cellStyle name="20% - Accent2 2 12 3" xfId="42085" xr:uid="{00000000-0005-0000-0000-0000D9080000}"/>
    <cellStyle name="20% - Accent2 2 13" xfId="12230" xr:uid="{00000000-0005-0000-0000-0000DA080000}"/>
    <cellStyle name="20% - Accent2 2 14" xfId="23252" xr:uid="{00000000-0005-0000-0000-0000DB080000}"/>
    <cellStyle name="20% - Accent2 2 14 2" xfId="42818" xr:uid="{00000000-0005-0000-0000-0000DC080000}"/>
    <cellStyle name="20% - Accent2 2 15" xfId="32992" xr:uid="{00000000-0005-0000-0000-0000DD080000}"/>
    <cellStyle name="20% - Accent2 2 15 2" xfId="52178" xr:uid="{00000000-0005-0000-0000-0000DE080000}"/>
    <cellStyle name="20% - Accent2 2 16" xfId="33086" xr:uid="{00000000-0005-0000-0000-0000DF080000}"/>
    <cellStyle name="20% - Accent2 2 17" xfId="52272" xr:uid="{00000000-0005-0000-0000-0000E0080000}"/>
    <cellStyle name="20% - Accent2 2 18" xfId="52329" xr:uid="{00000000-0005-0000-0000-0000E1080000}"/>
    <cellStyle name="20% - Accent2 2 19" xfId="52378" xr:uid="{00000000-0005-0000-0000-0000E2080000}"/>
    <cellStyle name="20% - Accent2 2 2" xfId="54" xr:uid="{00000000-0005-0000-0000-0000E3080000}"/>
    <cellStyle name="20% - Accent2 2 2 2" xfId="1622" xr:uid="{00000000-0005-0000-0000-0000E4080000}"/>
    <cellStyle name="20% - Accent2 2 2 2 2" xfId="8324" xr:uid="{00000000-0005-0000-0000-0000E5080000}"/>
    <cellStyle name="20% - Accent2 2 2 2 2 2" xfId="11221" xr:uid="{00000000-0005-0000-0000-0000E6080000}"/>
    <cellStyle name="20% - Accent2 2 2 2 2 2 2" xfId="53975" xr:uid="{00000000-0005-0000-0000-0000E7080000}"/>
    <cellStyle name="20% - Accent2 2 2 2 2 3" xfId="53122" xr:uid="{00000000-0005-0000-0000-0000E8080000}"/>
    <cellStyle name="20% - Accent2 2 2 2 3" xfId="9781" xr:uid="{00000000-0005-0000-0000-0000E9080000}"/>
    <cellStyle name="20% - Accent2 2 2 2 3 2" xfId="53579" xr:uid="{00000000-0005-0000-0000-0000EA080000}"/>
    <cellStyle name="20% - Accent2 2 2 2 4" xfId="6844" xr:uid="{00000000-0005-0000-0000-0000EB080000}"/>
    <cellStyle name="20% - Accent2 2 2 2 4 2" xfId="52694" xr:uid="{00000000-0005-0000-0000-0000EC080000}"/>
    <cellStyle name="20% - Accent2 2 2 2 5" xfId="12706" xr:uid="{00000000-0005-0000-0000-0000ED080000}"/>
    <cellStyle name="20% - Accent2 2 2 3" xfId="1623" xr:uid="{00000000-0005-0000-0000-0000EE080000}"/>
    <cellStyle name="20% - Accent2 2 2 3 2" xfId="10563" xr:uid="{00000000-0005-0000-0000-0000EF080000}"/>
    <cellStyle name="20% - Accent2 2 2 3 2 2" xfId="53779" xr:uid="{00000000-0005-0000-0000-0000F0080000}"/>
    <cellStyle name="20% - Accent2 2 2 3 3" xfId="7663" xr:uid="{00000000-0005-0000-0000-0000F1080000}"/>
    <cellStyle name="20% - Accent2 2 2 3 3 2" xfId="52904" xr:uid="{00000000-0005-0000-0000-0000F2080000}"/>
    <cellStyle name="20% - Accent2 2 2 3 4" xfId="12229" xr:uid="{00000000-0005-0000-0000-0000F3080000}"/>
    <cellStyle name="20% - Accent2 2 2 4" xfId="1621" xr:uid="{00000000-0005-0000-0000-0000F4080000}"/>
    <cellStyle name="20% - Accent2 2 2 4 2" xfId="9123" xr:uid="{00000000-0005-0000-0000-0000F5080000}"/>
    <cellStyle name="20% - Accent2 2 2 4 2 2" xfId="51866" xr:uid="{00000000-0005-0000-0000-0000F6080000}"/>
    <cellStyle name="20% - Accent2 2 2 4 2 3" xfId="32679" xr:uid="{00000000-0005-0000-0000-0000F7080000}"/>
    <cellStyle name="20% - Accent2 2 2 4 3" xfId="42168" xr:uid="{00000000-0005-0000-0000-0000F8080000}"/>
    <cellStyle name="20% - Accent2 2 2 4 4" xfId="53383" xr:uid="{00000000-0005-0000-0000-0000F9080000}"/>
    <cellStyle name="20% - Accent2 2 2 4 5" xfId="22575" xr:uid="{00000000-0005-0000-0000-0000FA080000}"/>
    <cellStyle name="20% - Accent2 2 2 5" xfId="6137" xr:uid="{00000000-0005-0000-0000-0000FB080000}"/>
    <cellStyle name="20% - Accent2 2 2 5 2" xfId="23279" xr:uid="{00000000-0005-0000-0000-0000FC080000}"/>
    <cellStyle name="20% - Accent2 2 2 6" xfId="22952" xr:uid="{00000000-0005-0000-0000-0000FD080000}"/>
    <cellStyle name="20% - Accent2 2 2 6 2" xfId="42521" xr:uid="{00000000-0005-0000-0000-0000FE080000}"/>
    <cellStyle name="20% - Accent2 2 2 7" xfId="12130" xr:uid="{00000000-0005-0000-0000-0000FF080000}"/>
    <cellStyle name="20% - Accent2 2 2 8" xfId="52490" xr:uid="{00000000-0005-0000-0000-000000090000}"/>
    <cellStyle name="20% - Accent2 2 2 9" xfId="11990" xr:uid="{00000000-0005-0000-0000-000001090000}"/>
    <cellStyle name="20% - Accent2 2 20" xfId="12102" xr:uid="{00000000-0005-0000-0000-000002090000}"/>
    <cellStyle name="20% - Accent2 2 21" xfId="52420" xr:uid="{00000000-0005-0000-0000-000003090000}"/>
    <cellStyle name="20% - Accent2 2 22" xfId="52448" xr:uid="{00000000-0005-0000-0000-000004090000}"/>
    <cellStyle name="20% - Accent2 2 23" xfId="11959" xr:uid="{00000000-0005-0000-0000-000005090000}"/>
    <cellStyle name="20% - Accent2 2 3" xfId="55" xr:uid="{00000000-0005-0000-0000-000006090000}"/>
    <cellStyle name="20% - Accent2 2 3 10" xfId="52531" xr:uid="{00000000-0005-0000-0000-000007090000}"/>
    <cellStyle name="20% - Accent2 2 3 11" xfId="11991" xr:uid="{00000000-0005-0000-0000-000008090000}"/>
    <cellStyle name="20% - Accent2 2 3 2" xfId="1625" xr:uid="{00000000-0005-0000-0000-000009090000}"/>
    <cellStyle name="20% - Accent2 2 3 2 10" xfId="17821" xr:uid="{00000000-0005-0000-0000-00000A090000}"/>
    <cellStyle name="20% - Accent2 2 3 2 10 2" xfId="28189" xr:uid="{00000000-0005-0000-0000-00000B090000}"/>
    <cellStyle name="20% - Accent2 2 3 2 10 2 2" xfId="47378" xr:uid="{00000000-0005-0000-0000-00000C090000}"/>
    <cellStyle name="20% - Accent2 2 3 2 10 3" xfId="37680" xr:uid="{00000000-0005-0000-0000-00000D090000}"/>
    <cellStyle name="20% - Accent2 2 3 2 11" xfId="23684" xr:uid="{00000000-0005-0000-0000-00000E090000}"/>
    <cellStyle name="20% - Accent2 2 3 2 11 2" xfId="42923" xr:uid="{00000000-0005-0000-0000-00000F090000}"/>
    <cellStyle name="20% - Accent2 2 3 2 12" xfId="33225" xr:uid="{00000000-0005-0000-0000-000010090000}"/>
    <cellStyle name="20% - Accent2 2 3 2 13" xfId="52732" xr:uid="{00000000-0005-0000-0000-000011090000}"/>
    <cellStyle name="20% - Accent2 2 3 2 14" xfId="12923" xr:uid="{00000000-0005-0000-0000-000012090000}"/>
    <cellStyle name="20% - Accent2 2 3 2 2" xfId="12924" xr:uid="{00000000-0005-0000-0000-000013090000}"/>
    <cellStyle name="20% - Accent2 2 3 2 2 10" xfId="23685" xr:uid="{00000000-0005-0000-0000-000014090000}"/>
    <cellStyle name="20% - Accent2 2 3 2 2 10 2" xfId="42924" xr:uid="{00000000-0005-0000-0000-000015090000}"/>
    <cellStyle name="20% - Accent2 2 3 2 2 11" xfId="33226" xr:uid="{00000000-0005-0000-0000-000016090000}"/>
    <cellStyle name="20% - Accent2 2 3 2 2 12" xfId="53160" xr:uid="{00000000-0005-0000-0000-000017090000}"/>
    <cellStyle name="20% - Accent2 2 3 2 2 2" xfId="12925" xr:uid="{00000000-0005-0000-0000-000018090000}"/>
    <cellStyle name="20% - Accent2 2 3 2 2 2 10" xfId="54013" xr:uid="{00000000-0005-0000-0000-000019090000}"/>
    <cellStyle name="20% - Accent2 2 3 2 2 2 2" xfId="13879" xr:uid="{00000000-0005-0000-0000-00001A090000}"/>
    <cellStyle name="20% - Accent2 2 3 2 2 2 2 2" xfId="16143" xr:uid="{00000000-0005-0000-0000-00001B090000}"/>
    <cellStyle name="20% - Accent2 2 3 2 2 2 2 2 2" xfId="20607" xr:uid="{00000000-0005-0000-0000-00001C090000}"/>
    <cellStyle name="20% - Accent2 2 3 2 2 2 2 2 2 2" xfId="30975" xr:uid="{00000000-0005-0000-0000-00001D090000}"/>
    <cellStyle name="20% - Accent2 2 3 2 2 2 2 2 2 2 2" xfId="50164" xr:uid="{00000000-0005-0000-0000-00001E090000}"/>
    <cellStyle name="20% - Accent2 2 3 2 2 2 2 2 2 3" xfId="40466" xr:uid="{00000000-0005-0000-0000-00001F090000}"/>
    <cellStyle name="20% - Accent2 2 3 2 2 2 2 2 3" xfId="26520" xr:uid="{00000000-0005-0000-0000-000020090000}"/>
    <cellStyle name="20% - Accent2 2 3 2 2 2 2 2 3 2" xfId="45709" xr:uid="{00000000-0005-0000-0000-000021090000}"/>
    <cellStyle name="20% - Accent2 2 3 2 2 2 2 2 4" xfId="36011" xr:uid="{00000000-0005-0000-0000-000022090000}"/>
    <cellStyle name="20% - Accent2 2 3 2 2 2 2 3" xfId="18379" xr:uid="{00000000-0005-0000-0000-000023090000}"/>
    <cellStyle name="20% - Accent2 2 3 2 2 2 2 3 2" xfId="28747" xr:uid="{00000000-0005-0000-0000-000024090000}"/>
    <cellStyle name="20% - Accent2 2 3 2 2 2 2 3 2 2" xfId="47936" xr:uid="{00000000-0005-0000-0000-000025090000}"/>
    <cellStyle name="20% - Accent2 2 3 2 2 2 2 3 3" xfId="38238" xr:uid="{00000000-0005-0000-0000-000026090000}"/>
    <cellStyle name="20% - Accent2 2 3 2 2 2 2 4" xfId="24287" xr:uid="{00000000-0005-0000-0000-000027090000}"/>
    <cellStyle name="20% - Accent2 2 3 2 2 2 2 4 2" xfId="43481" xr:uid="{00000000-0005-0000-0000-000028090000}"/>
    <cellStyle name="20% - Accent2 2 3 2 2 2 2 5" xfId="33783" xr:uid="{00000000-0005-0000-0000-000029090000}"/>
    <cellStyle name="20% - Accent2 2 3 2 2 2 3" xfId="14458" xr:uid="{00000000-0005-0000-0000-00002A090000}"/>
    <cellStyle name="20% - Accent2 2 3 2 2 2 3 2" xfId="15587" xr:uid="{00000000-0005-0000-0000-00002B090000}"/>
    <cellStyle name="20% - Accent2 2 3 2 2 2 3 2 2" xfId="20051" xr:uid="{00000000-0005-0000-0000-00002C090000}"/>
    <cellStyle name="20% - Accent2 2 3 2 2 2 3 2 2 2" xfId="30419" xr:uid="{00000000-0005-0000-0000-00002D090000}"/>
    <cellStyle name="20% - Accent2 2 3 2 2 2 3 2 2 2 2" xfId="49608" xr:uid="{00000000-0005-0000-0000-00002E090000}"/>
    <cellStyle name="20% - Accent2 2 3 2 2 2 3 2 2 3" xfId="39910" xr:uid="{00000000-0005-0000-0000-00002F090000}"/>
    <cellStyle name="20% - Accent2 2 3 2 2 2 3 2 3" xfId="25964" xr:uid="{00000000-0005-0000-0000-000030090000}"/>
    <cellStyle name="20% - Accent2 2 3 2 2 2 3 2 3 2" xfId="45153" xr:uid="{00000000-0005-0000-0000-000031090000}"/>
    <cellStyle name="20% - Accent2 2 3 2 2 2 3 2 4" xfId="35455" xr:uid="{00000000-0005-0000-0000-000032090000}"/>
    <cellStyle name="20% - Accent2 2 3 2 2 2 3 3" xfId="18936" xr:uid="{00000000-0005-0000-0000-000033090000}"/>
    <cellStyle name="20% - Accent2 2 3 2 2 2 3 3 2" xfId="29304" xr:uid="{00000000-0005-0000-0000-000034090000}"/>
    <cellStyle name="20% - Accent2 2 3 2 2 2 3 3 2 2" xfId="48493" xr:uid="{00000000-0005-0000-0000-000035090000}"/>
    <cellStyle name="20% - Accent2 2 3 2 2 2 3 3 3" xfId="38795" xr:uid="{00000000-0005-0000-0000-000036090000}"/>
    <cellStyle name="20% - Accent2 2 3 2 2 2 3 4" xfId="24849" xr:uid="{00000000-0005-0000-0000-000037090000}"/>
    <cellStyle name="20% - Accent2 2 3 2 2 2 3 4 2" xfId="44038" xr:uid="{00000000-0005-0000-0000-000038090000}"/>
    <cellStyle name="20% - Accent2 2 3 2 2 2 3 5" xfId="34340" xr:uid="{00000000-0005-0000-0000-000039090000}"/>
    <cellStyle name="20% - Accent2 2 3 2 2 2 4" xfId="15030" xr:uid="{00000000-0005-0000-0000-00003A090000}"/>
    <cellStyle name="20% - Accent2 2 3 2 2 2 4 2" xfId="19494" xr:uid="{00000000-0005-0000-0000-00003B090000}"/>
    <cellStyle name="20% - Accent2 2 3 2 2 2 4 2 2" xfId="29862" xr:uid="{00000000-0005-0000-0000-00003C090000}"/>
    <cellStyle name="20% - Accent2 2 3 2 2 2 4 2 2 2" xfId="49051" xr:uid="{00000000-0005-0000-0000-00003D090000}"/>
    <cellStyle name="20% - Accent2 2 3 2 2 2 4 2 3" xfId="39353" xr:uid="{00000000-0005-0000-0000-00003E090000}"/>
    <cellStyle name="20% - Accent2 2 3 2 2 2 4 3" xfId="25407" xr:uid="{00000000-0005-0000-0000-00003F090000}"/>
    <cellStyle name="20% - Accent2 2 3 2 2 2 4 3 2" xfId="44596" xr:uid="{00000000-0005-0000-0000-000040090000}"/>
    <cellStyle name="20% - Accent2 2 3 2 2 2 4 4" xfId="34898" xr:uid="{00000000-0005-0000-0000-000041090000}"/>
    <cellStyle name="20% - Accent2 2 3 2 2 2 5" xfId="16700" xr:uid="{00000000-0005-0000-0000-000042090000}"/>
    <cellStyle name="20% - Accent2 2 3 2 2 2 5 2" xfId="21164" xr:uid="{00000000-0005-0000-0000-000043090000}"/>
    <cellStyle name="20% - Accent2 2 3 2 2 2 5 2 2" xfId="31532" xr:uid="{00000000-0005-0000-0000-000044090000}"/>
    <cellStyle name="20% - Accent2 2 3 2 2 2 5 2 2 2" xfId="50721" xr:uid="{00000000-0005-0000-0000-000045090000}"/>
    <cellStyle name="20% - Accent2 2 3 2 2 2 5 2 3" xfId="41023" xr:uid="{00000000-0005-0000-0000-000046090000}"/>
    <cellStyle name="20% - Accent2 2 3 2 2 2 5 3" xfId="27077" xr:uid="{00000000-0005-0000-0000-000047090000}"/>
    <cellStyle name="20% - Accent2 2 3 2 2 2 5 3 2" xfId="46266" xr:uid="{00000000-0005-0000-0000-000048090000}"/>
    <cellStyle name="20% - Accent2 2 3 2 2 2 5 4" xfId="36568" xr:uid="{00000000-0005-0000-0000-000049090000}"/>
    <cellStyle name="20% - Accent2 2 3 2 2 2 6" xfId="17266" xr:uid="{00000000-0005-0000-0000-00004A090000}"/>
    <cellStyle name="20% - Accent2 2 3 2 2 2 6 2" xfId="21721" xr:uid="{00000000-0005-0000-0000-00004B090000}"/>
    <cellStyle name="20% - Accent2 2 3 2 2 2 6 2 2" xfId="32089" xr:uid="{00000000-0005-0000-0000-00004C090000}"/>
    <cellStyle name="20% - Accent2 2 3 2 2 2 6 2 2 2" xfId="51278" xr:uid="{00000000-0005-0000-0000-00004D090000}"/>
    <cellStyle name="20% - Accent2 2 3 2 2 2 6 2 3" xfId="41580" xr:uid="{00000000-0005-0000-0000-00004E090000}"/>
    <cellStyle name="20% - Accent2 2 3 2 2 2 6 3" xfId="27634" xr:uid="{00000000-0005-0000-0000-00004F090000}"/>
    <cellStyle name="20% - Accent2 2 3 2 2 2 6 3 2" xfId="46823" xr:uid="{00000000-0005-0000-0000-000050090000}"/>
    <cellStyle name="20% - Accent2 2 3 2 2 2 6 4" xfId="37125" xr:uid="{00000000-0005-0000-0000-000051090000}"/>
    <cellStyle name="20% - Accent2 2 3 2 2 2 7" xfId="17823" xr:uid="{00000000-0005-0000-0000-000052090000}"/>
    <cellStyle name="20% - Accent2 2 3 2 2 2 7 2" xfId="28191" xr:uid="{00000000-0005-0000-0000-000053090000}"/>
    <cellStyle name="20% - Accent2 2 3 2 2 2 7 2 2" xfId="47380" xr:uid="{00000000-0005-0000-0000-000054090000}"/>
    <cellStyle name="20% - Accent2 2 3 2 2 2 7 3" xfId="37682" xr:uid="{00000000-0005-0000-0000-000055090000}"/>
    <cellStyle name="20% - Accent2 2 3 2 2 2 8" xfId="23686" xr:uid="{00000000-0005-0000-0000-000056090000}"/>
    <cellStyle name="20% - Accent2 2 3 2 2 2 8 2" xfId="42925" xr:uid="{00000000-0005-0000-0000-000057090000}"/>
    <cellStyle name="20% - Accent2 2 3 2 2 2 9" xfId="33227" xr:uid="{00000000-0005-0000-0000-000058090000}"/>
    <cellStyle name="20% - Accent2 2 3 2 2 3" xfId="12926" xr:uid="{00000000-0005-0000-0000-000059090000}"/>
    <cellStyle name="20% - Accent2 2 3 2 2 3 2" xfId="13880" xr:uid="{00000000-0005-0000-0000-00005A090000}"/>
    <cellStyle name="20% - Accent2 2 3 2 2 3 2 2" xfId="16144" xr:uid="{00000000-0005-0000-0000-00005B090000}"/>
    <cellStyle name="20% - Accent2 2 3 2 2 3 2 2 2" xfId="20608" xr:uid="{00000000-0005-0000-0000-00005C090000}"/>
    <cellStyle name="20% - Accent2 2 3 2 2 3 2 2 2 2" xfId="30976" xr:uid="{00000000-0005-0000-0000-00005D090000}"/>
    <cellStyle name="20% - Accent2 2 3 2 2 3 2 2 2 2 2" xfId="50165" xr:uid="{00000000-0005-0000-0000-00005E090000}"/>
    <cellStyle name="20% - Accent2 2 3 2 2 3 2 2 2 3" xfId="40467" xr:uid="{00000000-0005-0000-0000-00005F090000}"/>
    <cellStyle name="20% - Accent2 2 3 2 2 3 2 2 3" xfId="26521" xr:uid="{00000000-0005-0000-0000-000060090000}"/>
    <cellStyle name="20% - Accent2 2 3 2 2 3 2 2 3 2" xfId="45710" xr:uid="{00000000-0005-0000-0000-000061090000}"/>
    <cellStyle name="20% - Accent2 2 3 2 2 3 2 2 4" xfId="36012" xr:uid="{00000000-0005-0000-0000-000062090000}"/>
    <cellStyle name="20% - Accent2 2 3 2 2 3 2 3" xfId="18380" xr:uid="{00000000-0005-0000-0000-000063090000}"/>
    <cellStyle name="20% - Accent2 2 3 2 2 3 2 3 2" xfId="28748" xr:uid="{00000000-0005-0000-0000-000064090000}"/>
    <cellStyle name="20% - Accent2 2 3 2 2 3 2 3 2 2" xfId="47937" xr:uid="{00000000-0005-0000-0000-000065090000}"/>
    <cellStyle name="20% - Accent2 2 3 2 2 3 2 3 3" xfId="38239" xr:uid="{00000000-0005-0000-0000-000066090000}"/>
    <cellStyle name="20% - Accent2 2 3 2 2 3 2 4" xfId="24288" xr:uid="{00000000-0005-0000-0000-000067090000}"/>
    <cellStyle name="20% - Accent2 2 3 2 2 3 2 4 2" xfId="43482" xr:uid="{00000000-0005-0000-0000-000068090000}"/>
    <cellStyle name="20% - Accent2 2 3 2 2 3 2 5" xfId="33784" xr:uid="{00000000-0005-0000-0000-000069090000}"/>
    <cellStyle name="20% - Accent2 2 3 2 2 3 3" xfId="14459" xr:uid="{00000000-0005-0000-0000-00006A090000}"/>
    <cellStyle name="20% - Accent2 2 3 2 2 3 3 2" xfId="15588" xr:uid="{00000000-0005-0000-0000-00006B090000}"/>
    <cellStyle name="20% - Accent2 2 3 2 2 3 3 2 2" xfId="20052" xr:uid="{00000000-0005-0000-0000-00006C090000}"/>
    <cellStyle name="20% - Accent2 2 3 2 2 3 3 2 2 2" xfId="30420" xr:uid="{00000000-0005-0000-0000-00006D090000}"/>
    <cellStyle name="20% - Accent2 2 3 2 2 3 3 2 2 2 2" xfId="49609" xr:uid="{00000000-0005-0000-0000-00006E090000}"/>
    <cellStyle name="20% - Accent2 2 3 2 2 3 3 2 2 3" xfId="39911" xr:uid="{00000000-0005-0000-0000-00006F090000}"/>
    <cellStyle name="20% - Accent2 2 3 2 2 3 3 2 3" xfId="25965" xr:uid="{00000000-0005-0000-0000-000070090000}"/>
    <cellStyle name="20% - Accent2 2 3 2 2 3 3 2 3 2" xfId="45154" xr:uid="{00000000-0005-0000-0000-000071090000}"/>
    <cellStyle name="20% - Accent2 2 3 2 2 3 3 2 4" xfId="35456" xr:uid="{00000000-0005-0000-0000-000072090000}"/>
    <cellStyle name="20% - Accent2 2 3 2 2 3 3 3" xfId="18937" xr:uid="{00000000-0005-0000-0000-000073090000}"/>
    <cellStyle name="20% - Accent2 2 3 2 2 3 3 3 2" xfId="29305" xr:uid="{00000000-0005-0000-0000-000074090000}"/>
    <cellStyle name="20% - Accent2 2 3 2 2 3 3 3 2 2" xfId="48494" xr:uid="{00000000-0005-0000-0000-000075090000}"/>
    <cellStyle name="20% - Accent2 2 3 2 2 3 3 3 3" xfId="38796" xr:uid="{00000000-0005-0000-0000-000076090000}"/>
    <cellStyle name="20% - Accent2 2 3 2 2 3 3 4" xfId="24850" xr:uid="{00000000-0005-0000-0000-000077090000}"/>
    <cellStyle name="20% - Accent2 2 3 2 2 3 3 4 2" xfId="44039" xr:uid="{00000000-0005-0000-0000-000078090000}"/>
    <cellStyle name="20% - Accent2 2 3 2 2 3 3 5" xfId="34341" xr:uid="{00000000-0005-0000-0000-000079090000}"/>
    <cellStyle name="20% - Accent2 2 3 2 2 3 4" xfId="15031" xr:uid="{00000000-0005-0000-0000-00007A090000}"/>
    <cellStyle name="20% - Accent2 2 3 2 2 3 4 2" xfId="19495" xr:uid="{00000000-0005-0000-0000-00007B090000}"/>
    <cellStyle name="20% - Accent2 2 3 2 2 3 4 2 2" xfId="29863" xr:uid="{00000000-0005-0000-0000-00007C090000}"/>
    <cellStyle name="20% - Accent2 2 3 2 2 3 4 2 2 2" xfId="49052" xr:uid="{00000000-0005-0000-0000-00007D090000}"/>
    <cellStyle name="20% - Accent2 2 3 2 2 3 4 2 3" xfId="39354" xr:uid="{00000000-0005-0000-0000-00007E090000}"/>
    <cellStyle name="20% - Accent2 2 3 2 2 3 4 3" xfId="25408" xr:uid="{00000000-0005-0000-0000-00007F090000}"/>
    <cellStyle name="20% - Accent2 2 3 2 2 3 4 3 2" xfId="44597" xr:uid="{00000000-0005-0000-0000-000080090000}"/>
    <cellStyle name="20% - Accent2 2 3 2 2 3 4 4" xfId="34899" xr:uid="{00000000-0005-0000-0000-000081090000}"/>
    <cellStyle name="20% - Accent2 2 3 2 2 3 5" xfId="16701" xr:uid="{00000000-0005-0000-0000-000082090000}"/>
    <cellStyle name="20% - Accent2 2 3 2 2 3 5 2" xfId="21165" xr:uid="{00000000-0005-0000-0000-000083090000}"/>
    <cellStyle name="20% - Accent2 2 3 2 2 3 5 2 2" xfId="31533" xr:uid="{00000000-0005-0000-0000-000084090000}"/>
    <cellStyle name="20% - Accent2 2 3 2 2 3 5 2 2 2" xfId="50722" xr:uid="{00000000-0005-0000-0000-000085090000}"/>
    <cellStyle name="20% - Accent2 2 3 2 2 3 5 2 3" xfId="41024" xr:uid="{00000000-0005-0000-0000-000086090000}"/>
    <cellStyle name="20% - Accent2 2 3 2 2 3 5 3" xfId="27078" xr:uid="{00000000-0005-0000-0000-000087090000}"/>
    <cellStyle name="20% - Accent2 2 3 2 2 3 5 3 2" xfId="46267" xr:uid="{00000000-0005-0000-0000-000088090000}"/>
    <cellStyle name="20% - Accent2 2 3 2 2 3 5 4" xfId="36569" xr:uid="{00000000-0005-0000-0000-000089090000}"/>
    <cellStyle name="20% - Accent2 2 3 2 2 3 6" xfId="17267" xr:uid="{00000000-0005-0000-0000-00008A090000}"/>
    <cellStyle name="20% - Accent2 2 3 2 2 3 6 2" xfId="21722" xr:uid="{00000000-0005-0000-0000-00008B090000}"/>
    <cellStyle name="20% - Accent2 2 3 2 2 3 6 2 2" xfId="32090" xr:uid="{00000000-0005-0000-0000-00008C090000}"/>
    <cellStyle name="20% - Accent2 2 3 2 2 3 6 2 2 2" xfId="51279" xr:uid="{00000000-0005-0000-0000-00008D090000}"/>
    <cellStyle name="20% - Accent2 2 3 2 2 3 6 2 3" xfId="41581" xr:uid="{00000000-0005-0000-0000-00008E090000}"/>
    <cellStyle name="20% - Accent2 2 3 2 2 3 6 3" xfId="27635" xr:uid="{00000000-0005-0000-0000-00008F090000}"/>
    <cellStyle name="20% - Accent2 2 3 2 2 3 6 3 2" xfId="46824" xr:uid="{00000000-0005-0000-0000-000090090000}"/>
    <cellStyle name="20% - Accent2 2 3 2 2 3 6 4" xfId="37126" xr:uid="{00000000-0005-0000-0000-000091090000}"/>
    <cellStyle name="20% - Accent2 2 3 2 2 3 7" xfId="17824" xr:uid="{00000000-0005-0000-0000-000092090000}"/>
    <cellStyle name="20% - Accent2 2 3 2 2 3 7 2" xfId="28192" xr:uid="{00000000-0005-0000-0000-000093090000}"/>
    <cellStyle name="20% - Accent2 2 3 2 2 3 7 2 2" xfId="47381" xr:uid="{00000000-0005-0000-0000-000094090000}"/>
    <cellStyle name="20% - Accent2 2 3 2 2 3 7 3" xfId="37683" xr:uid="{00000000-0005-0000-0000-000095090000}"/>
    <cellStyle name="20% - Accent2 2 3 2 2 3 8" xfId="23687" xr:uid="{00000000-0005-0000-0000-000096090000}"/>
    <cellStyle name="20% - Accent2 2 3 2 2 3 8 2" xfId="42926" xr:uid="{00000000-0005-0000-0000-000097090000}"/>
    <cellStyle name="20% - Accent2 2 3 2 2 3 9" xfId="33228" xr:uid="{00000000-0005-0000-0000-000098090000}"/>
    <cellStyle name="20% - Accent2 2 3 2 2 4" xfId="13878" xr:uid="{00000000-0005-0000-0000-000099090000}"/>
    <cellStyle name="20% - Accent2 2 3 2 2 4 2" xfId="16142" xr:uid="{00000000-0005-0000-0000-00009A090000}"/>
    <cellStyle name="20% - Accent2 2 3 2 2 4 2 2" xfId="20606" xr:uid="{00000000-0005-0000-0000-00009B090000}"/>
    <cellStyle name="20% - Accent2 2 3 2 2 4 2 2 2" xfId="30974" xr:uid="{00000000-0005-0000-0000-00009C090000}"/>
    <cellStyle name="20% - Accent2 2 3 2 2 4 2 2 2 2" xfId="50163" xr:uid="{00000000-0005-0000-0000-00009D090000}"/>
    <cellStyle name="20% - Accent2 2 3 2 2 4 2 2 3" xfId="40465" xr:uid="{00000000-0005-0000-0000-00009E090000}"/>
    <cellStyle name="20% - Accent2 2 3 2 2 4 2 3" xfId="26519" xr:uid="{00000000-0005-0000-0000-00009F090000}"/>
    <cellStyle name="20% - Accent2 2 3 2 2 4 2 3 2" xfId="45708" xr:uid="{00000000-0005-0000-0000-0000A0090000}"/>
    <cellStyle name="20% - Accent2 2 3 2 2 4 2 4" xfId="36010" xr:uid="{00000000-0005-0000-0000-0000A1090000}"/>
    <cellStyle name="20% - Accent2 2 3 2 2 4 3" xfId="18378" xr:uid="{00000000-0005-0000-0000-0000A2090000}"/>
    <cellStyle name="20% - Accent2 2 3 2 2 4 3 2" xfId="28746" xr:uid="{00000000-0005-0000-0000-0000A3090000}"/>
    <cellStyle name="20% - Accent2 2 3 2 2 4 3 2 2" xfId="47935" xr:uid="{00000000-0005-0000-0000-0000A4090000}"/>
    <cellStyle name="20% - Accent2 2 3 2 2 4 3 3" xfId="38237" xr:uid="{00000000-0005-0000-0000-0000A5090000}"/>
    <cellStyle name="20% - Accent2 2 3 2 2 4 4" xfId="24286" xr:uid="{00000000-0005-0000-0000-0000A6090000}"/>
    <cellStyle name="20% - Accent2 2 3 2 2 4 4 2" xfId="43480" xr:uid="{00000000-0005-0000-0000-0000A7090000}"/>
    <cellStyle name="20% - Accent2 2 3 2 2 4 5" xfId="33782" xr:uid="{00000000-0005-0000-0000-0000A8090000}"/>
    <cellStyle name="20% - Accent2 2 3 2 2 5" xfId="14457" xr:uid="{00000000-0005-0000-0000-0000A9090000}"/>
    <cellStyle name="20% - Accent2 2 3 2 2 5 2" xfId="15586" xr:uid="{00000000-0005-0000-0000-0000AA090000}"/>
    <cellStyle name="20% - Accent2 2 3 2 2 5 2 2" xfId="20050" xr:uid="{00000000-0005-0000-0000-0000AB090000}"/>
    <cellStyle name="20% - Accent2 2 3 2 2 5 2 2 2" xfId="30418" xr:uid="{00000000-0005-0000-0000-0000AC090000}"/>
    <cellStyle name="20% - Accent2 2 3 2 2 5 2 2 2 2" xfId="49607" xr:uid="{00000000-0005-0000-0000-0000AD090000}"/>
    <cellStyle name="20% - Accent2 2 3 2 2 5 2 2 3" xfId="39909" xr:uid="{00000000-0005-0000-0000-0000AE090000}"/>
    <cellStyle name="20% - Accent2 2 3 2 2 5 2 3" xfId="25963" xr:uid="{00000000-0005-0000-0000-0000AF090000}"/>
    <cellStyle name="20% - Accent2 2 3 2 2 5 2 3 2" xfId="45152" xr:uid="{00000000-0005-0000-0000-0000B0090000}"/>
    <cellStyle name="20% - Accent2 2 3 2 2 5 2 4" xfId="35454" xr:uid="{00000000-0005-0000-0000-0000B1090000}"/>
    <cellStyle name="20% - Accent2 2 3 2 2 5 3" xfId="18935" xr:uid="{00000000-0005-0000-0000-0000B2090000}"/>
    <cellStyle name="20% - Accent2 2 3 2 2 5 3 2" xfId="29303" xr:uid="{00000000-0005-0000-0000-0000B3090000}"/>
    <cellStyle name="20% - Accent2 2 3 2 2 5 3 2 2" xfId="48492" xr:uid="{00000000-0005-0000-0000-0000B4090000}"/>
    <cellStyle name="20% - Accent2 2 3 2 2 5 3 3" xfId="38794" xr:uid="{00000000-0005-0000-0000-0000B5090000}"/>
    <cellStyle name="20% - Accent2 2 3 2 2 5 4" xfId="24848" xr:uid="{00000000-0005-0000-0000-0000B6090000}"/>
    <cellStyle name="20% - Accent2 2 3 2 2 5 4 2" xfId="44037" xr:uid="{00000000-0005-0000-0000-0000B7090000}"/>
    <cellStyle name="20% - Accent2 2 3 2 2 5 5" xfId="34339" xr:uid="{00000000-0005-0000-0000-0000B8090000}"/>
    <cellStyle name="20% - Accent2 2 3 2 2 6" xfId="15029" xr:uid="{00000000-0005-0000-0000-0000B9090000}"/>
    <cellStyle name="20% - Accent2 2 3 2 2 6 2" xfId="19493" xr:uid="{00000000-0005-0000-0000-0000BA090000}"/>
    <cellStyle name="20% - Accent2 2 3 2 2 6 2 2" xfId="29861" xr:uid="{00000000-0005-0000-0000-0000BB090000}"/>
    <cellStyle name="20% - Accent2 2 3 2 2 6 2 2 2" xfId="49050" xr:uid="{00000000-0005-0000-0000-0000BC090000}"/>
    <cellStyle name="20% - Accent2 2 3 2 2 6 2 3" xfId="39352" xr:uid="{00000000-0005-0000-0000-0000BD090000}"/>
    <cellStyle name="20% - Accent2 2 3 2 2 6 3" xfId="25406" xr:uid="{00000000-0005-0000-0000-0000BE090000}"/>
    <cellStyle name="20% - Accent2 2 3 2 2 6 3 2" xfId="44595" xr:uid="{00000000-0005-0000-0000-0000BF090000}"/>
    <cellStyle name="20% - Accent2 2 3 2 2 6 4" xfId="34897" xr:uid="{00000000-0005-0000-0000-0000C0090000}"/>
    <cellStyle name="20% - Accent2 2 3 2 2 7" xfId="16699" xr:uid="{00000000-0005-0000-0000-0000C1090000}"/>
    <cellStyle name="20% - Accent2 2 3 2 2 7 2" xfId="21163" xr:uid="{00000000-0005-0000-0000-0000C2090000}"/>
    <cellStyle name="20% - Accent2 2 3 2 2 7 2 2" xfId="31531" xr:uid="{00000000-0005-0000-0000-0000C3090000}"/>
    <cellStyle name="20% - Accent2 2 3 2 2 7 2 2 2" xfId="50720" xr:uid="{00000000-0005-0000-0000-0000C4090000}"/>
    <cellStyle name="20% - Accent2 2 3 2 2 7 2 3" xfId="41022" xr:uid="{00000000-0005-0000-0000-0000C5090000}"/>
    <cellStyle name="20% - Accent2 2 3 2 2 7 3" xfId="27076" xr:uid="{00000000-0005-0000-0000-0000C6090000}"/>
    <cellStyle name="20% - Accent2 2 3 2 2 7 3 2" xfId="46265" xr:uid="{00000000-0005-0000-0000-0000C7090000}"/>
    <cellStyle name="20% - Accent2 2 3 2 2 7 4" xfId="36567" xr:uid="{00000000-0005-0000-0000-0000C8090000}"/>
    <cellStyle name="20% - Accent2 2 3 2 2 8" xfId="17265" xr:uid="{00000000-0005-0000-0000-0000C9090000}"/>
    <cellStyle name="20% - Accent2 2 3 2 2 8 2" xfId="21720" xr:uid="{00000000-0005-0000-0000-0000CA090000}"/>
    <cellStyle name="20% - Accent2 2 3 2 2 8 2 2" xfId="32088" xr:uid="{00000000-0005-0000-0000-0000CB090000}"/>
    <cellStyle name="20% - Accent2 2 3 2 2 8 2 2 2" xfId="51277" xr:uid="{00000000-0005-0000-0000-0000CC090000}"/>
    <cellStyle name="20% - Accent2 2 3 2 2 8 2 3" xfId="41579" xr:uid="{00000000-0005-0000-0000-0000CD090000}"/>
    <cellStyle name="20% - Accent2 2 3 2 2 8 3" xfId="27633" xr:uid="{00000000-0005-0000-0000-0000CE090000}"/>
    <cellStyle name="20% - Accent2 2 3 2 2 8 3 2" xfId="46822" xr:uid="{00000000-0005-0000-0000-0000CF090000}"/>
    <cellStyle name="20% - Accent2 2 3 2 2 8 4" xfId="37124" xr:uid="{00000000-0005-0000-0000-0000D0090000}"/>
    <cellStyle name="20% - Accent2 2 3 2 2 9" xfId="17822" xr:uid="{00000000-0005-0000-0000-0000D1090000}"/>
    <cellStyle name="20% - Accent2 2 3 2 2 9 2" xfId="28190" xr:uid="{00000000-0005-0000-0000-0000D2090000}"/>
    <cellStyle name="20% - Accent2 2 3 2 2 9 2 2" xfId="47379" xr:uid="{00000000-0005-0000-0000-0000D3090000}"/>
    <cellStyle name="20% - Accent2 2 3 2 2 9 3" xfId="37681" xr:uid="{00000000-0005-0000-0000-0000D4090000}"/>
    <cellStyle name="20% - Accent2 2 3 2 3" xfId="12927" xr:uid="{00000000-0005-0000-0000-0000D5090000}"/>
    <cellStyle name="20% - Accent2 2 3 2 3 10" xfId="53617" xr:uid="{00000000-0005-0000-0000-0000D6090000}"/>
    <cellStyle name="20% - Accent2 2 3 2 3 2" xfId="13881" xr:uid="{00000000-0005-0000-0000-0000D7090000}"/>
    <cellStyle name="20% - Accent2 2 3 2 3 2 2" xfId="16145" xr:uid="{00000000-0005-0000-0000-0000D8090000}"/>
    <cellStyle name="20% - Accent2 2 3 2 3 2 2 2" xfId="20609" xr:uid="{00000000-0005-0000-0000-0000D9090000}"/>
    <cellStyle name="20% - Accent2 2 3 2 3 2 2 2 2" xfId="30977" xr:uid="{00000000-0005-0000-0000-0000DA090000}"/>
    <cellStyle name="20% - Accent2 2 3 2 3 2 2 2 2 2" xfId="50166" xr:uid="{00000000-0005-0000-0000-0000DB090000}"/>
    <cellStyle name="20% - Accent2 2 3 2 3 2 2 2 3" xfId="40468" xr:uid="{00000000-0005-0000-0000-0000DC090000}"/>
    <cellStyle name="20% - Accent2 2 3 2 3 2 2 3" xfId="26522" xr:uid="{00000000-0005-0000-0000-0000DD090000}"/>
    <cellStyle name="20% - Accent2 2 3 2 3 2 2 3 2" xfId="45711" xr:uid="{00000000-0005-0000-0000-0000DE090000}"/>
    <cellStyle name="20% - Accent2 2 3 2 3 2 2 4" xfId="36013" xr:uid="{00000000-0005-0000-0000-0000DF090000}"/>
    <cellStyle name="20% - Accent2 2 3 2 3 2 3" xfId="18381" xr:uid="{00000000-0005-0000-0000-0000E0090000}"/>
    <cellStyle name="20% - Accent2 2 3 2 3 2 3 2" xfId="28749" xr:uid="{00000000-0005-0000-0000-0000E1090000}"/>
    <cellStyle name="20% - Accent2 2 3 2 3 2 3 2 2" xfId="47938" xr:uid="{00000000-0005-0000-0000-0000E2090000}"/>
    <cellStyle name="20% - Accent2 2 3 2 3 2 3 3" xfId="38240" xr:uid="{00000000-0005-0000-0000-0000E3090000}"/>
    <cellStyle name="20% - Accent2 2 3 2 3 2 4" xfId="24289" xr:uid="{00000000-0005-0000-0000-0000E4090000}"/>
    <cellStyle name="20% - Accent2 2 3 2 3 2 4 2" xfId="43483" xr:uid="{00000000-0005-0000-0000-0000E5090000}"/>
    <cellStyle name="20% - Accent2 2 3 2 3 2 5" xfId="33785" xr:uid="{00000000-0005-0000-0000-0000E6090000}"/>
    <cellStyle name="20% - Accent2 2 3 2 3 3" xfId="14460" xr:uid="{00000000-0005-0000-0000-0000E7090000}"/>
    <cellStyle name="20% - Accent2 2 3 2 3 3 2" xfId="15589" xr:uid="{00000000-0005-0000-0000-0000E8090000}"/>
    <cellStyle name="20% - Accent2 2 3 2 3 3 2 2" xfId="20053" xr:uid="{00000000-0005-0000-0000-0000E9090000}"/>
    <cellStyle name="20% - Accent2 2 3 2 3 3 2 2 2" xfId="30421" xr:uid="{00000000-0005-0000-0000-0000EA090000}"/>
    <cellStyle name="20% - Accent2 2 3 2 3 3 2 2 2 2" xfId="49610" xr:uid="{00000000-0005-0000-0000-0000EB090000}"/>
    <cellStyle name="20% - Accent2 2 3 2 3 3 2 2 3" xfId="39912" xr:uid="{00000000-0005-0000-0000-0000EC090000}"/>
    <cellStyle name="20% - Accent2 2 3 2 3 3 2 3" xfId="25966" xr:uid="{00000000-0005-0000-0000-0000ED090000}"/>
    <cellStyle name="20% - Accent2 2 3 2 3 3 2 3 2" xfId="45155" xr:uid="{00000000-0005-0000-0000-0000EE090000}"/>
    <cellStyle name="20% - Accent2 2 3 2 3 3 2 4" xfId="35457" xr:uid="{00000000-0005-0000-0000-0000EF090000}"/>
    <cellStyle name="20% - Accent2 2 3 2 3 3 3" xfId="18938" xr:uid="{00000000-0005-0000-0000-0000F0090000}"/>
    <cellStyle name="20% - Accent2 2 3 2 3 3 3 2" xfId="29306" xr:uid="{00000000-0005-0000-0000-0000F1090000}"/>
    <cellStyle name="20% - Accent2 2 3 2 3 3 3 2 2" xfId="48495" xr:uid="{00000000-0005-0000-0000-0000F2090000}"/>
    <cellStyle name="20% - Accent2 2 3 2 3 3 3 3" xfId="38797" xr:uid="{00000000-0005-0000-0000-0000F3090000}"/>
    <cellStyle name="20% - Accent2 2 3 2 3 3 4" xfId="24851" xr:uid="{00000000-0005-0000-0000-0000F4090000}"/>
    <cellStyle name="20% - Accent2 2 3 2 3 3 4 2" xfId="44040" xr:uid="{00000000-0005-0000-0000-0000F5090000}"/>
    <cellStyle name="20% - Accent2 2 3 2 3 3 5" xfId="34342" xr:uid="{00000000-0005-0000-0000-0000F6090000}"/>
    <cellStyle name="20% - Accent2 2 3 2 3 4" xfId="15032" xr:uid="{00000000-0005-0000-0000-0000F7090000}"/>
    <cellStyle name="20% - Accent2 2 3 2 3 4 2" xfId="19496" xr:uid="{00000000-0005-0000-0000-0000F8090000}"/>
    <cellStyle name="20% - Accent2 2 3 2 3 4 2 2" xfId="29864" xr:uid="{00000000-0005-0000-0000-0000F9090000}"/>
    <cellStyle name="20% - Accent2 2 3 2 3 4 2 2 2" xfId="49053" xr:uid="{00000000-0005-0000-0000-0000FA090000}"/>
    <cellStyle name="20% - Accent2 2 3 2 3 4 2 3" xfId="39355" xr:uid="{00000000-0005-0000-0000-0000FB090000}"/>
    <cellStyle name="20% - Accent2 2 3 2 3 4 3" xfId="25409" xr:uid="{00000000-0005-0000-0000-0000FC090000}"/>
    <cellStyle name="20% - Accent2 2 3 2 3 4 3 2" xfId="44598" xr:uid="{00000000-0005-0000-0000-0000FD090000}"/>
    <cellStyle name="20% - Accent2 2 3 2 3 4 4" xfId="34900" xr:uid="{00000000-0005-0000-0000-0000FE090000}"/>
    <cellStyle name="20% - Accent2 2 3 2 3 5" xfId="16702" xr:uid="{00000000-0005-0000-0000-0000FF090000}"/>
    <cellStyle name="20% - Accent2 2 3 2 3 5 2" xfId="21166" xr:uid="{00000000-0005-0000-0000-0000000A0000}"/>
    <cellStyle name="20% - Accent2 2 3 2 3 5 2 2" xfId="31534" xr:uid="{00000000-0005-0000-0000-0000010A0000}"/>
    <cellStyle name="20% - Accent2 2 3 2 3 5 2 2 2" xfId="50723" xr:uid="{00000000-0005-0000-0000-0000020A0000}"/>
    <cellStyle name="20% - Accent2 2 3 2 3 5 2 3" xfId="41025" xr:uid="{00000000-0005-0000-0000-0000030A0000}"/>
    <cellStyle name="20% - Accent2 2 3 2 3 5 3" xfId="27079" xr:uid="{00000000-0005-0000-0000-0000040A0000}"/>
    <cellStyle name="20% - Accent2 2 3 2 3 5 3 2" xfId="46268" xr:uid="{00000000-0005-0000-0000-0000050A0000}"/>
    <cellStyle name="20% - Accent2 2 3 2 3 5 4" xfId="36570" xr:uid="{00000000-0005-0000-0000-0000060A0000}"/>
    <cellStyle name="20% - Accent2 2 3 2 3 6" xfId="17268" xr:uid="{00000000-0005-0000-0000-0000070A0000}"/>
    <cellStyle name="20% - Accent2 2 3 2 3 6 2" xfId="21723" xr:uid="{00000000-0005-0000-0000-0000080A0000}"/>
    <cellStyle name="20% - Accent2 2 3 2 3 6 2 2" xfId="32091" xr:uid="{00000000-0005-0000-0000-0000090A0000}"/>
    <cellStyle name="20% - Accent2 2 3 2 3 6 2 2 2" xfId="51280" xr:uid="{00000000-0005-0000-0000-00000A0A0000}"/>
    <cellStyle name="20% - Accent2 2 3 2 3 6 2 3" xfId="41582" xr:uid="{00000000-0005-0000-0000-00000B0A0000}"/>
    <cellStyle name="20% - Accent2 2 3 2 3 6 3" xfId="27636" xr:uid="{00000000-0005-0000-0000-00000C0A0000}"/>
    <cellStyle name="20% - Accent2 2 3 2 3 6 3 2" xfId="46825" xr:uid="{00000000-0005-0000-0000-00000D0A0000}"/>
    <cellStyle name="20% - Accent2 2 3 2 3 6 4" xfId="37127" xr:uid="{00000000-0005-0000-0000-00000E0A0000}"/>
    <cellStyle name="20% - Accent2 2 3 2 3 7" xfId="17825" xr:uid="{00000000-0005-0000-0000-00000F0A0000}"/>
    <cellStyle name="20% - Accent2 2 3 2 3 7 2" xfId="28193" xr:uid="{00000000-0005-0000-0000-0000100A0000}"/>
    <cellStyle name="20% - Accent2 2 3 2 3 7 2 2" xfId="47382" xr:uid="{00000000-0005-0000-0000-0000110A0000}"/>
    <cellStyle name="20% - Accent2 2 3 2 3 7 3" xfId="37684" xr:uid="{00000000-0005-0000-0000-0000120A0000}"/>
    <cellStyle name="20% - Accent2 2 3 2 3 8" xfId="23688" xr:uid="{00000000-0005-0000-0000-0000130A0000}"/>
    <cellStyle name="20% - Accent2 2 3 2 3 8 2" xfId="42927" xr:uid="{00000000-0005-0000-0000-0000140A0000}"/>
    <cellStyle name="20% - Accent2 2 3 2 3 9" xfId="33229" xr:uid="{00000000-0005-0000-0000-0000150A0000}"/>
    <cellStyle name="20% - Accent2 2 3 2 4" xfId="12928" xr:uid="{00000000-0005-0000-0000-0000160A0000}"/>
    <cellStyle name="20% - Accent2 2 3 2 4 2" xfId="13882" xr:uid="{00000000-0005-0000-0000-0000170A0000}"/>
    <cellStyle name="20% - Accent2 2 3 2 4 2 2" xfId="16146" xr:uid="{00000000-0005-0000-0000-0000180A0000}"/>
    <cellStyle name="20% - Accent2 2 3 2 4 2 2 2" xfId="20610" xr:uid="{00000000-0005-0000-0000-0000190A0000}"/>
    <cellStyle name="20% - Accent2 2 3 2 4 2 2 2 2" xfId="30978" xr:uid="{00000000-0005-0000-0000-00001A0A0000}"/>
    <cellStyle name="20% - Accent2 2 3 2 4 2 2 2 2 2" xfId="50167" xr:uid="{00000000-0005-0000-0000-00001B0A0000}"/>
    <cellStyle name="20% - Accent2 2 3 2 4 2 2 2 3" xfId="40469" xr:uid="{00000000-0005-0000-0000-00001C0A0000}"/>
    <cellStyle name="20% - Accent2 2 3 2 4 2 2 3" xfId="26523" xr:uid="{00000000-0005-0000-0000-00001D0A0000}"/>
    <cellStyle name="20% - Accent2 2 3 2 4 2 2 3 2" xfId="45712" xr:uid="{00000000-0005-0000-0000-00001E0A0000}"/>
    <cellStyle name="20% - Accent2 2 3 2 4 2 2 4" xfId="36014" xr:uid="{00000000-0005-0000-0000-00001F0A0000}"/>
    <cellStyle name="20% - Accent2 2 3 2 4 2 3" xfId="18382" xr:uid="{00000000-0005-0000-0000-0000200A0000}"/>
    <cellStyle name="20% - Accent2 2 3 2 4 2 3 2" xfId="28750" xr:uid="{00000000-0005-0000-0000-0000210A0000}"/>
    <cellStyle name="20% - Accent2 2 3 2 4 2 3 2 2" xfId="47939" xr:uid="{00000000-0005-0000-0000-0000220A0000}"/>
    <cellStyle name="20% - Accent2 2 3 2 4 2 3 3" xfId="38241" xr:uid="{00000000-0005-0000-0000-0000230A0000}"/>
    <cellStyle name="20% - Accent2 2 3 2 4 2 4" xfId="24290" xr:uid="{00000000-0005-0000-0000-0000240A0000}"/>
    <cellStyle name="20% - Accent2 2 3 2 4 2 4 2" xfId="43484" xr:uid="{00000000-0005-0000-0000-0000250A0000}"/>
    <cellStyle name="20% - Accent2 2 3 2 4 2 5" xfId="33786" xr:uid="{00000000-0005-0000-0000-0000260A0000}"/>
    <cellStyle name="20% - Accent2 2 3 2 4 3" xfId="14461" xr:uid="{00000000-0005-0000-0000-0000270A0000}"/>
    <cellStyle name="20% - Accent2 2 3 2 4 3 2" xfId="15590" xr:uid="{00000000-0005-0000-0000-0000280A0000}"/>
    <cellStyle name="20% - Accent2 2 3 2 4 3 2 2" xfId="20054" xr:uid="{00000000-0005-0000-0000-0000290A0000}"/>
    <cellStyle name="20% - Accent2 2 3 2 4 3 2 2 2" xfId="30422" xr:uid="{00000000-0005-0000-0000-00002A0A0000}"/>
    <cellStyle name="20% - Accent2 2 3 2 4 3 2 2 2 2" xfId="49611" xr:uid="{00000000-0005-0000-0000-00002B0A0000}"/>
    <cellStyle name="20% - Accent2 2 3 2 4 3 2 2 3" xfId="39913" xr:uid="{00000000-0005-0000-0000-00002C0A0000}"/>
    <cellStyle name="20% - Accent2 2 3 2 4 3 2 3" xfId="25967" xr:uid="{00000000-0005-0000-0000-00002D0A0000}"/>
    <cellStyle name="20% - Accent2 2 3 2 4 3 2 3 2" xfId="45156" xr:uid="{00000000-0005-0000-0000-00002E0A0000}"/>
    <cellStyle name="20% - Accent2 2 3 2 4 3 2 4" xfId="35458" xr:uid="{00000000-0005-0000-0000-00002F0A0000}"/>
    <cellStyle name="20% - Accent2 2 3 2 4 3 3" xfId="18939" xr:uid="{00000000-0005-0000-0000-0000300A0000}"/>
    <cellStyle name="20% - Accent2 2 3 2 4 3 3 2" xfId="29307" xr:uid="{00000000-0005-0000-0000-0000310A0000}"/>
    <cellStyle name="20% - Accent2 2 3 2 4 3 3 2 2" xfId="48496" xr:uid="{00000000-0005-0000-0000-0000320A0000}"/>
    <cellStyle name="20% - Accent2 2 3 2 4 3 3 3" xfId="38798" xr:uid="{00000000-0005-0000-0000-0000330A0000}"/>
    <cellStyle name="20% - Accent2 2 3 2 4 3 4" xfId="24852" xr:uid="{00000000-0005-0000-0000-0000340A0000}"/>
    <cellStyle name="20% - Accent2 2 3 2 4 3 4 2" xfId="44041" xr:uid="{00000000-0005-0000-0000-0000350A0000}"/>
    <cellStyle name="20% - Accent2 2 3 2 4 3 5" xfId="34343" xr:uid="{00000000-0005-0000-0000-0000360A0000}"/>
    <cellStyle name="20% - Accent2 2 3 2 4 4" xfId="15033" xr:uid="{00000000-0005-0000-0000-0000370A0000}"/>
    <cellStyle name="20% - Accent2 2 3 2 4 4 2" xfId="19497" xr:uid="{00000000-0005-0000-0000-0000380A0000}"/>
    <cellStyle name="20% - Accent2 2 3 2 4 4 2 2" xfId="29865" xr:uid="{00000000-0005-0000-0000-0000390A0000}"/>
    <cellStyle name="20% - Accent2 2 3 2 4 4 2 2 2" xfId="49054" xr:uid="{00000000-0005-0000-0000-00003A0A0000}"/>
    <cellStyle name="20% - Accent2 2 3 2 4 4 2 3" xfId="39356" xr:uid="{00000000-0005-0000-0000-00003B0A0000}"/>
    <cellStyle name="20% - Accent2 2 3 2 4 4 3" xfId="25410" xr:uid="{00000000-0005-0000-0000-00003C0A0000}"/>
    <cellStyle name="20% - Accent2 2 3 2 4 4 3 2" xfId="44599" xr:uid="{00000000-0005-0000-0000-00003D0A0000}"/>
    <cellStyle name="20% - Accent2 2 3 2 4 4 4" xfId="34901" xr:uid="{00000000-0005-0000-0000-00003E0A0000}"/>
    <cellStyle name="20% - Accent2 2 3 2 4 5" xfId="16703" xr:uid="{00000000-0005-0000-0000-00003F0A0000}"/>
    <cellStyle name="20% - Accent2 2 3 2 4 5 2" xfId="21167" xr:uid="{00000000-0005-0000-0000-0000400A0000}"/>
    <cellStyle name="20% - Accent2 2 3 2 4 5 2 2" xfId="31535" xr:uid="{00000000-0005-0000-0000-0000410A0000}"/>
    <cellStyle name="20% - Accent2 2 3 2 4 5 2 2 2" xfId="50724" xr:uid="{00000000-0005-0000-0000-0000420A0000}"/>
    <cellStyle name="20% - Accent2 2 3 2 4 5 2 3" xfId="41026" xr:uid="{00000000-0005-0000-0000-0000430A0000}"/>
    <cellStyle name="20% - Accent2 2 3 2 4 5 3" xfId="27080" xr:uid="{00000000-0005-0000-0000-0000440A0000}"/>
    <cellStyle name="20% - Accent2 2 3 2 4 5 3 2" xfId="46269" xr:uid="{00000000-0005-0000-0000-0000450A0000}"/>
    <cellStyle name="20% - Accent2 2 3 2 4 5 4" xfId="36571" xr:uid="{00000000-0005-0000-0000-0000460A0000}"/>
    <cellStyle name="20% - Accent2 2 3 2 4 6" xfId="17269" xr:uid="{00000000-0005-0000-0000-0000470A0000}"/>
    <cellStyle name="20% - Accent2 2 3 2 4 6 2" xfId="21724" xr:uid="{00000000-0005-0000-0000-0000480A0000}"/>
    <cellStyle name="20% - Accent2 2 3 2 4 6 2 2" xfId="32092" xr:uid="{00000000-0005-0000-0000-0000490A0000}"/>
    <cellStyle name="20% - Accent2 2 3 2 4 6 2 2 2" xfId="51281" xr:uid="{00000000-0005-0000-0000-00004A0A0000}"/>
    <cellStyle name="20% - Accent2 2 3 2 4 6 2 3" xfId="41583" xr:uid="{00000000-0005-0000-0000-00004B0A0000}"/>
    <cellStyle name="20% - Accent2 2 3 2 4 6 3" xfId="27637" xr:uid="{00000000-0005-0000-0000-00004C0A0000}"/>
    <cellStyle name="20% - Accent2 2 3 2 4 6 3 2" xfId="46826" xr:uid="{00000000-0005-0000-0000-00004D0A0000}"/>
    <cellStyle name="20% - Accent2 2 3 2 4 6 4" xfId="37128" xr:uid="{00000000-0005-0000-0000-00004E0A0000}"/>
    <cellStyle name="20% - Accent2 2 3 2 4 7" xfId="17826" xr:uid="{00000000-0005-0000-0000-00004F0A0000}"/>
    <cellStyle name="20% - Accent2 2 3 2 4 7 2" xfId="28194" xr:uid="{00000000-0005-0000-0000-0000500A0000}"/>
    <cellStyle name="20% - Accent2 2 3 2 4 7 2 2" xfId="47383" xr:uid="{00000000-0005-0000-0000-0000510A0000}"/>
    <cellStyle name="20% - Accent2 2 3 2 4 7 3" xfId="37685" xr:uid="{00000000-0005-0000-0000-0000520A0000}"/>
    <cellStyle name="20% - Accent2 2 3 2 4 8" xfId="23689" xr:uid="{00000000-0005-0000-0000-0000530A0000}"/>
    <cellStyle name="20% - Accent2 2 3 2 4 8 2" xfId="42928" xr:uid="{00000000-0005-0000-0000-0000540A0000}"/>
    <cellStyle name="20% - Accent2 2 3 2 4 9" xfId="33230" xr:uid="{00000000-0005-0000-0000-0000550A0000}"/>
    <cellStyle name="20% - Accent2 2 3 2 5" xfId="13877" xr:uid="{00000000-0005-0000-0000-0000560A0000}"/>
    <cellStyle name="20% - Accent2 2 3 2 5 2" xfId="16141" xr:uid="{00000000-0005-0000-0000-0000570A0000}"/>
    <cellStyle name="20% - Accent2 2 3 2 5 2 2" xfId="20605" xr:uid="{00000000-0005-0000-0000-0000580A0000}"/>
    <cellStyle name="20% - Accent2 2 3 2 5 2 2 2" xfId="30973" xr:uid="{00000000-0005-0000-0000-0000590A0000}"/>
    <cellStyle name="20% - Accent2 2 3 2 5 2 2 2 2" xfId="50162" xr:uid="{00000000-0005-0000-0000-00005A0A0000}"/>
    <cellStyle name="20% - Accent2 2 3 2 5 2 2 3" xfId="40464" xr:uid="{00000000-0005-0000-0000-00005B0A0000}"/>
    <cellStyle name="20% - Accent2 2 3 2 5 2 3" xfId="26518" xr:uid="{00000000-0005-0000-0000-00005C0A0000}"/>
    <cellStyle name="20% - Accent2 2 3 2 5 2 3 2" xfId="45707" xr:uid="{00000000-0005-0000-0000-00005D0A0000}"/>
    <cellStyle name="20% - Accent2 2 3 2 5 2 4" xfId="36009" xr:uid="{00000000-0005-0000-0000-00005E0A0000}"/>
    <cellStyle name="20% - Accent2 2 3 2 5 3" xfId="18377" xr:uid="{00000000-0005-0000-0000-00005F0A0000}"/>
    <cellStyle name="20% - Accent2 2 3 2 5 3 2" xfId="28745" xr:uid="{00000000-0005-0000-0000-0000600A0000}"/>
    <cellStyle name="20% - Accent2 2 3 2 5 3 2 2" xfId="47934" xr:uid="{00000000-0005-0000-0000-0000610A0000}"/>
    <cellStyle name="20% - Accent2 2 3 2 5 3 3" xfId="38236" xr:uid="{00000000-0005-0000-0000-0000620A0000}"/>
    <cellStyle name="20% - Accent2 2 3 2 5 4" xfId="24285" xr:uid="{00000000-0005-0000-0000-0000630A0000}"/>
    <cellStyle name="20% - Accent2 2 3 2 5 4 2" xfId="43479" xr:uid="{00000000-0005-0000-0000-0000640A0000}"/>
    <cellStyle name="20% - Accent2 2 3 2 5 5" xfId="33781" xr:uid="{00000000-0005-0000-0000-0000650A0000}"/>
    <cellStyle name="20% - Accent2 2 3 2 6" xfId="14456" xr:uid="{00000000-0005-0000-0000-0000660A0000}"/>
    <cellStyle name="20% - Accent2 2 3 2 6 2" xfId="15585" xr:uid="{00000000-0005-0000-0000-0000670A0000}"/>
    <cellStyle name="20% - Accent2 2 3 2 6 2 2" xfId="20049" xr:uid="{00000000-0005-0000-0000-0000680A0000}"/>
    <cellStyle name="20% - Accent2 2 3 2 6 2 2 2" xfId="30417" xr:uid="{00000000-0005-0000-0000-0000690A0000}"/>
    <cellStyle name="20% - Accent2 2 3 2 6 2 2 2 2" xfId="49606" xr:uid="{00000000-0005-0000-0000-00006A0A0000}"/>
    <cellStyle name="20% - Accent2 2 3 2 6 2 2 3" xfId="39908" xr:uid="{00000000-0005-0000-0000-00006B0A0000}"/>
    <cellStyle name="20% - Accent2 2 3 2 6 2 3" xfId="25962" xr:uid="{00000000-0005-0000-0000-00006C0A0000}"/>
    <cellStyle name="20% - Accent2 2 3 2 6 2 3 2" xfId="45151" xr:uid="{00000000-0005-0000-0000-00006D0A0000}"/>
    <cellStyle name="20% - Accent2 2 3 2 6 2 4" xfId="35453" xr:uid="{00000000-0005-0000-0000-00006E0A0000}"/>
    <cellStyle name="20% - Accent2 2 3 2 6 3" xfId="18934" xr:uid="{00000000-0005-0000-0000-00006F0A0000}"/>
    <cellStyle name="20% - Accent2 2 3 2 6 3 2" xfId="29302" xr:uid="{00000000-0005-0000-0000-0000700A0000}"/>
    <cellStyle name="20% - Accent2 2 3 2 6 3 2 2" xfId="48491" xr:uid="{00000000-0005-0000-0000-0000710A0000}"/>
    <cellStyle name="20% - Accent2 2 3 2 6 3 3" xfId="38793" xr:uid="{00000000-0005-0000-0000-0000720A0000}"/>
    <cellStyle name="20% - Accent2 2 3 2 6 4" xfId="24847" xr:uid="{00000000-0005-0000-0000-0000730A0000}"/>
    <cellStyle name="20% - Accent2 2 3 2 6 4 2" xfId="44036" xr:uid="{00000000-0005-0000-0000-0000740A0000}"/>
    <cellStyle name="20% - Accent2 2 3 2 6 5" xfId="34338" xr:uid="{00000000-0005-0000-0000-0000750A0000}"/>
    <cellStyle name="20% - Accent2 2 3 2 7" xfId="15028" xr:uid="{00000000-0005-0000-0000-0000760A0000}"/>
    <cellStyle name="20% - Accent2 2 3 2 7 2" xfId="19492" xr:uid="{00000000-0005-0000-0000-0000770A0000}"/>
    <cellStyle name="20% - Accent2 2 3 2 7 2 2" xfId="29860" xr:uid="{00000000-0005-0000-0000-0000780A0000}"/>
    <cellStyle name="20% - Accent2 2 3 2 7 2 2 2" xfId="49049" xr:uid="{00000000-0005-0000-0000-0000790A0000}"/>
    <cellStyle name="20% - Accent2 2 3 2 7 2 3" xfId="39351" xr:uid="{00000000-0005-0000-0000-00007A0A0000}"/>
    <cellStyle name="20% - Accent2 2 3 2 7 3" xfId="25405" xr:uid="{00000000-0005-0000-0000-00007B0A0000}"/>
    <cellStyle name="20% - Accent2 2 3 2 7 3 2" xfId="44594" xr:uid="{00000000-0005-0000-0000-00007C0A0000}"/>
    <cellStyle name="20% - Accent2 2 3 2 7 4" xfId="34896" xr:uid="{00000000-0005-0000-0000-00007D0A0000}"/>
    <cellStyle name="20% - Accent2 2 3 2 8" xfId="16698" xr:uid="{00000000-0005-0000-0000-00007E0A0000}"/>
    <cellStyle name="20% - Accent2 2 3 2 8 2" xfId="21162" xr:uid="{00000000-0005-0000-0000-00007F0A0000}"/>
    <cellStyle name="20% - Accent2 2 3 2 8 2 2" xfId="31530" xr:uid="{00000000-0005-0000-0000-0000800A0000}"/>
    <cellStyle name="20% - Accent2 2 3 2 8 2 2 2" xfId="50719" xr:uid="{00000000-0005-0000-0000-0000810A0000}"/>
    <cellStyle name="20% - Accent2 2 3 2 8 2 3" xfId="41021" xr:uid="{00000000-0005-0000-0000-0000820A0000}"/>
    <cellStyle name="20% - Accent2 2 3 2 8 3" xfId="27075" xr:uid="{00000000-0005-0000-0000-0000830A0000}"/>
    <cellStyle name="20% - Accent2 2 3 2 8 3 2" xfId="46264" xr:uid="{00000000-0005-0000-0000-0000840A0000}"/>
    <cellStyle name="20% - Accent2 2 3 2 8 4" xfId="36566" xr:uid="{00000000-0005-0000-0000-0000850A0000}"/>
    <cellStyle name="20% - Accent2 2 3 2 9" xfId="17264" xr:uid="{00000000-0005-0000-0000-0000860A0000}"/>
    <cellStyle name="20% - Accent2 2 3 2 9 2" xfId="21719" xr:uid="{00000000-0005-0000-0000-0000870A0000}"/>
    <cellStyle name="20% - Accent2 2 3 2 9 2 2" xfId="32087" xr:uid="{00000000-0005-0000-0000-0000880A0000}"/>
    <cellStyle name="20% - Accent2 2 3 2 9 2 2 2" xfId="51276" xr:uid="{00000000-0005-0000-0000-0000890A0000}"/>
    <cellStyle name="20% - Accent2 2 3 2 9 2 3" xfId="41578" xr:uid="{00000000-0005-0000-0000-00008A0A0000}"/>
    <cellStyle name="20% - Accent2 2 3 2 9 3" xfId="27632" xr:uid="{00000000-0005-0000-0000-00008B0A0000}"/>
    <cellStyle name="20% - Accent2 2 3 2 9 3 2" xfId="46821" xr:uid="{00000000-0005-0000-0000-00008C0A0000}"/>
    <cellStyle name="20% - Accent2 2 3 2 9 4" xfId="37123" xr:uid="{00000000-0005-0000-0000-00008D0A0000}"/>
    <cellStyle name="20% - Accent2 2 3 3" xfId="1624" xr:uid="{00000000-0005-0000-0000-00008E0A0000}"/>
    <cellStyle name="20% - Accent2 2 3 3 10" xfId="23690" xr:uid="{00000000-0005-0000-0000-00008F0A0000}"/>
    <cellStyle name="20% - Accent2 2 3 3 10 2" xfId="42929" xr:uid="{00000000-0005-0000-0000-0000900A0000}"/>
    <cellStyle name="20% - Accent2 2 3 3 11" xfId="33231" xr:uid="{00000000-0005-0000-0000-0000910A0000}"/>
    <cellStyle name="20% - Accent2 2 3 3 12" xfId="52942" xr:uid="{00000000-0005-0000-0000-0000920A0000}"/>
    <cellStyle name="20% - Accent2 2 3 3 13" xfId="12929" xr:uid="{00000000-0005-0000-0000-0000930A0000}"/>
    <cellStyle name="20% - Accent2 2 3 3 2" xfId="12930" xr:uid="{00000000-0005-0000-0000-0000940A0000}"/>
    <cellStyle name="20% - Accent2 2 3 3 2 10" xfId="53817" xr:uid="{00000000-0005-0000-0000-0000950A0000}"/>
    <cellStyle name="20% - Accent2 2 3 3 2 2" xfId="13884" xr:uid="{00000000-0005-0000-0000-0000960A0000}"/>
    <cellStyle name="20% - Accent2 2 3 3 2 2 2" xfId="16148" xr:uid="{00000000-0005-0000-0000-0000970A0000}"/>
    <cellStyle name="20% - Accent2 2 3 3 2 2 2 2" xfId="20612" xr:uid="{00000000-0005-0000-0000-0000980A0000}"/>
    <cellStyle name="20% - Accent2 2 3 3 2 2 2 2 2" xfId="30980" xr:uid="{00000000-0005-0000-0000-0000990A0000}"/>
    <cellStyle name="20% - Accent2 2 3 3 2 2 2 2 2 2" xfId="50169" xr:uid="{00000000-0005-0000-0000-00009A0A0000}"/>
    <cellStyle name="20% - Accent2 2 3 3 2 2 2 2 3" xfId="40471" xr:uid="{00000000-0005-0000-0000-00009B0A0000}"/>
    <cellStyle name="20% - Accent2 2 3 3 2 2 2 3" xfId="26525" xr:uid="{00000000-0005-0000-0000-00009C0A0000}"/>
    <cellStyle name="20% - Accent2 2 3 3 2 2 2 3 2" xfId="45714" xr:uid="{00000000-0005-0000-0000-00009D0A0000}"/>
    <cellStyle name="20% - Accent2 2 3 3 2 2 2 4" xfId="36016" xr:uid="{00000000-0005-0000-0000-00009E0A0000}"/>
    <cellStyle name="20% - Accent2 2 3 3 2 2 3" xfId="18384" xr:uid="{00000000-0005-0000-0000-00009F0A0000}"/>
    <cellStyle name="20% - Accent2 2 3 3 2 2 3 2" xfId="28752" xr:uid="{00000000-0005-0000-0000-0000A00A0000}"/>
    <cellStyle name="20% - Accent2 2 3 3 2 2 3 2 2" xfId="47941" xr:uid="{00000000-0005-0000-0000-0000A10A0000}"/>
    <cellStyle name="20% - Accent2 2 3 3 2 2 3 3" xfId="38243" xr:uid="{00000000-0005-0000-0000-0000A20A0000}"/>
    <cellStyle name="20% - Accent2 2 3 3 2 2 4" xfId="24292" xr:uid="{00000000-0005-0000-0000-0000A30A0000}"/>
    <cellStyle name="20% - Accent2 2 3 3 2 2 4 2" xfId="43486" xr:uid="{00000000-0005-0000-0000-0000A40A0000}"/>
    <cellStyle name="20% - Accent2 2 3 3 2 2 5" xfId="33788" xr:uid="{00000000-0005-0000-0000-0000A50A0000}"/>
    <cellStyle name="20% - Accent2 2 3 3 2 3" xfId="14463" xr:uid="{00000000-0005-0000-0000-0000A60A0000}"/>
    <cellStyle name="20% - Accent2 2 3 3 2 3 2" xfId="15592" xr:uid="{00000000-0005-0000-0000-0000A70A0000}"/>
    <cellStyle name="20% - Accent2 2 3 3 2 3 2 2" xfId="20056" xr:uid="{00000000-0005-0000-0000-0000A80A0000}"/>
    <cellStyle name="20% - Accent2 2 3 3 2 3 2 2 2" xfId="30424" xr:uid="{00000000-0005-0000-0000-0000A90A0000}"/>
    <cellStyle name="20% - Accent2 2 3 3 2 3 2 2 2 2" xfId="49613" xr:uid="{00000000-0005-0000-0000-0000AA0A0000}"/>
    <cellStyle name="20% - Accent2 2 3 3 2 3 2 2 3" xfId="39915" xr:uid="{00000000-0005-0000-0000-0000AB0A0000}"/>
    <cellStyle name="20% - Accent2 2 3 3 2 3 2 3" xfId="25969" xr:uid="{00000000-0005-0000-0000-0000AC0A0000}"/>
    <cellStyle name="20% - Accent2 2 3 3 2 3 2 3 2" xfId="45158" xr:uid="{00000000-0005-0000-0000-0000AD0A0000}"/>
    <cellStyle name="20% - Accent2 2 3 3 2 3 2 4" xfId="35460" xr:uid="{00000000-0005-0000-0000-0000AE0A0000}"/>
    <cellStyle name="20% - Accent2 2 3 3 2 3 3" xfId="18941" xr:uid="{00000000-0005-0000-0000-0000AF0A0000}"/>
    <cellStyle name="20% - Accent2 2 3 3 2 3 3 2" xfId="29309" xr:uid="{00000000-0005-0000-0000-0000B00A0000}"/>
    <cellStyle name="20% - Accent2 2 3 3 2 3 3 2 2" xfId="48498" xr:uid="{00000000-0005-0000-0000-0000B10A0000}"/>
    <cellStyle name="20% - Accent2 2 3 3 2 3 3 3" xfId="38800" xr:uid="{00000000-0005-0000-0000-0000B20A0000}"/>
    <cellStyle name="20% - Accent2 2 3 3 2 3 4" xfId="24854" xr:uid="{00000000-0005-0000-0000-0000B30A0000}"/>
    <cellStyle name="20% - Accent2 2 3 3 2 3 4 2" xfId="44043" xr:uid="{00000000-0005-0000-0000-0000B40A0000}"/>
    <cellStyle name="20% - Accent2 2 3 3 2 3 5" xfId="34345" xr:uid="{00000000-0005-0000-0000-0000B50A0000}"/>
    <cellStyle name="20% - Accent2 2 3 3 2 4" xfId="15035" xr:uid="{00000000-0005-0000-0000-0000B60A0000}"/>
    <cellStyle name="20% - Accent2 2 3 3 2 4 2" xfId="19499" xr:uid="{00000000-0005-0000-0000-0000B70A0000}"/>
    <cellStyle name="20% - Accent2 2 3 3 2 4 2 2" xfId="29867" xr:uid="{00000000-0005-0000-0000-0000B80A0000}"/>
    <cellStyle name="20% - Accent2 2 3 3 2 4 2 2 2" xfId="49056" xr:uid="{00000000-0005-0000-0000-0000B90A0000}"/>
    <cellStyle name="20% - Accent2 2 3 3 2 4 2 3" xfId="39358" xr:uid="{00000000-0005-0000-0000-0000BA0A0000}"/>
    <cellStyle name="20% - Accent2 2 3 3 2 4 3" xfId="25412" xr:uid="{00000000-0005-0000-0000-0000BB0A0000}"/>
    <cellStyle name="20% - Accent2 2 3 3 2 4 3 2" xfId="44601" xr:uid="{00000000-0005-0000-0000-0000BC0A0000}"/>
    <cellStyle name="20% - Accent2 2 3 3 2 4 4" xfId="34903" xr:uid="{00000000-0005-0000-0000-0000BD0A0000}"/>
    <cellStyle name="20% - Accent2 2 3 3 2 5" xfId="16705" xr:uid="{00000000-0005-0000-0000-0000BE0A0000}"/>
    <cellStyle name="20% - Accent2 2 3 3 2 5 2" xfId="21169" xr:uid="{00000000-0005-0000-0000-0000BF0A0000}"/>
    <cellStyle name="20% - Accent2 2 3 3 2 5 2 2" xfId="31537" xr:uid="{00000000-0005-0000-0000-0000C00A0000}"/>
    <cellStyle name="20% - Accent2 2 3 3 2 5 2 2 2" xfId="50726" xr:uid="{00000000-0005-0000-0000-0000C10A0000}"/>
    <cellStyle name="20% - Accent2 2 3 3 2 5 2 3" xfId="41028" xr:uid="{00000000-0005-0000-0000-0000C20A0000}"/>
    <cellStyle name="20% - Accent2 2 3 3 2 5 3" xfId="27082" xr:uid="{00000000-0005-0000-0000-0000C30A0000}"/>
    <cellStyle name="20% - Accent2 2 3 3 2 5 3 2" xfId="46271" xr:uid="{00000000-0005-0000-0000-0000C40A0000}"/>
    <cellStyle name="20% - Accent2 2 3 3 2 5 4" xfId="36573" xr:uid="{00000000-0005-0000-0000-0000C50A0000}"/>
    <cellStyle name="20% - Accent2 2 3 3 2 6" xfId="17271" xr:uid="{00000000-0005-0000-0000-0000C60A0000}"/>
    <cellStyle name="20% - Accent2 2 3 3 2 6 2" xfId="21726" xr:uid="{00000000-0005-0000-0000-0000C70A0000}"/>
    <cellStyle name="20% - Accent2 2 3 3 2 6 2 2" xfId="32094" xr:uid="{00000000-0005-0000-0000-0000C80A0000}"/>
    <cellStyle name="20% - Accent2 2 3 3 2 6 2 2 2" xfId="51283" xr:uid="{00000000-0005-0000-0000-0000C90A0000}"/>
    <cellStyle name="20% - Accent2 2 3 3 2 6 2 3" xfId="41585" xr:uid="{00000000-0005-0000-0000-0000CA0A0000}"/>
    <cellStyle name="20% - Accent2 2 3 3 2 6 3" xfId="27639" xr:uid="{00000000-0005-0000-0000-0000CB0A0000}"/>
    <cellStyle name="20% - Accent2 2 3 3 2 6 3 2" xfId="46828" xr:uid="{00000000-0005-0000-0000-0000CC0A0000}"/>
    <cellStyle name="20% - Accent2 2 3 3 2 6 4" xfId="37130" xr:uid="{00000000-0005-0000-0000-0000CD0A0000}"/>
    <cellStyle name="20% - Accent2 2 3 3 2 7" xfId="17828" xr:uid="{00000000-0005-0000-0000-0000CE0A0000}"/>
    <cellStyle name="20% - Accent2 2 3 3 2 7 2" xfId="28196" xr:uid="{00000000-0005-0000-0000-0000CF0A0000}"/>
    <cellStyle name="20% - Accent2 2 3 3 2 7 2 2" xfId="47385" xr:uid="{00000000-0005-0000-0000-0000D00A0000}"/>
    <cellStyle name="20% - Accent2 2 3 3 2 7 3" xfId="37687" xr:uid="{00000000-0005-0000-0000-0000D10A0000}"/>
    <cellStyle name="20% - Accent2 2 3 3 2 8" xfId="23691" xr:uid="{00000000-0005-0000-0000-0000D20A0000}"/>
    <cellStyle name="20% - Accent2 2 3 3 2 8 2" xfId="42930" xr:uid="{00000000-0005-0000-0000-0000D30A0000}"/>
    <cellStyle name="20% - Accent2 2 3 3 2 9" xfId="33232" xr:uid="{00000000-0005-0000-0000-0000D40A0000}"/>
    <cellStyle name="20% - Accent2 2 3 3 3" xfId="12931" xr:uid="{00000000-0005-0000-0000-0000D50A0000}"/>
    <cellStyle name="20% - Accent2 2 3 3 3 2" xfId="13885" xr:uid="{00000000-0005-0000-0000-0000D60A0000}"/>
    <cellStyle name="20% - Accent2 2 3 3 3 2 2" xfId="16149" xr:uid="{00000000-0005-0000-0000-0000D70A0000}"/>
    <cellStyle name="20% - Accent2 2 3 3 3 2 2 2" xfId="20613" xr:uid="{00000000-0005-0000-0000-0000D80A0000}"/>
    <cellStyle name="20% - Accent2 2 3 3 3 2 2 2 2" xfId="30981" xr:uid="{00000000-0005-0000-0000-0000D90A0000}"/>
    <cellStyle name="20% - Accent2 2 3 3 3 2 2 2 2 2" xfId="50170" xr:uid="{00000000-0005-0000-0000-0000DA0A0000}"/>
    <cellStyle name="20% - Accent2 2 3 3 3 2 2 2 3" xfId="40472" xr:uid="{00000000-0005-0000-0000-0000DB0A0000}"/>
    <cellStyle name="20% - Accent2 2 3 3 3 2 2 3" xfId="26526" xr:uid="{00000000-0005-0000-0000-0000DC0A0000}"/>
    <cellStyle name="20% - Accent2 2 3 3 3 2 2 3 2" xfId="45715" xr:uid="{00000000-0005-0000-0000-0000DD0A0000}"/>
    <cellStyle name="20% - Accent2 2 3 3 3 2 2 4" xfId="36017" xr:uid="{00000000-0005-0000-0000-0000DE0A0000}"/>
    <cellStyle name="20% - Accent2 2 3 3 3 2 3" xfId="18385" xr:uid="{00000000-0005-0000-0000-0000DF0A0000}"/>
    <cellStyle name="20% - Accent2 2 3 3 3 2 3 2" xfId="28753" xr:uid="{00000000-0005-0000-0000-0000E00A0000}"/>
    <cellStyle name="20% - Accent2 2 3 3 3 2 3 2 2" xfId="47942" xr:uid="{00000000-0005-0000-0000-0000E10A0000}"/>
    <cellStyle name="20% - Accent2 2 3 3 3 2 3 3" xfId="38244" xr:uid="{00000000-0005-0000-0000-0000E20A0000}"/>
    <cellStyle name="20% - Accent2 2 3 3 3 2 4" xfId="24293" xr:uid="{00000000-0005-0000-0000-0000E30A0000}"/>
    <cellStyle name="20% - Accent2 2 3 3 3 2 4 2" xfId="43487" xr:uid="{00000000-0005-0000-0000-0000E40A0000}"/>
    <cellStyle name="20% - Accent2 2 3 3 3 2 5" xfId="33789" xr:uid="{00000000-0005-0000-0000-0000E50A0000}"/>
    <cellStyle name="20% - Accent2 2 3 3 3 3" xfId="14464" xr:uid="{00000000-0005-0000-0000-0000E60A0000}"/>
    <cellStyle name="20% - Accent2 2 3 3 3 3 2" xfId="15593" xr:uid="{00000000-0005-0000-0000-0000E70A0000}"/>
    <cellStyle name="20% - Accent2 2 3 3 3 3 2 2" xfId="20057" xr:uid="{00000000-0005-0000-0000-0000E80A0000}"/>
    <cellStyle name="20% - Accent2 2 3 3 3 3 2 2 2" xfId="30425" xr:uid="{00000000-0005-0000-0000-0000E90A0000}"/>
    <cellStyle name="20% - Accent2 2 3 3 3 3 2 2 2 2" xfId="49614" xr:uid="{00000000-0005-0000-0000-0000EA0A0000}"/>
    <cellStyle name="20% - Accent2 2 3 3 3 3 2 2 3" xfId="39916" xr:uid="{00000000-0005-0000-0000-0000EB0A0000}"/>
    <cellStyle name="20% - Accent2 2 3 3 3 3 2 3" xfId="25970" xr:uid="{00000000-0005-0000-0000-0000EC0A0000}"/>
    <cellStyle name="20% - Accent2 2 3 3 3 3 2 3 2" xfId="45159" xr:uid="{00000000-0005-0000-0000-0000ED0A0000}"/>
    <cellStyle name="20% - Accent2 2 3 3 3 3 2 4" xfId="35461" xr:uid="{00000000-0005-0000-0000-0000EE0A0000}"/>
    <cellStyle name="20% - Accent2 2 3 3 3 3 3" xfId="18942" xr:uid="{00000000-0005-0000-0000-0000EF0A0000}"/>
    <cellStyle name="20% - Accent2 2 3 3 3 3 3 2" xfId="29310" xr:uid="{00000000-0005-0000-0000-0000F00A0000}"/>
    <cellStyle name="20% - Accent2 2 3 3 3 3 3 2 2" xfId="48499" xr:uid="{00000000-0005-0000-0000-0000F10A0000}"/>
    <cellStyle name="20% - Accent2 2 3 3 3 3 3 3" xfId="38801" xr:uid="{00000000-0005-0000-0000-0000F20A0000}"/>
    <cellStyle name="20% - Accent2 2 3 3 3 3 4" xfId="24855" xr:uid="{00000000-0005-0000-0000-0000F30A0000}"/>
    <cellStyle name="20% - Accent2 2 3 3 3 3 4 2" xfId="44044" xr:uid="{00000000-0005-0000-0000-0000F40A0000}"/>
    <cellStyle name="20% - Accent2 2 3 3 3 3 5" xfId="34346" xr:uid="{00000000-0005-0000-0000-0000F50A0000}"/>
    <cellStyle name="20% - Accent2 2 3 3 3 4" xfId="15036" xr:uid="{00000000-0005-0000-0000-0000F60A0000}"/>
    <cellStyle name="20% - Accent2 2 3 3 3 4 2" xfId="19500" xr:uid="{00000000-0005-0000-0000-0000F70A0000}"/>
    <cellStyle name="20% - Accent2 2 3 3 3 4 2 2" xfId="29868" xr:uid="{00000000-0005-0000-0000-0000F80A0000}"/>
    <cellStyle name="20% - Accent2 2 3 3 3 4 2 2 2" xfId="49057" xr:uid="{00000000-0005-0000-0000-0000F90A0000}"/>
    <cellStyle name="20% - Accent2 2 3 3 3 4 2 3" xfId="39359" xr:uid="{00000000-0005-0000-0000-0000FA0A0000}"/>
    <cellStyle name="20% - Accent2 2 3 3 3 4 3" xfId="25413" xr:uid="{00000000-0005-0000-0000-0000FB0A0000}"/>
    <cellStyle name="20% - Accent2 2 3 3 3 4 3 2" xfId="44602" xr:uid="{00000000-0005-0000-0000-0000FC0A0000}"/>
    <cellStyle name="20% - Accent2 2 3 3 3 4 4" xfId="34904" xr:uid="{00000000-0005-0000-0000-0000FD0A0000}"/>
    <cellStyle name="20% - Accent2 2 3 3 3 5" xfId="16706" xr:uid="{00000000-0005-0000-0000-0000FE0A0000}"/>
    <cellStyle name="20% - Accent2 2 3 3 3 5 2" xfId="21170" xr:uid="{00000000-0005-0000-0000-0000FF0A0000}"/>
    <cellStyle name="20% - Accent2 2 3 3 3 5 2 2" xfId="31538" xr:uid="{00000000-0005-0000-0000-0000000B0000}"/>
    <cellStyle name="20% - Accent2 2 3 3 3 5 2 2 2" xfId="50727" xr:uid="{00000000-0005-0000-0000-0000010B0000}"/>
    <cellStyle name="20% - Accent2 2 3 3 3 5 2 3" xfId="41029" xr:uid="{00000000-0005-0000-0000-0000020B0000}"/>
    <cellStyle name="20% - Accent2 2 3 3 3 5 3" xfId="27083" xr:uid="{00000000-0005-0000-0000-0000030B0000}"/>
    <cellStyle name="20% - Accent2 2 3 3 3 5 3 2" xfId="46272" xr:uid="{00000000-0005-0000-0000-0000040B0000}"/>
    <cellStyle name="20% - Accent2 2 3 3 3 5 4" xfId="36574" xr:uid="{00000000-0005-0000-0000-0000050B0000}"/>
    <cellStyle name="20% - Accent2 2 3 3 3 6" xfId="17272" xr:uid="{00000000-0005-0000-0000-0000060B0000}"/>
    <cellStyle name="20% - Accent2 2 3 3 3 6 2" xfId="21727" xr:uid="{00000000-0005-0000-0000-0000070B0000}"/>
    <cellStyle name="20% - Accent2 2 3 3 3 6 2 2" xfId="32095" xr:uid="{00000000-0005-0000-0000-0000080B0000}"/>
    <cellStyle name="20% - Accent2 2 3 3 3 6 2 2 2" xfId="51284" xr:uid="{00000000-0005-0000-0000-0000090B0000}"/>
    <cellStyle name="20% - Accent2 2 3 3 3 6 2 3" xfId="41586" xr:uid="{00000000-0005-0000-0000-00000A0B0000}"/>
    <cellStyle name="20% - Accent2 2 3 3 3 6 3" xfId="27640" xr:uid="{00000000-0005-0000-0000-00000B0B0000}"/>
    <cellStyle name="20% - Accent2 2 3 3 3 6 3 2" xfId="46829" xr:uid="{00000000-0005-0000-0000-00000C0B0000}"/>
    <cellStyle name="20% - Accent2 2 3 3 3 6 4" xfId="37131" xr:uid="{00000000-0005-0000-0000-00000D0B0000}"/>
    <cellStyle name="20% - Accent2 2 3 3 3 7" xfId="17829" xr:uid="{00000000-0005-0000-0000-00000E0B0000}"/>
    <cellStyle name="20% - Accent2 2 3 3 3 7 2" xfId="28197" xr:uid="{00000000-0005-0000-0000-00000F0B0000}"/>
    <cellStyle name="20% - Accent2 2 3 3 3 7 2 2" xfId="47386" xr:uid="{00000000-0005-0000-0000-0000100B0000}"/>
    <cellStyle name="20% - Accent2 2 3 3 3 7 3" xfId="37688" xr:uid="{00000000-0005-0000-0000-0000110B0000}"/>
    <cellStyle name="20% - Accent2 2 3 3 3 8" xfId="23692" xr:uid="{00000000-0005-0000-0000-0000120B0000}"/>
    <cellStyle name="20% - Accent2 2 3 3 3 8 2" xfId="42931" xr:uid="{00000000-0005-0000-0000-0000130B0000}"/>
    <cellStyle name="20% - Accent2 2 3 3 3 9" xfId="33233" xr:uid="{00000000-0005-0000-0000-0000140B0000}"/>
    <cellStyle name="20% - Accent2 2 3 3 4" xfId="13883" xr:uid="{00000000-0005-0000-0000-0000150B0000}"/>
    <cellStyle name="20% - Accent2 2 3 3 4 2" xfId="16147" xr:uid="{00000000-0005-0000-0000-0000160B0000}"/>
    <cellStyle name="20% - Accent2 2 3 3 4 2 2" xfId="20611" xr:uid="{00000000-0005-0000-0000-0000170B0000}"/>
    <cellStyle name="20% - Accent2 2 3 3 4 2 2 2" xfId="30979" xr:uid="{00000000-0005-0000-0000-0000180B0000}"/>
    <cellStyle name="20% - Accent2 2 3 3 4 2 2 2 2" xfId="50168" xr:uid="{00000000-0005-0000-0000-0000190B0000}"/>
    <cellStyle name="20% - Accent2 2 3 3 4 2 2 3" xfId="40470" xr:uid="{00000000-0005-0000-0000-00001A0B0000}"/>
    <cellStyle name="20% - Accent2 2 3 3 4 2 3" xfId="26524" xr:uid="{00000000-0005-0000-0000-00001B0B0000}"/>
    <cellStyle name="20% - Accent2 2 3 3 4 2 3 2" xfId="45713" xr:uid="{00000000-0005-0000-0000-00001C0B0000}"/>
    <cellStyle name="20% - Accent2 2 3 3 4 2 4" xfId="36015" xr:uid="{00000000-0005-0000-0000-00001D0B0000}"/>
    <cellStyle name="20% - Accent2 2 3 3 4 3" xfId="18383" xr:uid="{00000000-0005-0000-0000-00001E0B0000}"/>
    <cellStyle name="20% - Accent2 2 3 3 4 3 2" xfId="28751" xr:uid="{00000000-0005-0000-0000-00001F0B0000}"/>
    <cellStyle name="20% - Accent2 2 3 3 4 3 2 2" xfId="47940" xr:uid="{00000000-0005-0000-0000-0000200B0000}"/>
    <cellStyle name="20% - Accent2 2 3 3 4 3 3" xfId="38242" xr:uid="{00000000-0005-0000-0000-0000210B0000}"/>
    <cellStyle name="20% - Accent2 2 3 3 4 4" xfId="24291" xr:uid="{00000000-0005-0000-0000-0000220B0000}"/>
    <cellStyle name="20% - Accent2 2 3 3 4 4 2" xfId="43485" xr:uid="{00000000-0005-0000-0000-0000230B0000}"/>
    <cellStyle name="20% - Accent2 2 3 3 4 5" xfId="33787" xr:uid="{00000000-0005-0000-0000-0000240B0000}"/>
    <cellStyle name="20% - Accent2 2 3 3 5" xfId="14462" xr:uid="{00000000-0005-0000-0000-0000250B0000}"/>
    <cellStyle name="20% - Accent2 2 3 3 5 2" xfId="15591" xr:uid="{00000000-0005-0000-0000-0000260B0000}"/>
    <cellStyle name="20% - Accent2 2 3 3 5 2 2" xfId="20055" xr:uid="{00000000-0005-0000-0000-0000270B0000}"/>
    <cellStyle name="20% - Accent2 2 3 3 5 2 2 2" xfId="30423" xr:uid="{00000000-0005-0000-0000-0000280B0000}"/>
    <cellStyle name="20% - Accent2 2 3 3 5 2 2 2 2" xfId="49612" xr:uid="{00000000-0005-0000-0000-0000290B0000}"/>
    <cellStyle name="20% - Accent2 2 3 3 5 2 2 3" xfId="39914" xr:uid="{00000000-0005-0000-0000-00002A0B0000}"/>
    <cellStyle name="20% - Accent2 2 3 3 5 2 3" xfId="25968" xr:uid="{00000000-0005-0000-0000-00002B0B0000}"/>
    <cellStyle name="20% - Accent2 2 3 3 5 2 3 2" xfId="45157" xr:uid="{00000000-0005-0000-0000-00002C0B0000}"/>
    <cellStyle name="20% - Accent2 2 3 3 5 2 4" xfId="35459" xr:uid="{00000000-0005-0000-0000-00002D0B0000}"/>
    <cellStyle name="20% - Accent2 2 3 3 5 3" xfId="18940" xr:uid="{00000000-0005-0000-0000-00002E0B0000}"/>
    <cellStyle name="20% - Accent2 2 3 3 5 3 2" xfId="29308" xr:uid="{00000000-0005-0000-0000-00002F0B0000}"/>
    <cellStyle name="20% - Accent2 2 3 3 5 3 2 2" xfId="48497" xr:uid="{00000000-0005-0000-0000-0000300B0000}"/>
    <cellStyle name="20% - Accent2 2 3 3 5 3 3" xfId="38799" xr:uid="{00000000-0005-0000-0000-0000310B0000}"/>
    <cellStyle name="20% - Accent2 2 3 3 5 4" xfId="24853" xr:uid="{00000000-0005-0000-0000-0000320B0000}"/>
    <cellStyle name="20% - Accent2 2 3 3 5 4 2" xfId="44042" xr:uid="{00000000-0005-0000-0000-0000330B0000}"/>
    <cellStyle name="20% - Accent2 2 3 3 5 5" xfId="34344" xr:uid="{00000000-0005-0000-0000-0000340B0000}"/>
    <cellStyle name="20% - Accent2 2 3 3 6" xfId="15034" xr:uid="{00000000-0005-0000-0000-0000350B0000}"/>
    <cellStyle name="20% - Accent2 2 3 3 6 2" xfId="19498" xr:uid="{00000000-0005-0000-0000-0000360B0000}"/>
    <cellStyle name="20% - Accent2 2 3 3 6 2 2" xfId="29866" xr:uid="{00000000-0005-0000-0000-0000370B0000}"/>
    <cellStyle name="20% - Accent2 2 3 3 6 2 2 2" xfId="49055" xr:uid="{00000000-0005-0000-0000-0000380B0000}"/>
    <cellStyle name="20% - Accent2 2 3 3 6 2 3" xfId="39357" xr:uid="{00000000-0005-0000-0000-0000390B0000}"/>
    <cellStyle name="20% - Accent2 2 3 3 6 3" xfId="25411" xr:uid="{00000000-0005-0000-0000-00003A0B0000}"/>
    <cellStyle name="20% - Accent2 2 3 3 6 3 2" xfId="44600" xr:uid="{00000000-0005-0000-0000-00003B0B0000}"/>
    <cellStyle name="20% - Accent2 2 3 3 6 4" xfId="34902" xr:uid="{00000000-0005-0000-0000-00003C0B0000}"/>
    <cellStyle name="20% - Accent2 2 3 3 7" xfId="16704" xr:uid="{00000000-0005-0000-0000-00003D0B0000}"/>
    <cellStyle name="20% - Accent2 2 3 3 7 2" xfId="21168" xr:uid="{00000000-0005-0000-0000-00003E0B0000}"/>
    <cellStyle name="20% - Accent2 2 3 3 7 2 2" xfId="31536" xr:uid="{00000000-0005-0000-0000-00003F0B0000}"/>
    <cellStyle name="20% - Accent2 2 3 3 7 2 2 2" xfId="50725" xr:uid="{00000000-0005-0000-0000-0000400B0000}"/>
    <cellStyle name="20% - Accent2 2 3 3 7 2 3" xfId="41027" xr:uid="{00000000-0005-0000-0000-0000410B0000}"/>
    <cellStyle name="20% - Accent2 2 3 3 7 3" xfId="27081" xr:uid="{00000000-0005-0000-0000-0000420B0000}"/>
    <cellStyle name="20% - Accent2 2 3 3 7 3 2" xfId="46270" xr:uid="{00000000-0005-0000-0000-0000430B0000}"/>
    <cellStyle name="20% - Accent2 2 3 3 7 4" xfId="36572" xr:uid="{00000000-0005-0000-0000-0000440B0000}"/>
    <cellStyle name="20% - Accent2 2 3 3 8" xfId="17270" xr:uid="{00000000-0005-0000-0000-0000450B0000}"/>
    <cellStyle name="20% - Accent2 2 3 3 8 2" xfId="21725" xr:uid="{00000000-0005-0000-0000-0000460B0000}"/>
    <cellStyle name="20% - Accent2 2 3 3 8 2 2" xfId="32093" xr:uid="{00000000-0005-0000-0000-0000470B0000}"/>
    <cellStyle name="20% - Accent2 2 3 3 8 2 2 2" xfId="51282" xr:uid="{00000000-0005-0000-0000-0000480B0000}"/>
    <cellStyle name="20% - Accent2 2 3 3 8 2 3" xfId="41584" xr:uid="{00000000-0005-0000-0000-0000490B0000}"/>
    <cellStyle name="20% - Accent2 2 3 3 8 3" xfId="27638" xr:uid="{00000000-0005-0000-0000-00004A0B0000}"/>
    <cellStyle name="20% - Accent2 2 3 3 8 3 2" xfId="46827" xr:uid="{00000000-0005-0000-0000-00004B0B0000}"/>
    <cellStyle name="20% - Accent2 2 3 3 8 4" xfId="37129" xr:uid="{00000000-0005-0000-0000-00004C0B0000}"/>
    <cellStyle name="20% - Accent2 2 3 3 9" xfId="17827" xr:uid="{00000000-0005-0000-0000-00004D0B0000}"/>
    <cellStyle name="20% - Accent2 2 3 3 9 2" xfId="28195" xr:uid="{00000000-0005-0000-0000-00004E0B0000}"/>
    <cellStyle name="20% - Accent2 2 3 3 9 2 2" xfId="47384" xr:uid="{00000000-0005-0000-0000-00004F0B0000}"/>
    <cellStyle name="20% - Accent2 2 3 3 9 3" xfId="37686" xr:uid="{00000000-0005-0000-0000-0000500B0000}"/>
    <cellStyle name="20% - Accent2 2 3 4" xfId="12932" xr:uid="{00000000-0005-0000-0000-0000510B0000}"/>
    <cellStyle name="20% - Accent2 2 3 4 10" xfId="53421" xr:uid="{00000000-0005-0000-0000-0000520B0000}"/>
    <cellStyle name="20% - Accent2 2 3 4 2" xfId="13886" xr:uid="{00000000-0005-0000-0000-0000530B0000}"/>
    <cellStyle name="20% - Accent2 2 3 4 2 2" xfId="16150" xr:uid="{00000000-0005-0000-0000-0000540B0000}"/>
    <cellStyle name="20% - Accent2 2 3 4 2 2 2" xfId="20614" xr:uid="{00000000-0005-0000-0000-0000550B0000}"/>
    <cellStyle name="20% - Accent2 2 3 4 2 2 2 2" xfId="30982" xr:uid="{00000000-0005-0000-0000-0000560B0000}"/>
    <cellStyle name="20% - Accent2 2 3 4 2 2 2 2 2" xfId="50171" xr:uid="{00000000-0005-0000-0000-0000570B0000}"/>
    <cellStyle name="20% - Accent2 2 3 4 2 2 2 3" xfId="40473" xr:uid="{00000000-0005-0000-0000-0000580B0000}"/>
    <cellStyle name="20% - Accent2 2 3 4 2 2 3" xfId="26527" xr:uid="{00000000-0005-0000-0000-0000590B0000}"/>
    <cellStyle name="20% - Accent2 2 3 4 2 2 3 2" xfId="45716" xr:uid="{00000000-0005-0000-0000-00005A0B0000}"/>
    <cellStyle name="20% - Accent2 2 3 4 2 2 4" xfId="36018" xr:uid="{00000000-0005-0000-0000-00005B0B0000}"/>
    <cellStyle name="20% - Accent2 2 3 4 2 3" xfId="18386" xr:uid="{00000000-0005-0000-0000-00005C0B0000}"/>
    <cellStyle name="20% - Accent2 2 3 4 2 3 2" xfId="28754" xr:uid="{00000000-0005-0000-0000-00005D0B0000}"/>
    <cellStyle name="20% - Accent2 2 3 4 2 3 2 2" xfId="47943" xr:uid="{00000000-0005-0000-0000-00005E0B0000}"/>
    <cellStyle name="20% - Accent2 2 3 4 2 3 3" xfId="38245" xr:uid="{00000000-0005-0000-0000-00005F0B0000}"/>
    <cellStyle name="20% - Accent2 2 3 4 2 4" xfId="24294" xr:uid="{00000000-0005-0000-0000-0000600B0000}"/>
    <cellStyle name="20% - Accent2 2 3 4 2 4 2" xfId="43488" xr:uid="{00000000-0005-0000-0000-0000610B0000}"/>
    <cellStyle name="20% - Accent2 2 3 4 2 5" xfId="33790" xr:uid="{00000000-0005-0000-0000-0000620B0000}"/>
    <cellStyle name="20% - Accent2 2 3 4 3" xfId="14465" xr:uid="{00000000-0005-0000-0000-0000630B0000}"/>
    <cellStyle name="20% - Accent2 2 3 4 3 2" xfId="15594" xr:uid="{00000000-0005-0000-0000-0000640B0000}"/>
    <cellStyle name="20% - Accent2 2 3 4 3 2 2" xfId="20058" xr:uid="{00000000-0005-0000-0000-0000650B0000}"/>
    <cellStyle name="20% - Accent2 2 3 4 3 2 2 2" xfId="30426" xr:uid="{00000000-0005-0000-0000-0000660B0000}"/>
    <cellStyle name="20% - Accent2 2 3 4 3 2 2 2 2" xfId="49615" xr:uid="{00000000-0005-0000-0000-0000670B0000}"/>
    <cellStyle name="20% - Accent2 2 3 4 3 2 2 3" xfId="39917" xr:uid="{00000000-0005-0000-0000-0000680B0000}"/>
    <cellStyle name="20% - Accent2 2 3 4 3 2 3" xfId="25971" xr:uid="{00000000-0005-0000-0000-0000690B0000}"/>
    <cellStyle name="20% - Accent2 2 3 4 3 2 3 2" xfId="45160" xr:uid="{00000000-0005-0000-0000-00006A0B0000}"/>
    <cellStyle name="20% - Accent2 2 3 4 3 2 4" xfId="35462" xr:uid="{00000000-0005-0000-0000-00006B0B0000}"/>
    <cellStyle name="20% - Accent2 2 3 4 3 3" xfId="18943" xr:uid="{00000000-0005-0000-0000-00006C0B0000}"/>
    <cellStyle name="20% - Accent2 2 3 4 3 3 2" xfId="29311" xr:uid="{00000000-0005-0000-0000-00006D0B0000}"/>
    <cellStyle name="20% - Accent2 2 3 4 3 3 2 2" xfId="48500" xr:uid="{00000000-0005-0000-0000-00006E0B0000}"/>
    <cellStyle name="20% - Accent2 2 3 4 3 3 3" xfId="38802" xr:uid="{00000000-0005-0000-0000-00006F0B0000}"/>
    <cellStyle name="20% - Accent2 2 3 4 3 4" xfId="24856" xr:uid="{00000000-0005-0000-0000-0000700B0000}"/>
    <cellStyle name="20% - Accent2 2 3 4 3 4 2" xfId="44045" xr:uid="{00000000-0005-0000-0000-0000710B0000}"/>
    <cellStyle name="20% - Accent2 2 3 4 3 5" xfId="34347" xr:uid="{00000000-0005-0000-0000-0000720B0000}"/>
    <cellStyle name="20% - Accent2 2 3 4 4" xfId="15037" xr:uid="{00000000-0005-0000-0000-0000730B0000}"/>
    <cellStyle name="20% - Accent2 2 3 4 4 2" xfId="19501" xr:uid="{00000000-0005-0000-0000-0000740B0000}"/>
    <cellStyle name="20% - Accent2 2 3 4 4 2 2" xfId="29869" xr:uid="{00000000-0005-0000-0000-0000750B0000}"/>
    <cellStyle name="20% - Accent2 2 3 4 4 2 2 2" xfId="49058" xr:uid="{00000000-0005-0000-0000-0000760B0000}"/>
    <cellStyle name="20% - Accent2 2 3 4 4 2 3" xfId="39360" xr:uid="{00000000-0005-0000-0000-0000770B0000}"/>
    <cellStyle name="20% - Accent2 2 3 4 4 3" xfId="25414" xr:uid="{00000000-0005-0000-0000-0000780B0000}"/>
    <cellStyle name="20% - Accent2 2 3 4 4 3 2" xfId="44603" xr:uid="{00000000-0005-0000-0000-0000790B0000}"/>
    <cellStyle name="20% - Accent2 2 3 4 4 4" xfId="34905" xr:uid="{00000000-0005-0000-0000-00007A0B0000}"/>
    <cellStyle name="20% - Accent2 2 3 4 5" xfId="16707" xr:uid="{00000000-0005-0000-0000-00007B0B0000}"/>
    <cellStyle name="20% - Accent2 2 3 4 5 2" xfId="21171" xr:uid="{00000000-0005-0000-0000-00007C0B0000}"/>
    <cellStyle name="20% - Accent2 2 3 4 5 2 2" xfId="31539" xr:uid="{00000000-0005-0000-0000-00007D0B0000}"/>
    <cellStyle name="20% - Accent2 2 3 4 5 2 2 2" xfId="50728" xr:uid="{00000000-0005-0000-0000-00007E0B0000}"/>
    <cellStyle name="20% - Accent2 2 3 4 5 2 3" xfId="41030" xr:uid="{00000000-0005-0000-0000-00007F0B0000}"/>
    <cellStyle name="20% - Accent2 2 3 4 5 3" xfId="27084" xr:uid="{00000000-0005-0000-0000-0000800B0000}"/>
    <cellStyle name="20% - Accent2 2 3 4 5 3 2" xfId="46273" xr:uid="{00000000-0005-0000-0000-0000810B0000}"/>
    <cellStyle name="20% - Accent2 2 3 4 5 4" xfId="36575" xr:uid="{00000000-0005-0000-0000-0000820B0000}"/>
    <cellStyle name="20% - Accent2 2 3 4 6" xfId="17273" xr:uid="{00000000-0005-0000-0000-0000830B0000}"/>
    <cellStyle name="20% - Accent2 2 3 4 6 2" xfId="21728" xr:uid="{00000000-0005-0000-0000-0000840B0000}"/>
    <cellStyle name="20% - Accent2 2 3 4 6 2 2" xfId="32096" xr:uid="{00000000-0005-0000-0000-0000850B0000}"/>
    <cellStyle name="20% - Accent2 2 3 4 6 2 2 2" xfId="51285" xr:uid="{00000000-0005-0000-0000-0000860B0000}"/>
    <cellStyle name="20% - Accent2 2 3 4 6 2 3" xfId="41587" xr:uid="{00000000-0005-0000-0000-0000870B0000}"/>
    <cellStyle name="20% - Accent2 2 3 4 6 3" xfId="27641" xr:uid="{00000000-0005-0000-0000-0000880B0000}"/>
    <cellStyle name="20% - Accent2 2 3 4 6 3 2" xfId="46830" xr:uid="{00000000-0005-0000-0000-0000890B0000}"/>
    <cellStyle name="20% - Accent2 2 3 4 6 4" xfId="37132" xr:uid="{00000000-0005-0000-0000-00008A0B0000}"/>
    <cellStyle name="20% - Accent2 2 3 4 7" xfId="17830" xr:uid="{00000000-0005-0000-0000-00008B0B0000}"/>
    <cellStyle name="20% - Accent2 2 3 4 7 2" xfId="28198" xr:uid="{00000000-0005-0000-0000-00008C0B0000}"/>
    <cellStyle name="20% - Accent2 2 3 4 7 2 2" xfId="47387" xr:uid="{00000000-0005-0000-0000-00008D0B0000}"/>
    <cellStyle name="20% - Accent2 2 3 4 7 3" xfId="37689" xr:uid="{00000000-0005-0000-0000-00008E0B0000}"/>
    <cellStyle name="20% - Accent2 2 3 4 8" xfId="23693" xr:uid="{00000000-0005-0000-0000-00008F0B0000}"/>
    <cellStyle name="20% - Accent2 2 3 4 8 2" xfId="42932" xr:uid="{00000000-0005-0000-0000-0000900B0000}"/>
    <cellStyle name="20% - Accent2 2 3 4 9" xfId="33234" xr:uid="{00000000-0005-0000-0000-0000910B0000}"/>
    <cellStyle name="20% - Accent2 2 3 5" xfId="12933" xr:uid="{00000000-0005-0000-0000-0000920B0000}"/>
    <cellStyle name="20% - Accent2 2 3 5 2" xfId="13887" xr:uid="{00000000-0005-0000-0000-0000930B0000}"/>
    <cellStyle name="20% - Accent2 2 3 5 2 2" xfId="16151" xr:uid="{00000000-0005-0000-0000-0000940B0000}"/>
    <cellStyle name="20% - Accent2 2 3 5 2 2 2" xfId="20615" xr:uid="{00000000-0005-0000-0000-0000950B0000}"/>
    <cellStyle name="20% - Accent2 2 3 5 2 2 2 2" xfId="30983" xr:uid="{00000000-0005-0000-0000-0000960B0000}"/>
    <cellStyle name="20% - Accent2 2 3 5 2 2 2 2 2" xfId="50172" xr:uid="{00000000-0005-0000-0000-0000970B0000}"/>
    <cellStyle name="20% - Accent2 2 3 5 2 2 2 3" xfId="40474" xr:uid="{00000000-0005-0000-0000-0000980B0000}"/>
    <cellStyle name="20% - Accent2 2 3 5 2 2 3" xfId="26528" xr:uid="{00000000-0005-0000-0000-0000990B0000}"/>
    <cellStyle name="20% - Accent2 2 3 5 2 2 3 2" xfId="45717" xr:uid="{00000000-0005-0000-0000-00009A0B0000}"/>
    <cellStyle name="20% - Accent2 2 3 5 2 2 4" xfId="36019" xr:uid="{00000000-0005-0000-0000-00009B0B0000}"/>
    <cellStyle name="20% - Accent2 2 3 5 2 3" xfId="18387" xr:uid="{00000000-0005-0000-0000-00009C0B0000}"/>
    <cellStyle name="20% - Accent2 2 3 5 2 3 2" xfId="28755" xr:uid="{00000000-0005-0000-0000-00009D0B0000}"/>
    <cellStyle name="20% - Accent2 2 3 5 2 3 2 2" xfId="47944" xr:uid="{00000000-0005-0000-0000-00009E0B0000}"/>
    <cellStyle name="20% - Accent2 2 3 5 2 3 3" xfId="38246" xr:uid="{00000000-0005-0000-0000-00009F0B0000}"/>
    <cellStyle name="20% - Accent2 2 3 5 2 4" xfId="24295" xr:uid="{00000000-0005-0000-0000-0000A00B0000}"/>
    <cellStyle name="20% - Accent2 2 3 5 2 4 2" xfId="43489" xr:uid="{00000000-0005-0000-0000-0000A10B0000}"/>
    <cellStyle name="20% - Accent2 2 3 5 2 5" xfId="33791" xr:uid="{00000000-0005-0000-0000-0000A20B0000}"/>
    <cellStyle name="20% - Accent2 2 3 5 3" xfId="14466" xr:uid="{00000000-0005-0000-0000-0000A30B0000}"/>
    <cellStyle name="20% - Accent2 2 3 5 3 2" xfId="15595" xr:uid="{00000000-0005-0000-0000-0000A40B0000}"/>
    <cellStyle name="20% - Accent2 2 3 5 3 2 2" xfId="20059" xr:uid="{00000000-0005-0000-0000-0000A50B0000}"/>
    <cellStyle name="20% - Accent2 2 3 5 3 2 2 2" xfId="30427" xr:uid="{00000000-0005-0000-0000-0000A60B0000}"/>
    <cellStyle name="20% - Accent2 2 3 5 3 2 2 2 2" xfId="49616" xr:uid="{00000000-0005-0000-0000-0000A70B0000}"/>
    <cellStyle name="20% - Accent2 2 3 5 3 2 2 3" xfId="39918" xr:uid="{00000000-0005-0000-0000-0000A80B0000}"/>
    <cellStyle name="20% - Accent2 2 3 5 3 2 3" xfId="25972" xr:uid="{00000000-0005-0000-0000-0000A90B0000}"/>
    <cellStyle name="20% - Accent2 2 3 5 3 2 3 2" xfId="45161" xr:uid="{00000000-0005-0000-0000-0000AA0B0000}"/>
    <cellStyle name="20% - Accent2 2 3 5 3 2 4" xfId="35463" xr:uid="{00000000-0005-0000-0000-0000AB0B0000}"/>
    <cellStyle name="20% - Accent2 2 3 5 3 3" xfId="18944" xr:uid="{00000000-0005-0000-0000-0000AC0B0000}"/>
    <cellStyle name="20% - Accent2 2 3 5 3 3 2" xfId="29312" xr:uid="{00000000-0005-0000-0000-0000AD0B0000}"/>
    <cellStyle name="20% - Accent2 2 3 5 3 3 2 2" xfId="48501" xr:uid="{00000000-0005-0000-0000-0000AE0B0000}"/>
    <cellStyle name="20% - Accent2 2 3 5 3 3 3" xfId="38803" xr:uid="{00000000-0005-0000-0000-0000AF0B0000}"/>
    <cellStyle name="20% - Accent2 2 3 5 3 4" xfId="24857" xr:uid="{00000000-0005-0000-0000-0000B00B0000}"/>
    <cellStyle name="20% - Accent2 2 3 5 3 4 2" xfId="44046" xr:uid="{00000000-0005-0000-0000-0000B10B0000}"/>
    <cellStyle name="20% - Accent2 2 3 5 3 5" xfId="34348" xr:uid="{00000000-0005-0000-0000-0000B20B0000}"/>
    <cellStyle name="20% - Accent2 2 3 5 4" xfId="15038" xr:uid="{00000000-0005-0000-0000-0000B30B0000}"/>
    <cellStyle name="20% - Accent2 2 3 5 4 2" xfId="19502" xr:uid="{00000000-0005-0000-0000-0000B40B0000}"/>
    <cellStyle name="20% - Accent2 2 3 5 4 2 2" xfId="29870" xr:uid="{00000000-0005-0000-0000-0000B50B0000}"/>
    <cellStyle name="20% - Accent2 2 3 5 4 2 2 2" xfId="49059" xr:uid="{00000000-0005-0000-0000-0000B60B0000}"/>
    <cellStyle name="20% - Accent2 2 3 5 4 2 3" xfId="39361" xr:uid="{00000000-0005-0000-0000-0000B70B0000}"/>
    <cellStyle name="20% - Accent2 2 3 5 4 3" xfId="25415" xr:uid="{00000000-0005-0000-0000-0000B80B0000}"/>
    <cellStyle name="20% - Accent2 2 3 5 4 3 2" xfId="44604" xr:uid="{00000000-0005-0000-0000-0000B90B0000}"/>
    <cellStyle name="20% - Accent2 2 3 5 4 4" xfId="34906" xr:uid="{00000000-0005-0000-0000-0000BA0B0000}"/>
    <cellStyle name="20% - Accent2 2 3 5 5" xfId="16708" xr:uid="{00000000-0005-0000-0000-0000BB0B0000}"/>
    <cellStyle name="20% - Accent2 2 3 5 5 2" xfId="21172" xr:uid="{00000000-0005-0000-0000-0000BC0B0000}"/>
    <cellStyle name="20% - Accent2 2 3 5 5 2 2" xfId="31540" xr:uid="{00000000-0005-0000-0000-0000BD0B0000}"/>
    <cellStyle name="20% - Accent2 2 3 5 5 2 2 2" xfId="50729" xr:uid="{00000000-0005-0000-0000-0000BE0B0000}"/>
    <cellStyle name="20% - Accent2 2 3 5 5 2 3" xfId="41031" xr:uid="{00000000-0005-0000-0000-0000BF0B0000}"/>
    <cellStyle name="20% - Accent2 2 3 5 5 3" xfId="27085" xr:uid="{00000000-0005-0000-0000-0000C00B0000}"/>
    <cellStyle name="20% - Accent2 2 3 5 5 3 2" xfId="46274" xr:uid="{00000000-0005-0000-0000-0000C10B0000}"/>
    <cellStyle name="20% - Accent2 2 3 5 5 4" xfId="36576" xr:uid="{00000000-0005-0000-0000-0000C20B0000}"/>
    <cellStyle name="20% - Accent2 2 3 5 6" xfId="17274" xr:uid="{00000000-0005-0000-0000-0000C30B0000}"/>
    <cellStyle name="20% - Accent2 2 3 5 6 2" xfId="21729" xr:uid="{00000000-0005-0000-0000-0000C40B0000}"/>
    <cellStyle name="20% - Accent2 2 3 5 6 2 2" xfId="32097" xr:uid="{00000000-0005-0000-0000-0000C50B0000}"/>
    <cellStyle name="20% - Accent2 2 3 5 6 2 2 2" xfId="51286" xr:uid="{00000000-0005-0000-0000-0000C60B0000}"/>
    <cellStyle name="20% - Accent2 2 3 5 6 2 3" xfId="41588" xr:uid="{00000000-0005-0000-0000-0000C70B0000}"/>
    <cellStyle name="20% - Accent2 2 3 5 6 3" xfId="27642" xr:uid="{00000000-0005-0000-0000-0000C80B0000}"/>
    <cellStyle name="20% - Accent2 2 3 5 6 3 2" xfId="46831" xr:uid="{00000000-0005-0000-0000-0000C90B0000}"/>
    <cellStyle name="20% - Accent2 2 3 5 6 4" xfId="37133" xr:uid="{00000000-0005-0000-0000-0000CA0B0000}"/>
    <cellStyle name="20% - Accent2 2 3 5 7" xfId="17831" xr:uid="{00000000-0005-0000-0000-0000CB0B0000}"/>
    <cellStyle name="20% - Accent2 2 3 5 7 2" xfId="28199" xr:uid="{00000000-0005-0000-0000-0000CC0B0000}"/>
    <cellStyle name="20% - Accent2 2 3 5 7 2 2" xfId="47388" xr:uid="{00000000-0005-0000-0000-0000CD0B0000}"/>
    <cellStyle name="20% - Accent2 2 3 5 7 3" xfId="37690" xr:uid="{00000000-0005-0000-0000-0000CE0B0000}"/>
    <cellStyle name="20% - Accent2 2 3 5 8" xfId="23694" xr:uid="{00000000-0005-0000-0000-0000CF0B0000}"/>
    <cellStyle name="20% - Accent2 2 3 5 8 2" xfId="42933" xr:uid="{00000000-0005-0000-0000-0000D00B0000}"/>
    <cellStyle name="20% - Accent2 2 3 5 9" xfId="33235" xr:uid="{00000000-0005-0000-0000-0000D10B0000}"/>
    <cellStyle name="20% - Accent2 2 3 6" xfId="22866" xr:uid="{00000000-0005-0000-0000-0000D20B0000}"/>
    <cellStyle name="20% - Accent2 2 3 6 2" xfId="32950" xr:uid="{00000000-0005-0000-0000-0000D30B0000}"/>
    <cellStyle name="20% - Accent2 2 3 6 2 2" xfId="52136" xr:uid="{00000000-0005-0000-0000-0000D40B0000}"/>
    <cellStyle name="20% - Accent2 2 3 6 3" xfId="42438" xr:uid="{00000000-0005-0000-0000-0000D50B0000}"/>
    <cellStyle name="20% - Accent2 2 3 7" xfId="23343" xr:uid="{00000000-0005-0000-0000-0000D60B0000}"/>
    <cellStyle name="20% - Accent2 2 3 8" xfId="23223" xr:uid="{00000000-0005-0000-0000-0000D70B0000}"/>
    <cellStyle name="20% - Accent2 2 3 8 2" xfId="42791" xr:uid="{00000000-0005-0000-0000-0000D80B0000}"/>
    <cellStyle name="20% - Accent2 2 3 9" xfId="12228" xr:uid="{00000000-0005-0000-0000-0000D90B0000}"/>
    <cellStyle name="20% - Accent2 2 4" xfId="1626" xr:uid="{00000000-0005-0000-0000-0000DA0B0000}"/>
    <cellStyle name="20% - Accent2 2 4 2" xfId="12934" xr:uid="{00000000-0005-0000-0000-0000DB0B0000}"/>
    <cellStyle name="20% - Accent2 2 4 2 10" xfId="23695" xr:uid="{00000000-0005-0000-0000-0000DC0B0000}"/>
    <cellStyle name="20% - Accent2 2 4 2 10 2" xfId="42934" xr:uid="{00000000-0005-0000-0000-0000DD0B0000}"/>
    <cellStyle name="20% - Accent2 2 4 2 11" xfId="33236" xr:uid="{00000000-0005-0000-0000-0000DE0B0000}"/>
    <cellStyle name="20% - Accent2 2 4 2 12" xfId="52763" xr:uid="{00000000-0005-0000-0000-0000DF0B0000}"/>
    <cellStyle name="20% - Accent2 2 4 2 2" xfId="12935" xr:uid="{00000000-0005-0000-0000-0000E00B0000}"/>
    <cellStyle name="20% - Accent2 2 4 2 2 10" xfId="53191" xr:uid="{00000000-0005-0000-0000-0000E10B0000}"/>
    <cellStyle name="20% - Accent2 2 4 2 2 2" xfId="13889" xr:uid="{00000000-0005-0000-0000-0000E20B0000}"/>
    <cellStyle name="20% - Accent2 2 4 2 2 2 2" xfId="16153" xr:uid="{00000000-0005-0000-0000-0000E30B0000}"/>
    <cellStyle name="20% - Accent2 2 4 2 2 2 2 2" xfId="20617" xr:uid="{00000000-0005-0000-0000-0000E40B0000}"/>
    <cellStyle name="20% - Accent2 2 4 2 2 2 2 2 2" xfId="30985" xr:uid="{00000000-0005-0000-0000-0000E50B0000}"/>
    <cellStyle name="20% - Accent2 2 4 2 2 2 2 2 2 2" xfId="50174" xr:uid="{00000000-0005-0000-0000-0000E60B0000}"/>
    <cellStyle name="20% - Accent2 2 4 2 2 2 2 2 3" xfId="40476" xr:uid="{00000000-0005-0000-0000-0000E70B0000}"/>
    <cellStyle name="20% - Accent2 2 4 2 2 2 2 3" xfId="26530" xr:uid="{00000000-0005-0000-0000-0000E80B0000}"/>
    <cellStyle name="20% - Accent2 2 4 2 2 2 2 3 2" xfId="45719" xr:uid="{00000000-0005-0000-0000-0000E90B0000}"/>
    <cellStyle name="20% - Accent2 2 4 2 2 2 2 4" xfId="36021" xr:uid="{00000000-0005-0000-0000-0000EA0B0000}"/>
    <cellStyle name="20% - Accent2 2 4 2 2 2 3" xfId="18389" xr:uid="{00000000-0005-0000-0000-0000EB0B0000}"/>
    <cellStyle name="20% - Accent2 2 4 2 2 2 3 2" xfId="28757" xr:uid="{00000000-0005-0000-0000-0000EC0B0000}"/>
    <cellStyle name="20% - Accent2 2 4 2 2 2 3 2 2" xfId="47946" xr:uid="{00000000-0005-0000-0000-0000ED0B0000}"/>
    <cellStyle name="20% - Accent2 2 4 2 2 2 3 3" xfId="38248" xr:uid="{00000000-0005-0000-0000-0000EE0B0000}"/>
    <cellStyle name="20% - Accent2 2 4 2 2 2 4" xfId="24297" xr:uid="{00000000-0005-0000-0000-0000EF0B0000}"/>
    <cellStyle name="20% - Accent2 2 4 2 2 2 4 2" xfId="43491" xr:uid="{00000000-0005-0000-0000-0000F00B0000}"/>
    <cellStyle name="20% - Accent2 2 4 2 2 2 5" xfId="33793" xr:uid="{00000000-0005-0000-0000-0000F10B0000}"/>
    <cellStyle name="20% - Accent2 2 4 2 2 2 6" xfId="54044" xr:uid="{00000000-0005-0000-0000-0000F20B0000}"/>
    <cellStyle name="20% - Accent2 2 4 2 2 3" xfId="14468" xr:uid="{00000000-0005-0000-0000-0000F30B0000}"/>
    <cellStyle name="20% - Accent2 2 4 2 2 3 2" xfId="15597" xr:uid="{00000000-0005-0000-0000-0000F40B0000}"/>
    <cellStyle name="20% - Accent2 2 4 2 2 3 2 2" xfId="20061" xr:uid="{00000000-0005-0000-0000-0000F50B0000}"/>
    <cellStyle name="20% - Accent2 2 4 2 2 3 2 2 2" xfId="30429" xr:uid="{00000000-0005-0000-0000-0000F60B0000}"/>
    <cellStyle name="20% - Accent2 2 4 2 2 3 2 2 2 2" xfId="49618" xr:uid="{00000000-0005-0000-0000-0000F70B0000}"/>
    <cellStyle name="20% - Accent2 2 4 2 2 3 2 2 3" xfId="39920" xr:uid="{00000000-0005-0000-0000-0000F80B0000}"/>
    <cellStyle name="20% - Accent2 2 4 2 2 3 2 3" xfId="25974" xr:uid="{00000000-0005-0000-0000-0000F90B0000}"/>
    <cellStyle name="20% - Accent2 2 4 2 2 3 2 3 2" xfId="45163" xr:uid="{00000000-0005-0000-0000-0000FA0B0000}"/>
    <cellStyle name="20% - Accent2 2 4 2 2 3 2 4" xfId="35465" xr:uid="{00000000-0005-0000-0000-0000FB0B0000}"/>
    <cellStyle name="20% - Accent2 2 4 2 2 3 3" xfId="18946" xr:uid="{00000000-0005-0000-0000-0000FC0B0000}"/>
    <cellStyle name="20% - Accent2 2 4 2 2 3 3 2" xfId="29314" xr:uid="{00000000-0005-0000-0000-0000FD0B0000}"/>
    <cellStyle name="20% - Accent2 2 4 2 2 3 3 2 2" xfId="48503" xr:uid="{00000000-0005-0000-0000-0000FE0B0000}"/>
    <cellStyle name="20% - Accent2 2 4 2 2 3 3 3" xfId="38805" xr:uid="{00000000-0005-0000-0000-0000FF0B0000}"/>
    <cellStyle name="20% - Accent2 2 4 2 2 3 4" xfId="24859" xr:uid="{00000000-0005-0000-0000-0000000C0000}"/>
    <cellStyle name="20% - Accent2 2 4 2 2 3 4 2" xfId="44048" xr:uid="{00000000-0005-0000-0000-0000010C0000}"/>
    <cellStyle name="20% - Accent2 2 4 2 2 3 5" xfId="34350" xr:uid="{00000000-0005-0000-0000-0000020C0000}"/>
    <cellStyle name="20% - Accent2 2 4 2 2 4" xfId="15040" xr:uid="{00000000-0005-0000-0000-0000030C0000}"/>
    <cellStyle name="20% - Accent2 2 4 2 2 4 2" xfId="19504" xr:uid="{00000000-0005-0000-0000-0000040C0000}"/>
    <cellStyle name="20% - Accent2 2 4 2 2 4 2 2" xfId="29872" xr:uid="{00000000-0005-0000-0000-0000050C0000}"/>
    <cellStyle name="20% - Accent2 2 4 2 2 4 2 2 2" xfId="49061" xr:uid="{00000000-0005-0000-0000-0000060C0000}"/>
    <cellStyle name="20% - Accent2 2 4 2 2 4 2 3" xfId="39363" xr:uid="{00000000-0005-0000-0000-0000070C0000}"/>
    <cellStyle name="20% - Accent2 2 4 2 2 4 3" xfId="25417" xr:uid="{00000000-0005-0000-0000-0000080C0000}"/>
    <cellStyle name="20% - Accent2 2 4 2 2 4 3 2" xfId="44606" xr:uid="{00000000-0005-0000-0000-0000090C0000}"/>
    <cellStyle name="20% - Accent2 2 4 2 2 4 4" xfId="34908" xr:uid="{00000000-0005-0000-0000-00000A0C0000}"/>
    <cellStyle name="20% - Accent2 2 4 2 2 5" xfId="16710" xr:uid="{00000000-0005-0000-0000-00000B0C0000}"/>
    <cellStyle name="20% - Accent2 2 4 2 2 5 2" xfId="21174" xr:uid="{00000000-0005-0000-0000-00000C0C0000}"/>
    <cellStyle name="20% - Accent2 2 4 2 2 5 2 2" xfId="31542" xr:uid="{00000000-0005-0000-0000-00000D0C0000}"/>
    <cellStyle name="20% - Accent2 2 4 2 2 5 2 2 2" xfId="50731" xr:uid="{00000000-0005-0000-0000-00000E0C0000}"/>
    <cellStyle name="20% - Accent2 2 4 2 2 5 2 3" xfId="41033" xr:uid="{00000000-0005-0000-0000-00000F0C0000}"/>
    <cellStyle name="20% - Accent2 2 4 2 2 5 3" xfId="27087" xr:uid="{00000000-0005-0000-0000-0000100C0000}"/>
    <cellStyle name="20% - Accent2 2 4 2 2 5 3 2" xfId="46276" xr:uid="{00000000-0005-0000-0000-0000110C0000}"/>
    <cellStyle name="20% - Accent2 2 4 2 2 5 4" xfId="36578" xr:uid="{00000000-0005-0000-0000-0000120C0000}"/>
    <cellStyle name="20% - Accent2 2 4 2 2 6" xfId="17276" xr:uid="{00000000-0005-0000-0000-0000130C0000}"/>
    <cellStyle name="20% - Accent2 2 4 2 2 6 2" xfId="21731" xr:uid="{00000000-0005-0000-0000-0000140C0000}"/>
    <cellStyle name="20% - Accent2 2 4 2 2 6 2 2" xfId="32099" xr:uid="{00000000-0005-0000-0000-0000150C0000}"/>
    <cellStyle name="20% - Accent2 2 4 2 2 6 2 2 2" xfId="51288" xr:uid="{00000000-0005-0000-0000-0000160C0000}"/>
    <cellStyle name="20% - Accent2 2 4 2 2 6 2 3" xfId="41590" xr:uid="{00000000-0005-0000-0000-0000170C0000}"/>
    <cellStyle name="20% - Accent2 2 4 2 2 6 3" xfId="27644" xr:uid="{00000000-0005-0000-0000-0000180C0000}"/>
    <cellStyle name="20% - Accent2 2 4 2 2 6 3 2" xfId="46833" xr:uid="{00000000-0005-0000-0000-0000190C0000}"/>
    <cellStyle name="20% - Accent2 2 4 2 2 6 4" xfId="37135" xr:uid="{00000000-0005-0000-0000-00001A0C0000}"/>
    <cellStyle name="20% - Accent2 2 4 2 2 7" xfId="17833" xr:uid="{00000000-0005-0000-0000-00001B0C0000}"/>
    <cellStyle name="20% - Accent2 2 4 2 2 7 2" xfId="28201" xr:uid="{00000000-0005-0000-0000-00001C0C0000}"/>
    <cellStyle name="20% - Accent2 2 4 2 2 7 2 2" xfId="47390" xr:uid="{00000000-0005-0000-0000-00001D0C0000}"/>
    <cellStyle name="20% - Accent2 2 4 2 2 7 3" xfId="37692" xr:uid="{00000000-0005-0000-0000-00001E0C0000}"/>
    <cellStyle name="20% - Accent2 2 4 2 2 8" xfId="23696" xr:uid="{00000000-0005-0000-0000-00001F0C0000}"/>
    <cellStyle name="20% - Accent2 2 4 2 2 8 2" xfId="42935" xr:uid="{00000000-0005-0000-0000-0000200C0000}"/>
    <cellStyle name="20% - Accent2 2 4 2 2 9" xfId="33237" xr:uid="{00000000-0005-0000-0000-0000210C0000}"/>
    <cellStyle name="20% - Accent2 2 4 2 3" xfId="12936" xr:uid="{00000000-0005-0000-0000-0000220C0000}"/>
    <cellStyle name="20% - Accent2 2 4 2 3 10" xfId="53648" xr:uid="{00000000-0005-0000-0000-0000230C0000}"/>
    <cellStyle name="20% - Accent2 2 4 2 3 2" xfId="13890" xr:uid="{00000000-0005-0000-0000-0000240C0000}"/>
    <cellStyle name="20% - Accent2 2 4 2 3 2 2" xfId="16154" xr:uid="{00000000-0005-0000-0000-0000250C0000}"/>
    <cellStyle name="20% - Accent2 2 4 2 3 2 2 2" xfId="20618" xr:uid="{00000000-0005-0000-0000-0000260C0000}"/>
    <cellStyle name="20% - Accent2 2 4 2 3 2 2 2 2" xfId="30986" xr:uid="{00000000-0005-0000-0000-0000270C0000}"/>
    <cellStyle name="20% - Accent2 2 4 2 3 2 2 2 2 2" xfId="50175" xr:uid="{00000000-0005-0000-0000-0000280C0000}"/>
    <cellStyle name="20% - Accent2 2 4 2 3 2 2 2 3" xfId="40477" xr:uid="{00000000-0005-0000-0000-0000290C0000}"/>
    <cellStyle name="20% - Accent2 2 4 2 3 2 2 3" xfId="26531" xr:uid="{00000000-0005-0000-0000-00002A0C0000}"/>
    <cellStyle name="20% - Accent2 2 4 2 3 2 2 3 2" xfId="45720" xr:uid="{00000000-0005-0000-0000-00002B0C0000}"/>
    <cellStyle name="20% - Accent2 2 4 2 3 2 2 4" xfId="36022" xr:uid="{00000000-0005-0000-0000-00002C0C0000}"/>
    <cellStyle name="20% - Accent2 2 4 2 3 2 3" xfId="18390" xr:uid="{00000000-0005-0000-0000-00002D0C0000}"/>
    <cellStyle name="20% - Accent2 2 4 2 3 2 3 2" xfId="28758" xr:uid="{00000000-0005-0000-0000-00002E0C0000}"/>
    <cellStyle name="20% - Accent2 2 4 2 3 2 3 2 2" xfId="47947" xr:uid="{00000000-0005-0000-0000-00002F0C0000}"/>
    <cellStyle name="20% - Accent2 2 4 2 3 2 3 3" xfId="38249" xr:uid="{00000000-0005-0000-0000-0000300C0000}"/>
    <cellStyle name="20% - Accent2 2 4 2 3 2 4" xfId="24298" xr:uid="{00000000-0005-0000-0000-0000310C0000}"/>
    <cellStyle name="20% - Accent2 2 4 2 3 2 4 2" xfId="43492" xr:uid="{00000000-0005-0000-0000-0000320C0000}"/>
    <cellStyle name="20% - Accent2 2 4 2 3 2 5" xfId="33794" xr:uid="{00000000-0005-0000-0000-0000330C0000}"/>
    <cellStyle name="20% - Accent2 2 4 2 3 3" xfId="14469" xr:uid="{00000000-0005-0000-0000-0000340C0000}"/>
    <cellStyle name="20% - Accent2 2 4 2 3 3 2" xfId="15598" xr:uid="{00000000-0005-0000-0000-0000350C0000}"/>
    <cellStyle name="20% - Accent2 2 4 2 3 3 2 2" xfId="20062" xr:uid="{00000000-0005-0000-0000-0000360C0000}"/>
    <cellStyle name="20% - Accent2 2 4 2 3 3 2 2 2" xfId="30430" xr:uid="{00000000-0005-0000-0000-0000370C0000}"/>
    <cellStyle name="20% - Accent2 2 4 2 3 3 2 2 2 2" xfId="49619" xr:uid="{00000000-0005-0000-0000-0000380C0000}"/>
    <cellStyle name="20% - Accent2 2 4 2 3 3 2 2 3" xfId="39921" xr:uid="{00000000-0005-0000-0000-0000390C0000}"/>
    <cellStyle name="20% - Accent2 2 4 2 3 3 2 3" xfId="25975" xr:uid="{00000000-0005-0000-0000-00003A0C0000}"/>
    <cellStyle name="20% - Accent2 2 4 2 3 3 2 3 2" xfId="45164" xr:uid="{00000000-0005-0000-0000-00003B0C0000}"/>
    <cellStyle name="20% - Accent2 2 4 2 3 3 2 4" xfId="35466" xr:uid="{00000000-0005-0000-0000-00003C0C0000}"/>
    <cellStyle name="20% - Accent2 2 4 2 3 3 3" xfId="18947" xr:uid="{00000000-0005-0000-0000-00003D0C0000}"/>
    <cellStyle name="20% - Accent2 2 4 2 3 3 3 2" xfId="29315" xr:uid="{00000000-0005-0000-0000-00003E0C0000}"/>
    <cellStyle name="20% - Accent2 2 4 2 3 3 3 2 2" xfId="48504" xr:uid="{00000000-0005-0000-0000-00003F0C0000}"/>
    <cellStyle name="20% - Accent2 2 4 2 3 3 3 3" xfId="38806" xr:uid="{00000000-0005-0000-0000-0000400C0000}"/>
    <cellStyle name="20% - Accent2 2 4 2 3 3 4" xfId="24860" xr:uid="{00000000-0005-0000-0000-0000410C0000}"/>
    <cellStyle name="20% - Accent2 2 4 2 3 3 4 2" xfId="44049" xr:uid="{00000000-0005-0000-0000-0000420C0000}"/>
    <cellStyle name="20% - Accent2 2 4 2 3 3 5" xfId="34351" xr:uid="{00000000-0005-0000-0000-0000430C0000}"/>
    <cellStyle name="20% - Accent2 2 4 2 3 4" xfId="15041" xr:uid="{00000000-0005-0000-0000-0000440C0000}"/>
    <cellStyle name="20% - Accent2 2 4 2 3 4 2" xfId="19505" xr:uid="{00000000-0005-0000-0000-0000450C0000}"/>
    <cellStyle name="20% - Accent2 2 4 2 3 4 2 2" xfId="29873" xr:uid="{00000000-0005-0000-0000-0000460C0000}"/>
    <cellStyle name="20% - Accent2 2 4 2 3 4 2 2 2" xfId="49062" xr:uid="{00000000-0005-0000-0000-0000470C0000}"/>
    <cellStyle name="20% - Accent2 2 4 2 3 4 2 3" xfId="39364" xr:uid="{00000000-0005-0000-0000-0000480C0000}"/>
    <cellStyle name="20% - Accent2 2 4 2 3 4 3" xfId="25418" xr:uid="{00000000-0005-0000-0000-0000490C0000}"/>
    <cellStyle name="20% - Accent2 2 4 2 3 4 3 2" xfId="44607" xr:uid="{00000000-0005-0000-0000-00004A0C0000}"/>
    <cellStyle name="20% - Accent2 2 4 2 3 4 4" xfId="34909" xr:uid="{00000000-0005-0000-0000-00004B0C0000}"/>
    <cellStyle name="20% - Accent2 2 4 2 3 5" xfId="16711" xr:uid="{00000000-0005-0000-0000-00004C0C0000}"/>
    <cellStyle name="20% - Accent2 2 4 2 3 5 2" xfId="21175" xr:uid="{00000000-0005-0000-0000-00004D0C0000}"/>
    <cellStyle name="20% - Accent2 2 4 2 3 5 2 2" xfId="31543" xr:uid="{00000000-0005-0000-0000-00004E0C0000}"/>
    <cellStyle name="20% - Accent2 2 4 2 3 5 2 2 2" xfId="50732" xr:uid="{00000000-0005-0000-0000-00004F0C0000}"/>
    <cellStyle name="20% - Accent2 2 4 2 3 5 2 3" xfId="41034" xr:uid="{00000000-0005-0000-0000-0000500C0000}"/>
    <cellStyle name="20% - Accent2 2 4 2 3 5 3" xfId="27088" xr:uid="{00000000-0005-0000-0000-0000510C0000}"/>
    <cellStyle name="20% - Accent2 2 4 2 3 5 3 2" xfId="46277" xr:uid="{00000000-0005-0000-0000-0000520C0000}"/>
    <cellStyle name="20% - Accent2 2 4 2 3 5 4" xfId="36579" xr:uid="{00000000-0005-0000-0000-0000530C0000}"/>
    <cellStyle name="20% - Accent2 2 4 2 3 6" xfId="17277" xr:uid="{00000000-0005-0000-0000-0000540C0000}"/>
    <cellStyle name="20% - Accent2 2 4 2 3 6 2" xfId="21732" xr:uid="{00000000-0005-0000-0000-0000550C0000}"/>
    <cellStyle name="20% - Accent2 2 4 2 3 6 2 2" xfId="32100" xr:uid="{00000000-0005-0000-0000-0000560C0000}"/>
    <cellStyle name="20% - Accent2 2 4 2 3 6 2 2 2" xfId="51289" xr:uid="{00000000-0005-0000-0000-0000570C0000}"/>
    <cellStyle name="20% - Accent2 2 4 2 3 6 2 3" xfId="41591" xr:uid="{00000000-0005-0000-0000-0000580C0000}"/>
    <cellStyle name="20% - Accent2 2 4 2 3 6 3" xfId="27645" xr:uid="{00000000-0005-0000-0000-0000590C0000}"/>
    <cellStyle name="20% - Accent2 2 4 2 3 6 3 2" xfId="46834" xr:uid="{00000000-0005-0000-0000-00005A0C0000}"/>
    <cellStyle name="20% - Accent2 2 4 2 3 6 4" xfId="37136" xr:uid="{00000000-0005-0000-0000-00005B0C0000}"/>
    <cellStyle name="20% - Accent2 2 4 2 3 7" xfId="17834" xr:uid="{00000000-0005-0000-0000-00005C0C0000}"/>
    <cellStyle name="20% - Accent2 2 4 2 3 7 2" xfId="28202" xr:uid="{00000000-0005-0000-0000-00005D0C0000}"/>
    <cellStyle name="20% - Accent2 2 4 2 3 7 2 2" xfId="47391" xr:uid="{00000000-0005-0000-0000-00005E0C0000}"/>
    <cellStyle name="20% - Accent2 2 4 2 3 7 3" xfId="37693" xr:uid="{00000000-0005-0000-0000-00005F0C0000}"/>
    <cellStyle name="20% - Accent2 2 4 2 3 8" xfId="23697" xr:uid="{00000000-0005-0000-0000-0000600C0000}"/>
    <cellStyle name="20% - Accent2 2 4 2 3 8 2" xfId="42936" xr:uid="{00000000-0005-0000-0000-0000610C0000}"/>
    <cellStyle name="20% - Accent2 2 4 2 3 9" xfId="33238" xr:uid="{00000000-0005-0000-0000-0000620C0000}"/>
    <cellStyle name="20% - Accent2 2 4 2 4" xfId="13888" xr:uid="{00000000-0005-0000-0000-0000630C0000}"/>
    <cellStyle name="20% - Accent2 2 4 2 4 2" xfId="16152" xr:uid="{00000000-0005-0000-0000-0000640C0000}"/>
    <cellStyle name="20% - Accent2 2 4 2 4 2 2" xfId="20616" xr:uid="{00000000-0005-0000-0000-0000650C0000}"/>
    <cellStyle name="20% - Accent2 2 4 2 4 2 2 2" xfId="30984" xr:uid="{00000000-0005-0000-0000-0000660C0000}"/>
    <cellStyle name="20% - Accent2 2 4 2 4 2 2 2 2" xfId="50173" xr:uid="{00000000-0005-0000-0000-0000670C0000}"/>
    <cellStyle name="20% - Accent2 2 4 2 4 2 2 3" xfId="40475" xr:uid="{00000000-0005-0000-0000-0000680C0000}"/>
    <cellStyle name="20% - Accent2 2 4 2 4 2 3" xfId="26529" xr:uid="{00000000-0005-0000-0000-0000690C0000}"/>
    <cellStyle name="20% - Accent2 2 4 2 4 2 3 2" xfId="45718" xr:uid="{00000000-0005-0000-0000-00006A0C0000}"/>
    <cellStyle name="20% - Accent2 2 4 2 4 2 4" xfId="36020" xr:uid="{00000000-0005-0000-0000-00006B0C0000}"/>
    <cellStyle name="20% - Accent2 2 4 2 4 3" xfId="18388" xr:uid="{00000000-0005-0000-0000-00006C0C0000}"/>
    <cellStyle name="20% - Accent2 2 4 2 4 3 2" xfId="28756" xr:uid="{00000000-0005-0000-0000-00006D0C0000}"/>
    <cellStyle name="20% - Accent2 2 4 2 4 3 2 2" xfId="47945" xr:uid="{00000000-0005-0000-0000-00006E0C0000}"/>
    <cellStyle name="20% - Accent2 2 4 2 4 3 3" xfId="38247" xr:uid="{00000000-0005-0000-0000-00006F0C0000}"/>
    <cellStyle name="20% - Accent2 2 4 2 4 4" xfId="24296" xr:uid="{00000000-0005-0000-0000-0000700C0000}"/>
    <cellStyle name="20% - Accent2 2 4 2 4 4 2" xfId="43490" xr:uid="{00000000-0005-0000-0000-0000710C0000}"/>
    <cellStyle name="20% - Accent2 2 4 2 4 5" xfId="33792" xr:uid="{00000000-0005-0000-0000-0000720C0000}"/>
    <cellStyle name="20% - Accent2 2 4 2 5" xfId="14467" xr:uid="{00000000-0005-0000-0000-0000730C0000}"/>
    <cellStyle name="20% - Accent2 2 4 2 5 2" xfId="15596" xr:uid="{00000000-0005-0000-0000-0000740C0000}"/>
    <cellStyle name="20% - Accent2 2 4 2 5 2 2" xfId="20060" xr:uid="{00000000-0005-0000-0000-0000750C0000}"/>
    <cellStyle name="20% - Accent2 2 4 2 5 2 2 2" xfId="30428" xr:uid="{00000000-0005-0000-0000-0000760C0000}"/>
    <cellStyle name="20% - Accent2 2 4 2 5 2 2 2 2" xfId="49617" xr:uid="{00000000-0005-0000-0000-0000770C0000}"/>
    <cellStyle name="20% - Accent2 2 4 2 5 2 2 3" xfId="39919" xr:uid="{00000000-0005-0000-0000-0000780C0000}"/>
    <cellStyle name="20% - Accent2 2 4 2 5 2 3" xfId="25973" xr:uid="{00000000-0005-0000-0000-0000790C0000}"/>
    <cellStyle name="20% - Accent2 2 4 2 5 2 3 2" xfId="45162" xr:uid="{00000000-0005-0000-0000-00007A0C0000}"/>
    <cellStyle name="20% - Accent2 2 4 2 5 2 4" xfId="35464" xr:uid="{00000000-0005-0000-0000-00007B0C0000}"/>
    <cellStyle name="20% - Accent2 2 4 2 5 3" xfId="18945" xr:uid="{00000000-0005-0000-0000-00007C0C0000}"/>
    <cellStyle name="20% - Accent2 2 4 2 5 3 2" xfId="29313" xr:uid="{00000000-0005-0000-0000-00007D0C0000}"/>
    <cellStyle name="20% - Accent2 2 4 2 5 3 2 2" xfId="48502" xr:uid="{00000000-0005-0000-0000-00007E0C0000}"/>
    <cellStyle name="20% - Accent2 2 4 2 5 3 3" xfId="38804" xr:uid="{00000000-0005-0000-0000-00007F0C0000}"/>
    <cellStyle name="20% - Accent2 2 4 2 5 4" xfId="24858" xr:uid="{00000000-0005-0000-0000-0000800C0000}"/>
    <cellStyle name="20% - Accent2 2 4 2 5 4 2" xfId="44047" xr:uid="{00000000-0005-0000-0000-0000810C0000}"/>
    <cellStyle name="20% - Accent2 2 4 2 5 5" xfId="34349" xr:uid="{00000000-0005-0000-0000-0000820C0000}"/>
    <cellStyle name="20% - Accent2 2 4 2 6" xfId="15039" xr:uid="{00000000-0005-0000-0000-0000830C0000}"/>
    <cellStyle name="20% - Accent2 2 4 2 6 2" xfId="19503" xr:uid="{00000000-0005-0000-0000-0000840C0000}"/>
    <cellStyle name="20% - Accent2 2 4 2 6 2 2" xfId="29871" xr:uid="{00000000-0005-0000-0000-0000850C0000}"/>
    <cellStyle name="20% - Accent2 2 4 2 6 2 2 2" xfId="49060" xr:uid="{00000000-0005-0000-0000-0000860C0000}"/>
    <cellStyle name="20% - Accent2 2 4 2 6 2 3" xfId="39362" xr:uid="{00000000-0005-0000-0000-0000870C0000}"/>
    <cellStyle name="20% - Accent2 2 4 2 6 3" xfId="25416" xr:uid="{00000000-0005-0000-0000-0000880C0000}"/>
    <cellStyle name="20% - Accent2 2 4 2 6 3 2" xfId="44605" xr:uid="{00000000-0005-0000-0000-0000890C0000}"/>
    <cellStyle name="20% - Accent2 2 4 2 6 4" xfId="34907" xr:uid="{00000000-0005-0000-0000-00008A0C0000}"/>
    <cellStyle name="20% - Accent2 2 4 2 7" xfId="16709" xr:uid="{00000000-0005-0000-0000-00008B0C0000}"/>
    <cellStyle name="20% - Accent2 2 4 2 7 2" xfId="21173" xr:uid="{00000000-0005-0000-0000-00008C0C0000}"/>
    <cellStyle name="20% - Accent2 2 4 2 7 2 2" xfId="31541" xr:uid="{00000000-0005-0000-0000-00008D0C0000}"/>
    <cellStyle name="20% - Accent2 2 4 2 7 2 2 2" xfId="50730" xr:uid="{00000000-0005-0000-0000-00008E0C0000}"/>
    <cellStyle name="20% - Accent2 2 4 2 7 2 3" xfId="41032" xr:uid="{00000000-0005-0000-0000-00008F0C0000}"/>
    <cellStyle name="20% - Accent2 2 4 2 7 3" xfId="27086" xr:uid="{00000000-0005-0000-0000-0000900C0000}"/>
    <cellStyle name="20% - Accent2 2 4 2 7 3 2" xfId="46275" xr:uid="{00000000-0005-0000-0000-0000910C0000}"/>
    <cellStyle name="20% - Accent2 2 4 2 7 4" xfId="36577" xr:uid="{00000000-0005-0000-0000-0000920C0000}"/>
    <cellStyle name="20% - Accent2 2 4 2 8" xfId="17275" xr:uid="{00000000-0005-0000-0000-0000930C0000}"/>
    <cellStyle name="20% - Accent2 2 4 2 8 2" xfId="21730" xr:uid="{00000000-0005-0000-0000-0000940C0000}"/>
    <cellStyle name="20% - Accent2 2 4 2 8 2 2" xfId="32098" xr:uid="{00000000-0005-0000-0000-0000950C0000}"/>
    <cellStyle name="20% - Accent2 2 4 2 8 2 2 2" xfId="51287" xr:uid="{00000000-0005-0000-0000-0000960C0000}"/>
    <cellStyle name="20% - Accent2 2 4 2 8 2 3" xfId="41589" xr:uid="{00000000-0005-0000-0000-0000970C0000}"/>
    <cellStyle name="20% - Accent2 2 4 2 8 3" xfId="27643" xr:uid="{00000000-0005-0000-0000-0000980C0000}"/>
    <cellStyle name="20% - Accent2 2 4 2 8 3 2" xfId="46832" xr:uid="{00000000-0005-0000-0000-0000990C0000}"/>
    <cellStyle name="20% - Accent2 2 4 2 8 4" xfId="37134" xr:uid="{00000000-0005-0000-0000-00009A0C0000}"/>
    <cellStyle name="20% - Accent2 2 4 2 9" xfId="17832" xr:uid="{00000000-0005-0000-0000-00009B0C0000}"/>
    <cellStyle name="20% - Accent2 2 4 2 9 2" xfId="28200" xr:uid="{00000000-0005-0000-0000-00009C0C0000}"/>
    <cellStyle name="20% - Accent2 2 4 2 9 2 2" xfId="47389" xr:uid="{00000000-0005-0000-0000-00009D0C0000}"/>
    <cellStyle name="20% - Accent2 2 4 2 9 3" xfId="37691" xr:uid="{00000000-0005-0000-0000-00009E0C0000}"/>
    <cellStyle name="20% - Accent2 2 4 3" xfId="12937" xr:uid="{00000000-0005-0000-0000-00009F0C0000}"/>
    <cellStyle name="20% - Accent2 2 4 3 10" xfId="23698" xr:uid="{00000000-0005-0000-0000-0000A00C0000}"/>
    <cellStyle name="20% - Accent2 2 4 3 10 2" xfId="42937" xr:uid="{00000000-0005-0000-0000-0000A10C0000}"/>
    <cellStyle name="20% - Accent2 2 4 3 11" xfId="33239" xr:uid="{00000000-0005-0000-0000-0000A20C0000}"/>
    <cellStyle name="20% - Accent2 2 4 3 12" xfId="52973" xr:uid="{00000000-0005-0000-0000-0000A30C0000}"/>
    <cellStyle name="20% - Accent2 2 4 3 2" xfId="12938" xr:uid="{00000000-0005-0000-0000-0000A40C0000}"/>
    <cellStyle name="20% - Accent2 2 4 3 2 10" xfId="53848" xr:uid="{00000000-0005-0000-0000-0000A50C0000}"/>
    <cellStyle name="20% - Accent2 2 4 3 2 2" xfId="13892" xr:uid="{00000000-0005-0000-0000-0000A60C0000}"/>
    <cellStyle name="20% - Accent2 2 4 3 2 2 2" xfId="16156" xr:uid="{00000000-0005-0000-0000-0000A70C0000}"/>
    <cellStyle name="20% - Accent2 2 4 3 2 2 2 2" xfId="20620" xr:uid="{00000000-0005-0000-0000-0000A80C0000}"/>
    <cellStyle name="20% - Accent2 2 4 3 2 2 2 2 2" xfId="30988" xr:uid="{00000000-0005-0000-0000-0000A90C0000}"/>
    <cellStyle name="20% - Accent2 2 4 3 2 2 2 2 2 2" xfId="50177" xr:uid="{00000000-0005-0000-0000-0000AA0C0000}"/>
    <cellStyle name="20% - Accent2 2 4 3 2 2 2 2 3" xfId="40479" xr:uid="{00000000-0005-0000-0000-0000AB0C0000}"/>
    <cellStyle name="20% - Accent2 2 4 3 2 2 2 3" xfId="26533" xr:uid="{00000000-0005-0000-0000-0000AC0C0000}"/>
    <cellStyle name="20% - Accent2 2 4 3 2 2 2 3 2" xfId="45722" xr:uid="{00000000-0005-0000-0000-0000AD0C0000}"/>
    <cellStyle name="20% - Accent2 2 4 3 2 2 2 4" xfId="36024" xr:uid="{00000000-0005-0000-0000-0000AE0C0000}"/>
    <cellStyle name="20% - Accent2 2 4 3 2 2 3" xfId="18392" xr:uid="{00000000-0005-0000-0000-0000AF0C0000}"/>
    <cellStyle name="20% - Accent2 2 4 3 2 2 3 2" xfId="28760" xr:uid="{00000000-0005-0000-0000-0000B00C0000}"/>
    <cellStyle name="20% - Accent2 2 4 3 2 2 3 2 2" xfId="47949" xr:uid="{00000000-0005-0000-0000-0000B10C0000}"/>
    <cellStyle name="20% - Accent2 2 4 3 2 2 3 3" xfId="38251" xr:uid="{00000000-0005-0000-0000-0000B20C0000}"/>
    <cellStyle name="20% - Accent2 2 4 3 2 2 4" xfId="24300" xr:uid="{00000000-0005-0000-0000-0000B30C0000}"/>
    <cellStyle name="20% - Accent2 2 4 3 2 2 4 2" xfId="43494" xr:uid="{00000000-0005-0000-0000-0000B40C0000}"/>
    <cellStyle name="20% - Accent2 2 4 3 2 2 5" xfId="33796" xr:uid="{00000000-0005-0000-0000-0000B50C0000}"/>
    <cellStyle name="20% - Accent2 2 4 3 2 3" xfId="14471" xr:uid="{00000000-0005-0000-0000-0000B60C0000}"/>
    <cellStyle name="20% - Accent2 2 4 3 2 3 2" xfId="15600" xr:uid="{00000000-0005-0000-0000-0000B70C0000}"/>
    <cellStyle name="20% - Accent2 2 4 3 2 3 2 2" xfId="20064" xr:uid="{00000000-0005-0000-0000-0000B80C0000}"/>
    <cellStyle name="20% - Accent2 2 4 3 2 3 2 2 2" xfId="30432" xr:uid="{00000000-0005-0000-0000-0000B90C0000}"/>
    <cellStyle name="20% - Accent2 2 4 3 2 3 2 2 2 2" xfId="49621" xr:uid="{00000000-0005-0000-0000-0000BA0C0000}"/>
    <cellStyle name="20% - Accent2 2 4 3 2 3 2 2 3" xfId="39923" xr:uid="{00000000-0005-0000-0000-0000BB0C0000}"/>
    <cellStyle name="20% - Accent2 2 4 3 2 3 2 3" xfId="25977" xr:uid="{00000000-0005-0000-0000-0000BC0C0000}"/>
    <cellStyle name="20% - Accent2 2 4 3 2 3 2 3 2" xfId="45166" xr:uid="{00000000-0005-0000-0000-0000BD0C0000}"/>
    <cellStyle name="20% - Accent2 2 4 3 2 3 2 4" xfId="35468" xr:uid="{00000000-0005-0000-0000-0000BE0C0000}"/>
    <cellStyle name="20% - Accent2 2 4 3 2 3 3" xfId="18949" xr:uid="{00000000-0005-0000-0000-0000BF0C0000}"/>
    <cellStyle name="20% - Accent2 2 4 3 2 3 3 2" xfId="29317" xr:uid="{00000000-0005-0000-0000-0000C00C0000}"/>
    <cellStyle name="20% - Accent2 2 4 3 2 3 3 2 2" xfId="48506" xr:uid="{00000000-0005-0000-0000-0000C10C0000}"/>
    <cellStyle name="20% - Accent2 2 4 3 2 3 3 3" xfId="38808" xr:uid="{00000000-0005-0000-0000-0000C20C0000}"/>
    <cellStyle name="20% - Accent2 2 4 3 2 3 4" xfId="24862" xr:uid="{00000000-0005-0000-0000-0000C30C0000}"/>
    <cellStyle name="20% - Accent2 2 4 3 2 3 4 2" xfId="44051" xr:uid="{00000000-0005-0000-0000-0000C40C0000}"/>
    <cellStyle name="20% - Accent2 2 4 3 2 3 5" xfId="34353" xr:uid="{00000000-0005-0000-0000-0000C50C0000}"/>
    <cellStyle name="20% - Accent2 2 4 3 2 4" xfId="15043" xr:uid="{00000000-0005-0000-0000-0000C60C0000}"/>
    <cellStyle name="20% - Accent2 2 4 3 2 4 2" xfId="19507" xr:uid="{00000000-0005-0000-0000-0000C70C0000}"/>
    <cellStyle name="20% - Accent2 2 4 3 2 4 2 2" xfId="29875" xr:uid="{00000000-0005-0000-0000-0000C80C0000}"/>
    <cellStyle name="20% - Accent2 2 4 3 2 4 2 2 2" xfId="49064" xr:uid="{00000000-0005-0000-0000-0000C90C0000}"/>
    <cellStyle name="20% - Accent2 2 4 3 2 4 2 3" xfId="39366" xr:uid="{00000000-0005-0000-0000-0000CA0C0000}"/>
    <cellStyle name="20% - Accent2 2 4 3 2 4 3" xfId="25420" xr:uid="{00000000-0005-0000-0000-0000CB0C0000}"/>
    <cellStyle name="20% - Accent2 2 4 3 2 4 3 2" xfId="44609" xr:uid="{00000000-0005-0000-0000-0000CC0C0000}"/>
    <cellStyle name="20% - Accent2 2 4 3 2 4 4" xfId="34911" xr:uid="{00000000-0005-0000-0000-0000CD0C0000}"/>
    <cellStyle name="20% - Accent2 2 4 3 2 5" xfId="16713" xr:uid="{00000000-0005-0000-0000-0000CE0C0000}"/>
    <cellStyle name="20% - Accent2 2 4 3 2 5 2" xfId="21177" xr:uid="{00000000-0005-0000-0000-0000CF0C0000}"/>
    <cellStyle name="20% - Accent2 2 4 3 2 5 2 2" xfId="31545" xr:uid="{00000000-0005-0000-0000-0000D00C0000}"/>
    <cellStyle name="20% - Accent2 2 4 3 2 5 2 2 2" xfId="50734" xr:uid="{00000000-0005-0000-0000-0000D10C0000}"/>
    <cellStyle name="20% - Accent2 2 4 3 2 5 2 3" xfId="41036" xr:uid="{00000000-0005-0000-0000-0000D20C0000}"/>
    <cellStyle name="20% - Accent2 2 4 3 2 5 3" xfId="27090" xr:uid="{00000000-0005-0000-0000-0000D30C0000}"/>
    <cellStyle name="20% - Accent2 2 4 3 2 5 3 2" xfId="46279" xr:uid="{00000000-0005-0000-0000-0000D40C0000}"/>
    <cellStyle name="20% - Accent2 2 4 3 2 5 4" xfId="36581" xr:uid="{00000000-0005-0000-0000-0000D50C0000}"/>
    <cellStyle name="20% - Accent2 2 4 3 2 6" xfId="17279" xr:uid="{00000000-0005-0000-0000-0000D60C0000}"/>
    <cellStyle name="20% - Accent2 2 4 3 2 6 2" xfId="21734" xr:uid="{00000000-0005-0000-0000-0000D70C0000}"/>
    <cellStyle name="20% - Accent2 2 4 3 2 6 2 2" xfId="32102" xr:uid="{00000000-0005-0000-0000-0000D80C0000}"/>
    <cellStyle name="20% - Accent2 2 4 3 2 6 2 2 2" xfId="51291" xr:uid="{00000000-0005-0000-0000-0000D90C0000}"/>
    <cellStyle name="20% - Accent2 2 4 3 2 6 2 3" xfId="41593" xr:uid="{00000000-0005-0000-0000-0000DA0C0000}"/>
    <cellStyle name="20% - Accent2 2 4 3 2 6 3" xfId="27647" xr:uid="{00000000-0005-0000-0000-0000DB0C0000}"/>
    <cellStyle name="20% - Accent2 2 4 3 2 6 3 2" xfId="46836" xr:uid="{00000000-0005-0000-0000-0000DC0C0000}"/>
    <cellStyle name="20% - Accent2 2 4 3 2 6 4" xfId="37138" xr:uid="{00000000-0005-0000-0000-0000DD0C0000}"/>
    <cellStyle name="20% - Accent2 2 4 3 2 7" xfId="17836" xr:uid="{00000000-0005-0000-0000-0000DE0C0000}"/>
    <cellStyle name="20% - Accent2 2 4 3 2 7 2" xfId="28204" xr:uid="{00000000-0005-0000-0000-0000DF0C0000}"/>
    <cellStyle name="20% - Accent2 2 4 3 2 7 2 2" xfId="47393" xr:uid="{00000000-0005-0000-0000-0000E00C0000}"/>
    <cellStyle name="20% - Accent2 2 4 3 2 7 3" xfId="37695" xr:uid="{00000000-0005-0000-0000-0000E10C0000}"/>
    <cellStyle name="20% - Accent2 2 4 3 2 8" xfId="23699" xr:uid="{00000000-0005-0000-0000-0000E20C0000}"/>
    <cellStyle name="20% - Accent2 2 4 3 2 8 2" xfId="42938" xr:uid="{00000000-0005-0000-0000-0000E30C0000}"/>
    <cellStyle name="20% - Accent2 2 4 3 2 9" xfId="33240" xr:uid="{00000000-0005-0000-0000-0000E40C0000}"/>
    <cellStyle name="20% - Accent2 2 4 3 3" xfId="12939" xr:uid="{00000000-0005-0000-0000-0000E50C0000}"/>
    <cellStyle name="20% - Accent2 2 4 3 3 2" xfId="13893" xr:uid="{00000000-0005-0000-0000-0000E60C0000}"/>
    <cellStyle name="20% - Accent2 2 4 3 3 2 2" xfId="16157" xr:uid="{00000000-0005-0000-0000-0000E70C0000}"/>
    <cellStyle name="20% - Accent2 2 4 3 3 2 2 2" xfId="20621" xr:uid="{00000000-0005-0000-0000-0000E80C0000}"/>
    <cellStyle name="20% - Accent2 2 4 3 3 2 2 2 2" xfId="30989" xr:uid="{00000000-0005-0000-0000-0000E90C0000}"/>
    <cellStyle name="20% - Accent2 2 4 3 3 2 2 2 2 2" xfId="50178" xr:uid="{00000000-0005-0000-0000-0000EA0C0000}"/>
    <cellStyle name="20% - Accent2 2 4 3 3 2 2 2 3" xfId="40480" xr:uid="{00000000-0005-0000-0000-0000EB0C0000}"/>
    <cellStyle name="20% - Accent2 2 4 3 3 2 2 3" xfId="26534" xr:uid="{00000000-0005-0000-0000-0000EC0C0000}"/>
    <cellStyle name="20% - Accent2 2 4 3 3 2 2 3 2" xfId="45723" xr:uid="{00000000-0005-0000-0000-0000ED0C0000}"/>
    <cellStyle name="20% - Accent2 2 4 3 3 2 2 4" xfId="36025" xr:uid="{00000000-0005-0000-0000-0000EE0C0000}"/>
    <cellStyle name="20% - Accent2 2 4 3 3 2 3" xfId="18393" xr:uid="{00000000-0005-0000-0000-0000EF0C0000}"/>
    <cellStyle name="20% - Accent2 2 4 3 3 2 3 2" xfId="28761" xr:uid="{00000000-0005-0000-0000-0000F00C0000}"/>
    <cellStyle name="20% - Accent2 2 4 3 3 2 3 2 2" xfId="47950" xr:uid="{00000000-0005-0000-0000-0000F10C0000}"/>
    <cellStyle name="20% - Accent2 2 4 3 3 2 3 3" xfId="38252" xr:uid="{00000000-0005-0000-0000-0000F20C0000}"/>
    <cellStyle name="20% - Accent2 2 4 3 3 2 4" xfId="24301" xr:uid="{00000000-0005-0000-0000-0000F30C0000}"/>
    <cellStyle name="20% - Accent2 2 4 3 3 2 4 2" xfId="43495" xr:uid="{00000000-0005-0000-0000-0000F40C0000}"/>
    <cellStyle name="20% - Accent2 2 4 3 3 2 5" xfId="33797" xr:uid="{00000000-0005-0000-0000-0000F50C0000}"/>
    <cellStyle name="20% - Accent2 2 4 3 3 3" xfId="14472" xr:uid="{00000000-0005-0000-0000-0000F60C0000}"/>
    <cellStyle name="20% - Accent2 2 4 3 3 3 2" xfId="15601" xr:uid="{00000000-0005-0000-0000-0000F70C0000}"/>
    <cellStyle name="20% - Accent2 2 4 3 3 3 2 2" xfId="20065" xr:uid="{00000000-0005-0000-0000-0000F80C0000}"/>
    <cellStyle name="20% - Accent2 2 4 3 3 3 2 2 2" xfId="30433" xr:uid="{00000000-0005-0000-0000-0000F90C0000}"/>
    <cellStyle name="20% - Accent2 2 4 3 3 3 2 2 2 2" xfId="49622" xr:uid="{00000000-0005-0000-0000-0000FA0C0000}"/>
    <cellStyle name="20% - Accent2 2 4 3 3 3 2 2 3" xfId="39924" xr:uid="{00000000-0005-0000-0000-0000FB0C0000}"/>
    <cellStyle name="20% - Accent2 2 4 3 3 3 2 3" xfId="25978" xr:uid="{00000000-0005-0000-0000-0000FC0C0000}"/>
    <cellStyle name="20% - Accent2 2 4 3 3 3 2 3 2" xfId="45167" xr:uid="{00000000-0005-0000-0000-0000FD0C0000}"/>
    <cellStyle name="20% - Accent2 2 4 3 3 3 2 4" xfId="35469" xr:uid="{00000000-0005-0000-0000-0000FE0C0000}"/>
    <cellStyle name="20% - Accent2 2 4 3 3 3 3" xfId="18950" xr:uid="{00000000-0005-0000-0000-0000FF0C0000}"/>
    <cellStyle name="20% - Accent2 2 4 3 3 3 3 2" xfId="29318" xr:uid="{00000000-0005-0000-0000-0000000D0000}"/>
    <cellStyle name="20% - Accent2 2 4 3 3 3 3 2 2" xfId="48507" xr:uid="{00000000-0005-0000-0000-0000010D0000}"/>
    <cellStyle name="20% - Accent2 2 4 3 3 3 3 3" xfId="38809" xr:uid="{00000000-0005-0000-0000-0000020D0000}"/>
    <cellStyle name="20% - Accent2 2 4 3 3 3 4" xfId="24863" xr:uid="{00000000-0005-0000-0000-0000030D0000}"/>
    <cellStyle name="20% - Accent2 2 4 3 3 3 4 2" xfId="44052" xr:uid="{00000000-0005-0000-0000-0000040D0000}"/>
    <cellStyle name="20% - Accent2 2 4 3 3 3 5" xfId="34354" xr:uid="{00000000-0005-0000-0000-0000050D0000}"/>
    <cellStyle name="20% - Accent2 2 4 3 3 4" xfId="15044" xr:uid="{00000000-0005-0000-0000-0000060D0000}"/>
    <cellStyle name="20% - Accent2 2 4 3 3 4 2" xfId="19508" xr:uid="{00000000-0005-0000-0000-0000070D0000}"/>
    <cellStyle name="20% - Accent2 2 4 3 3 4 2 2" xfId="29876" xr:uid="{00000000-0005-0000-0000-0000080D0000}"/>
    <cellStyle name="20% - Accent2 2 4 3 3 4 2 2 2" xfId="49065" xr:uid="{00000000-0005-0000-0000-0000090D0000}"/>
    <cellStyle name="20% - Accent2 2 4 3 3 4 2 3" xfId="39367" xr:uid="{00000000-0005-0000-0000-00000A0D0000}"/>
    <cellStyle name="20% - Accent2 2 4 3 3 4 3" xfId="25421" xr:uid="{00000000-0005-0000-0000-00000B0D0000}"/>
    <cellStyle name="20% - Accent2 2 4 3 3 4 3 2" xfId="44610" xr:uid="{00000000-0005-0000-0000-00000C0D0000}"/>
    <cellStyle name="20% - Accent2 2 4 3 3 4 4" xfId="34912" xr:uid="{00000000-0005-0000-0000-00000D0D0000}"/>
    <cellStyle name="20% - Accent2 2 4 3 3 5" xfId="16714" xr:uid="{00000000-0005-0000-0000-00000E0D0000}"/>
    <cellStyle name="20% - Accent2 2 4 3 3 5 2" xfId="21178" xr:uid="{00000000-0005-0000-0000-00000F0D0000}"/>
    <cellStyle name="20% - Accent2 2 4 3 3 5 2 2" xfId="31546" xr:uid="{00000000-0005-0000-0000-0000100D0000}"/>
    <cellStyle name="20% - Accent2 2 4 3 3 5 2 2 2" xfId="50735" xr:uid="{00000000-0005-0000-0000-0000110D0000}"/>
    <cellStyle name="20% - Accent2 2 4 3 3 5 2 3" xfId="41037" xr:uid="{00000000-0005-0000-0000-0000120D0000}"/>
    <cellStyle name="20% - Accent2 2 4 3 3 5 3" xfId="27091" xr:uid="{00000000-0005-0000-0000-0000130D0000}"/>
    <cellStyle name="20% - Accent2 2 4 3 3 5 3 2" xfId="46280" xr:uid="{00000000-0005-0000-0000-0000140D0000}"/>
    <cellStyle name="20% - Accent2 2 4 3 3 5 4" xfId="36582" xr:uid="{00000000-0005-0000-0000-0000150D0000}"/>
    <cellStyle name="20% - Accent2 2 4 3 3 6" xfId="17280" xr:uid="{00000000-0005-0000-0000-0000160D0000}"/>
    <cellStyle name="20% - Accent2 2 4 3 3 6 2" xfId="21735" xr:uid="{00000000-0005-0000-0000-0000170D0000}"/>
    <cellStyle name="20% - Accent2 2 4 3 3 6 2 2" xfId="32103" xr:uid="{00000000-0005-0000-0000-0000180D0000}"/>
    <cellStyle name="20% - Accent2 2 4 3 3 6 2 2 2" xfId="51292" xr:uid="{00000000-0005-0000-0000-0000190D0000}"/>
    <cellStyle name="20% - Accent2 2 4 3 3 6 2 3" xfId="41594" xr:uid="{00000000-0005-0000-0000-00001A0D0000}"/>
    <cellStyle name="20% - Accent2 2 4 3 3 6 3" xfId="27648" xr:uid="{00000000-0005-0000-0000-00001B0D0000}"/>
    <cellStyle name="20% - Accent2 2 4 3 3 6 3 2" xfId="46837" xr:uid="{00000000-0005-0000-0000-00001C0D0000}"/>
    <cellStyle name="20% - Accent2 2 4 3 3 6 4" xfId="37139" xr:uid="{00000000-0005-0000-0000-00001D0D0000}"/>
    <cellStyle name="20% - Accent2 2 4 3 3 7" xfId="17837" xr:uid="{00000000-0005-0000-0000-00001E0D0000}"/>
    <cellStyle name="20% - Accent2 2 4 3 3 7 2" xfId="28205" xr:uid="{00000000-0005-0000-0000-00001F0D0000}"/>
    <cellStyle name="20% - Accent2 2 4 3 3 7 2 2" xfId="47394" xr:uid="{00000000-0005-0000-0000-0000200D0000}"/>
    <cellStyle name="20% - Accent2 2 4 3 3 7 3" xfId="37696" xr:uid="{00000000-0005-0000-0000-0000210D0000}"/>
    <cellStyle name="20% - Accent2 2 4 3 3 8" xfId="23700" xr:uid="{00000000-0005-0000-0000-0000220D0000}"/>
    <cellStyle name="20% - Accent2 2 4 3 3 8 2" xfId="42939" xr:uid="{00000000-0005-0000-0000-0000230D0000}"/>
    <cellStyle name="20% - Accent2 2 4 3 3 9" xfId="33241" xr:uid="{00000000-0005-0000-0000-0000240D0000}"/>
    <cellStyle name="20% - Accent2 2 4 3 4" xfId="13891" xr:uid="{00000000-0005-0000-0000-0000250D0000}"/>
    <cellStyle name="20% - Accent2 2 4 3 4 2" xfId="16155" xr:uid="{00000000-0005-0000-0000-0000260D0000}"/>
    <cellStyle name="20% - Accent2 2 4 3 4 2 2" xfId="20619" xr:uid="{00000000-0005-0000-0000-0000270D0000}"/>
    <cellStyle name="20% - Accent2 2 4 3 4 2 2 2" xfId="30987" xr:uid="{00000000-0005-0000-0000-0000280D0000}"/>
    <cellStyle name="20% - Accent2 2 4 3 4 2 2 2 2" xfId="50176" xr:uid="{00000000-0005-0000-0000-0000290D0000}"/>
    <cellStyle name="20% - Accent2 2 4 3 4 2 2 3" xfId="40478" xr:uid="{00000000-0005-0000-0000-00002A0D0000}"/>
    <cellStyle name="20% - Accent2 2 4 3 4 2 3" xfId="26532" xr:uid="{00000000-0005-0000-0000-00002B0D0000}"/>
    <cellStyle name="20% - Accent2 2 4 3 4 2 3 2" xfId="45721" xr:uid="{00000000-0005-0000-0000-00002C0D0000}"/>
    <cellStyle name="20% - Accent2 2 4 3 4 2 4" xfId="36023" xr:uid="{00000000-0005-0000-0000-00002D0D0000}"/>
    <cellStyle name="20% - Accent2 2 4 3 4 3" xfId="18391" xr:uid="{00000000-0005-0000-0000-00002E0D0000}"/>
    <cellStyle name="20% - Accent2 2 4 3 4 3 2" xfId="28759" xr:uid="{00000000-0005-0000-0000-00002F0D0000}"/>
    <cellStyle name="20% - Accent2 2 4 3 4 3 2 2" xfId="47948" xr:uid="{00000000-0005-0000-0000-0000300D0000}"/>
    <cellStyle name="20% - Accent2 2 4 3 4 3 3" xfId="38250" xr:uid="{00000000-0005-0000-0000-0000310D0000}"/>
    <cellStyle name="20% - Accent2 2 4 3 4 4" xfId="24299" xr:uid="{00000000-0005-0000-0000-0000320D0000}"/>
    <cellStyle name="20% - Accent2 2 4 3 4 4 2" xfId="43493" xr:uid="{00000000-0005-0000-0000-0000330D0000}"/>
    <cellStyle name="20% - Accent2 2 4 3 4 5" xfId="33795" xr:uid="{00000000-0005-0000-0000-0000340D0000}"/>
    <cellStyle name="20% - Accent2 2 4 3 5" xfId="14470" xr:uid="{00000000-0005-0000-0000-0000350D0000}"/>
    <cellStyle name="20% - Accent2 2 4 3 5 2" xfId="15599" xr:uid="{00000000-0005-0000-0000-0000360D0000}"/>
    <cellStyle name="20% - Accent2 2 4 3 5 2 2" xfId="20063" xr:uid="{00000000-0005-0000-0000-0000370D0000}"/>
    <cellStyle name="20% - Accent2 2 4 3 5 2 2 2" xfId="30431" xr:uid="{00000000-0005-0000-0000-0000380D0000}"/>
    <cellStyle name="20% - Accent2 2 4 3 5 2 2 2 2" xfId="49620" xr:uid="{00000000-0005-0000-0000-0000390D0000}"/>
    <cellStyle name="20% - Accent2 2 4 3 5 2 2 3" xfId="39922" xr:uid="{00000000-0005-0000-0000-00003A0D0000}"/>
    <cellStyle name="20% - Accent2 2 4 3 5 2 3" xfId="25976" xr:uid="{00000000-0005-0000-0000-00003B0D0000}"/>
    <cellStyle name="20% - Accent2 2 4 3 5 2 3 2" xfId="45165" xr:uid="{00000000-0005-0000-0000-00003C0D0000}"/>
    <cellStyle name="20% - Accent2 2 4 3 5 2 4" xfId="35467" xr:uid="{00000000-0005-0000-0000-00003D0D0000}"/>
    <cellStyle name="20% - Accent2 2 4 3 5 3" xfId="18948" xr:uid="{00000000-0005-0000-0000-00003E0D0000}"/>
    <cellStyle name="20% - Accent2 2 4 3 5 3 2" xfId="29316" xr:uid="{00000000-0005-0000-0000-00003F0D0000}"/>
    <cellStyle name="20% - Accent2 2 4 3 5 3 2 2" xfId="48505" xr:uid="{00000000-0005-0000-0000-0000400D0000}"/>
    <cellStyle name="20% - Accent2 2 4 3 5 3 3" xfId="38807" xr:uid="{00000000-0005-0000-0000-0000410D0000}"/>
    <cellStyle name="20% - Accent2 2 4 3 5 4" xfId="24861" xr:uid="{00000000-0005-0000-0000-0000420D0000}"/>
    <cellStyle name="20% - Accent2 2 4 3 5 4 2" xfId="44050" xr:uid="{00000000-0005-0000-0000-0000430D0000}"/>
    <cellStyle name="20% - Accent2 2 4 3 5 5" xfId="34352" xr:uid="{00000000-0005-0000-0000-0000440D0000}"/>
    <cellStyle name="20% - Accent2 2 4 3 6" xfId="15042" xr:uid="{00000000-0005-0000-0000-0000450D0000}"/>
    <cellStyle name="20% - Accent2 2 4 3 6 2" xfId="19506" xr:uid="{00000000-0005-0000-0000-0000460D0000}"/>
    <cellStyle name="20% - Accent2 2 4 3 6 2 2" xfId="29874" xr:uid="{00000000-0005-0000-0000-0000470D0000}"/>
    <cellStyle name="20% - Accent2 2 4 3 6 2 2 2" xfId="49063" xr:uid="{00000000-0005-0000-0000-0000480D0000}"/>
    <cellStyle name="20% - Accent2 2 4 3 6 2 3" xfId="39365" xr:uid="{00000000-0005-0000-0000-0000490D0000}"/>
    <cellStyle name="20% - Accent2 2 4 3 6 3" xfId="25419" xr:uid="{00000000-0005-0000-0000-00004A0D0000}"/>
    <cellStyle name="20% - Accent2 2 4 3 6 3 2" xfId="44608" xr:uid="{00000000-0005-0000-0000-00004B0D0000}"/>
    <cellStyle name="20% - Accent2 2 4 3 6 4" xfId="34910" xr:uid="{00000000-0005-0000-0000-00004C0D0000}"/>
    <cellStyle name="20% - Accent2 2 4 3 7" xfId="16712" xr:uid="{00000000-0005-0000-0000-00004D0D0000}"/>
    <cellStyle name="20% - Accent2 2 4 3 7 2" xfId="21176" xr:uid="{00000000-0005-0000-0000-00004E0D0000}"/>
    <cellStyle name="20% - Accent2 2 4 3 7 2 2" xfId="31544" xr:uid="{00000000-0005-0000-0000-00004F0D0000}"/>
    <cellStyle name="20% - Accent2 2 4 3 7 2 2 2" xfId="50733" xr:uid="{00000000-0005-0000-0000-0000500D0000}"/>
    <cellStyle name="20% - Accent2 2 4 3 7 2 3" xfId="41035" xr:uid="{00000000-0005-0000-0000-0000510D0000}"/>
    <cellStyle name="20% - Accent2 2 4 3 7 3" xfId="27089" xr:uid="{00000000-0005-0000-0000-0000520D0000}"/>
    <cellStyle name="20% - Accent2 2 4 3 7 3 2" xfId="46278" xr:uid="{00000000-0005-0000-0000-0000530D0000}"/>
    <cellStyle name="20% - Accent2 2 4 3 7 4" xfId="36580" xr:uid="{00000000-0005-0000-0000-0000540D0000}"/>
    <cellStyle name="20% - Accent2 2 4 3 8" xfId="17278" xr:uid="{00000000-0005-0000-0000-0000550D0000}"/>
    <cellStyle name="20% - Accent2 2 4 3 8 2" xfId="21733" xr:uid="{00000000-0005-0000-0000-0000560D0000}"/>
    <cellStyle name="20% - Accent2 2 4 3 8 2 2" xfId="32101" xr:uid="{00000000-0005-0000-0000-0000570D0000}"/>
    <cellStyle name="20% - Accent2 2 4 3 8 2 2 2" xfId="51290" xr:uid="{00000000-0005-0000-0000-0000580D0000}"/>
    <cellStyle name="20% - Accent2 2 4 3 8 2 3" xfId="41592" xr:uid="{00000000-0005-0000-0000-0000590D0000}"/>
    <cellStyle name="20% - Accent2 2 4 3 8 3" xfId="27646" xr:uid="{00000000-0005-0000-0000-00005A0D0000}"/>
    <cellStyle name="20% - Accent2 2 4 3 8 3 2" xfId="46835" xr:uid="{00000000-0005-0000-0000-00005B0D0000}"/>
    <cellStyle name="20% - Accent2 2 4 3 8 4" xfId="37137" xr:uid="{00000000-0005-0000-0000-00005C0D0000}"/>
    <cellStyle name="20% - Accent2 2 4 3 9" xfId="17835" xr:uid="{00000000-0005-0000-0000-00005D0D0000}"/>
    <cellStyle name="20% - Accent2 2 4 3 9 2" xfId="28203" xr:uid="{00000000-0005-0000-0000-00005E0D0000}"/>
    <cellStyle name="20% - Accent2 2 4 3 9 2 2" xfId="47392" xr:uid="{00000000-0005-0000-0000-00005F0D0000}"/>
    <cellStyle name="20% - Accent2 2 4 3 9 3" xfId="37694" xr:uid="{00000000-0005-0000-0000-0000600D0000}"/>
    <cellStyle name="20% - Accent2 2 4 4" xfId="12940" xr:uid="{00000000-0005-0000-0000-0000610D0000}"/>
    <cellStyle name="20% - Accent2 2 4 4 10" xfId="53452" xr:uid="{00000000-0005-0000-0000-0000620D0000}"/>
    <cellStyle name="20% - Accent2 2 4 4 2" xfId="13894" xr:uid="{00000000-0005-0000-0000-0000630D0000}"/>
    <cellStyle name="20% - Accent2 2 4 4 2 2" xfId="16158" xr:uid="{00000000-0005-0000-0000-0000640D0000}"/>
    <cellStyle name="20% - Accent2 2 4 4 2 2 2" xfId="20622" xr:uid="{00000000-0005-0000-0000-0000650D0000}"/>
    <cellStyle name="20% - Accent2 2 4 4 2 2 2 2" xfId="30990" xr:uid="{00000000-0005-0000-0000-0000660D0000}"/>
    <cellStyle name="20% - Accent2 2 4 4 2 2 2 2 2" xfId="50179" xr:uid="{00000000-0005-0000-0000-0000670D0000}"/>
    <cellStyle name="20% - Accent2 2 4 4 2 2 2 3" xfId="40481" xr:uid="{00000000-0005-0000-0000-0000680D0000}"/>
    <cellStyle name="20% - Accent2 2 4 4 2 2 3" xfId="26535" xr:uid="{00000000-0005-0000-0000-0000690D0000}"/>
    <cellStyle name="20% - Accent2 2 4 4 2 2 3 2" xfId="45724" xr:uid="{00000000-0005-0000-0000-00006A0D0000}"/>
    <cellStyle name="20% - Accent2 2 4 4 2 2 4" xfId="36026" xr:uid="{00000000-0005-0000-0000-00006B0D0000}"/>
    <cellStyle name="20% - Accent2 2 4 4 2 3" xfId="18394" xr:uid="{00000000-0005-0000-0000-00006C0D0000}"/>
    <cellStyle name="20% - Accent2 2 4 4 2 3 2" xfId="28762" xr:uid="{00000000-0005-0000-0000-00006D0D0000}"/>
    <cellStyle name="20% - Accent2 2 4 4 2 3 2 2" xfId="47951" xr:uid="{00000000-0005-0000-0000-00006E0D0000}"/>
    <cellStyle name="20% - Accent2 2 4 4 2 3 3" xfId="38253" xr:uid="{00000000-0005-0000-0000-00006F0D0000}"/>
    <cellStyle name="20% - Accent2 2 4 4 2 4" xfId="24302" xr:uid="{00000000-0005-0000-0000-0000700D0000}"/>
    <cellStyle name="20% - Accent2 2 4 4 2 4 2" xfId="43496" xr:uid="{00000000-0005-0000-0000-0000710D0000}"/>
    <cellStyle name="20% - Accent2 2 4 4 2 5" xfId="33798" xr:uid="{00000000-0005-0000-0000-0000720D0000}"/>
    <cellStyle name="20% - Accent2 2 4 4 3" xfId="14473" xr:uid="{00000000-0005-0000-0000-0000730D0000}"/>
    <cellStyle name="20% - Accent2 2 4 4 3 2" xfId="15602" xr:uid="{00000000-0005-0000-0000-0000740D0000}"/>
    <cellStyle name="20% - Accent2 2 4 4 3 2 2" xfId="20066" xr:uid="{00000000-0005-0000-0000-0000750D0000}"/>
    <cellStyle name="20% - Accent2 2 4 4 3 2 2 2" xfId="30434" xr:uid="{00000000-0005-0000-0000-0000760D0000}"/>
    <cellStyle name="20% - Accent2 2 4 4 3 2 2 2 2" xfId="49623" xr:uid="{00000000-0005-0000-0000-0000770D0000}"/>
    <cellStyle name="20% - Accent2 2 4 4 3 2 2 3" xfId="39925" xr:uid="{00000000-0005-0000-0000-0000780D0000}"/>
    <cellStyle name="20% - Accent2 2 4 4 3 2 3" xfId="25979" xr:uid="{00000000-0005-0000-0000-0000790D0000}"/>
    <cellStyle name="20% - Accent2 2 4 4 3 2 3 2" xfId="45168" xr:uid="{00000000-0005-0000-0000-00007A0D0000}"/>
    <cellStyle name="20% - Accent2 2 4 4 3 2 4" xfId="35470" xr:uid="{00000000-0005-0000-0000-00007B0D0000}"/>
    <cellStyle name="20% - Accent2 2 4 4 3 3" xfId="18951" xr:uid="{00000000-0005-0000-0000-00007C0D0000}"/>
    <cellStyle name="20% - Accent2 2 4 4 3 3 2" xfId="29319" xr:uid="{00000000-0005-0000-0000-00007D0D0000}"/>
    <cellStyle name="20% - Accent2 2 4 4 3 3 2 2" xfId="48508" xr:uid="{00000000-0005-0000-0000-00007E0D0000}"/>
    <cellStyle name="20% - Accent2 2 4 4 3 3 3" xfId="38810" xr:uid="{00000000-0005-0000-0000-00007F0D0000}"/>
    <cellStyle name="20% - Accent2 2 4 4 3 4" xfId="24864" xr:uid="{00000000-0005-0000-0000-0000800D0000}"/>
    <cellStyle name="20% - Accent2 2 4 4 3 4 2" xfId="44053" xr:uid="{00000000-0005-0000-0000-0000810D0000}"/>
    <cellStyle name="20% - Accent2 2 4 4 3 5" xfId="34355" xr:uid="{00000000-0005-0000-0000-0000820D0000}"/>
    <cellStyle name="20% - Accent2 2 4 4 4" xfId="15045" xr:uid="{00000000-0005-0000-0000-0000830D0000}"/>
    <cellStyle name="20% - Accent2 2 4 4 4 2" xfId="19509" xr:uid="{00000000-0005-0000-0000-0000840D0000}"/>
    <cellStyle name="20% - Accent2 2 4 4 4 2 2" xfId="29877" xr:uid="{00000000-0005-0000-0000-0000850D0000}"/>
    <cellStyle name="20% - Accent2 2 4 4 4 2 2 2" xfId="49066" xr:uid="{00000000-0005-0000-0000-0000860D0000}"/>
    <cellStyle name="20% - Accent2 2 4 4 4 2 3" xfId="39368" xr:uid="{00000000-0005-0000-0000-0000870D0000}"/>
    <cellStyle name="20% - Accent2 2 4 4 4 3" xfId="25422" xr:uid="{00000000-0005-0000-0000-0000880D0000}"/>
    <cellStyle name="20% - Accent2 2 4 4 4 3 2" xfId="44611" xr:uid="{00000000-0005-0000-0000-0000890D0000}"/>
    <cellStyle name="20% - Accent2 2 4 4 4 4" xfId="34913" xr:uid="{00000000-0005-0000-0000-00008A0D0000}"/>
    <cellStyle name="20% - Accent2 2 4 4 5" xfId="16715" xr:uid="{00000000-0005-0000-0000-00008B0D0000}"/>
    <cellStyle name="20% - Accent2 2 4 4 5 2" xfId="21179" xr:uid="{00000000-0005-0000-0000-00008C0D0000}"/>
    <cellStyle name="20% - Accent2 2 4 4 5 2 2" xfId="31547" xr:uid="{00000000-0005-0000-0000-00008D0D0000}"/>
    <cellStyle name="20% - Accent2 2 4 4 5 2 2 2" xfId="50736" xr:uid="{00000000-0005-0000-0000-00008E0D0000}"/>
    <cellStyle name="20% - Accent2 2 4 4 5 2 3" xfId="41038" xr:uid="{00000000-0005-0000-0000-00008F0D0000}"/>
    <cellStyle name="20% - Accent2 2 4 4 5 3" xfId="27092" xr:uid="{00000000-0005-0000-0000-0000900D0000}"/>
    <cellStyle name="20% - Accent2 2 4 4 5 3 2" xfId="46281" xr:uid="{00000000-0005-0000-0000-0000910D0000}"/>
    <cellStyle name="20% - Accent2 2 4 4 5 4" xfId="36583" xr:uid="{00000000-0005-0000-0000-0000920D0000}"/>
    <cellStyle name="20% - Accent2 2 4 4 6" xfId="17281" xr:uid="{00000000-0005-0000-0000-0000930D0000}"/>
    <cellStyle name="20% - Accent2 2 4 4 6 2" xfId="21736" xr:uid="{00000000-0005-0000-0000-0000940D0000}"/>
    <cellStyle name="20% - Accent2 2 4 4 6 2 2" xfId="32104" xr:uid="{00000000-0005-0000-0000-0000950D0000}"/>
    <cellStyle name="20% - Accent2 2 4 4 6 2 2 2" xfId="51293" xr:uid="{00000000-0005-0000-0000-0000960D0000}"/>
    <cellStyle name="20% - Accent2 2 4 4 6 2 3" xfId="41595" xr:uid="{00000000-0005-0000-0000-0000970D0000}"/>
    <cellStyle name="20% - Accent2 2 4 4 6 3" xfId="27649" xr:uid="{00000000-0005-0000-0000-0000980D0000}"/>
    <cellStyle name="20% - Accent2 2 4 4 6 3 2" xfId="46838" xr:uid="{00000000-0005-0000-0000-0000990D0000}"/>
    <cellStyle name="20% - Accent2 2 4 4 6 4" xfId="37140" xr:uid="{00000000-0005-0000-0000-00009A0D0000}"/>
    <cellStyle name="20% - Accent2 2 4 4 7" xfId="17838" xr:uid="{00000000-0005-0000-0000-00009B0D0000}"/>
    <cellStyle name="20% - Accent2 2 4 4 7 2" xfId="28206" xr:uid="{00000000-0005-0000-0000-00009C0D0000}"/>
    <cellStyle name="20% - Accent2 2 4 4 7 2 2" xfId="47395" xr:uid="{00000000-0005-0000-0000-00009D0D0000}"/>
    <cellStyle name="20% - Accent2 2 4 4 7 3" xfId="37697" xr:uid="{00000000-0005-0000-0000-00009E0D0000}"/>
    <cellStyle name="20% - Accent2 2 4 4 8" xfId="23701" xr:uid="{00000000-0005-0000-0000-00009F0D0000}"/>
    <cellStyle name="20% - Accent2 2 4 4 8 2" xfId="42940" xr:uid="{00000000-0005-0000-0000-0000A00D0000}"/>
    <cellStyle name="20% - Accent2 2 4 4 9" xfId="33242" xr:uid="{00000000-0005-0000-0000-0000A10D0000}"/>
    <cellStyle name="20% - Accent2 2 4 5" xfId="12941" xr:uid="{00000000-0005-0000-0000-0000A20D0000}"/>
    <cellStyle name="20% - Accent2 2 4 5 2" xfId="13895" xr:uid="{00000000-0005-0000-0000-0000A30D0000}"/>
    <cellStyle name="20% - Accent2 2 4 5 2 2" xfId="16159" xr:uid="{00000000-0005-0000-0000-0000A40D0000}"/>
    <cellStyle name="20% - Accent2 2 4 5 2 2 2" xfId="20623" xr:uid="{00000000-0005-0000-0000-0000A50D0000}"/>
    <cellStyle name="20% - Accent2 2 4 5 2 2 2 2" xfId="30991" xr:uid="{00000000-0005-0000-0000-0000A60D0000}"/>
    <cellStyle name="20% - Accent2 2 4 5 2 2 2 2 2" xfId="50180" xr:uid="{00000000-0005-0000-0000-0000A70D0000}"/>
    <cellStyle name="20% - Accent2 2 4 5 2 2 2 3" xfId="40482" xr:uid="{00000000-0005-0000-0000-0000A80D0000}"/>
    <cellStyle name="20% - Accent2 2 4 5 2 2 3" xfId="26536" xr:uid="{00000000-0005-0000-0000-0000A90D0000}"/>
    <cellStyle name="20% - Accent2 2 4 5 2 2 3 2" xfId="45725" xr:uid="{00000000-0005-0000-0000-0000AA0D0000}"/>
    <cellStyle name="20% - Accent2 2 4 5 2 2 4" xfId="36027" xr:uid="{00000000-0005-0000-0000-0000AB0D0000}"/>
    <cellStyle name="20% - Accent2 2 4 5 2 3" xfId="18395" xr:uid="{00000000-0005-0000-0000-0000AC0D0000}"/>
    <cellStyle name="20% - Accent2 2 4 5 2 3 2" xfId="28763" xr:uid="{00000000-0005-0000-0000-0000AD0D0000}"/>
    <cellStyle name="20% - Accent2 2 4 5 2 3 2 2" xfId="47952" xr:uid="{00000000-0005-0000-0000-0000AE0D0000}"/>
    <cellStyle name="20% - Accent2 2 4 5 2 3 3" xfId="38254" xr:uid="{00000000-0005-0000-0000-0000AF0D0000}"/>
    <cellStyle name="20% - Accent2 2 4 5 2 4" xfId="24303" xr:uid="{00000000-0005-0000-0000-0000B00D0000}"/>
    <cellStyle name="20% - Accent2 2 4 5 2 4 2" xfId="43497" xr:uid="{00000000-0005-0000-0000-0000B10D0000}"/>
    <cellStyle name="20% - Accent2 2 4 5 2 5" xfId="33799" xr:uid="{00000000-0005-0000-0000-0000B20D0000}"/>
    <cellStyle name="20% - Accent2 2 4 5 3" xfId="14474" xr:uid="{00000000-0005-0000-0000-0000B30D0000}"/>
    <cellStyle name="20% - Accent2 2 4 5 3 2" xfId="15603" xr:uid="{00000000-0005-0000-0000-0000B40D0000}"/>
    <cellStyle name="20% - Accent2 2 4 5 3 2 2" xfId="20067" xr:uid="{00000000-0005-0000-0000-0000B50D0000}"/>
    <cellStyle name="20% - Accent2 2 4 5 3 2 2 2" xfId="30435" xr:uid="{00000000-0005-0000-0000-0000B60D0000}"/>
    <cellStyle name="20% - Accent2 2 4 5 3 2 2 2 2" xfId="49624" xr:uid="{00000000-0005-0000-0000-0000B70D0000}"/>
    <cellStyle name="20% - Accent2 2 4 5 3 2 2 3" xfId="39926" xr:uid="{00000000-0005-0000-0000-0000B80D0000}"/>
    <cellStyle name="20% - Accent2 2 4 5 3 2 3" xfId="25980" xr:uid="{00000000-0005-0000-0000-0000B90D0000}"/>
    <cellStyle name="20% - Accent2 2 4 5 3 2 3 2" xfId="45169" xr:uid="{00000000-0005-0000-0000-0000BA0D0000}"/>
    <cellStyle name="20% - Accent2 2 4 5 3 2 4" xfId="35471" xr:uid="{00000000-0005-0000-0000-0000BB0D0000}"/>
    <cellStyle name="20% - Accent2 2 4 5 3 3" xfId="18952" xr:uid="{00000000-0005-0000-0000-0000BC0D0000}"/>
    <cellStyle name="20% - Accent2 2 4 5 3 3 2" xfId="29320" xr:uid="{00000000-0005-0000-0000-0000BD0D0000}"/>
    <cellStyle name="20% - Accent2 2 4 5 3 3 2 2" xfId="48509" xr:uid="{00000000-0005-0000-0000-0000BE0D0000}"/>
    <cellStyle name="20% - Accent2 2 4 5 3 3 3" xfId="38811" xr:uid="{00000000-0005-0000-0000-0000BF0D0000}"/>
    <cellStyle name="20% - Accent2 2 4 5 3 4" xfId="24865" xr:uid="{00000000-0005-0000-0000-0000C00D0000}"/>
    <cellStyle name="20% - Accent2 2 4 5 3 4 2" xfId="44054" xr:uid="{00000000-0005-0000-0000-0000C10D0000}"/>
    <cellStyle name="20% - Accent2 2 4 5 3 5" xfId="34356" xr:uid="{00000000-0005-0000-0000-0000C20D0000}"/>
    <cellStyle name="20% - Accent2 2 4 5 4" xfId="15046" xr:uid="{00000000-0005-0000-0000-0000C30D0000}"/>
    <cellStyle name="20% - Accent2 2 4 5 4 2" xfId="19510" xr:uid="{00000000-0005-0000-0000-0000C40D0000}"/>
    <cellStyle name="20% - Accent2 2 4 5 4 2 2" xfId="29878" xr:uid="{00000000-0005-0000-0000-0000C50D0000}"/>
    <cellStyle name="20% - Accent2 2 4 5 4 2 2 2" xfId="49067" xr:uid="{00000000-0005-0000-0000-0000C60D0000}"/>
    <cellStyle name="20% - Accent2 2 4 5 4 2 3" xfId="39369" xr:uid="{00000000-0005-0000-0000-0000C70D0000}"/>
    <cellStyle name="20% - Accent2 2 4 5 4 3" xfId="25423" xr:uid="{00000000-0005-0000-0000-0000C80D0000}"/>
    <cellStyle name="20% - Accent2 2 4 5 4 3 2" xfId="44612" xr:uid="{00000000-0005-0000-0000-0000C90D0000}"/>
    <cellStyle name="20% - Accent2 2 4 5 4 4" xfId="34914" xr:uid="{00000000-0005-0000-0000-0000CA0D0000}"/>
    <cellStyle name="20% - Accent2 2 4 5 5" xfId="16716" xr:uid="{00000000-0005-0000-0000-0000CB0D0000}"/>
    <cellStyle name="20% - Accent2 2 4 5 5 2" xfId="21180" xr:uid="{00000000-0005-0000-0000-0000CC0D0000}"/>
    <cellStyle name="20% - Accent2 2 4 5 5 2 2" xfId="31548" xr:uid="{00000000-0005-0000-0000-0000CD0D0000}"/>
    <cellStyle name="20% - Accent2 2 4 5 5 2 2 2" xfId="50737" xr:uid="{00000000-0005-0000-0000-0000CE0D0000}"/>
    <cellStyle name="20% - Accent2 2 4 5 5 2 3" xfId="41039" xr:uid="{00000000-0005-0000-0000-0000CF0D0000}"/>
    <cellStyle name="20% - Accent2 2 4 5 5 3" xfId="27093" xr:uid="{00000000-0005-0000-0000-0000D00D0000}"/>
    <cellStyle name="20% - Accent2 2 4 5 5 3 2" xfId="46282" xr:uid="{00000000-0005-0000-0000-0000D10D0000}"/>
    <cellStyle name="20% - Accent2 2 4 5 5 4" xfId="36584" xr:uid="{00000000-0005-0000-0000-0000D20D0000}"/>
    <cellStyle name="20% - Accent2 2 4 5 6" xfId="17282" xr:uid="{00000000-0005-0000-0000-0000D30D0000}"/>
    <cellStyle name="20% - Accent2 2 4 5 6 2" xfId="21737" xr:uid="{00000000-0005-0000-0000-0000D40D0000}"/>
    <cellStyle name="20% - Accent2 2 4 5 6 2 2" xfId="32105" xr:uid="{00000000-0005-0000-0000-0000D50D0000}"/>
    <cellStyle name="20% - Accent2 2 4 5 6 2 2 2" xfId="51294" xr:uid="{00000000-0005-0000-0000-0000D60D0000}"/>
    <cellStyle name="20% - Accent2 2 4 5 6 2 3" xfId="41596" xr:uid="{00000000-0005-0000-0000-0000D70D0000}"/>
    <cellStyle name="20% - Accent2 2 4 5 6 3" xfId="27650" xr:uid="{00000000-0005-0000-0000-0000D80D0000}"/>
    <cellStyle name="20% - Accent2 2 4 5 6 3 2" xfId="46839" xr:uid="{00000000-0005-0000-0000-0000D90D0000}"/>
    <cellStyle name="20% - Accent2 2 4 5 6 4" xfId="37141" xr:uid="{00000000-0005-0000-0000-0000DA0D0000}"/>
    <cellStyle name="20% - Accent2 2 4 5 7" xfId="17839" xr:uid="{00000000-0005-0000-0000-0000DB0D0000}"/>
    <cellStyle name="20% - Accent2 2 4 5 7 2" xfId="28207" xr:uid="{00000000-0005-0000-0000-0000DC0D0000}"/>
    <cellStyle name="20% - Accent2 2 4 5 7 2 2" xfId="47396" xr:uid="{00000000-0005-0000-0000-0000DD0D0000}"/>
    <cellStyle name="20% - Accent2 2 4 5 7 3" xfId="37698" xr:uid="{00000000-0005-0000-0000-0000DE0D0000}"/>
    <cellStyle name="20% - Accent2 2 4 5 8" xfId="23702" xr:uid="{00000000-0005-0000-0000-0000DF0D0000}"/>
    <cellStyle name="20% - Accent2 2 4 5 8 2" xfId="42941" xr:uid="{00000000-0005-0000-0000-0000E00D0000}"/>
    <cellStyle name="20% - Accent2 2 4 5 9" xfId="33243" xr:uid="{00000000-0005-0000-0000-0000E10D0000}"/>
    <cellStyle name="20% - Accent2 2 4 6" xfId="12227" xr:uid="{00000000-0005-0000-0000-0000E20D0000}"/>
    <cellStyle name="20% - Accent2 2 4 7" xfId="52563" xr:uid="{00000000-0005-0000-0000-0000E30D0000}"/>
    <cellStyle name="20% - Accent2 2 4 8" xfId="11992" xr:uid="{00000000-0005-0000-0000-0000E40D0000}"/>
    <cellStyle name="20% - Accent2 2 5" xfId="1627" xr:uid="{00000000-0005-0000-0000-0000E50D0000}"/>
    <cellStyle name="20% - Accent2 2 5 2" xfId="12942" xr:uid="{00000000-0005-0000-0000-0000E60D0000}"/>
    <cellStyle name="20% - Accent2 2 5 2 10" xfId="23703" xr:uid="{00000000-0005-0000-0000-0000E70D0000}"/>
    <cellStyle name="20% - Accent2 2 5 2 10 2" xfId="42942" xr:uid="{00000000-0005-0000-0000-0000E80D0000}"/>
    <cellStyle name="20% - Accent2 2 5 2 11" xfId="33244" xr:uid="{00000000-0005-0000-0000-0000E90D0000}"/>
    <cellStyle name="20% - Accent2 2 5 2 12" xfId="52797" xr:uid="{00000000-0005-0000-0000-0000EA0D0000}"/>
    <cellStyle name="20% - Accent2 2 5 2 2" xfId="12943" xr:uid="{00000000-0005-0000-0000-0000EB0D0000}"/>
    <cellStyle name="20% - Accent2 2 5 2 2 10" xfId="53225" xr:uid="{00000000-0005-0000-0000-0000EC0D0000}"/>
    <cellStyle name="20% - Accent2 2 5 2 2 2" xfId="13897" xr:uid="{00000000-0005-0000-0000-0000ED0D0000}"/>
    <cellStyle name="20% - Accent2 2 5 2 2 2 2" xfId="16161" xr:uid="{00000000-0005-0000-0000-0000EE0D0000}"/>
    <cellStyle name="20% - Accent2 2 5 2 2 2 2 2" xfId="20625" xr:uid="{00000000-0005-0000-0000-0000EF0D0000}"/>
    <cellStyle name="20% - Accent2 2 5 2 2 2 2 2 2" xfId="30993" xr:uid="{00000000-0005-0000-0000-0000F00D0000}"/>
    <cellStyle name="20% - Accent2 2 5 2 2 2 2 2 2 2" xfId="50182" xr:uid="{00000000-0005-0000-0000-0000F10D0000}"/>
    <cellStyle name="20% - Accent2 2 5 2 2 2 2 2 3" xfId="40484" xr:uid="{00000000-0005-0000-0000-0000F20D0000}"/>
    <cellStyle name="20% - Accent2 2 5 2 2 2 2 3" xfId="26538" xr:uid="{00000000-0005-0000-0000-0000F30D0000}"/>
    <cellStyle name="20% - Accent2 2 5 2 2 2 2 3 2" xfId="45727" xr:uid="{00000000-0005-0000-0000-0000F40D0000}"/>
    <cellStyle name="20% - Accent2 2 5 2 2 2 2 4" xfId="36029" xr:uid="{00000000-0005-0000-0000-0000F50D0000}"/>
    <cellStyle name="20% - Accent2 2 5 2 2 2 3" xfId="18397" xr:uid="{00000000-0005-0000-0000-0000F60D0000}"/>
    <cellStyle name="20% - Accent2 2 5 2 2 2 3 2" xfId="28765" xr:uid="{00000000-0005-0000-0000-0000F70D0000}"/>
    <cellStyle name="20% - Accent2 2 5 2 2 2 3 2 2" xfId="47954" xr:uid="{00000000-0005-0000-0000-0000F80D0000}"/>
    <cellStyle name="20% - Accent2 2 5 2 2 2 3 3" xfId="38256" xr:uid="{00000000-0005-0000-0000-0000F90D0000}"/>
    <cellStyle name="20% - Accent2 2 5 2 2 2 4" xfId="24305" xr:uid="{00000000-0005-0000-0000-0000FA0D0000}"/>
    <cellStyle name="20% - Accent2 2 5 2 2 2 4 2" xfId="43499" xr:uid="{00000000-0005-0000-0000-0000FB0D0000}"/>
    <cellStyle name="20% - Accent2 2 5 2 2 2 5" xfId="33801" xr:uid="{00000000-0005-0000-0000-0000FC0D0000}"/>
    <cellStyle name="20% - Accent2 2 5 2 2 2 6" xfId="54078" xr:uid="{00000000-0005-0000-0000-0000FD0D0000}"/>
    <cellStyle name="20% - Accent2 2 5 2 2 3" xfId="14476" xr:uid="{00000000-0005-0000-0000-0000FE0D0000}"/>
    <cellStyle name="20% - Accent2 2 5 2 2 3 2" xfId="15605" xr:uid="{00000000-0005-0000-0000-0000FF0D0000}"/>
    <cellStyle name="20% - Accent2 2 5 2 2 3 2 2" xfId="20069" xr:uid="{00000000-0005-0000-0000-0000000E0000}"/>
    <cellStyle name="20% - Accent2 2 5 2 2 3 2 2 2" xfId="30437" xr:uid="{00000000-0005-0000-0000-0000010E0000}"/>
    <cellStyle name="20% - Accent2 2 5 2 2 3 2 2 2 2" xfId="49626" xr:uid="{00000000-0005-0000-0000-0000020E0000}"/>
    <cellStyle name="20% - Accent2 2 5 2 2 3 2 2 3" xfId="39928" xr:uid="{00000000-0005-0000-0000-0000030E0000}"/>
    <cellStyle name="20% - Accent2 2 5 2 2 3 2 3" xfId="25982" xr:uid="{00000000-0005-0000-0000-0000040E0000}"/>
    <cellStyle name="20% - Accent2 2 5 2 2 3 2 3 2" xfId="45171" xr:uid="{00000000-0005-0000-0000-0000050E0000}"/>
    <cellStyle name="20% - Accent2 2 5 2 2 3 2 4" xfId="35473" xr:uid="{00000000-0005-0000-0000-0000060E0000}"/>
    <cellStyle name="20% - Accent2 2 5 2 2 3 3" xfId="18954" xr:uid="{00000000-0005-0000-0000-0000070E0000}"/>
    <cellStyle name="20% - Accent2 2 5 2 2 3 3 2" xfId="29322" xr:uid="{00000000-0005-0000-0000-0000080E0000}"/>
    <cellStyle name="20% - Accent2 2 5 2 2 3 3 2 2" xfId="48511" xr:uid="{00000000-0005-0000-0000-0000090E0000}"/>
    <cellStyle name="20% - Accent2 2 5 2 2 3 3 3" xfId="38813" xr:uid="{00000000-0005-0000-0000-00000A0E0000}"/>
    <cellStyle name="20% - Accent2 2 5 2 2 3 4" xfId="24867" xr:uid="{00000000-0005-0000-0000-00000B0E0000}"/>
    <cellStyle name="20% - Accent2 2 5 2 2 3 4 2" xfId="44056" xr:uid="{00000000-0005-0000-0000-00000C0E0000}"/>
    <cellStyle name="20% - Accent2 2 5 2 2 3 5" xfId="34358" xr:uid="{00000000-0005-0000-0000-00000D0E0000}"/>
    <cellStyle name="20% - Accent2 2 5 2 2 4" xfId="15048" xr:uid="{00000000-0005-0000-0000-00000E0E0000}"/>
    <cellStyle name="20% - Accent2 2 5 2 2 4 2" xfId="19512" xr:uid="{00000000-0005-0000-0000-00000F0E0000}"/>
    <cellStyle name="20% - Accent2 2 5 2 2 4 2 2" xfId="29880" xr:uid="{00000000-0005-0000-0000-0000100E0000}"/>
    <cellStyle name="20% - Accent2 2 5 2 2 4 2 2 2" xfId="49069" xr:uid="{00000000-0005-0000-0000-0000110E0000}"/>
    <cellStyle name="20% - Accent2 2 5 2 2 4 2 3" xfId="39371" xr:uid="{00000000-0005-0000-0000-0000120E0000}"/>
    <cellStyle name="20% - Accent2 2 5 2 2 4 3" xfId="25425" xr:uid="{00000000-0005-0000-0000-0000130E0000}"/>
    <cellStyle name="20% - Accent2 2 5 2 2 4 3 2" xfId="44614" xr:uid="{00000000-0005-0000-0000-0000140E0000}"/>
    <cellStyle name="20% - Accent2 2 5 2 2 4 4" xfId="34916" xr:uid="{00000000-0005-0000-0000-0000150E0000}"/>
    <cellStyle name="20% - Accent2 2 5 2 2 5" xfId="16718" xr:uid="{00000000-0005-0000-0000-0000160E0000}"/>
    <cellStyle name="20% - Accent2 2 5 2 2 5 2" xfId="21182" xr:uid="{00000000-0005-0000-0000-0000170E0000}"/>
    <cellStyle name="20% - Accent2 2 5 2 2 5 2 2" xfId="31550" xr:uid="{00000000-0005-0000-0000-0000180E0000}"/>
    <cellStyle name="20% - Accent2 2 5 2 2 5 2 2 2" xfId="50739" xr:uid="{00000000-0005-0000-0000-0000190E0000}"/>
    <cellStyle name="20% - Accent2 2 5 2 2 5 2 3" xfId="41041" xr:uid="{00000000-0005-0000-0000-00001A0E0000}"/>
    <cellStyle name="20% - Accent2 2 5 2 2 5 3" xfId="27095" xr:uid="{00000000-0005-0000-0000-00001B0E0000}"/>
    <cellStyle name="20% - Accent2 2 5 2 2 5 3 2" xfId="46284" xr:uid="{00000000-0005-0000-0000-00001C0E0000}"/>
    <cellStyle name="20% - Accent2 2 5 2 2 5 4" xfId="36586" xr:uid="{00000000-0005-0000-0000-00001D0E0000}"/>
    <cellStyle name="20% - Accent2 2 5 2 2 6" xfId="17284" xr:uid="{00000000-0005-0000-0000-00001E0E0000}"/>
    <cellStyle name="20% - Accent2 2 5 2 2 6 2" xfId="21739" xr:uid="{00000000-0005-0000-0000-00001F0E0000}"/>
    <cellStyle name="20% - Accent2 2 5 2 2 6 2 2" xfId="32107" xr:uid="{00000000-0005-0000-0000-0000200E0000}"/>
    <cellStyle name="20% - Accent2 2 5 2 2 6 2 2 2" xfId="51296" xr:uid="{00000000-0005-0000-0000-0000210E0000}"/>
    <cellStyle name="20% - Accent2 2 5 2 2 6 2 3" xfId="41598" xr:uid="{00000000-0005-0000-0000-0000220E0000}"/>
    <cellStyle name="20% - Accent2 2 5 2 2 6 3" xfId="27652" xr:uid="{00000000-0005-0000-0000-0000230E0000}"/>
    <cellStyle name="20% - Accent2 2 5 2 2 6 3 2" xfId="46841" xr:uid="{00000000-0005-0000-0000-0000240E0000}"/>
    <cellStyle name="20% - Accent2 2 5 2 2 6 4" xfId="37143" xr:uid="{00000000-0005-0000-0000-0000250E0000}"/>
    <cellStyle name="20% - Accent2 2 5 2 2 7" xfId="17841" xr:uid="{00000000-0005-0000-0000-0000260E0000}"/>
    <cellStyle name="20% - Accent2 2 5 2 2 7 2" xfId="28209" xr:uid="{00000000-0005-0000-0000-0000270E0000}"/>
    <cellStyle name="20% - Accent2 2 5 2 2 7 2 2" xfId="47398" xr:uid="{00000000-0005-0000-0000-0000280E0000}"/>
    <cellStyle name="20% - Accent2 2 5 2 2 7 3" xfId="37700" xr:uid="{00000000-0005-0000-0000-0000290E0000}"/>
    <cellStyle name="20% - Accent2 2 5 2 2 8" xfId="23704" xr:uid="{00000000-0005-0000-0000-00002A0E0000}"/>
    <cellStyle name="20% - Accent2 2 5 2 2 8 2" xfId="42943" xr:uid="{00000000-0005-0000-0000-00002B0E0000}"/>
    <cellStyle name="20% - Accent2 2 5 2 2 9" xfId="33245" xr:uid="{00000000-0005-0000-0000-00002C0E0000}"/>
    <cellStyle name="20% - Accent2 2 5 2 3" xfId="12944" xr:uid="{00000000-0005-0000-0000-00002D0E0000}"/>
    <cellStyle name="20% - Accent2 2 5 2 3 10" xfId="53682" xr:uid="{00000000-0005-0000-0000-00002E0E0000}"/>
    <cellStyle name="20% - Accent2 2 5 2 3 2" xfId="13898" xr:uid="{00000000-0005-0000-0000-00002F0E0000}"/>
    <cellStyle name="20% - Accent2 2 5 2 3 2 2" xfId="16162" xr:uid="{00000000-0005-0000-0000-0000300E0000}"/>
    <cellStyle name="20% - Accent2 2 5 2 3 2 2 2" xfId="20626" xr:uid="{00000000-0005-0000-0000-0000310E0000}"/>
    <cellStyle name="20% - Accent2 2 5 2 3 2 2 2 2" xfId="30994" xr:uid="{00000000-0005-0000-0000-0000320E0000}"/>
    <cellStyle name="20% - Accent2 2 5 2 3 2 2 2 2 2" xfId="50183" xr:uid="{00000000-0005-0000-0000-0000330E0000}"/>
    <cellStyle name="20% - Accent2 2 5 2 3 2 2 2 3" xfId="40485" xr:uid="{00000000-0005-0000-0000-0000340E0000}"/>
    <cellStyle name="20% - Accent2 2 5 2 3 2 2 3" xfId="26539" xr:uid="{00000000-0005-0000-0000-0000350E0000}"/>
    <cellStyle name="20% - Accent2 2 5 2 3 2 2 3 2" xfId="45728" xr:uid="{00000000-0005-0000-0000-0000360E0000}"/>
    <cellStyle name="20% - Accent2 2 5 2 3 2 2 4" xfId="36030" xr:uid="{00000000-0005-0000-0000-0000370E0000}"/>
    <cellStyle name="20% - Accent2 2 5 2 3 2 3" xfId="18398" xr:uid="{00000000-0005-0000-0000-0000380E0000}"/>
    <cellStyle name="20% - Accent2 2 5 2 3 2 3 2" xfId="28766" xr:uid="{00000000-0005-0000-0000-0000390E0000}"/>
    <cellStyle name="20% - Accent2 2 5 2 3 2 3 2 2" xfId="47955" xr:uid="{00000000-0005-0000-0000-00003A0E0000}"/>
    <cellStyle name="20% - Accent2 2 5 2 3 2 3 3" xfId="38257" xr:uid="{00000000-0005-0000-0000-00003B0E0000}"/>
    <cellStyle name="20% - Accent2 2 5 2 3 2 4" xfId="24306" xr:uid="{00000000-0005-0000-0000-00003C0E0000}"/>
    <cellStyle name="20% - Accent2 2 5 2 3 2 4 2" xfId="43500" xr:uid="{00000000-0005-0000-0000-00003D0E0000}"/>
    <cellStyle name="20% - Accent2 2 5 2 3 2 5" xfId="33802" xr:uid="{00000000-0005-0000-0000-00003E0E0000}"/>
    <cellStyle name="20% - Accent2 2 5 2 3 3" xfId="14477" xr:uid="{00000000-0005-0000-0000-00003F0E0000}"/>
    <cellStyle name="20% - Accent2 2 5 2 3 3 2" xfId="15606" xr:uid="{00000000-0005-0000-0000-0000400E0000}"/>
    <cellStyle name="20% - Accent2 2 5 2 3 3 2 2" xfId="20070" xr:uid="{00000000-0005-0000-0000-0000410E0000}"/>
    <cellStyle name="20% - Accent2 2 5 2 3 3 2 2 2" xfId="30438" xr:uid="{00000000-0005-0000-0000-0000420E0000}"/>
    <cellStyle name="20% - Accent2 2 5 2 3 3 2 2 2 2" xfId="49627" xr:uid="{00000000-0005-0000-0000-0000430E0000}"/>
    <cellStyle name="20% - Accent2 2 5 2 3 3 2 2 3" xfId="39929" xr:uid="{00000000-0005-0000-0000-0000440E0000}"/>
    <cellStyle name="20% - Accent2 2 5 2 3 3 2 3" xfId="25983" xr:uid="{00000000-0005-0000-0000-0000450E0000}"/>
    <cellStyle name="20% - Accent2 2 5 2 3 3 2 3 2" xfId="45172" xr:uid="{00000000-0005-0000-0000-0000460E0000}"/>
    <cellStyle name="20% - Accent2 2 5 2 3 3 2 4" xfId="35474" xr:uid="{00000000-0005-0000-0000-0000470E0000}"/>
    <cellStyle name="20% - Accent2 2 5 2 3 3 3" xfId="18955" xr:uid="{00000000-0005-0000-0000-0000480E0000}"/>
    <cellStyle name="20% - Accent2 2 5 2 3 3 3 2" xfId="29323" xr:uid="{00000000-0005-0000-0000-0000490E0000}"/>
    <cellStyle name="20% - Accent2 2 5 2 3 3 3 2 2" xfId="48512" xr:uid="{00000000-0005-0000-0000-00004A0E0000}"/>
    <cellStyle name="20% - Accent2 2 5 2 3 3 3 3" xfId="38814" xr:uid="{00000000-0005-0000-0000-00004B0E0000}"/>
    <cellStyle name="20% - Accent2 2 5 2 3 3 4" xfId="24868" xr:uid="{00000000-0005-0000-0000-00004C0E0000}"/>
    <cellStyle name="20% - Accent2 2 5 2 3 3 4 2" xfId="44057" xr:uid="{00000000-0005-0000-0000-00004D0E0000}"/>
    <cellStyle name="20% - Accent2 2 5 2 3 3 5" xfId="34359" xr:uid="{00000000-0005-0000-0000-00004E0E0000}"/>
    <cellStyle name="20% - Accent2 2 5 2 3 4" xfId="15049" xr:uid="{00000000-0005-0000-0000-00004F0E0000}"/>
    <cellStyle name="20% - Accent2 2 5 2 3 4 2" xfId="19513" xr:uid="{00000000-0005-0000-0000-0000500E0000}"/>
    <cellStyle name="20% - Accent2 2 5 2 3 4 2 2" xfId="29881" xr:uid="{00000000-0005-0000-0000-0000510E0000}"/>
    <cellStyle name="20% - Accent2 2 5 2 3 4 2 2 2" xfId="49070" xr:uid="{00000000-0005-0000-0000-0000520E0000}"/>
    <cellStyle name="20% - Accent2 2 5 2 3 4 2 3" xfId="39372" xr:uid="{00000000-0005-0000-0000-0000530E0000}"/>
    <cellStyle name="20% - Accent2 2 5 2 3 4 3" xfId="25426" xr:uid="{00000000-0005-0000-0000-0000540E0000}"/>
    <cellStyle name="20% - Accent2 2 5 2 3 4 3 2" xfId="44615" xr:uid="{00000000-0005-0000-0000-0000550E0000}"/>
    <cellStyle name="20% - Accent2 2 5 2 3 4 4" xfId="34917" xr:uid="{00000000-0005-0000-0000-0000560E0000}"/>
    <cellStyle name="20% - Accent2 2 5 2 3 5" xfId="16719" xr:uid="{00000000-0005-0000-0000-0000570E0000}"/>
    <cellStyle name="20% - Accent2 2 5 2 3 5 2" xfId="21183" xr:uid="{00000000-0005-0000-0000-0000580E0000}"/>
    <cellStyle name="20% - Accent2 2 5 2 3 5 2 2" xfId="31551" xr:uid="{00000000-0005-0000-0000-0000590E0000}"/>
    <cellStyle name="20% - Accent2 2 5 2 3 5 2 2 2" xfId="50740" xr:uid="{00000000-0005-0000-0000-00005A0E0000}"/>
    <cellStyle name="20% - Accent2 2 5 2 3 5 2 3" xfId="41042" xr:uid="{00000000-0005-0000-0000-00005B0E0000}"/>
    <cellStyle name="20% - Accent2 2 5 2 3 5 3" xfId="27096" xr:uid="{00000000-0005-0000-0000-00005C0E0000}"/>
    <cellStyle name="20% - Accent2 2 5 2 3 5 3 2" xfId="46285" xr:uid="{00000000-0005-0000-0000-00005D0E0000}"/>
    <cellStyle name="20% - Accent2 2 5 2 3 5 4" xfId="36587" xr:uid="{00000000-0005-0000-0000-00005E0E0000}"/>
    <cellStyle name="20% - Accent2 2 5 2 3 6" xfId="17285" xr:uid="{00000000-0005-0000-0000-00005F0E0000}"/>
    <cellStyle name="20% - Accent2 2 5 2 3 6 2" xfId="21740" xr:uid="{00000000-0005-0000-0000-0000600E0000}"/>
    <cellStyle name="20% - Accent2 2 5 2 3 6 2 2" xfId="32108" xr:uid="{00000000-0005-0000-0000-0000610E0000}"/>
    <cellStyle name="20% - Accent2 2 5 2 3 6 2 2 2" xfId="51297" xr:uid="{00000000-0005-0000-0000-0000620E0000}"/>
    <cellStyle name="20% - Accent2 2 5 2 3 6 2 3" xfId="41599" xr:uid="{00000000-0005-0000-0000-0000630E0000}"/>
    <cellStyle name="20% - Accent2 2 5 2 3 6 3" xfId="27653" xr:uid="{00000000-0005-0000-0000-0000640E0000}"/>
    <cellStyle name="20% - Accent2 2 5 2 3 6 3 2" xfId="46842" xr:uid="{00000000-0005-0000-0000-0000650E0000}"/>
    <cellStyle name="20% - Accent2 2 5 2 3 6 4" xfId="37144" xr:uid="{00000000-0005-0000-0000-0000660E0000}"/>
    <cellStyle name="20% - Accent2 2 5 2 3 7" xfId="17842" xr:uid="{00000000-0005-0000-0000-0000670E0000}"/>
    <cellStyle name="20% - Accent2 2 5 2 3 7 2" xfId="28210" xr:uid="{00000000-0005-0000-0000-0000680E0000}"/>
    <cellStyle name="20% - Accent2 2 5 2 3 7 2 2" xfId="47399" xr:uid="{00000000-0005-0000-0000-0000690E0000}"/>
    <cellStyle name="20% - Accent2 2 5 2 3 7 3" xfId="37701" xr:uid="{00000000-0005-0000-0000-00006A0E0000}"/>
    <cellStyle name="20% - Accent2 2 5 2 3 8" xfId="23705" xr:uid="{00000000-0005-0000-0000-00006B0E0000}"/>
    <cellStyle name="20% - Accent2 2 5 2 3 8 2" xfId="42944" xr:uid="{00000000-0005-0000-0000-00006C0E0000}"/>
    <cellStyle name="20% - Accent2 2 5 2 3 9" xfId="33246" xr:uid="{00000000-0005-0000-0000-00006D0E0000}"/>
    <cellStyle name="20% - Accent2 2 5 2 4" xfId="13896" xr:uid="{00000000-0005-0000-0000-00006E0E0000}"/>
    <cellStyle name="20% - Accent2 2 5 2 4 2" xfId="16160" xr:uid="{00000000-0005-0000-0000-00006F0E0000}"/>
    <cellStyle name="20% - Accent2 2 5 2 4 2 2" xfId="20624" xr:uid="{00000000-0005-0000-0000-0000700E0000}"/>
    <cellStyle name="20% - Accent2 2 5 2 4 2 2 2" xfId="30992" xr:uid="{00000000-0005-0000-0000-0000710E0000}"/>
    <cellStyle name="20% - Accent2 2 5 2 4 2 2 2 2" xfId="50181" xr:uid="{00000000-0005-0000-0000-0000720E0000}"/>
    <cellStyle name="20% - Accent2 2 5 2 4 2 2 3" xfId="40483" xr:uid="{00000000-0005-0000-0000-0000730E0000}"/>
    <cellStyle name="20% - Accent2 2 5 2 4 2 3" xfId="26537" xr:uid="{00000000-0005-0000-0000-0000740E0000}"/>
    <cellStyle name="20% - Accent2 2 5 2 4 2 3 2" xfId="45726" xr:uid="{00000000-0005-0000-0000-0000750E0000}"/>
    <cellStyle name="20% - Accent2 2 5 2 4 2 4" xfId="36028" xr:uid="{00000000-0005-0000-0000-0000760E0000}"/>
    <cellStyle name="20% - Accent2 2 5 2 4 3" xfId="18396" xr:uid="{00000000-0005-0000-0000-0000770E0000}"/>
    <cellStyle name="20% - Accent2 2 5 2 4 3 2" xfId="28764" xr:uid="{00000000-0005-0000-0000-0000780E0000}"/>
    <cellStyle name="20% - Accent2 2 5 2 4 3 2 2" xfId="47953" xr:uid="{00000000-0005-0000-0000-0000790E0000}"/>
    <cellStyle name="20% - Accent2 2 5 2 4 3 3" xfId="38255" xr:uid="{00000000-0005-0000-0000-00007A0E0000}"/>
    <cellStyle name="20% - Accent2 2 5 2 4 4" xfId="24304" xr:uid="{00000000-0005-0000-0000-00007B0E0000}"/>
    <cellStyle name="20% - Accent2 2 5 2 4 4 2" xfId="43498" xr:uid="{00000000-0005-0000-0000-00007C0E0000}"/>
    <cellStyle name="20% - Accent2 2 5 2 4 5" xfId="33800" xr:uid="{00000000-0005-0000-0000-00007D0E0000}"/>
    <cellStyle name="20% - Accent2 2 5 2 5" xfId="14475" xr:uid="{00000000-0005-0000-0000-00007E0E0000}"/>
    <cellStyle name="20% - Accent2 2 5 2 5 2" xfId="15604" xr:uid="{00000000-0005-0000-0000-00007F0E0000}"/>
    <cellStyle name="20% - Accent2 2 5 2 5 2 2" xfId="20068" xr:uid="{00000000-0005-0000-0000-0000800E0000}"/>
    <cellStyle name="20% - Accent2 2 5 2 5 2 2 2" xfId="30436" xr:uid="{00000000-0005-0000-0000-0000810E0000}"/>
    <cellStyle name="20% - Accent2 2 5 2 5 2 2 2 2" xfId="49625" xr:uid="{00000000-0005-0000-0000-0000820E0000}"/>
    <cellStyle name="20% - Accent2 2 5 2 5 2 2 3" xfId="39927" xr:uid="{00000000-0005-0000-0000-0000830E0000}"/>
    <cellStyle name="20% - Accent2 2 5 2 5 2 3" xfId="25981" xr:uid="{00000000-0005-0000-0000-0000840E0000}"/>
    <cellStyle name="20% - Accent2 2 5 2 5 2 3 2" xfId="45170" xr:uid="{00000000-0005-0000-0000-0000850E0000}"/>
    <cellStyle name="20% - Accent2 2 5 2 5 2 4" xfId="35472" xr:uid="{00000000-0005-0000-0000-0000860E0000}"/>
    <cellStyle name="20% - Accent2 2 5 2 5 3" xfId="18953" xr:uid="{00000000-0005-0000-0000-0000870E0000}"/>
    <cellStyle name="20% - Accent2 2 5 2 5 3 2" xfId="29321" xr:uid="{00000000-0005-0000-0000-0000880E0000}"/>
    <cellStyle name="20% - Accent2 2 5 2 5 3 2 2" xfId="48510" xr:uid="{00000000-0005-0000-0000-0000890E0000}"/>
    <cellStyle name="20% - Accent2 2 5 2 5 3 3" xfId="38812" xr:uid="{00000000-0005-0000-0000-00008A0E0000}"/>
    <cellStyle name="20% - Accent2 2 5 2 5 4" xfId="24866" xr:uid="{00000000-0005-0000-0000-00008B0E0000}"/>
    <cellStyle name="20% - Accent2 2 5 2 5 4 2" xfId="44055" xr:uid="{00000000-0005-0000-0000-00008C0E0000}"/>
    <cellStyle name="20% - Accent2 2 5 2 5 5" xfId="34357" xr:uid="{00000000-0005-0000-0000-00008D0E0000}"/>
    <cellStyle name="20% - Accent2 2 5 2 6" xfId="15047" xr:uid="{00000000-0005-0000-0000-00008E0E0000}"/>
    <cellStyle name="20% - Accent2 2 5 2 6 2" xfId="19511" xr:uid="{00000000-0005-0000-0000-00008F0E0000}"/>
    <cellStyle name="20% - Accent2 2 5 2 6 2 2" xfId="29879" xr:uid="{00000000-0005-0000-0000-0000900E0000}"/>
    <cellStyle name="20% - Accent2 2 5 2 6 2 2 2" xfId="49068" xr:uid="{00000000-0005-0000-0000-0000910E0000}"/>
    <cellStyle name="20% - Accent2 2 5 2 6 2 3" xfId="39370" xr:uid="{00000000-0005-0000-0000-0000920E0000}"/>
    <cellStyle name="20% - Accent2 2 5 2 6 3" xfId="25424" xr:uid="{00000000-0005-0000-0000-0000930E0000}"/>
    <cellStyle name="20% - Accent2 2 5 2 6 3 2" xfId="44613" xr:uid="{00000000-0005-0000-0000-0000940E0000}"/>
    <cellStyle name="20% - Accent2 2 5 2 6 4" xfId="34915" xr:uid="{00000000-0005-0000-0000-0000950E0000}"/>
    <cellStyle name="20% - Accent2 2 5 2 7" xfId="16717" xr:uid="{00000000-0005-0000-0000-0000960E0000}"/>
    <cellStyle name="20% - Accent2 2 5 2 7 2" xfId="21181" xr:uid="{00000000-0005-0000-0000-0000970E0000}"/>
    <cellStyle name="20% - Accent2 2 5 2 7 2 2" xfId="31549" xr:uid="{00000000-0005-0000-0000-0000980E0000}"/>
    <cellStyle name="20% - Accent2 2 5 2 7 2 2 2" xfId="50738" xr:uid="{00000000-0005-0000-0000-0000990E0000}"/>
    <cellStyle name="20% - Accent2 2 5 2 7 2 3" xfId="41040" xr:uid="{00000000-0005-0000-0000-00009A0E0000}"/>
    <cellStyle name="20% - Accent2 2 5 2 7 3" xfId="27094" xr:uid="{00000000-0005-0000-0000-00009B0E0000}"/>
    <cellStyle name="20% - Accent2 2 5 2 7 3 2" xfId="46283" xr:uid="{00000000-0005-0000-0000-00009C0E0000}"/>
    <cellStyle name="20% - Accent2 2 5 2 7 4" xfId="36585" xr:uid="{00000000-0005-0000-0000-00009D0E0000}"/>
    <cellStyle name="20% - Accent2 2 5 2 8" xfId="17283" xr:uid="{00000000-0005-0000-0000-00009E0E0000}"/>
    <cellStyle name="20% - Accent2 2 5 2 8 2" xfId="21738" xr:uid="{00000000-0005-0000-0000-00009F0E0000}"/>
    <cellStyle name="20% - Accent2 2 5 2 8 2 2" xfId="32106" xr:uid="{00000000-0005-0000-0000-0000A00E0000}"/>
    <cellStyle name="20% - Accent2 2 5 2 8 2 2 2" xfId="51295" xr:uid="{00000000-0005-0000-0000-0000A10E0000}"/>
    <cellStyle name="20% - Accent2 2 5 2 8 2 3" xfId="41597" xr:uid="{00000000-0005-0000-0000-0000A20E0000}"/>
    <cellStyle name="20% - Accent2 2 5 2 8 3" xfId="27651" xr:uid="{00000000-0005-0000-0000-0000A30E0000}"/>
    <cellStyle name="20% - Accent2 2 5 2 8 3 2" xfId="46840" xr:uid="{00000000-0005-0000-0000-0000A40E0000}"/>
    <cellStyle name="20% - Accent2 2 5 2 8 4" xfId="37142" xr:uid="{00000000-0005-0000-0000-0000A50E0000}"/>
    <cellStyle name="20% - Accent2 2 5 2 9" xfId="17840" xr:uid="{00000000-0005-0000-0000-0000A60E0000}"/>
    <cellStyle name="20% - Accent2 2 5 2 9 2" xfId="28208" xr:uid="{00000000-0005-0000-0000-0000A70E0000}"/>
    <cellStyle name="20% - Accent2 2 5 2 9 2 2" xfId="47397" xr:uid="{00000000-0005-0000-0000-0000A80E0000}"/>
    <cellStyle name="20% - Accent2 2 5 2 9 3" xfId="37699" xr:uid="{00000000-0005-0000-0000-0000A90E0000}"/>
    <cellStyle name="20% - Accent2 2 5 3" xfId="12945" xr:uid="{00000000-0005-0000-0000-0000AA0E0000}"/>
    <cellStyle name="20% - Accent2 2 5 3 10" xfId="53007" xr:uid="{00000000-0005-0000-0000-0000AB0E0000}"/>
    <cellStyle name="20% - Accent2 2 5 3 2" xfId="13899" xr:uid="{00000000-0005-0000-0000-0000AC0E0000}"/>
    <cellStyle name="20% - Accent2 2 5 3 2 2" xfId="16163" xr:uid="{00000000-0005-0000-0000-0000AD0E0000}"/>
    <cellStyle name="20% - Accent2 2 5 3 2 2 2" xfId="20627" xr:uid="{00000000-0005-0000-0000-0000AE0E0000}"/>
    <cellStyle name="20% - Accent2 2 5 3 2 2 2 2" xfId="30995" xr:uid="{00000000-0005-0000-0000-0000AF0E0000}"/>
    <cellStyle name="20% - Accent2 2 5 3 2 2 2 2 2" xfId="50184" xr:uid="{00000000-0005-0000-0000-0000B00E0000}"/>
    <cellStyle name="20% - Accent2 2 5 3 2 2 2 3" xfId="40486" xr:uid="{00000000-0005-0000-0000-0000B10E0000}"/>
    <cellStyle name="20% - Accent2 2 5 3 2 2 3" xfId="26540" xr:uid="{00000000-0005-0000-0000-0000B20E0000}"/>
    <cellStyle name="20% - Accent2 2 5 3 2 2 3 2" xfId="45729" xr:uid="{00000000-0005-0000-0000-0000B30E0000}"/>
    <cellStyle name="20% - Accent2 2 5 3 2 2 4" xfId="36031" xr:uid="{00000000-0005-0000-0000-0000B40E0000}"/>
    <cellStyle name="20% - Accent2 2 5 3 2 3" xfId="18399" xr:uid="{00000000-0005-0000-0000-0000B50E0000}"/>
    <cellStyle name="20% - Accent2 2 5 3 2 3 2" xfId="28767" xr:uid="{00000000-0005-0000-0000-0000B60E0000}"/>
    <cellStyle name="20% - Accent2 2 5 3 2 3 2 2" xfId="47956" xr:uid="{00000000-0005-0000-0000-0000B70E0000}"/>
    <cellStyle name="20% - Accent2 2 5 3 2 3 3" xfId="38258" xr:uid="{00000000-0005-0000-0000-0000B80E0000}"/>
    <cellStyle name="20% - Accent2 2 5 3 2 4" xfId="24307" xr:uid="{00000000-0005-0000-0000-0000B90E0000}"/>
    <cellStyle name="20% - Accent2 2 5 3 2 4 2" xfId="43501" xr:uid="{00000000-0005-0000-0000-0000BA0E0000}"/>
    <cellStyle name="20% - Accent2 2 5 3 2 5" xfId="33803" xr:uid="{00000000-0005-0000-0000-0000BB0E0000}"/>
    <cellStyle name="20% - Accent2 2 5 3 2 6" xfId="53882" xr:uid="{00000000-0005-0000-0000-0000BC0E0000}"/>
    <cellStyle name="20% - Accent2 2 5 3 3" xfId="14478" xr:uid="{00000000-0005-0000-0000-0000BD0E0000}"/>
    <cellStyle name="20% - Accent2 2 5 3 3 2" xfId="15607" xr:uid="{00000000-0005-0000-0000-0000BE0E0000}"/>
    <cellStyle name="20% - Accent2 2 5 3 3 2 2" xfId="20071" xr:uid="{00000000-0005-0000-0000-0000BF0E0000}"/>
    <cellStyle name="20% - Accent2 2 5 3 3 2 2 2" xfId="30439" xr:uid="{00000000-0005-0000-0000-0000C00E0000}"/>
    <cellStyle name="20% - Accent2 2 5 3 3 2 2 2 2" xfId="49628" xr:uid="{00000000-0005-0000-0000-0000C10E0000}"/>
    <cellStyle name="20% - Accent2 2 5 3 3 2 2 3" xfId="39930" xr:uid="{00000000-0005-0000-0000-0000C20E0000}"/>
    <cellStyle name="20% - Accent2 2 5 3 3 2 3" xfId="25984" xr:uid="{00000000-0005-0000-0000-0000C30E0000}"/>
    <cellStyle name="20% - Accent2 2 5 3 3 2 3 2" xfId="45173" xr:uid="{00000000-0005-0000-0000-0000C40E0000}"/>
    <cellStyle name="20% - Accent2 2 5 3 3 2 4" xfId="35475" xr:uid="{00000000-0005-0000-0000-0000C50E0000}"/>
    <cellStyle name="20% - Accent2 2 5 3 3 3" xfId="18956" xr:uid="{00000000-0005-0000-0000-0000C60E0000}"/>
    <cellStyle name="20% - Accent2 2 5 3 3 3 2" xfId="29324" xr:uid="{00000000-0005-0000-0000-0000C70E0000}"/>
    <cellStyle name="20% - Accent2 2 5 3 3 3 2 2" xfId="48513" xr:uid="{00000000-0005-0000-0000-0000C80E0000}"/>
    <cellStyle name="20% - Accent2 2 5 3 3 3 3" xfId="38815" xr:uid="{00000000-0005-0000-0000-0000C90E0000}"/>
    <cellStyle name="20% - Accent2 2 5 3 3 4" xfId="24869" xr:uid="{00000000-0005-0000-0000-0000CA0E0000}"/>
    <cellStyle name="20% - Accent2 2 5 3 3 4 2" xfId="44058" xr:uid="{00000000-0005-0000-0000-0000CB0E0000}"/>
    <cellStyle name="20% - Accent2 2 5 3 3 5" xfId="34360" xr:uid="{00000000-0005-0000-0000-0000CC0E0000}"/>
    <cellStyle name="20% - Accent2 2 5 3 4" xfId="15050" xr:uid="{00000000-0005-0000-0000-0000CD0E0000}"/>
    <cellStyle name="20% - Accent2 2 5 3 4 2" xfId="19514" xr:uid="{00000000-0005-0000-0000-0000CE0E0000}"/>
    <cellStyle name="20% - Accent2 2 5 3 4 2 2" xfId="29882" xr:uid="{00000000-0005-0000-0000-0000CF0E0000}"/>
    <cellStyle name="20% - Accent2 2 5 3 4 2 2 2" xfId="49071" xr:uid="{00000000-0005-0000-0000-0000D00E0000}"/>
    <cellStyle name="20% - Accent2 2 5 3 4 2 3" xfId="39373" xr:uid="{00000000-0005-0000-0000-0000D10E0000}"/>
    <cellStyle name="20% - Accent2 2 5 3 4 3" xfId="25427" xr:uid="{00000000-0005-0000-0000-0000D20E0000}"/>
    <cellStyle name="20% - Accent2 2 5 3 4 3 2" xfId="44616" xr:uid="{00000000-0005-0000-0000-0000D30E0000}"/>
    <cellStyle name="20% - Accent2 2 5 3 4 4" xfId="34918" xr:uid="{00000000-0005-0000-0000-0000D40E0000}"/>
    <cellStyle name="20% - Accent2 2 5 3 5" xfId="16720" xr:uid="{00000000-0005-0000-0000-0000D50E0000}"/>
    <cellStyle name="20% - Accent2 2 5 3 5 2" xfId="21184" xr:uid="{00000000-0005-0000-0000-0000D60E0000}"/>
    <cellStyle name="20% - Accent2 2 5 3 5 2 2" xfId="31552" xr:uid="{00000000-0005-0000-0000-0000D70E0000}"/>
    <cellStyle name="20% - Accent2 2 5 3 5 2 2 2" xfId="50741" xr:uid="{00000000-0005-0000-0000-0000D80E0000}"/>
    <cellStyle name="20% - Accent2 2 5 3 5 2 3" xfId="41043" xr:uid="{00000000-0005-0000-0000-0000D90E0000}"/>
    <cellStyle name="20% - Accent2 2 5 3 5 3" xfId="27097" xr:uid="{00000000-0005-0000-0000-0000DA0E0000}"/>
    <cellStyle name="20% - Accent2 2 5 3 5 3 2" xfId="46286" xr:uid="{00000000-0005-0000-0000-0000DB0E0000}"/>
    <cellStyle name="20% - Accent2 2 5 3 5 4" xfId="36588" xr:uid="{00000000-0005-0000-0000-0000DC0E0000}"/>
    <cellStyle name="20% - Accent2 2 5 3 6" xfId="17286" xr:uid="{00000000-0005-0000-0000-0000DD0E0000}"/>
    <cellStyle name="20% - Accent2 2 5 3 6 2" xfId="21741" xr:uid="{00000000-0005-0000-0000-0000DE0E0000}"/>
    <cellStyle name="20% - Accent2 2 5 3 6 2 2" xfId="32109" xr:uid="{00000000-0005-0000-0000-0000DF0E0000}"/>
    <cellStyle name="20% - Accent2 2 5 3 6 2 2 2" xfId="51298" xr:uid="{00000000-0005-0000-0000-0000E00E0000}"/>
    <cellStyle name="20% - Accent2 2 5 3 6 2 3" xfId="41600" xr:uid="{00000000-0005-0000-0000-0000E10E0000}"/>
    <cellStyle name="20% - Accent2 2 5 3 6 3" xfId="27654" xr:uid="{00000000-0005-0000-0000-0000E20E0000}"/>
    <cellStyle name="20% - Accent2 2 5 3 6 3 2" xfId="46843" xr:uid="{00000000-0005-0000-0000-0000E30E0000}"/>
    <cellStyle name="20% - Accent2 2 5 3 6 4" xfId="37145" xr:uid="{00000000-0005-0000-0000-0000E40E0000}"/>
    <cellStyle name="20% - Accent2 2 5 3 7" xfId="17843" xr:uid="{00000000-0005-0000-0000-0000E50E0000}"/>
    <cellStyle name="20% - Accent2 2 5 3 7 2" xfId="28211" xr:uid="{00000000-0005-0000-0000-0000E60E0000}"/>
    <cellStyle name="20% - Accent2 2 5 3 7 2 2" xfId="47400" xr:uid="{00000000-0005-0000-0000-0000E70E0000}"/>
    <cellStyle name="20% - Accent2 2 5 3 7 3" xfId="37702" xr:uid="{00000000-0005-0000-0000-0000E80E0000}"/>
    <cellStyle name="20% - Accent2 2 5 3 8" xfId="23706" xr:uid="{00000000-0005-0000-0000-0000E90E0000}"/>
    <cellStyle name="20% - Accent2 2 5 3 8 2" xfId="42945" xr:uid="{00000000-0005-0000-0000-0000EA0E0000}"/>
    <cellStyle name="20% - Accent2 2 5 3 9" xfId="33247" xr:uid="{00000000-0005-0000-0000-0000EB0E0000}"/>
    <cellStyle name="20% - Accent2 2 5 4" xfId="12946" xr:uid="{00000000-0005-0000-0000-0000EC0E0000}"/>
    <cellStyle name="20% - Accent2 2 5 4 10" xfId="53486" xr:uid="{00000000-0005-0000-0000-0000ED0E0000}"/>
    <cellStyle name="20% - Accent2 2 5 4 2" xfId="13900" xr:uid="{00000000-0005-0000-0000-0000EE0E0000}"/>
    <cellStyle name="20% - Accent2 2 5 4 2 2" xfId="16164" xr:uid="{00000000-0005-0000-0000-0000EF0E0000}"/>
    <cellStyle name="20% - Accent2 2 5 4 2 2 2" xfId="20628" xr:uid="{00000000-0005-0000-0000-0000F00E0000}"/>
    <cellStyle name="20% - Accent2 2 5 4 2 2 2 2" xfId="30996" xr:uid="{00000000-0005-0000-0000-0000F10E0000}"/>
    <cellStyle name="20% - Accent2 2 5 4 2 2 2 2 2" xfId="50185" xr:uid="{00000000-0005-0000-0000-0000F20E0000}"/>
    <cellStyle name="20% - Accent2 2 5 4 2 2 2 3" xfId="40487" xr:uid="{00000000-0005-0000-0000-0000F30E0000}"/>
    <cellStyle name="20% - Accent2 2 5 4 2 2 3" xfId="26541" xr:uid="{00000000-0005-0000-0000-0000F40E0000}"/>
    <cellStyle name="20% - Accent2 2 5 4 2 2 3 2" xfId="45730" xr:uid="{00000000-0005-0000-0000-0000F50E0000}"/>
    <cellStyle name="20% - Accent2 2 5 4 2 2 4" xfId="36032" xr:uid="{00000000-0005-0000-0000-0000F60E0000}"/>
    <cellStyle name="20% - Accent2 2 5 4 2 3" xfId="18400" xr:uid="{00000000-0005-0000-0000-0000F70E0000}"/>
    <cellStyle name="20% - Accent2 2 5 4 2 3 2" xfId="28768" xr:uid="{00000000-0005-0000-0000-0000F80E0000}"/>
    <cellStyle name="20% - Accent2 2 5 4 2 3 2 2" xfId="47957" xr:uid="{00000000-0005-0000-0000-0000F90E0000}"/>
    <cellStyle name="20% - Accent2 2 5 4 2 3 3" xfId="38259" xr:uid="{00000000-0005-0000-0000-0000FA0E0000}"/>
    <cellStyle name="20% - Accent2 2 5 4 2 4" xfId="24308" xr:uid="{00000000-0005-0000-0000-0000FB0E0000}"/>
    <cellStyle name="20% - Accent2 2 5 4 2 4 2" xfId="43502" xr:uid="{00000000-0005-0000-0000-0000FC0E0000}"/>
    <cellStyle name="20% - Accent2 2 5 4 2 5" xfId="33804" xr:uid="{00000000-0005-0000-0000-0000FD0E0000}"/>
    <cellStyle name="20% - Accent2 2 5 4 3" xfId="14479" xr:uid="{00000000-0005-0000-0000-0000FE0E0000}"/>
    <cellStyle name="20% - Accent2 2 5 4 3 2" xfId="15608" xr:uid="{00000000-0005-0000-0000-0000FF0E0000}"/>
    <cellStyle name="20% - Accent2 2 5 4 3 2 2" xfId="20072" xr:uid="{00000000-0005-0000-0000-0000000F0000}"/>
    <cellStyle name="20% - Accent2 2 5 4 3 2 2 2" xfId="30440" xr:uid="{00000000-0005-0000-0000-0000010F0000}"/>
    <cellStyle name="20% - Accent2 2 5 4 3 2 2 2 2" xfId="49629" xr:uid="{00000000-0005-0000-0000-0000020F0000}"/>
    <cellStyle name="20% - Accent2 2 5 4 3 2 2 3" xfId="39931" xr:uid="{00000000-0005-0000-0000-0000030F0000}"/>
    <cellStyle name="20% - Accent2 2 5 4 3 2 3" xfId="25985" xr:uid="{00000000-0005-0000-0000-0000040F0000}"/>
    <cellStyle name="20% - Accent2 2 5 4 3 2 3 2" xfId="45174" xr:uid="{00000000-0005-0000-0000-0000050F0000}"/>
    <cellStyle name="20% - Accent2 2 5 4 3 2 4" xfId="35476" xr:uid="{00000000-0005-0000-0000-0000060F0000}"/>
    <cellStyle name="20% - Accent2 2 5 4 3 3" xfId="18957" xr:uid="{00000000-0005-0000-0000-0000070F0000}"/>
    <cellStyle name="20% - Accent2 2 5 4 3 3 2" xfId="29325" xr:uid="{00000000-0005-0000-0000-0000080F0000}"/>
    <cellStyle name="20% - Accent2 2 5 4 3 3 2 2" xfId="48514" xr:uid="{00000000-0005-0000-0000-0000090F0000}"/>
    <cellStyle name="20% - Accent2 2 5 4 3 3 3" xfId="38816" xr:uid="{00000000-0005-0000-0000-00000A0F0000}"/>
    <cellStyle name="20% - Accent2 2 5 4 3 4" xfId="24870" xr:uid="{00000000-0005-0000-0000-00000B0F0000}"/>
    <cellStyle name="20% - Accent2 2 5 4 3 4 2" xfId="44059" xr:uid="{00000000-0005-0000-0000-00000C0F0000}"/>
    <cellStyle name="20% - Accent2 2 5 4 3 5" xfId="34361" xr:uid="{00000000-0005-0000-0000-00000D0F0000}"/>
    <cellStyle name="20% - Accent2 2 5 4 4" xfId="15051" xr:uid="{00000000-0005-0000-0000-00000E0F0000}"/>
    <cellStyle name="20% - Accent2 2 5 4 4 2" xfId="19515" xr:uid="{00000000-0005-0000-0000-00000F0F0000}"/>
    <cellStyle name="20% - Accent2 2 5 4 4 2 2" xfId="29883" xr:uid="{00000000-0005-0000-0000-0000100F0000}"/>
    <cellStyle name="20% - Accent2 2 5 4 4 2 2 2" xfId="49072" xr:uid="{00000000-0005-0000-0000-0000110F0000}"/>
    <cellStyle name="20% - Accent2 2 5 4 4 2 3" xfId="39374" xr:uid="{00000000-0005-0000-0000-0000120F0000}"/>
    <cellStyle name="20% - Accent2 2 5 4 4 3" xfId="25428" xr:uid="{00000000-0005-0000-0000-0000130F0000}"/>
    <cellStyle name="20% - Accent2 2 5 4 4 3 2" xfId="44617" xr:uid="{00000000-0005-0000-0000-0000140F0000}"/>
    <cellStyle name="20% - Accent2 2 5 4 4 4" xfId="34919" xr:uid="{00000000-0005-0000-0000-0000150F0000}"/>
    <cellStyle name="20% - Accent2 2 5 4 5" xfId="16721" xr:uid="{00000000-0005-0000-0000-0000160F0000}"/>
    <cellStyle name="20% - Accent2 2 5 4 5 2" xfId="21185" xr:uid="{00000000-0005-0000-0000-0000170F0000}"/>
    <cellStyle name="20% - Accent2 2 5 4 5 2 2" xfId="31553" xr:uid="{00000000-0005-0000-0000-0000180F0000}"/>
    <cellStyle name="20% - Accent2 2 5 4 5 2 2 2" xfId="50742" xr:uid="{00000000-0005-0000-0000-0000190F0000}"/>
    <cellStyle name="20% - Accent2 2 5 4 5 2 3" xfId="41044" xr:uid="{00000000-0005-0000-0000-00001A0F0000}"/>
    <cellStyle name="20% - Accent2 2 5 4 5 3" xfId="27098" xr:uid="{00000000-0005-0000-0000-00001B0F0000}"/>
    <cellStyle name="20% - Accent2 2 5 4 5 3 2" xfId="46287" xr:uid="{00000000-0005-0000-0000-00001C0F0000}"/>
    <cellStyle name="20% - Accent2 2 5 4 5 4" xfId="36589" xr:uid="{00000000-0005-0000-0000-00001D0F0000}"/>
    <cellStyle name="20% - Accent2 2 5 4 6" xfId="17287" xr:uid="{00000000-0005-0000-0000-00001E0F0000}"/>
    <cellStyle name="20% - Accent2 2 5 4 6 2" xfId="21742" xr:uid="{00000000-0005-0000-0000-00001F0F0000}"/>
    <cellStyle name="20% - Accent2 2 5 4 6 2 2" xfId="32110" xr:uid="{00000000-0005-0000-0000-0000200F0000}"/>
    <cellStyle name="20% - Accent2 2 5 4 6 2 2 2" xfId="51299" xr:uid="{00000000-0005-0000-0000-0000210F0000}"/>
    <cellStyle name="20% - Accent2 2 5 4 6 2 3" xfId="41601" xr:uid="{00000000-0005-0000-0000-0000220F0000}"/>
    <cellStyle name="20% - Accent2 2 5 4 6 3" xfId="27655" xr:uid="{00000000-0005-0000-0000-0000230F0000}"/>
    <cellStyle name="20% - Accent2 2 5 4 6 3 2" xfId="46844" xr:uid="{00000000-0005-0000-0000-0000240F0000}"/>
    <cellStyle name="20% - Accent2 2 5 4 6 4" xfId="37146" xr:uid="{00000000-0005-0000-0000-0000250F0000}"/>
    <cellStyle name="20% - Accent2 2 5 4 7" xfId="17844" xr:uid="{00000000-0005-0000-0000-0000260F0000}"/>
    <cellStyle name="20% - Accent2 2 5 4 7 2" xfId="28212" xr:uid="{00000000-0005-0000-0000-0000270F0000}"/>
    <cellStyle name="20% - Accent2 2 5 4 7 2 2" xfId="47401" xr:uid="{00000000-0005-0000-0000-0000280F0000}"/>
    <cellStyle name="20% - Accent2 2 5 4 7 3" xfId="37703" xr:uid="{00000000-0005-0000-0000-0000290F0000}"/>
    <cellStyle name="20% - Accent2 2 5 4 8" xfId="23707" xr:uid="{00000000-0005-0000-0000-00002A0F0000}"/>
    <cellStyle name="20% - Accent2 2 5 4 8 2" xfId="42946" xr:uid="{00000000-0005-0000-0000-00002B0F0000}"/>
    <cellStyle name="20% - Accent2 2 5 4 9" xfId="33248" xr:uid="{00000000-0005-0000-0000-00002C0F0000}"/>
    <cellStyle name="20% - Accent2 2 5 5" xfId="12226" xr:uid="{00000000-0005-0000-0000-00002D0F0000}"/>
    <cellStyle name="20% - Accent2 2 5 6" xfId="52597" xr:uid="{00000000-0005-0000-0000-00002E0F0000}"/>
    <cellStyle name="20% - Accent2 2 5 7" xfId="11989" xr:uid="{00000000-0005-0000-0000-00002F0F0000}"/>
    <cellStyle name="20% - Accent2 2 6" xfId="1628" xr:uid="{00000000-0005-0000-0000-0000300F0000}"/>
    <cellStyle name="20% - Accent2 2 6 2" xfId="12947" xr:uid="{00000000-0005-0000-0000-0000310F0000}"/>
    <cellStyle name="20% - Accent2 2 6 2 10" xfId="52830" xr:uid="{00000000-0005-0000-0000-0000320F0000}"/>
    <cellStyle name="20% - Accent2 2 6 2 2" xfId="13901" xr:uid="{00000000-0005-0000-0000-0000330F0000}"/>
    <cellStyle name="20% - Accent2 2 6 2 2 2" xfId="16165" xr:uid="{00000000-0005-0000-0000-0000340F0000}"/>
    <cellStyle name="20% - Accent2 2 6 2 2 2 2" xfId="20629" xr:uid="{00000000-0005-0000-0000-0000350F0000}"/>
    <cellStyle name="20% - Accent2 2 6 2 2 2 2 2" xfId="30997" xr:uid="{00000000-0005-0000-0000-0000360F0000}"/>
    <cellStyle name="20% - Accent2 2 6 2 2 2 2 2 2" xfId="50186" xr:uid="{00000000-0005-0000-0000-0000370F0000}"/>
    <cellStyle name="20% - Accent2 2 6 2 2 2 2 3" xfId="40488" xr:uid="{00000000-0005-0000-0000-0000380F0000}"/>
    <cellStyle name="20% - Accent2 2 6 2 2 2 3" xfId="26542" xr:uid="{00000000-0005-0000-0000-0000390F0000}"/>
    <cellStyle name="20% - Accent2 2 6 2 2 2 3 2" xfId="45731" xr:uid="{00000000-0005-0000-0000-00003A0F0000}"/>
    <cellStyle name="20% - Accent2 2 6 2 2 2 4" xfId="36033" xr:uid="{00000000-0005-0000-0000-00003B0F0000}"/>
    <cellStyle name="20% - Accent2 2 6 2 2 2 5" xfId="54111" xr:uid="{00000000-0005-0000-0000-00003C0F0000}"/>
    <cellStyle name="20% - Accent2 2 6 2 2 3" xfId="18401" xr:uid="{00000000-0005-0000-0000-00003D0F0000}"/>
    <cellStyle name="20% - Accent2 2 6 2 2 3 2" xfId="28769" xr:uid="{00000000-0005-0000-0000-00003E0F0000}"/>
    <cellStyle name="20% - Accent2 2 6 2 2 3 2 2" xfId="47958" xr:uid="{00000000-0005-0000-0000-00003F0F0000}"/>
    <cellStyle name="20% - Accent2 2 6 2 2 3 3" xfId="38260" xr:uid="{00000000-0005-0000-0000-0000400F0000}"/>
    <cellStyle name="20% - Accent2 2 6 2 2 4" xfId="24309" xr:uid="{00000000-0005-0000-0000-0000410F0000}"/>
    <cellStyle name="20% - Accent2 2 6 2 2 4 2" xfId="43503" xr:uid="{00000000-0005-0000-0000-0000420F0000}"/>
    <cellStyle name="20% - Accent2 2 6 2 2 5" xfId="33805" xr:uid="{00000000-0005-0000-0000-0000430F0000}"/>
    <cellStyle name="20% - Accent2 2 6 2 2 6" xfId="53258" xr:uid="{00000000-0005-0000-0000-0000440F0000}"/>
    <cellStyle name="20% - Accent2 2 6 2 3" xfId="14480" xr:uid="{00000000-0005-0000-0000-0000450F0000}"/>
    <cellStyle name="20% - Accent2 2 6 2 3 2" xfId="15609" xr:uid="{00000000-0005-0000-0000-0000460F0000}"/>
    <cellStyle name="20% - Accent2 2 6 2 3 2 2" xfId="20073" xr:uid="{00000000-0005-0000-0000-0000470F0000}"/>
    <cellStyle name="20% - Accent2 2 6 2 3 2 2 2" xfId="30441" xr:uid="{00000000-0005-0000-0000-0000480F0000}"/>
    <cellStyle name="20% - Accent2 2 6 2 3 2 2 2 2" xfId="49630" xr:uid="{00000000-0005-0000-0000-0000490F0000}"/>
    <cellStyle name="20% - Accent2 2 6 2 3 2 2 3" xfId="39932" xr:uid="{00000000-0005-0000-0000-00004A0F0000}"/>
    <cellStyle name="20% - Accent2 2 6 2 3 2 3" xfId="25986" xr:uid="{00000000-0005-0000-0000-00004B0F0000}"/>
    <cellStyle name="20% - Accent2 2 6 2 3 2 3 2" xfId="45175" xr:uid="{00000000-0005-0000-0000-00004C0F0000}"/>
    <cellStyle name="20% - Accent2 2 6 2 3 2 4" xfId="35477" xr:uid="{00000000-0005-0000-0000-00004D0F0000}"/>
    <cellStyle name="20% - Accent2 2 6 2 3 3" xfId="18958" xr:uid="{00000000-0005-0000-0000-00004E0F0000}"/>
    <cellStyle name="20% - Accent2 2 6 2 3 3 2" xfId="29326" xr:uid="{00000000-0005-0000-0000-00004F0F0000}"/>
    <cellStyle name="20% - Accent2 2 6 2 3 3 2 2" xfId="48515" xr:uid="{00000000-0005-0000-0000-0000500F0000}"/>
    <cellStyle name="20% - Accent2 2 6 2 3 3 3" xfId="38817" xr:uid="{00000000-0005-0000-0000-0000510F0000}"/>
    <cellStyle name="20% - Accent2 2 6 2 3 4" xfId="24871" xr:uid="{00000000-0005-0000-0000-0000520F0000}"/>
    <cellStyle name="20% - Accent2 2 6 2 3 4 2" xfId="44060" xr:uid="{00000000-0005-0000-0000-0000530F0000}"/>
    <cellStyle name="20% - Accent2 2 6 2 3 5" xfId="34362" xr:uid="{00000000-0005-0000-0000-0000540F0000}"/>
    <cellStyle name="20% - Accent2 2 6 2 3 6" xfId="53715" xr:uid="{00000000-0005-0000-0000-0000550F0000}"/>
    <cellStyle name="20% - Accent2 2 6 2 4" xfId="15052" xr:uid="{00000000-0005-0000-0000-0000560F0000}"/>
    <cellStyle name="20% - Accent2 2 6 2 4 2" xfId="19516" xr:uid="{00000000-0005-0000-0000-0000570F0000}"/>
    <cellStyle name="20% - Accent2 2 6 2 4 2 2" xfId="29884" xr:uid="{00000000-0005-0000-0000-0000580F0000}"/>
    <cellStyle name="20% - Accent2 2 6 2 4 2 2 2" xfId="49073" xr:uid="{00000000-0005-0000-0000-0000590F0000}"/>
    <cellStyle name="20% - Accent2 2 6 2 4 2 3" xfId="39375" xr:uid="{00000000-0005-0000-0000-00005A0F0000}"/>
    <cellStyle name="20% - Accent2 2 6 2 4 3" xfId="25429" xr:uid="{00000000-0005-0000-0000-00005B0F0000}"/>
    <cellStyle name="20% - Accent2 2 6 2 4 3 2" xfId="44618" xr:uid="{00000000-0005-0000-0000-00005C0F0000}"/>
    <cellStyle name="20% - Accent2 2 6 2 4 4" xfId="34920" xr:uid="{00000000-0005-0000-0000-00005D0F0000}"/>
    <cellStyle name="20% - Accent2 2 6 2 5" xfId="16722" xr:uid="{00000000-0005-0000-0000-00005E0F0000}"/>
    <cellStyle name="20% - Accent2 2 6 2 5 2" xfId="21186" xr:uid="{00000000-0005-0000-0000-00005F0F0000}"/>
    <cellStyle name="20% - Accent2 2 6 2 5 2 2" xfId="31554" xr:uid="{00000000-0005-0000-0000-0000600F0000}"/>
    <cellStyle name="20% - Accent2 2 6 2 5 2 2 2" xfId="50743" xr:uid="{00000000-0005-0000-0000-0000610F0000}"/>
    <cellStyle name="20% - Accent2 2 6 2 5 2 3" xfId="41045" xr:uid="{00000000-0005-0000-0000-0000620F0000}"/>
    <cellStyle name="20% - Accent2 2 6 2 5 3" xfId="27099" xr:uid="{00000000-0005-0000-0000-0000630F0000}"/>
    <cellStyle name="20% - Accent2 2 6 2 5 3 2" xfId="46288" xr:uid="{00000000-0005-0000-0000-0000640F0000}"/>
    <cellStyle name="20% - Accent2 2 6 2 5 4" xfId="36590" xr:uid="{00000000-0005-0000-0000-0000650F0000}"/>
    <cellStyle name="20% - Accent2 2 6 2 6" xfId="17288" xr:uid="{00000000-0005-0000-0000-0000660F0000}"/>
    <cellStyle name="20% - Accent2 2 6 2 6 2" xfId="21743" xr:uid="{00000000-0005-0000-0000-0000670F0000}"/>
    <cellStyle name="20% - Accent2 2 6 2 6 2 2" xfId="32111" xr:uid="{00000000-0005-0000-0000-0000680F0000}"/>
    <cellStyle name="20% - Accent2 2 6 2 6 2 2 2" xfId="51300" xr:uid="{00000000-0005-0000-0000-0000690F0000}"/>
    <cellStyle name="20% - Accent2 2 6 2 6 2 3" xfId="41602" xr:uid="{00000000-0005-0000-0000-00006A0F0000}"/>
    <cellStyle name="20% - Accent2 2 6 2 6 3" xfId="27656" xr:uid="{00000000-0005-0000-0000-00006B0F0000}"/>
    <cellStyle name="20% - Accent2 2 6 2 6 3 2" xfId="46845" xr:uid="{00000000-0005-0000-0000-00006C0F0000}"/>
    <cellStyle name="20% - Accent2 2 6 2 6 4" xfId="37147" xr:uid="{00000000-0005-0000-0000-00006D0F0000}"/>
    <cellStyle name="20% - Accent2 2 6 2 7" xfId="17845" xr:uid="{00000000-0005-0000-0000-00006E0F0000}"/>
    <cellStyle name="20% - Accent2 2 6 2 7 2" xfId="28213" xr:uid="{00000000-0005-0000-0000-00006F0F0000}"/>
    <cellStyle name="20% - Accent2 2 6 2 7 2 2" xfId="47402" xr:uid="{00000000-0005-0000-0000-0000700F0000}"/>
    <cellStyle name="20% - Accent2 2 6 2 7 3" xfId="37704" xr:uid="{00000000-0005-0000-0000-0000710F0000}"/>
    <cellStyle name="20% - Accent2 2 6 2 8" xfId="23708" xr:uid="{00000000-0005-0000-0000-0000720F0000}"/>
    <cellStyle name="20% - Accent2 2 6 2 8 2" xfId="42947" xr:uid="{00000000-0005-0000-0000-0000730F0000}"/>
    <cellStyle name="20% - Accent2 2 6 2 9" xfId="33249" xr:uid="{00000000-0005-0000-0000-0000740F0000}"/>
    <cellStyle name="20% - Accent2 2 6 3" xfId="12948" xr:uid="{00000000-0005-0000-0000-0000750F0000}"/>
    <cellStyle name="20% - Accent2 2 6 3 10" xfId="53040" xr:uid="{00000000-0005-0000-0000-0000760F0000}"/>
    <cellStyle name="20% - Accent2 2 6 3 2" xfId="13902" xr:uid="{00000000-0005-0000-0000-0000770F0000}"/>
    <cellStyle name="20% - Accent2 2 6 3 2 2" xfId="16166" xr:uid="{00000000-0005-0000-0000-0000780F0000}"/>
    <cellStyle name="20% - Accent2 2 6 3 2 2 2" xfId="20630" xr:uid="{00000000-0005-0000-0000-0000790F0000}"/>
    <cellStyle name="20% - Accent2 2 6 3 2 2 2 2" xfId="30998" xr:uid="{00000000-0005-0000-0000-00007A0F0000}"/>
    <cellStyle name="20% - Accent2 2 6 3 2 2 2 2 2" xfId="50187" xr:uid="{00000000-0005-0000-0000-00007B0F0000}"/>
    <cellStyle name="20% - Accent2 2 6 3 2 2 2 3" xfId="40489" xr:uid="{00000000-0005-0000-0000-00007C0F0000}"/>
    <cellStyle name="20% - Accent2 2 6 3 2 2 3" xfId="26543" xr:uid="{00000000-0005-0000-0000-00007D0F0000}"/>
    <cellStyle name="20% - Accent2 2 6 3 2 2 3 2" xfId="45732" xr:uid="{00000000-0005-0000-0000-00007E0F0000}"/>
    <cellStyle name="20% - Accent2 2 6 3 2 2 4" xfId="36034" xr:uid="{00000000-0005-0000-0000-00007F0F0000}"/>
    <cellStyle name="20% - Accent2 2 6 3 2 3" xfId="18402" xr:uid="{00000000-0005-0000-0000-0000800F0000}"/>
    <cellStyle name="20% - Accent2 2 6 3 2 3 2" xfId="28770" xr:uid="{00000000-0005-0000-0000-0000810F0000}"/>
    <cellStyle name="20% - Accent2 2 6 3 2 3 2 2" xfId="47959" xr:uid="{00000000-0005-0000-0000-0000820F0000}"/>
    <cellStyle name="20% - Accent2 2 6 3 2 3 3" xfId="38261" xr:uid="{00000000-0005-0000-0000-0000830F0000}"/>
    <cellStyle name="20% - Accent2 2 6 3 2 4" xfId="24310" xr:uid="{00000000-0005-0000-0000-0000840F0000}"/>
    <cellStyle name="20% - Accent2 2 6 3 2 4 2" xfId="43504" xr:uid="{00000000-0005-0000-0000-0000850F0000}"/>
    <cellStyle name="20% - Accent2 2 6 3 2 5" xfId="33806" xr:uid="{00000000-0005-0000-0000-0000860F0000}"/>
    <cellStyle name="20% - Accent2 2 6 3 2 6" xfId="53915" xr:uid="{00000000-0005-0000-0000-0000870F0000}"/>
    <cellStyle name="20% - Accent2 2 6 3 3" xfId="14481" xr:uid="{00000000-0005-0000-0000-0000880F0000}"/>
    <cellStyle name="20% - Accent2 2 6 3 3 2" xfId="15610" xr:uid="{00000000-0005-0000-0000-0000890F0000}"/>
    <cellStyle name="20% - Accent2 2 6 3 3 2 2" xfId="20074" xr:uid="{00000000-0005-0000-0000-00008A0F0000}"/>
    <cellStyle name="20% - Accent2 2 6 3 3 2 2 2" xfId="30442" xr:uid="{00000000-0005-0000-0000-00008B0F0000}"/>
    <cellStyle name="20% - Accent2 2 6 3 3 2 2 2 2" xfId="49631" xr:uid="{00000000-0005-0000-0000-00008C0F0000}"/>
    <cellStyle name="20% - Accent2 2 6 3 3 2 2 3" xfId="39933" xr:uid="{00000000-0005-0000-0000-00008D0F0000}"/>
    <cellStyle name="20% - Accent2 2 6 3 3 2 3" xfId="25987" xr:uid="{00000000-0005-0000-0000-00008E0F0000}"/>
    <cellStyle name="20% - Accent2 2 6 3 3 2 3 2" xfId="45176" xr:uid="{00000000-0005-0000-0000-00008F0F0000}"/>
    <cellStyle name="20% - Accent2 2 6 3 3 2 4" xfId="35478" xr:uid="{00000000-0005-0000-0000-0000900F0000}"/>
    <cellStyle name="20% - Accent2 2 6 3 3 3" xfId="18959" xr:uid="{00000000-0005-0000-0000-0000910F0000}"/>
    <cellStyle name="20% - Accent2 2 6 3 3 3 2" xfId="29327" xr:uid="{00000000-0005-0000-0000-0000920F0000}"/>
    <cellStyle name="20% - Accent2 2 6 3 3 3 2 2" xfId="48516" xr:uid="{00000000-0005-0000-0000-0000930F0000}"/>
    <cellStyle name="20% - Accent2 2 6 3 3 3 3" xfId="38818" xr:uid="{00000000-0005-0000-0000-0000940F0000}"/>
    <cellStyle name="20% - Accent2 2 6 3 3 4" xfId="24872" xr:uid="{00000000-0005-0000-0000-0000950F0000}"/>
    <cellStyle name="20% - Accent2 2 6 3 3 4 2" xfId="44061" xr:uid="{00000000-0005-0000-0000-0000960F0000}"/>
    <cellStyle name="20% - Accent2 2 6 3 3 5" xfId="34363" xr:uid="{00000000-0005-0000-0000-0000970F0000}"/>
    <cellStyle name="20% - Accent2 2 6 3 4" xfId="15053" xr:uid="{00000000-0005-0000-0000-0000980F0000}"/>
    <cellStyle name="20% - Accent2 2 6 3 4 2" xfId="19517" xr:uid="{00000000-0005-0000-0000-0000990F0000}"/>
    <cellStyle name="20% - Accent2 2 6 3 4 2 2" xfId="29885" xr:uid="{00000000-0005-0000-0000-00009A0F0000}"/>
    <cellStyle name="20% - Accent2 2 6 3 4 2 2 2" xfId="49074" xr:uid="{00000000-0005-0000-0000-00009B0F0000}"/>
    <cellStyle name="20% - Accent2 2 6 3 4 2 3" xfId="39376" xr:uid="{00000000-0005-0000-0000-00009C0F0000}"/>
    <cellStyle name="20% - Accent2 2 6 3 4 3" xfId="25430" xr:uid="{00000000-0005-0000-0000-00009D0F0000}"/>
    <cellStyle name="20% - Accent2 2 6 3 4 3 2" xfId="44619" xr:uid="{00000000-0005-0000-0000-00009E0F0000}"/>
    <cellStyle name="20% - Accent2 2 6 3 4 4" xfId="34921" xr:uid="{00000000-0005-0000-0000-00009F0F0000}"/>
    <cellStyle name="20% - Accent2 2 6 3 5" xfId="16723" xr:uid="{00000000-0005-0000-0000-0000A00F0000}"/>
    <cellStyle name="20% - Accent2 2 6 3 5 2" xfId="21187" xr:uid="{00000000-0005-0000-0000-0000A10F0000}"/>
    <cellStyle name="20% - Accent2 2 6 3 5 2 2" xfId="31555" xr:uid="{00000000-0005-0000-0000-0000A20F0000}"/>
    <cellStyle name="20% - Accent2 2 6 3 5 2 2 2" xfId="50744" xr:uid="{00000000-0005-0000-0000-0000A30F0000}"/>
    <cellStyle name="20% - Accent2 2 6 3 5 2 3" xfId="41046" xr:uid="{00000000-0005-0000-0000-0000A40F0000}"/>
    <cellStyle name="20% - Accent2 2 6 3 5 3" xfId="27100" xr:uid="{00000000-0005-0000-0000-0000A50F0000}"/>
    <cellStyle name="20% - Accent2 2 6 3 5 3 2" xfId="46289" xr:uid="{00000000-0005-0000-0000-0000A60F0000}"/>
    <cellStyle name="20% - Accent2 2 6 3 5 4" xfId="36591" xr:uid="{00000000-0005-0000-0000-0000A70F0000}"/>
    <cellStyle name="20% - Accent2 2 6 3 6" xfId="17289" xr:uid="{00000000-0005-0000-0000-0000A80F0000}"/>
    <cellStyle name="20% - Accent2 2 6 3 6 2" xfId="21744" xr:uid="{00000000-0005-0000-0000-0000A90F0000}"/>
    <cellStyle name="20% - Accent2 2 6 3 6 2 2" xfId="32112" xr:uid="{00000000-0005-0000-0000-0000AA0F0000}"/>
    <cellStyle name="20% - Accent2 2 6 3 6 2 2 2" xfId="51301" xr:uid="{00000000-0005-0000-0000-0000AB0F0000}"/>
    <cellStyle name="20% - Accent2 2 6 3 6 2 3" xfId="41603" xr:uid="{00000000-0005-0000-0000-0000AC0F0000}"/>
    <cellStyle name="20% - Accent2 2 6 3 6 3" xfId="27657" xr:uid="{00000000-0005-0000-0000-0000AD0F0000}"/>
    <cellStyle name="20% - Accent2 2 6 3 6 3 2" xfId="46846" xr:uid="{00000000-0005-0000-0000-0000AE0F0000}"/>
    <cellStyle name="20% - Accent2 2 6 3 6 4" xfId="37148" xr:uid="{00000000-0005-0000-0000-0000AF0F0000}"/>
    <cellStyle name="20% - Accent2 2 6 3 7" xfId="17846" xr:uid="{00000000-0005-0000-0000-0000B00F0000}"/>
    <cellStyle name="20% - Accent2 2 6 3 7 2" xfId="28214" xr:uid="{00000000-0005-0000-0000-0000B10F0000}"/>
    <cellStyle name="20% - Accent2 2 6 3 7 2 2" xfId="47403" xr:uid="{00000000-0005-0000-0000-0000B20F0000}"/>
    <cellStyle name="20% - Accent2 2 6 3 7 3" xfId="37705" xr:uid="{00000000-0005-0000-0000-0000B30F0000}"/>
    <cellStyle name="20% - Accent2 2 6 3 8" xfId="23709" xr:uid="{00000000-0005-0000-0000-0000B40F0000}"/>
    <cellStyle name="20% - Accent2 2 6 3 8 2" xfId="42948" xr:uid="{00000000-0005-0000-0000-0000B50F0000}"/>
    <cellStyle name="20% - Accent2 2 6 3 9" xfId="33250" xr:uid="{00000000-0005-0000-0000-0000B60F0000}"/>
    <cellStyle name="20% - Accent2 2 6 4" xfId="53519" xr:uid="{00000000-0005-0000-0000-0000B70F0000}"/>
    <cellStyle name="20% - Accent2 2 6 5" xfId="52634" xr:uid="{00000000-0005-0000-0000-0000B80F0000}"/>
    <cellStyle name="20% - Accent2 2 6 6" xfId="12225" xr:uid="{00000000-0005-0000-0000-0000B90F0000}"/>
    <cellStyle name="20% - Accent2 2 7" xfId="1629" xr:uid="{00000000-0005-0000-0000-0000BA0F0000}"/>
    <cellStyle name="20% - Accent2 2 7 10" xfId="52661" xr:uid="{00000000-0005-0000-0000-0000BB0F0000}"/>
    <cellStyle name="20% - Accent2 2 7 11" xfId="12686" xr:uid="{00000000-0005-0000-0000-0000BC0F0000}"/>
    <cellStyle name="20% - Accent2 2 7 2" xfId="13805" xr:uid="{00000000-0005-0000-0000-0000BD0F0000}"/>
    <cellStyle name="20% - Accent2 2 7 2 2" xfId="16069" xr:uid="{00000000-0005-0000-0000-0000BE0F0000}"/>
    <cellStyle name="20% - Accent2 2 7 2 2 2" xfId="20533" xr:uid="{00000000-0005-0000-0000-0000BF0F0000}"/>
    <cellStyle name="20% - Accent2 2 7 2 2 2 2" xfId="30901" xr:uid="{00000000-0005-0000-0000-0000C00F0000}"/>
    <cellStyle name="20% - Accent2 2 7 2 2 2 2 2" xfId="50090" xr:uid="{00000000-0005-0000-0000-0000C10F0000}"/>
    <cellStyle name="20% - Accent2 2 7 2 2 2 3" xfId="40392" xr:uid="{00000000-0005-0000-0000-0000C20F0000}"/>
    <cellStyle name="20% - Accent2 2 7 2 2 3" xfId="26446" xr:uid="{00000000-0005-0000-0000-0000C30F0000}"/>
    <cellStyle name="20% - Accent2 2 7 2 2 3 2" xfId="45635" xr:uid="{00000000-0005-0000-0000-0000C40F0000}"/>
    <cellStyle name="20% - Accent2 2 7 2 2 4" xfId="35937" xr:uid="{00000000-0005-0000-0000-0000C50F0000}"/>
    <cellStyle name="20% - Accent2 2 7 2 2 5" xfId="53942" xr:uid="{00000000-0005-0000-0000-0000C60F0000}"/>
    <cellStyle name="20% - Accent2 2 7 2 3" xfId="18305" xr:uid="{00000000-0005-0000-0000-0000C70F0000}"/>
    <cellStyle name="20% - Accent2 2 7 2 3 2" xfId="28673" xr:uid="{00000000-0005-0000-0000-0000C80F0000}"/>
    <cellStyle name="20% - Accent2 2 7 2 3 2 2" xfId="47862" xr:uid="{00000000-0005-0000-0000-0000C90F0000}"/>
    <cellStyle name="20% - Accent2 2 7 2 3 3" xfId="38164" xr:uid="{00000000-0005-0000-0000-0000CA0F0000}"/>
    <cellStyle name="20% - Accent2 2 7 2 4" xfId="24213" xr:uid="{00000000-0005-0000-0000-0000CB0F0000}"/>
    <cellStyle name="20% - Accent2 2 7 2 4 2" xfId="43407" xr:uid="{00000000-0005-0000-0000-0000CC0F0000}"/>
    <cellStyle name="20% - Accent2 2 7 2 5" xfId="33709" xr:uid="{00000000-0005-0000-0000-0000CD0F0000}"/>
    <cellStyle name="20% - Accent2 2 7 2 6" xfId="53089" xr:uid="{00000000-0005-0000-0000-0000CE0F0000}"/>
    <cellStyle name="20% - Accent2 2 7 3" xfId="14384" xr:uid="{00000000-0005-0000-0000-0000CF0F0000}"/>
    <cellStyle name="20% - Accent2 2 7 3 2" xfId="15513" xr:uid="{00000000-0005-0000-0000-0000D00F0000}"/>
    <cellStyle name="20% - Accent2 2 7 3 2 2" xfId="19977" xr:uid="{00000000-0005-0000-0000-0000D10F0000}"/>
    <cellStyle name="20% - Accent2 2 7 3 2 2 2" xfId="30345" xr:uid="{00000000-0005-0000-0000-0000D20F0000}"/>
    <cellStyle name="20% - Accent2 2 7 3 2 2 2 2" xfId="49534" xr:uid="{00000000-0005-0000-0000-0000D30F0000}"/>
    <cellStyle name="20% - Accent2 2 7 3 2 2 3" xfId="39836" xr:uid="{00000000-0005-0000-0000-0000D40F0000}"/>
    <cellStyle name="20% - Accent2 2 7 3 2 3" xfId="25890" xr:uid="{00000000-0005-0000-0000-0000D50F0000}"/>
    <cellStyle name="20% - Accent2 2 7 3 2 3 2" xfId="45079" xr:uid="{00000000-0005-0000-0000-0000D60F0000}"/>
    <cellStyle name="20% - Accent2 2 7 3 2 4" xfId="35381" xr:uid="{00000000-0005-0000-0000-0000D70F0000}"/>
    <cellStyle name="20% - Accent2 2 7 3 3" xfId="18862" xr:uid="{00000000-0005-0000-0000-0000D80F0000}"/>
    <cellStyle name="20% - Accent2 2 7 3 3 2" xfId="29230" xr:uid="{00000000-0005-0000-0000-0000D90F0000}"/>
    <cellStyle name="20% - Accent2 2 7 3 3 2 2" xfId="48419" xr:uid="{00000000-0005-0000-0000-0000DA0F0000}"/>
    <cellStyle name="20% - Accent2 2 7 3 3 3" xfId="38721" xr:uid="{00000000-0005-0000-0000-0000DB0F0000}"/>
    <cellStyle name="20% - Accent2 2 7 3 4" xfId="24775" xr:uid="{00000000-0005-0000-0000-0000DC0F0000}"/>
    <cellStyle name="20% - Accent2 2 7 3 4 2" xfId="43964" xr:uid="{00000000-0005-0000-0000-0000DD0F0000}"/>
    <cellStyle name="20% - Accent2 2 7 3 5" xfId="34266" xr:uid="{00000000-0005-0000-0000-0000DE0F0000}"/>
    <cellStyle name="20% - Accent2 2 7 3 6" xfId="53546" xr:uid="{00000000-0005-0000-0000-0000DF0F0000}"/>
    <cellStyle name="20% - Accent2 2 7 4" xfId="14956" xr:uid="{00000000-0005-0000-0000-0000E00F0000}"/>
    <cellStyle name="20% - Accent2 2 7 4 2" xfId="19420" xr:uid="{00000000-0005-0000-0000-0000E10F0000}"/>
    <cellStyle name="20% - Accent2 2 7 4 2 2" xfId="29788" xr:uid="{00000000-0005-0000-0000-0000E20F0000}"/>
    <cellStyle name="20% - Accent2 2 7 4 2 2 2" xfId="48977" xr:uid="{00000000-0005-0000-0000-0000E30F0000}"/>
    <cellStyle name="20% - Accent2 2 7 4 2 3" xfId="39279" xr:uid="{00000000-0005-0000-0000-0000E40F0000}"/>
    <cellStyle name="20% - Accent2 2 7 4 3" xfId="25333" xr:uid="{00000000-0005-0000-0000-0000E50F0000}"/>
    <cellStyle name="20% - Accent2 2 7 4 3 2" xfId="44522" xr:uid="{00000000-0005-0000-0000-0000E60F0000}"/>
    <cellStyle name="20% - Accent2 2 7 4 4" xfId="34824" xr:uid="{00000000-0005-0000-0000-0000E70F0000}"/>
    <cellStyle name="20% - Accent2 2 7 5" xfId="16626" xr:uid="{00000000-0005-0000-0000-0000E80F0000}"/>
    <cellStyle name="20% - Accent2 2 7 5 2" xfId="21090" xr:uid="{00000000-0005-0000-0000-0000E90F0000}"/>
    <cellStyle name="20% - Accent2 2 7 5 2 2" xfId="31458" xr:uid="{00000000-0005-0000-0000-0000EA0F0000}"/>
    <cellStyle name="20% - Accent2 2 7 5 2 2 2" xfId="50647" xr:uid="{00000000-0005-0000-0000-0000EB0F0000}"/>
    <cellStyle name="20% - Accent2 2 7 5 2 3" xfId="40949" xr:uid="{00000000-0005-0000-0000-0000EC0F0000}"/>
    <cellStyle name="20% - Accent2 2 7 5 3" xfId="27003" xr:uid="{00000000-0005-0000-0000-0000ED0F0000}"/>
    <cellStyle name="20% - Accent2 2 7 5 3 2" xfId="46192" xr:uid="{00000000-0005-0000-0000-0000EE0F0000}"/>
    <cellStyle name="20% - Accent2 2 7 5 4" xfId="36494" xr:uid="{00000000-0005-0000-0000-0000EF0F0000}"/>
    <cellStyle name="20% - Accent2 2 7 6" xfId="17192" xr:uid="{00000000-0005-0000-0000-0000F00F0000}"/>
    <cellStyle name="20% - Accent2 2 7 6 2" xfId="21647" xr:uid="{00000000-0005-0000-0000-0000F10F0000}"/>
    <cellStyle name="20% - Accent2 2 7 6 2 2" xfId="32015" xr:uid="{00000000-0005-0000-0000-0000F20F0000}"/>
    <cellStyle name="20% - Accent2 2 7 6 2 2 2" xfId="51204" xr:uid="{00000000-0005-0000-0000-0000F30F0000}"/>
    <cellStyle name="20% - Accent2 2 7 6 2 3" xfId="41506" xr:uid="{00000000-0005-0000-0000-0000F40F0000}"/>
    <cellStyle name="20% - Accent2 2 7 6 3" xfId="27560" xr:uid="{00000000-0005-0000-0000-0000F50F0000}"/>
    <cellStyle name="20% - Accent2 2 7 6 3 2" xfId="46749" xr:uid="{00000000-0005-0000-0000-0000F60F0000}"/>
    <cellStyle name="20% - Accent2 2 7 6 4" xfId="37051" xr:uid="{00000000-0005-0000-0000-0000F70F0000}"/>
    <cellStyle name="20% - Accent2 2 7 7" xfId="17749" xr:uid="{00000000-0005-0000-0000-0000F80F0000}"/>
    <cellStyle name="20% - Accent2 2 7 7 2" xfId="28117" xr:uid="{00000000-0005-0000-0000-0000F90F0000}"/>
    <cellStyle name="20% - Accent2 2 7 7 2 2" xfId="47306" xr:uid="{00000000-0005-0000-0000-0000FA0F0000}"/>
    <cellStyle name="20% - Accent2 2 7 7 3" xfId="37608" xr:uid="{00000000-0005-0000-0000-0000FB0F0000}"/>
    <cellStyle name="20% - Accent2 2 7 8" xfId="23564" xr:uid="{00000000-0005-0000-0000-0000FC0F0000}"/>
    <cellStyle name="20% - Accent2 2 7 8 2" xfId="42851" xr:uid="{00000000-0005-0000-0000-0000FD0F0000}"/>
    <cellStyle name="20% - Accent2 2 7 9" xfId="33153" xr:uid="{00000000-0005-0000-0000-0000FE0F0000}"/>
    <cellStyle name="20% - Accent2 2 8" xfId="1630" xr:uid="{00000000-0005-0000-0000-0000FF0F0000}"/>
    <cellStyle name="20% - Accent2 2 8 10" xfId="52861" xr:uid="{00000000-0005-0000-0000-000000100000}"/>
    <cellStyle name="20% - Accent2 2 8 11" xfId="12784" xr:uid="{00000000-0005-0000-0000-000001100000}"/>
    <cellStyle name="20% - Accent2 2 8 2" xfId="13818" xr:uid="{00000000-0005-0000-0000-000002100000}"/>
    <cellStyle name="20% - Accent2 2 8 2 2" xfId="16082" xr:uid="{00000000-0005-0000-0000-000003100000}"/>
    <cellStyle name="20% - Accent2 2 8 2 2 2" xfId="20546" xr:uid="{00000000-0005-0000-0000-000004100000}"/>
    <cellStyle name="20% - Accent2 2 8 2 2 2 2" xfId="30914" xr:uid="{00000000-0005-0000-0000-000005100000}"/>
    <cellStyle name="20% - Accent2 2 8 2 2 2 2 2" xfId="50103" xr:uid="{00000000-0005-0000-0000-000006100000}"/>
    <cellStyle name="20% - Accent2 2 8 2 2 2 3" xfId="40405" xr:uid="{00000000-0005-0000-0000-000007100000}"/>
    <cellStyle name="20% - Accent2 2 8 2 2 3" xfId="26459" xr:uid="{00000000-0005-0000-0000-000008100000}"/>
    <cellStyle name="20% - Accent2 2 8 2 2 3 2" xfId="45648" xr:uid="{00000000-0005-0000-0000-000009100000}"/>
    <cellStyle name="20% - Accent2 2 8 2 2 4" xfId="35950" xr:uid="{00000000-0005-0000-0000-00000A100000}"/>
    <cellStyle name="20% - Accent2 2 8 2 3" xfId="18318" xr:uid="{00000000-0005-0000-0000-00000B100000}"/>
    <cellStyle name="20% - Accent2 2 8 2 3 2" xfId="28686" xr:uid="{00000000-0005-0000-0000-00000C100000}"/>
    <cellStyle name="20% - Accent2 2 8 2 3 2 2" xfId="47875" xr:uid="{00000000-0005-0000-0000-00000D100000}"/>
    <cellStyle name="20% - Accent2 2 8 2 3 3" xfId="38177" xr:uid="{00000000-0005-0000-0000-00000E100000}"/>
    <cellStyle name="20% - Accent2 2 8 2 4" xfId="24226" xr:uid="{00000000-0005-0000-0000-00000F100000}"/>
    <cellStyle name="20% - Accent2 2 8 2 4 2" xfId="43420" xr:uid="{00000000-0005-0000-0000-000010100000}"/>
    <cellStyle name="20% - Accent2 2 8 2 5" xfId="33722" xr:uid="{00000000-0005-0000-0000-000011100000}"/>
    <cellStyle name="20% - Accent2 2 8 2 6" xfId="53745" xr:uid="{00000000-0005-0000-0000-000012100000}"/>
    <cellStyle name="20% - Accent2 2 8 3" xfId="14397" xr:uid="{00000000-0005-0000-0000-000013100000}"/>
    <cellStyle name="20% - Accent2 2 8 3 2" xfId="15526" xr:uid="{00000000-0005-0000-0000-000014100000}"/>
    <cellStyle name="20% - Accent2 2 8 3 2 2" xfId="19990" xr:uid="{00000000-0005-0000-0000-000015100000}"/>
    <cellStyle name="20% - Accent2 2 8 3 2 2 2" xfId="30358" xr:uid="{00000000-0005-0000-0000-000016100000}"/>
    <cellStyle name="20% - Accent2 2 8 3 2 2 2 2" xfId="49547" xr:uid="{00000000-0005-0000-0000-000017100000}"/>
    <cellStyle name="20% - Accent2 2 8 3 2 2 3" xfId="39849" xr:uid="{00000000-0005-0000-0000-000018100000}"/>
    <cellStyle name="20% - Accent2 2 8 3 2 3" xfId="25903" xr:uid="{00000000-0005-0000-0000-000019100000}"/>
    <cellStyle name="20% - Accent2 2 8 3 2 3 2" xfId="45092" xr:uid="{00000000-0005-0000-0000-00001A100000}"/>
    <cellStyle name="20% - Accent2 2 8 3 2 4" xfId="35394" xr:uid="{00000000-0005-0000-0000-00001B100000}"/>
    <cellStyle name="20% - Accent2 2 8 3 3" xfId="18875" xr:uid="{00000000-0005-0000-0000-00001C100000}"/>
    <cellStyle name="20% - Accent2 2 8 3 3 2" xfId="29243" xr:uid="{00000000-0005-0000-0000-00001D100000}"/>
    <cellStyle name="20% - Accent2 2 8 3 3 2 2" xfId="48432" xr:uid="{00000000-0005-0000-0000-00001E100000}"/>
    <cellStyle name="20% - Accent2 2 8 3 3 3" xfId="38734" xr:uid="{00000000-0005-0000-0000-00001F100000}"/>
    <cellStyle name="20% - Accent2 2 8 3 4" xfId="24788" xr:uid="{00000000-0005-0000-0000-000020100000}"/>
    <cellStyle name="20% - Accent2 2 8 3 4 2" xfId="43977" xr:uid="{00000000-0005-0000-0000-000021100000}"/>
    <cellStyle name="20% - Accent2 2 8 3 5" xfId="34279" xr:uid="{00000000-0005-0000-0000-000022100000}"/>
    <cellStyle name="20% - Accent2 2 8 4" xfId="14969" xr:uid="{00000000-0005-0000-0000-000023100000}"/>
    <cellStyle name="20% - Accent2 2 8 4 2" xfId="19433" xr:uid="{00000000-0005-0000-0000-000024100000}"/>
    <cellStyle name="20% - Accent2 2 8 4 2 2" xfId="29801" xr:uid="{00000000-0005-0000-0000-000025100000}"/>
    <cellStyle name="20% - Accent2 2 8 4 2 2 2" xfId="48990" xr:uid="{00000000-0005-0000-0000-000026100000}"/>
    <cellStyle name="20% - Accent2 2 8 4 2 3" xfId="39292" xr:uid="{00000000-0005-0000-0000-000027100000}"/>
    <cellStyle name="20% - Accent2 2 8 4 3" xfId="25346" xr:uid="{00000000-0005-0000-0000-000028100000}"/>
    <cellStyle name="20% - Accent2 2 8 4 3 2" xfId="44535" xr:uid="{00000000-0005-0000-0000-000029100000}"/>
    <cellStyle name="20% - Accent2 2 8 4 4" xfId="34837" xr:uid="{00000000-0005-0000-0000-00002A100000}"/>
    <cellStyle name="20% - Accent2 2 8 5" xfId="16639" xr:uid="{00000000-0005-0000-0000-00002B100000}"/>
    <cellStyle name="20% - Accent2 2 8 5 2" xfId="21103" xr:uid="{00000000-0005-0000-0000-00002C100000}"/>
    <cellStyle name="20% - Accent2 2 8 5 2 2" xfId="31471" xr:uid="{00000000-0005-0000-0000-00002D100000}"/>
    <cellStyle name="20% - Accent2 2 8 5 2 2 2" xfId="50660" xr:uid="{00000000-0005-0000-0000-00002E100000}"/>
    <cellStyle name="20% - Accent2 2 8 5 2 3" xfId="40962" xr:uid="{00000000-0005-0000-0000-00002F100000}"/>
    <cellStyle name="20% - Accent2 2 8 5 3" xfId="27016" xr:uid="{00000000-0005-0000-0000-000030100000}"/>
    <cellStyle name="20% - Accent2 2 8 5 3 2" xfId="46205" xr:uid="{00000000-0005-0000-0000-000031100000}"/>
    <cellStyle name="20% - Accent2 2 8 5 4" xfId="36507" xr:uid="{00000000-0005-0000-0000-000032100000}"/>
    <cellStyle name="20% - Accent2 2 8 6" xfId="17205" xr:uid="{00000000-0005-0000-0000-000033100000}"/>
    <cellStyle name="20% - Accent2 2 8 6 2" xfId="21660" xr:uid="{00000000-0005-0000-0000-000034100000}"/>
    <cellStyle name="20% - Accent2 2 8 6 2 2" xfId="32028" xr:uid="{00000000-0005-0000-0000-000035100000}"/>
    <cellStyle name="20% - Accent2 2 8 6 2 2 2" xfId="51217" xr:uid="{00000000-0005-0000-0000-000036100000}"/>
    <cellStyle name="20% - Accent2 2 8 6 2 3" xfId="41519" xr:uid="{00000000-0005-0000-0000-000037100000}"/>
    <cellStyle name="20% - Accent2 2 8 6 3" xfId="27573" xr:uid="{00000000-0005-0000-0000-000038100000}"/>
    <cellStyle name="20% - Accent2 2 8 6 3 2" xfId="46762" xr:uid="{00000000-0005-0000-0000-000039100000}"/>
    <cellStyle name="20% - Accent2 2 8 6 4" xfId="37064" xr:uid="{00000000-0005-0000-0000-00003A100000}"/>
    <cellStyle name="20% - Accent2 2 8 7" xfId="17762" xr:uid="{00000000-0005-0000-0000-00003B100000}"/>
    <cellStyle name="20% - Accent2 2 8 7 2" xfId="28130" xr:uid="{00000000-0005-0000-0000-00003C100000}"/>
    <cellStyle name="20% - Accent2 2 8 7 2 2" xfId="47319" xr:uid="{00000000-0005-0000-0000-00003D100000}"/>
    <cellStyle name="20% - Accent2 2 8 7 3" xfId="37621" xr:uid="{00000000-0005-0000-0000-00003E100000}"/>
    <cellStyle name="20% - Accent2 2 8 8" xfId="23587" xr:uid="{00000000-0005-0000-0000-00003F100000}"/>
    <cellStyle name="20% - Accent2 2 8 8 2" xfId="42864" xr:uid="{00000000-0005-0000-0000-000040100000}"/>
    <cellStyle name="20% - Accent2 2 8 9" xfId="33166" xr:uid="{00000000-0005-0000-0000-000041100000}"/>
    <cellStyle name="20% - Accent2 2 9" xfId="1631" xr:uid="{00000000-0005-0000-0000-000042100000}"/>
    <cellStyle name="20% - Accent2 2 9 2" xfId="54142" xr:uid="{00000000-0005-0000-0000-000043100000}"/>
    <cellStyle name="20% - Accent2 2 9 3" xfId="53290" xr:uid="{00000000-0005-0000-0000-000044100000}"/>
    <cellStyle name="20% - Accent2 2 9 4" xfId="12949" xr:uid="{00000000-0005-0000-0000-000045100000}"/>
    <cellStyle name="20% - Accent2 20" xfId="22852" xr:uid="{00000000-0005-0000-0000-000046100000}"/>
    <cellStyle name="20% - Accent2 20 2" xfId="32936" xr:uid="{00000000-0005-0000-0000-000047100000}"/>
    <cellStyle name="20% - Accent2 20 2 2" xfId="52122" xr:uid="{00000000-0005-0000-0000-000048100000}"/>
    <cellStyle name="20% - Accent2 20 3" xfId="23209" xr:uid="{00000000-0005-0000-0000-000049100000}"/>
    <cellStyle name="20% - Accent2 20 3 2" xfId="42777" xr:uid="{00000000-0005-0000-0000-00004A100000}"/>
    <cellStyle name="20% - Accent2 20 4" xfId="42424" xr:uid="{00000000-0005-0000-0000-00004B100000}"/>
    <cellStyle name="20% - Accent2 21" xfId="22735" xr:uid="{00000000-0005-0000-0000-00004C100000}"/>
    <cellStyle name="20% - Accent2 21 2" xfId="32819" xr:uid="{00000000-0005-0000-0000-00004D100000}"/>
    <cellStyle name="20% - Accent2 21 2 2" xfId="52005" xr:uid="{00000000-0005-0000-0000-00004E100000}"/>
    <cellStyle name="20% - Accent2 21 3" xfId="42307" xr:uid="{00000000-0005-0000-0000-00004F100000}"/>
    <cellStyle name="20% - Accent2 22" xfId="23092" xr:uid="{00000000-0005-0000-0000-000050100000}"/>
    <cellStyle name="20% - Accent2 22 2" xfId="42660" xr:uid="{00000000-0005-0000-0000-000051100000}"/>
    <cellStyle name="20% - Accent2 23" xfId="33133" xr:uid="{00000000-0005-0000-0000-000052100000}"/>
    <cellStyle name="20% - Accent2 3" xfId="56" xr:uid="{00000000-0005-0000-0000-000053100000}"/>
    <cellStyle name="20% - Accent2 3 2" xfId="1633" xr:uid="{00000000-0005-0000-0000-000054100000}"/>
    <cellStyle name="20% - Accent2 3 2 2" xfId="1634" xr:uid="{00000000-0005-0000-0000-000055100000}"/>
    <cellStyle name="20% - Accent2 3 2 2 2" xfId="1635" xr:uid="{00000000-0005-0000-0000-000056100000}"/>
    <cellStyle name="20% - Accent2 3 2 2 2 2" xfId="1636" xr:uid="{00000000-0005-0000-0000-000057100000}"/>
    <cellStyle name="20% - Accent2 3 2 2 3" xfId="1637" xr:uid="{00000000-0005-0000-0000-000058100000}"/>
    <cellStyle name="20% - Accent2 3 2 3" xfId="1638" xr:uid="{00000000-0005-0000-0000-000059100000}"/>
    <cellStyle name="20% - Accent2 3 2 3 2" xfId="1639" xr:uid="{00000000-0005-0000-0000-00005A100000}"/>
    <cellStyle name="20% - Accent2 3 2 4" xfId="1640" xr:uid="{00000000-0005-0000-0000-00005B100000}"/>
    <cellStyle name="20% - Accent2 3 2 5" xfId="12950" xr:uid="{00000000-0005-0000-0000-00005C100000}"/>
    <cellStyle name="20% - Accent2 3 3" xfId="1641" xr:uid="{00000000-0005-0000-0000-00005D100000}"/>
    <cellStyle name="20% - Accent2 3 3 2" xfId="1642" xr:uid="{00000000-0005-0000-0000-00005E100000}"/>
    <cellStyle name="20% - Accent2 3 3 2 2" xfId="1643" xr:uid="{00000000-0005-0000-0000-00005F100000}"/>
    <cellStyle name="20% - Accent2 3 3 2 2 2" xfId="1644" xr:uid="{00000000-0005-0000-0000-000060100000}"/>
    <cellStyle name="20% - Accent2 3 3 2 3" xfId="1645" xr:uid="{00000000-0005-0000-0000-000061100000}"/>
    <cellStyle name="20% - Accent2 3 3 3" xfId="1646" xr:uid="{00000000-0005-0000-0000-000062100000}"/>
    <cellStyle name="20% - Accent2 3 3 3 2" xfId="1647" xr:uid="{00000000-0005-0000-0000-000063100000}"/>
    <cellStyle name="20% - Accent2 3 3 4" xfId="1648" xr:uid="{00000000-0005-0000-0000-000064100000}"/>
    <cellStyle name="20% - Accent2 3 3 5" xfId="13523" xr:uid="{00000000-0005-0000-0000-000065100000}"/>
    <cellStyle name="20% - Accent2 3 4" xfId="1649" xr:uid="{00000000-0005-0000-0000-000066100000}"/>
    <cellStyle name="20% - Accent2 3 4 2" xfId="1650" xr:uid="{00000000-0005-0000-0000-000067100000}"/>
    <cellStyle name="20% - Accent2 3 4 2 2" xfId="1651" xr:uid="{00000000-0005-0000-0000-000068100000}"/>
    <cellStyle name="20% - Accent2 3 4 3" xfId="1652" xr:uid="{00000000-0005-0000-0000-000069100000}"/>
    <cellStyle name="20% - Accent2 3 4 4" xfId="22272" xr:uid="{00000000-0005-0000-0000-00006A100000}"/>
    <cellStyle name="20% - Accent2 3 5" xfId="1653" xr:uid="{00000000-0005-0000-0000-00006B100000}"/>
    <cellStyle name="20% - Accent2 3 5 2" xfId="1654" xr:uid="{00000000-0005-0000-0000-00006C100000}"/>
    <cellStyle name="20% - Accent2 3 5 3" xfId="23342" xr:uid="{00000000-0005-0000-0000-00006D100000}"/>
    <cellStyle name="20% - Accent2 3 6" xfId="1655" xr:uid="{00000000-0005-0000-0000-00006E100000}"/>
    <cellStyle name="20% - Accent2 3 7" xfId="1632" xr:uid="{00000000-0005-0000-0000-00006F100000}"/>
    <cellStyle name="20% - Accent2 3 8" xfId="12224" xr:uid="{00000000-0005-0000-0000-000070100000}"/>
    <cellStyle name="20% - Accent2 4" xfId="57" xr:uid="{00000000-0005-0000-0000-000071100000}"/>
    <cellStyle name="20% - Accent2 4 2" xfId="1656" xr:uid="{00000000-0005-0000-0000-000072100000}"/>
    <cellStyle name="20% - Accent2 4 2 2" xfId="13686" xr:uid="{00000000-0005-0000-0000-000073100000}"/>
    <cellStyle name="20% - Accent2 4 3" xfId="22273" xr:uid="{00000000-0005-0000-0000-000074100000}"/>
    <cellStyle name="20% - Accent2 4 4" xfId="23341" xr:uid="{00000000-0005-0000-0000-000075100000}"/>
    <cellStyle name="20% - Accent2 4 5" xfId="12223" xr:uid="{00000000-0005-0000-0000-000076100000}"/>
    <cellStyle name="20% - Accent2 5" xfId="58" xr:uid="{00000000-0005-0000-0000-000077100000}"/>
    <cellStyle name="20% - Accent2 5 2" xfId="1657" xr:uid="{00000000-0005-0000-0000-000078100000}"/>
    <cellStyle name="20% - Accent2 5 2 2" xfId="22274" xr:uid="{00000000-0005-0000-0000-000079100000}"/>
    <cellStyle name="20% - Accent2 5 3" xfId="23523" xr:uid="{00000000-0005-0000-0000-00007A100000}"/>
    <cellStyle name="20% - Accent2 5 4" xfId="12625" xr:uid="{00000000-0005-0000-0000-00007B100000}"/>
    <cellStyle name="20% - Accent2 6" xfId="59" xr:uid="{00000000-0005-0000-0000-00007C100000}"/>
    <cellStyle name="20% - Accent2 6 2" xfId="1658" xr:uid="{00000000-0005-0000-0000-00007D100000}"/>
    <cellStyle name="20% - Accent2 6 2 2" xfId="22275" xr:uid="{00000000-0005-0000-0000-00007E100000}"/>
    <cellStyle name="20% - Accent2 6 3" xfId="23586" xr:uid="{00000000-0005-0000-0000-00007F100000}"/>
    <cellStyle name="20% - Accent2 6 4" xfId="12783" xr:uid="{00000000-0005-0000-0000-000080100000}"/>
    <cellStyle name="20% - Accent2 7" xfId="60" xr:uid="{00000000-0005-0000-0000-000081100000}"/>
    <cellStyle name="20% - Accent2 7 2" xfId="1659" xr:uid="{00000000-0005-0000-0000-000082100000}"/>
    <cellStyle name="20% - Accent2 8" xfId="61" xr:uid="{00000000-0005-0000-0000-000083100000}"/>
    <cellStyle name="20% - Accent2 8 2" xfId="1660" xr:uid="{00000000-0005-0000-0000-000084100000}"/>
    <cellStyle name="20% - Accent2 9" xfId="62" xr:uid="{00000000-0005-0000-0000-000085100000}"/>
    <cellStyle name="20% - Accent3 10" xfId="63" xr:uid="{00000000-0005-0000-0000-000086100000}"/>
    <cellStyle name="20% - Accent3 11" xfId="64" xr:uid="{00000000-0005-0000-0000-000087100000}"/>
    <cellStyle name="20% - Accent3 12" xfId="65" xr:uid="{00000000-0005-0000-0000-000088100000}"/>
    <cellStyle name="20% - Accent3 13" xfId="66" xr:uid="{00000000-0005-0000-0000-000089100000}"/>
    <cellStyle name="20% - Accent3 14" xfId="67" xr:uid="{00000000-0005-0000-0000-00008A100000}"/>
    <cellStyle name="20% - Accent3 15" xfId="68" xr:uid="{00000000-0005-0000-0000-00008B100000}"/>
    <cellStyle name="20% - Accent3 16" xfId="69" xr:uid="{00000000-0005-0000-0000-00008C100000}"/>
    <cellStyle name="20% - Accent3 17" xfId="22764" xr:uid="{00000000-0005-0000-0000-00008D100000}"/>
    <cellStyle name="20% - Accent3 17 2" xfId="32848" xr:uid="{00000000-0005-0000-0000-00008E100000}"/>
    <cellStyle name="20% - Accent3 17 2 2" xfId="52034" xr:uid="{00000000-0005-0000-0000-00008F100000}"/>
    <cellStyle name="20% - Accent3 17 3" xfId="23121" xr:uid="{00000000-0005-0000-0000-000090100000}"/>
    <cellStyle name="20% - Accent3 17 3 2" xfId="42689" xr:uid="{00000000-0005-0000-0000-000091100000}"/>
    <cellStyle name="20% - Accent3 17 4" xfId="42336" xr:uid="{00000000-0005-0000-0000-000092100000}"/>
    <cellStyle name="20% - Accent3 18" xfId="22792" xr:uid="{00000000-0005-0000-0000-000093100000}"/>
    <cellStyle name="20% - Accent3 18 2" xfId="32876" xr:uid="{00000000-0005-0000-0000-000094100000}"/>
    <cellStyle name="20% - Accent3 18 2 2" xfId="52062" xr:uid="{00000000-0005-0000-0000-000095100000}"/>
    <cellStyle name="20% - Accent3 18 3" xfId="23149" xr:uid="{00000000-0005-0000-0000-000096100000}"/>
    <cellStyle name="20% - Accent3 18 3 2" xfId="42717" xr:uid="{00000000-0005-0000-0000-000097100000}"/>
    <cellStyle name="20% - Accent3 18 4" xfId="42364" xr:uid="{00000000-0005-0000-0000-000098100000}"/>
    <cellStyle name="20% - Accent3 19" xfId="22839" xr:uid="{00000000-0005-0000-0000-000099100000}"/>
    <cellStyle name="20% - Accent3 19 2" xfId="32923" xr:uid="{00000000-0005-0000-0000-00009A100000}"/>
    <cellStyle name="20% - Accent3 19 2 2" xfId="52109" xr:uid="{00000000-0005-0000-0000-00009B100000}"/>
    <cellStyle name="20% - Accent3 19 3" xfId="23196" xr:uid="{00000000-0005-0000-0000-00009C100000}"/>
    <cellStyle name="20% - Accent3 19 3 2" xfId="42764" xr:uid="{00000000-0005-0000-0000-00009D100000}"/>
    <cellStyle name="20% - Accent3 19 4" xfId="42411" xr:uid="{00000000-0005-0000-0000-00009E100000}"/>
    <cellStyle name="20% - Accent3 2" xfId="70" xr:uid="{00000000-0005-0000-0000-00009F100000}"/>
    <cellStyle name="20% - Accent3 2 10" xfId="1662" xr:uid="{00000000-0005-0000-0000-0000A0100000}"/>
    <cellStyle name="20% - Accent3 2 10 10" xfId="53325" xr:uid="{00000000-0005-0000-0000-0000A1100000}"/>
    <cellStyle name="20% - Accent3 2 10 11" xfId="12951" xr:uid="{00000000-0005-0000-0000-0000A2100000}"/>
    <cellStyle name="20% - Accent3 2 10 2" xfId="13903" xr:uid="{00000000-0005-0000-0000-0000A3100000}"/>
    <cellStyle name="20% - Accent3 2 10 2 2" xfId="16167" xr:uid="{00000000-0005-0000-0000-0000A4100000}"/>
    <cellStyle name="20% - Accent3 2 10 2 2 2" xfId="20631" xr:uid="{00000000-0005-0000-0000-0000A5100000}"/>
    <cellStyle name="20% - Accent3 2 10 2 2 2 2" xfId="30999" xr:uid="{00000000-0005-0000-0000-0000A6100000}"/>
    <cellStyle name="20% - Accent3 2 10 2 2 2 2 2" xfId="50188" xr:uid="{00000000-0005-0000-0000-0000A7100000}"/>
    <cellStyle name="20% - Accent3 2 10 2 2 2 3" xfId="40490" xr:uid="{00000000-0005-0000-0000-0000A8100000}"/>
    <cellStyle name="20% - Accent3 2 10 2 2 3" xfId="26544" xr:uid="{00000000-0005-0000-0000-0000A9100000}"/>
    <cellStyle name="20% - Accent3 2 10 2 2 3 2" xfId="45733" xr:uid="{00000000-0005-0000-0000-0000AA100000}"/>
    <cellStyle name="20% - Accent3 2 10 2 2 4" xfId="36035" xr:uid="{00000000-0005-0000-0000-0000AB100000}"/>
    <cellStyle name="20% - Accent3 2 10 2 3" xfId="18403" xr:uid="{00000000-0005-0000-0000-0000AC100000}"/>
    <cellStyle name="20% - Accent3 2 10 2 3 2" xfId="28771" xr:uid="{00000000-0005-0000-0000-0000AD100000}"/>
    <cellStyle name="20% - Accent3 2 10 2 3 2 2" xfId="47960" xr:uid="{00000000-0005-0000-0000-0000AE100000}"/>
    <cellStyle name="20% - Accent3 2 10 2 3 3" xfId="38262" xr:uid="{00000000-0005-0000-0000-0000AF100000}"/>
    <cellStyle name="20% - Accent3 2 10 2 4" xfId="24311" xr:uid="{00000000-0005-0000-0000-0000B0100000}"/>
    <cellStyle name="20% - Accent3 2 10 2 4 2" xfId="43505" xr:uid="{00000000-0005-0000-0000-0000B1100000}"/>
    <cellStyle name="20% - Accent3 2 10 2 5" xfId="33807" xr:uid="{00000000-0005-0000-0000-0000B2100000}"/>
    <cellStyle name="20% - Accent3 2 10 2 6" xfId="54177" xr:uid="{00000000-0005-0000-0000-0000B3100000}"/>
    <cellStyle name="20% - Accent3 2 10 3" xfId="14482" xr:uid="{00000000-0005-0000-0000-0000B4100000}"/>
    <cellStyle name="20% - Accent3 2 10 3 2" xfId="15611" xr:uid="{00000000-0005-0000-0000-0000B5100000}"/>
    <cellStyle name="20% - Accent3 2 10 3 2 2" xfId="20075" xr:uid="{00000000-0005-0000-0000-0000B6100000}"/>
    <cellStyle name="20% - Accent3 2 10 3 2 2 2" xfId="30443" xr:uid="{00000000-0005-0000-0000-0000B7100000}"/>
    <cellStyle name="20% - Accent3 2 10 3 2 2 2 2" xfId="49632" xr:uid="{00000000-0005-0000-0000-0000B8100000}"/>
    <cellStyle name="20% - Accent3 2 10 3 2 2 3" xfId="39934" xr:uid="{00000000-0005-0000-0000-0000B9100000}"/>
    <cellStyle name="20% - Accent3 2 10 3 2 3" xfId="25988" xr:uid="{00000000-0005-0000-0000-0000BA100000}"/>
    <cellStyle name="20% - Accent3 2 10 3 2 3 2" xfId="45177" xr:uid="{00000000-0005-0000-0000-0000BB100000}"/>
    <cellStyle name="20% - Accent3 2 10 3 2 4" xfId="35479" xr:uid="{00000000-0005-0000-0000-0000BC100000}"/>
    <cellStyle name="20% - Accent3 2 10 3 3" xfId="18960" xr:uid="{00000000-0005-0000-0000-0000BD100000}"/>
    <cellStyle name="20% - Accent3 2 10 3 3 2" xfId="29328" xr:uid="{00000000-0005-0000-0000-0000BE100000}"/>
    <cellStyle name="20% - Accent3 2 10 3 3 2 2" xfId="48517" xr:uid="{00000000-0005-0000-0000-0000BF100000}"/>
    <cellStyle name="20% - Accent3 2 10 3 3 3" xfId="38819" xr:uid="{00000000-0005-0000-0000-0000C0100000}"/>
    <cellStyle name="20% - Accent3 2 10 3 4" xfId="24873" xr:uid="{00000000-0005-0000-0000-0000C1100000}"/>
    <cellStyle name="20% - Accent3 2 10 3 4 2" xfId="44062" xr:uid="{00000000-0005-0000-0000-0000C2100000}"/>
    <cellStyle name="20% - Accent3 2 10 3 5" xfId="34364" xr:uid="{00000000-0005-0000-0000-0000C3100000}"/>
    <cellStyle name="20% - Accent3 2 10 4" xfId="15054" xr:uid="{00000000-0005-0000-0000-0000C4100000}"/>
    <cellStyle name="20% - Accent3 2 10 4 2" xfId="19518" xr:uid="{00000000-0005-0000-0000-0000C5100000}"/>
    <cellStyle name="20% - Accent3 2 10 4 2 2" xfId="29886" xr:uid="{00000000-0005-0000-0000-0000C6100000}"/>
    <cellStyle name="20% - Accent3 2 10 4 2 2 2" xfId="49075" xr:uid="{00000000-0005-0000-0000-0000C7100000}"/>
    <cellStyle name="20% - Accent3 2 10 4 2 3" xfId="39377" xr:uid="{00000000-0005-0000-0000-0000C8100000}"/>
    <cellStyle name="20% - Accent3 2 10 4 3" xfId="25431" xr:uid="{00000000-0005-0000-0000-0000C9100000}"/>
    <cellStyle name="20% - Accent3 2 10 4 3 2" xfId="44620" xr:uid="{00000000-0005-0000-0000-0000CA100000}"/>
    <cellStyle name="20% - Accent3 2 10 4 4" xfId="34922" xr:uid="{00000000-0005-0000-0000-0000CB100000}"/>
    <cellStyle name="20% - Accent3 2 10 5" xfId="16724" xr:uid="{00000000-0005-0000-0000-0000CC100000}"/>
    <cellStyle name="20% - Accent3 2 10 5 2" xfId="21188" xr:uid="{00000000-0005-0000-0000-0000CD100000}"/>
    <cellStyle name="20% - Accent3 2 10 5 2 2" xfId="31556" xr:uid="{00000000-0005-0000-0000-0000CE100000}"/>
    <cellStyle name="20% - Accent3 2 10 5 2 2 2" xfId="50745" xr:uid="{00000000-0005-0000-0000-0000CF100000}"/>
    <cellStyle name="20% - Accent3 2 10 5 2 3" xfId="41047" xr:uid="{00000000-0005-0000-0000-0000D0100000}"/>
    <cellStyle name="20% - Accent3 2 10 5 3" xfId="27101" xr:uid="{00000000-0005-0000-0000-0000D1100000}"/>
    <cellStyle name="20% - Accent3 2 10 5 3 2" xfId="46290" xr:uid="{00000000-0005-0000-0000-0000D2100000}"/>
    <cellStyle name="20% - Accent3 2 10 5 4" xfId="36592" xr:uid="{00000000-0005-0000-0000-0000D3100000}"/>
    <cellStyle name="20% - Accent3 2 10 6" xfId="17290" xr:uid="{00000000-0005-0000-0000-0000D4100000}"/>
    <cellStyle name="20% - Accent3 2 10 6 2" xfId="21745" xr:uid="{00000000-0005-0000-0000-0000D5100000}"/>
    <cellStyle name="20% - Accent3 2 10 6 2 2" xfId="32113" xr:uid="{00000000-0005-0000-0000-0000D6100000}"/>
    <cellStyle name="20% - Accent3 2 10 6 2 2 2" xfId="51302" xr:uid="{00000000-0005-0000-0000-0000D7100000}"/>
    <cellStyle name="20% - Accent3 2 10 6 2 3" xfId="41604" xr:uid="{00000000-0005-0000-0000-0000D8100000}"/>
    <cellStyle name="20% - Accent3 2 10 6 3" xfId="27658" xr:uid="{00000000-0005-0000-0000-0000D9100000}"/>
    <cellStyle name="20% - Accent3 2 10 6 3 2" xfId="46847" xr:uid="{00000000-0005-0000-0000-0000DA100000}"/>
    <cellStyle name="20% - Accent3 2 10 6 4" xfId="37149" xr:uid="{00000000-0005-0000-0000-0000DB100000}"/>
    <cellStyle name="20% - Accent3 2 10 7" xfId="17847" xr:uid="{00000000-0005-0000-0000-0000DC100000}"/>
    <cellStyle name="20% - Accent3 2 10 7 2" xfId="28215" xr:uid="{00000000-0005-0000-0000-0000DD100000}"/>
    <cellStyle name="20% - Accent3 2 10 7 2 2" xfId="47404" xr:uid="{00000000-0005-0000-0000-0000DE100000}"/>
    <cellStyle name="20% - Accent3 2 10 7 3" xfId="37706" xr:uid="{00000000-0005-0000-0000-0000DF100000}"/>
    <cellStyle name="20% - Accent3 2 10 8" xfId="23710" xr:uid="{00000000-0005-0000-0000-0000E0100000}"/>
    <cellStyle name="20% - Accent3 2 10 8 2" xfId="42949" xr:uid="{00000000-0005-0000-0000-0000E1100000}"/>
    <cellStyle name="20% - Accent3 2 10 9" xfId="33251" xr:uid="{00000000-0005-0000-0000-0000E2100000}"/>
    <cellStyle name="20% - Accent3 2 11" xfId="1661" xr:uid="{00000000-0005-0000-0000-0000E3100000}"/>
    <cellStyle name="20% - Accent3 2 11 2" xfId="53352" xr:uid="{00000000-0005-0000-0000-0000E4100000}"/>
    <cellStyle name="20% - Accent3 2 11 3" xfId="13495" xr:uid="{00000000-0005-0000-0000-0000E5100000}"/>
    <cellStyle name="20% - Accent3 2 12" xfId="22212" xr:uid="{00000000-0005-0000-0000-0000E6100000}"/>
    <cellStyle name="20% - Accent3 2 12 2" xfId="32571" xr:uid="{00000000-0005-0000-0000-0000E7100000}"/>
    <cellStyle name="20% - Accent3 2 12 2 2" xfId="51759" xr:uid="{00000000-0005-0000-0000-0000E8100000}"/>
    <cellStyle name="20% - Accent3 2 12 3" xfId="42061" xr:uid="{00000000-0005-0000-0000-0000E9100000}"/>
    <cellStyle name="20% - Accent3 2 13" xfId="22240" xr:uid="{00000000-0005-0000-0000-0000EA100000}"/>
    <cellStyle name="20% - Accent3 2 13 2" xfId="32597" xr:uid="{00000000-0005-0000-0000-0000EB100000}"/>
    <cellStyle name="20% - Accent3 2 13 2 2" xfId="51785" xr:uid="{00000000-0005-0000-0000-0000EC100000}"/>
    <cellStyle name="20% - Accent3 2 13 3" xfId="42087" xr:uid="{00000000-0005-0000-0000-0000ED100000}"/>
    <cellStyle name="20% - Accent3 2 14" xfId="12222" xr:uid="{00000000-0005-0000-0000-0000EE100000}"/>
    <cellStyle name="20% - Accent3 2 15" xfId="23254" xr:uid="{00000000-0005-0000-0000-0000EF100000}"/>
    <cellStyle name="20% - Accent3 2 15 2" xfId="42820" xr:uid="{00000000-0005-0000-0000-0000F0100000}"/>
    <cellStyle name="20% - Accent3 2 16" xfId="32993" xr:uid="{00000000-0005-0000-0000-0000F1100000}"/>
    <cellStyle name="20% - Accent3 2 16 2" xfId="52179" xr:uid="{00000000-0005-0000-0000-0000F2100000}"/>
    <cellStyle name="20% - Accent3 2 17" xfId="33087" xr:uid="{00000000-0005-0000-0000-0000F3100000}"/>
    <cellStyle name="20% - Accent3 2 18" xfId="52273" xr:uid="{00000000-0005-0000-0000-0000F4100000}"/>
    <cellStyle name="20% - Accent3 2 19" xfId="52330" xr:uid="{00000000-0005-0000-0000-0000F5100000}"/>
    <cellStyle name="20% - Accent3 2 2" xfId="71" xr:uid="{00000000-0005-0000-0000-0000F6100000}"/>
    <cellStyle name="20% - Accent3 2 2 2" xfId="1664" xr:uid="{00000000-0005-0000-0000-0000F7100000}"/>
    <cellStyle name="20% - Accent3 2 2 2 2" xfId="8326" xr:uid="{00000000-0005-0000-0000-0000F8100000}"/>
    <cellStyle name="20% - Accent3 2 2 2 2 2" xfId="11223" xr:uid="{00000000-0005-0000-0000-0000F9100000}"/>
    <cellStyle name="20% - Accent3 2 2 2 2 2 2" xfId="53977" xr:uid="{00000000-0005-0000-0000-0000FA100000}"/>
    <cellStyle name="20% - Accent3 2 2 2 2 3" xfId="53124" xr:uid="{00000000-0005-0000-0000-0000FB100000}"/>
    <cellStyle name="20% - Accent3 2 2 2 3" xfId="9783" xr:uid="{00000000-0005-0000-0000-0000FC100000}"/>
    <cellStyle name="20% - Accent3 2 2 2 3 2" xfId="53581" xr:uid="{00000000-0005-0000-0000-0000FD100000}"/>
    <cellStyle name="20% - Accent3 2 2 2 4" xfId="6846" xr:uid="{00000000-0005-0000-0000-0000FE100000}"/>
    <cellStyle name="20% - Accent3 2 2 2 4 2" xfId="52696" xr:uid="{00000000-0005-0000-0000-0000FF100000}"/>
    <cellStyle name="20% - Accent3 2 2 2 5" xfId="12707" xr:uid="{00000000-0005-0000-0000-000000110000}"/>
    <cellStyle name="20% - Accent3 2 2 3" xfId="1665" xr:uid="{00000000-0005-0000-0000-000001110000}"/>
    <cellStyle name="20% - Accent3 2 2 3 2" xfId="10565" xr:uid="{00000000-0005-0000-0000-000002110000}"/>
    <cellStyle name="20% - Accent3 2 2 3 2 2" xfId="53781" xr:uid="{00000000-0005-0000-0000-000003110000}"/>
    <cellStyle name="20% - Accent3 2 2 3 3" xfId="7665" xr:uid="{00000000-0005-0000-0000-000004110000}"/>
    <cellStyle name="20% - Accent3 2 2 3 3 2" xfId="52906" xr:uid="{00000000-0005-0000-0000-000005110000}"/>
    <cellStyle name="20% - Accent3 2 2 3 4" xfId="12221" xr:uid="{00000000-0005-0000-0000-000006110000}"/>
    <cellStyle name="20% - Accent3 2 2 4" xfId="1663" xr:uid="{00000000-0005-0000-0000-000007110000}"/>
    <cellStyle name="20% - Accent3 2 2 4 2" xfId="9125" xr:uid="{00000000-0005-0000-0000-000008110000}"/>
    <cellStyle name="20% - Accent3 2 2 4 2 2" xfId="51868" xr:uid="{00000000-0005-0000-0000-000009110000}"/>
    <cellStyle name="20% - Accent3 2 2 4 2 3" xfId="32681" xr:uid="{00000000-0005-0000-0000-00000A110000}"/>
    <cellStyle name="20% - Accent3 2 2 4 3" xfId="42170" xr:uid="{00000000-0005-0000-0000-00000B110000}"/>
    <cellStyle name="20% - Accent3 2 2 4 4" xfId="53385" xr:uid="{00000000-0005-0000-0000-00000C110000}"/>
    <cellStyle name="20% - Accent3 2 2 4 5" xfId="22579" xr:uid="{00000000-0005-0000-0000-00000D110000}"/>
    <cellStyle name="20% - Accent3 2 2 5" xfId="6139" xr:uid="{00000000-0005-0000-0000-00000E110000}"/>
    <cellStyle name="20% - Accent3 2 2 5 2" xfId="23280" xr:uid="{00000000-0005-0000-0000-00000F110000}"/>
    <cellStyle name="20% - Accent3 2 2 6" xfId="22954" xr:uid="{00000000-0005-0000-0000-000010110000}"/>
    <cellStyle name="20% - Accent3 2 2 6 2" xfId="42523" xr:uid="{00000000-0005-0000-0000-000011110000}"/>
    <cellStyle name="20% - Accent3 2 2 7" xfId="12132" xr:uid="{00000000-0005-0000-0000-000012110000}"/>
    <cellStyle name="20% - Accent3 2 2 8" xfId="52492" xr:uid="{00000000-0005-0000-0000-000013110000}"/>
    <cellStyle name="20% - Accent3 2 2 9" xfId="11994" xr:uid="{00000000-0005-0000-0000-000014110000}"/>
    <cellStyle name="20% - Accent3 2 20" xfId="52379" xr:uid="{00000000-0005-0000-0000-000015110000}"/>
    <cellStyle name="20% - Accent3 2 21" xfId="12104" xr:uid="{00000000-0005-0000-0000-000016110000}"/>
    <cellStyle name="20% - Accent3 2 22" xfId="52421" xr:uid="{00000000-0005-0000-0000-000017110000}"/>
    <cellStyle name="20% - Accent3 2 23" xfId="52450" xr:uid="{00000000-0005-0000-0000-000018110000}"/>
    <cellStyle name="20% - Accent3 2 24" xfId="11961" xr:uid="{00000000-0005-0000-0000-000019110000}"/>
    <cellStyle name="20% - Accent3 2 3" xfId="72" xr:uid="{00000000-0005-0000-0000-00001A110000}"/>
    <cellStyle name="20% - Accent3 2 3 10" xfId="52533" xr:uid="{00000000-0005-0000-0000-00001B110000}"/>
    <cellStyle name="20% - Accent3 2 3 11" xfId="11995" xr:uid="{00000000-0005-0000-0000-00001C110000}"/>
    <cellStyle name="20% - Accent3 2 3 2" xfId="1667" xr:uid="{00000000-0005-0000-0000-00001D110000}"/>
    <cellStyle name="20% - Accent3 2 3 2 10" xfId="17848" xr:uid="{00000000-0005-0000-0000-00001E110000}"/>
    <cellStyle name="20% - Accent3 2 3 2 10 2" xfId="28216" xr:uid="{00000000-0005-0000-0000-00001F110000}"/>
    <cellStyle name="20% - Accent3 2 3 2 10 2 2" xfId="47405" xr:uid="{00000000-0005-0000-0000-000020110000}"/>
    <cellStyle name="20% - Accent3 2 3 2 10 3" xfId="37707" xr:uid="{00000000-0005-0000-0000-000021110000}"/>
    <cellStyle name="20% - Accent3 2 3 2 11" xfId="23711" xr:uid="{00000000-0005-0000-0000-000022110000}"/>
    <cellStyle name="20% - Accent3 2 3 2 11 2" xfId="42950" xr:uid="{00000000-0005-0000-0000-000023110000}"/>
    <cellStyle name="20% - Accent3 2 3 2 12" xfId="33252" xr:uid="{00000000-0005-0000-0000-000024110000}"/>
    <cellStyle name="20% - Accent3 2 3 2 13" xfId="52734" xr:uid="{00000000-0005-0000-0000-000025110000}"/>
    <cellStyle name="20% - Accent3 2 3 2 14" xfId="12952" xr:uid="{00000000-0005-0000-0000-000026110000}"/>
    <cellStyle name="20% - Accent3 2 3 2 2" xfId="12953" xr:uid="{00000000-0005-0000-0000-000027110000}"/>
    <cellStyle name="20% - Accent3 2 3 2 2 10" xfId="23712" xr:uid="{00000000-0005-0000-0000-000028110000}"/>
    <cellStyle name="20% - Accent3 2 3 2 2 10 2" xfId="42951" xr:uid="{00000000-0005-0000-0000-000029110000}"/>
    <cellStyle name="20% - Accent3 2 3 2 2 11" xfId="33253" xr:uid="{00000000-0005-0000-0000-00002A110000}"/>
    <cellStyle name="20% - Accent3 2 3 2 2 12" xfId="53162" xr:uid="{00000000-0005-0000-0000-00002B110000}"/>
    <cellStyle name="20% - Accent3 2 3 2 2 2" xfId="12954" xr:uid="{00000000-0005-0000-0000-00002C110000}"/>
    <cellStyle name="20% - Accent3 2 3 2 2 2 10" xfId="54015" xr:uid="{00000000-0005-0000-0000-00002D110000}"/>
    <cellStyle name="20% - Accent3 2 3 2 2 2 2" xfId="13906" xr:uid="{00000000-0005-0000-0000-00002E110000}"/>
    <cellStyle name="20% - Accent3 2 3 2 2 2 2 2" xfId="16170" xr:uid="{00000000-0005-0000-0000-00002F110000}"/>
    <cellStyle name="20% - Accent3 2 3 2 2 2 2 2 2" xfId="20634" xr:uid="{00000000-0005-0000-0000-000030110000}"/>
    <cellStyle name="20% - Accent3 2 3 2 2 2 2 2 2 2" xfId="31002" xr:uid="{00000000-0005-0000-0000-000031110000}"/>
    <cellStyle name="20% - Accent3 2 3 2 2 2 2 2 2 2 2" xfId="50191" xr:uid="{00000000-0005-0000-0000-000032110000}"/>
    <cellStyle name="20% - Accent3 2 3 2 2 2 2 2 2 3" xfId="40493" xr:uid="{00000000-0005-0000-0000-000033110000}"/>
    <cellStyle name="20% - Accent3 2 3 2 2 2 2 2 3" xfId="26547" xr:uid="{00000000-0005-0000-0000-000034110000}"/>
    <cellStyle name="20% - Accent3 2 3 2 2 2 2 2 3 2" xfId="45736" xr:uid="{00000000-0005-0000-0000-000035110000}"/>
    <cellStyle name="20% - Accent3 2 3 2 2 2 2 2 4" xfId="36038" xr:uid="{00000000-0005-0000-0000-000036110000}"/>
    <cellStyle name="20% - Accent3 2 3 2 2 2 2 3" xfId="18406" xr:uid="{00000000-0005-0000-0000-000037110000}"/>
    <cellStyle name="20% - Accent3 2 3 2 2 2 2 3 2" xfId="28774" xr:uid="{00000000-0005-0000-0000-000038110000}"/>
    <cellStyle name="20% - Accent3 2 3 2 2 2 2 3 2 2" xfId="47963" xr:uid="{00000000-0005-0000-0000-000039110000}"/>
    <cellStyle name="20% - Accent3 2 3 2 2 2 2 3 3" xfId="38265" xr:uid="{00000000-0005-0000-0000-00003A110000}"/>
    <cellStyle name="20% - Accent3 2 3 2 2 2 2 4" xfId="24314" xr:uid="{00000000-0005-0000-0000-00003B110000}"/>
    <cellStyle name="20% - Accent3 2 3 2 2 2 2 4 2" xfId="43508" xr:uid="{00000000-0005-0000-0000-00003C110000}"/>
    <cellStyle name="20% - Accent3 2 3 2 2 2 2 5" xfId="33810" xr:uid="{00000000-0005-0000-0000-00003D110000}"/>
    <cellStyle name="20% - Accent3 2 3 2 2 2 3" xfId="14485" xr:uid="{00000000-0005-0000-0000-00003E110000}"/>
    <cellStyle name="20% - Accent3 2 3 2 2 2 3 2" xfId="15614" xr:uid="{00000000-0005-0000-0000-00003F110000}"/>
    <cellStyle name="20% - Accent3 2 3 2 2 2 3 2 2" xfId="20078" xr:uid="{00000000-0005-0000-0000-000040110000}"/>
    <cellStyle name="20% - Accent3 2 3 2 2 2 3 2 2 2" xfId="30446" xr:uid="{00000000-0005-0000-0000-000041110000}"/>
    <cellStyle name="20% - Accent3 2 3 2 2 2 3 2 2 2 2" xfId="49635" xr:uid="{00000000-0005-0000-0000-000042110000}"/>
    <cellStyle name="20% - Accent3 2 3 2 2 2 3 2 2 3" xfId="39937" xr:uid="{00000000-0005-0000-0000-000043110000}"/>
    <cellStyle name="20% - Accent3 2 3 2 2 2 3 2 3" xfId="25991" xr:uid="{00000000-0005-0000-0000-000044110000}"/>
    <cellStyle name="20% - Accent3 2 3 2 2 2 3 2 3 2" xfId="45180" xr:uid="{00000000-0005-0000-0000-000045110000}"/>
    <cellStyle name="20% - Accent3 2 3 2 2 2 3 2 4" xfId="35482" xr:uid="{00000000-0005-0000-0000-000046110000}"/>
    <cellStyle name="20% - Accent3 2 3 2 2 2 3 3" xfId="18963" xr:uid="{00000000-0005-0000-0000-000047110000}"/>
    <cellStyle name="20% - Accent3 2 3 2 2 2 3 3 2" xfId="29331" xr:uid="{00000000-0005-0000-0000-000048110000}"/>
    <cellStyle name="20% - Accent3 2 3 2 2 2 3 3 2 2" xfId="48520" xr:uid="{00000000-0005-0000-0000-000049110000}"/>
    <cellStyle name="20% - Accent3 2 3 2 2 2 3 3 3" xfId="38822" xr:uid="{00000000-0005-0000-0000-00004A110000}"/>
    <cellStyle name="20% - Accent3 2 3 2 2 2 3 4" xfId="24876" xr:uid="{00000000-0005-0000-0000-00004B110000}"/>
    <cellStyle name="20% - Accent3 2 3 2 2 2 3 4 2" xfId="44065" xr:uid="{00000000-0005-0000-0000-00004C110000}"/>
    <cellStyle name="20% - Accent3 2 3 2 2 2 3 5" xfId="34367" xr:uid="{00000000-0005-0000-0000-00004D110000}"/>
    <cellStyle name="20% - Accent3 2 3 2 2 2 4" xfId="15057" xr:uid="{00000000-0005-0000-0000-00004E110000}"/>
    <cellStyle name="20% - Accent3 2 3 2 2 2 4 2" xfId="19521" xr:uid="{00000000-0005-0000-0000-00004F110000}"/>
    <cellStyle name="20% - Accent3 2 3 2 2 2 4 2 2" xfId="29889" xr:uid="{00000000-0005-0000-0000-000050110000}"/>
    <cellStyle name="20% - Accent3 2 3 2 2 2 4 2 2 2" xfId="49078" xr:uid="{00000000-0005-0000-0000-000051110000}"/>
    <cellStyle name="20% - Accent3 2 3 2 2 2 4 2 3" xfId="39380" xr:uid="{00000000-0005-0000-0000-000052110000}"/>
    <cellStyle name="20% - Accent3 2 3 2 2 2 4 3" xfId="25434" xr:uid="{00000000-0005-0000-0000-000053110000}"/>
    <cellStyle name="20% - Accent3 2 3 2 2 2 4 3 2" xfId="44623" xr:uid="{00000000-0005-0000-0000-000054110000}"/>
    <cellStyle name="20% - Accent3 2 3 2 2 2 4 4" xfId="34925" xr:uid="{00000000-0005-0000-0000-000055110000}"/>
    <cellStyle name="20% - Accent3 2 3 2 2 2 5" xfId="16727" xr:uid="{00000000-0005-0000-0000-000056110000}"/>
    <cellStyle name="20% - Accent3 2 3 2 2 2 5 2" xfId="21191" xr:uid="{00000000-0005-0000-0000-000057110000}"/>
    <cellStyle name="20% - Accent3 2 3 2 2 2 5 2 2" xfId="31559" xr:uid="{00000000-0005-0000-0000-000058110000}"/>
    <cellStyle name="20% - Accent3 2 3 2 2 2 5 2 2 2" xfId="50748" xr:uid="{00000000-0005-0000-0000-000059110000}"/>
    <cellStyle name="20% - Accent3 2 3 2 2 2 5 2 3" xfId="41050" xr:uid="{00000000-0005-0000-0000-00005A110000}"/>
    <cellStyle name="20% - Accent3 2 3 2 2 2 5 3" xfId="27104" xr:uid="{00000000-0005-0000-0000-00005B110000}"/>
    <cellStyle name="20% - Accent3 2 3 2 2 2 5 3 2" xfId="46293" xr:uid="{00000000-0005-0000-0000-00005C110000}"/>
    <cellStyle name="20% - Accent3 2 3 2 2 2 5 4" xfId="36595" xr:uid="{00000000-0005-0000-0000-00005D110000}"/>
    <cellStyle name="20% - Accent3 2 3 2 2 2 6" xfId="17293" xr:uid="{00000000-0005-0000-0000-00005E110000}"/>
    <cellStyle name="20% - Accent3 2 3 2 2 2 6 2" xfId="21748" xr:uid="{00000000-0005-0000-0000-00005F110000}"/>
    <cellStyle name="20% - Accent3 2 3 2 2 2 6 2 2" xfId="32116" xr:uid="{00000000-0005-0000-0000-000060110000}"/>
    <cellStyle name="20% - Accent3 2 3 2 2 2 6 2 2 2" xfId="51305" xr:uid="{00000000-0005-0000-0000-000061110000}"/>
    <cellStyle name="20% - Accent3 2 3 2 2 2 6 2 3" xfId="41607" xr:uid="{00000000-0005-0000-0000-000062110000}"/>
    <cellStyle name="20% - Accent3 2 3 2 2 2 6 3" xfId="27661" xr:uid="{00000000-0005-0000-0000-000063110000}"/>
    <cellStyle name="20% - Accent3 2 3 2 2 2 6 3 2" xfId="46850" xr:uid="{00000000-0005-0000-0000-000064110000}"/>
    <cellStyle name="20% - Accent3 2 3 2 2 2 6 4" xfId="37152" xr:uid="{00000000-0005-0000-0000-000065110000}"/>
    <cellStyle name="20% - Accent3 2 3 2 2 2 7" xfId="17850" xr:uid="{00000000-0005-0000-0000-000066110000}"/>
    <cellStyle name="20% - Accent3 2 3 2 2 2 7 2" xfId="28218" xr:uid="{00000000-0005-0000-0000-000067110000}"/>
    <cellStyle name="20% - Accent3 2 3 2 2 2 7 2 2" xfId="47407" xr:uid="{00000000-0005-0000-0000-000068110000}"/>
    <cellStyle name="20% - Accent3 2 3 2 2 2 7 3" xfId="37709" xr:uid="{00000000-0005-0000-0000-000069110000}"/>
    <cellStyle name="20% - Accent3 2 3 2 2 2 8" xfId="23713" xr:uid="{00000000-0005-0000-0000-00006A110000}"/>
    <cellStyle name="20% - Accent3 2 3 2 2 2 8 2" xfId="42952" xr:uid="{00000000-0005-0000-0000-00006B110000}"/>
    <cellStyle name="20% - Accent3 2 3 2 2 2 9" xfId="33254" xr:uid="{00000000-0005-0000-0000-00006C110000}"/>
    <cellStyle name="20% - Accent3 2 3 2 2 3" xfId="12955" xr:uid="{00000000-0005-0000-0000-00006D110000}"/>
    <cellStyle name="20% - Accent3 2 3 2 2 3 2" xfId="13907" xr:uid="{00000000-0005-0000-0000-00006E110000}"/>
    <cellStyle name="20% - Accent3 2 3 2 2 3 2 2" xfId="16171" xr:uid="{00000000-0005-0000-0000-00006F110000}"/>
    <cellStyle name="20% - Accent3 2 3 2 2 3 2 2 2" xfId="20635" xr:uid="{00000000-0005-0000-0000-000070110000}"/>
    <cellStyle name="20% - Accent3 2 3 2 2 3 2 2 2 2" xfId="31003" xr:uid="{00000000-0005-0000-0000-000071110000}"/>
    <cellStyle name="20% - Accent3 2 3 2 2 3 2 2 2 2 2" xfId="50192" xr:uid="{00000000-0005-0000-0000-000072110000}"/>
    <cellStyle name="20% - Accent3 2 3 2 2 3 2 2 2 3" xfId="40494" xr:uid="{00000000-0005-0000-0000-000073110000}"/>
    <cellStyle name="20% - Accent3 2 3 2 2 3 2 2 3" xfId="26548" xr:uid="{00000000-0005-0000-0000-000074110000}"/>
    <cellStyle name="20% - Accent3 2 3 2 2 3 2 2 3 2" xfId="45737" xr:uid="{00000000-0005-0000-0000-000075110000}"/>
    <cellStyle name="20% - Accent3 2 3 2 2 3 2 2 4" xfId="36039" xr:uid="{00000000-0005-0000-0000-000076110000}"/>
    <cellStyle name="20% - Accent3 2 3 2 2 3 2 3" xfId="18407" xr:uid="{00000000-0005-0000-0000-000077110000}"/>
    <cellStyle name="20% - Accent3 2 3 2 2 3 2 3 2" xfId="28775" xr:uid="{00000000-0005-0000-0000-000078110000}"/>
    <cellStyle name="20% - Accent3 2 3 2 2 3 2 3 2 2" xfId="47964" xr:uid="{00000000-0005-0000-0000-000079110000}"/>
    <cellStyle name="20% - Accent3 2 3 2 2 3 2 3 3" xfId="38266" xr:uid="{00000000-0005-0000-0000-00007A110000}"/>
    <cellStyle name="20% - Accent3 2 3 2 2 3 2 4" xfId="24315" xr:uid="{00000000-0005-0000-0000-00007B110000}"/>
    <cellStyle name="20% - Accent3 2 3 2 2 3 2 4 2" xfId="43509" xr:uid="{00000000-0005-0000-0000-00007C110000}"/>
    <cellStyle name="20% - Accent3 2 3 2 2 3 2 5" xfId="33811" xr:uid="{00000000-0005-0000-0000-00007D110000}"/>
    <cellStyle name="20% - Accent3 2 3 2 2 3 3" xfId="14486" xr:uid="{00000000-0005-0000-0000-00007E110000}"/>
    <cellStyle name="20% - Accent3 2 3 2 2 3 3 2" xfId="15615" xr:uid="{00000000-0005-0000-0000-00007F110000}"/>
    <cellStyle name="20% - Accent3 2 3 2 2 3 3 2 2" xfId="20079" xr:uid="{00000000-0005-0000-0000-000080110000}"/>
    <cellStyle name="20% - Accent3 2 3 2 2 3 3 2 2 2" xfId="30447" xr:uid="{00000000-0005-0000-0000-000081110000}"/>
    <cellStyle name="20% - Accent3 2 3 2 2 3 3 2 2 2 2" xfId="49636" xr:uid="{00000000-0005-0000-0000-000082110000}"/>
    <cellStyle name="20% - Accent3 2 3 2 2 3 3 2 2 3" xfId="39938" xr:uid="{00000000-0005-0000-0000-000083110000}"/>
    <cellStyle name="20% - Accent3 2 3 2 2 3 3 2 3" xfId="25992" xr:uid="{00000000-0005-0000-0000-000084110000}"/>
    <cellStyle name="20% - Accent3 2 3 2 2 3 3 2 3 2" xfId="45181" xr:uid="{00000000-0005-0000-0000-000085110000}"/>
    <cellStyle name="20% - Accent3 2 3 2 2 3 3 2 4" xfId="35483" xr:uid="{00000000-0005-0000-0000-000086110000}"/>
    <cellStyle name="20% - Accent3 2 3 2 2 3 3 3" xfId="18964" xr:uid="{00000000-0005-0000-0000-000087110000}"/>
    <cellStyle name="20% - Accent3 2 3 2 2 3 3 3 2" xfId="29332" xr:uid="{00000000-0005-0000-0000-000088110000}"/>
    <cellStyle name="20% - Accent3 2 3 2 2 3 3 3 2 2" xfId="48521" xr:uid="{00000000-0005-0000-0000-000089110000}"/>
    <cellStyle name="20% - Accent3 2 3 2 2 3 3 3 3" xfId="38823" xr:uid="{00000000-0005-0000-0000-00008A110000}"/>
    <cellStyle name="20% - Accent3 2 3 2 2 3 3 4" xfId="24877" xr:uid="{00000000-0005-0000-0000-00008B110000}"/>
    <cellStyle name="20% - Accent3 2 3 2 2 3 3 4 2" xfId="44066" xr:uid="{00000000-0005-0000-0000-00008C110000}"/>
    <cellStyle name="20% - Accent3 2 3 2 2 3 3 5" xfId="34368" xr:uid="{00000000-0005-0000-0000-00008D110000}"/>
    <cellStyle name="20% - Accent3 2 3 2 2 3 4" xfId="15058" xr:uid="{00000000-0005-0000-0000-00008E110000}"/>
    <cellStyle name="20% - Accent3 2 3 2 2 3 4 2" xfId="19522" xr:uid="{00000000-0005-0000-0000-00008F110000}"/>
    <cellStyle name="20% - Accent3 2 3 2 2 3 4 2 2" xfId="29890" xr:uid="{00000000-0005-0000-0000-000090110000}"/>
    <cellStyle name="20% - Accent3 2 3 2 2 3 4 2 2 2" xfId="49079" xr:uid="{00000000-0005-0000-0000-000091110000}"/>
    <cellStyle name="20% - Accent3 2 3 2 2 3 4 2 3" xfId="39381" xr:uid="{00000000-0005-0000-0000-000092110000}"/>
    <cellStyle name="20% - Accent3 2 3 2 2 3 4 3" xfId="25435" xr:uid="{00000000-0005-0000-0000-000093110000}"/>
    <cellStyle name="20% - Accent3 2 3 2 2 3 4 3 2" xfId="44624" xr:uid="{00000000-0005-0000-0000-000094110000}"/>
    <cellStyle name="20% - Accent3 2 3 2 2 3 4 4" xfId="34926" xr:uid="{00000000-0005-0000-0000-000095110000}"/>
    <cellStyle name="20% - Accent3 2 3 2 2 3 5" xfId="16728" xr:uid="{00000000-0005-0000-0000-000096110000}"/>
    <cellStyle name="20% - Accent3 2 3 2 2 3 5 2" xfId="21192" xr:uid="{00000000-0005-0000-0000-000097110000}"/>
    <cellStyle name="20% - Accent3 2 3 2 2 3 5 2 2" xfId="31560" xr:uid="{00000000-0005-0000-0000-000098110000}"/>
    <cellStyle name="20% - Accent3 2 3 2 2 3 5 2 2 2" xfId="50749" xr:uid="{00000000-0005-0000-0000-000099110000}"/>
    <cellStyle name="20% - Accent3 2 3 2 2 3 5 2 3" xfId="41051" xr:uid="{00000000-0005-0000-0000-00009A110000}"/>
    <cellStyle name="20% - Accent3 2 3 2 2 3 5 3" xfId="27105" xr:uid="{00000000-0005-0000-0000-00009B110000}"/>
    <cellStyle name="20% - Accent3 2 3 2 2 3 5 3 2" xfId="46294" xr:uid="{00000000-0005-0000-0000-00009C110000}"/>
    <cellStyle name="20% - Accent3 2 3 2 2 3 5 4" xfId="36596" xr:uid="{00000000-0005-0000-0000-00009D110000}"/>
    <cellStyle name="20% - Accent3 2 3 2 2 3 6" xfId="17294" xr:uid="{00000000-0005-0000-0000-00009E110000}"/>
    <cellStyle name="20% - Accent3 2 3 2 2 3 6 2" xfId="21749" xr:uid="{00000000-0005-0000-0000-00009F110000}"/>
    <cellStyle name="20% - Accent3 2 3 2 2 3 6 2 2" xfId="32117" xr:uid="{00000000-0005-0000-0000-0000A0110000}"/>
    <cellStyle name="20% - Accent3 2 3 2 2 3 6 2 2 2" xfId="51306" xr:uid="{00000000-0005-0000-0000-0000A1110000}"/>
    <cellStyle name="20% - Accent3 2 3 2 2 3 6 2 3" xfId="41608" xr:uid="{00000000-0005-0000-0000-0000A2110000}"/>
    <cellStyle name="20% - Accent3 2 3 2 2 3 6 3" xfId="27662" xr:uid="{00000000-0005-0000-0000-0000A3110000}"/>
    <cellStyle name="20% - Accent3 2 3 2 2 3 6 3 2" xfId="46851" xr:uid="{00000000-0005-0000-0000-0000A4110000}"/>
    <cellStyle name="20% - Accent3 2 3 2 2 3 6 4" xfId="37153" xr:uid="{00000000-0005-0000-0000-0000A5110000}"/>
    <cellStyle name="20% - Accent3 2 3 2 2 3 7" xfId="17851" xr:uid="{00000000-0005-0000-0000-0000A6110000}"/>
    <cellStyle name="20% - Accent3 2 3 2 2 3 7 2" xfId="28219" xr:uid="{00000000-0005-0000-0000-0000A7110000}"/>
    <cellStyle name="20% - Accent3 2 3 2 2 3 7 2 2" xfId="47408" xr:uid="{00000000-0005-0000-0000-0000A8110000}"/>
    <cellStyle name="20% - Accent3 2 3 2 2 3 7 3" xfId="37710" xr:uid="{00000000-0005-0000-0000-0000A9110000}"/>
    <cellStyle name="20% - Accent3 2 3 2 2 3 8" xfId="23714" xr:uid="{00000000-0005-0000-0000-0000AA110000}"/>
    <cellStyle name="20% - Accent3 2 3 2 2 3 8 2" xfId="42953" xr:uid="{00000000-0005-0000-0000-0000AB110000}"/>
    <cellStyle name="20% - Accent3 2 3 2 2 3 9" xfId="33255" xr:uid="{00000000-0005-0000-0000-0000AC110000}"/>
    <cellStyle name="20% - Accent3 2 3 2 2 4" xfId="13905" xr:uid="{00000000-0005-0000-0000-0000AD110000}"/>
    <cellStyle name="20% - Accent3 2 3 2 2 4 2" xfId="16169" xr:uid="{00000000-0005-0000-0000-0000AE110000}"/>
    <cellStyle name="20% - Accent3 2 3 2 2 4 2 2" xfId="20633" xr:uid="{00000000-0005-0000-0000-0000AF110000}"/>
    <cellStyle name="20% - Accent3 2 3 2 2 4 2 2 2" xfId="31001" xr:uid="{00000000-0005-0000-0000-0000B0110000}"/>
    <cellStyle name="20% - Accent3 2 3 2 2 4 2 2 2 2" xfId="50190" xr:uid="{00000000-0005-0000-0000-0000B1110000}"/>
    <cellStyle name="20% - Accent3 2 3 2 2 4 2 2 3" xfId="40492" xr:uid="{00000000-0005-0000-0000-0000B2110000}"/>
    <cellStyle name="20% - Accent3 2 3 2 2 4 2 3" xfId="26546" xr:uid="{00000000-0005-0000-0000-0000B3110000}"/>
    <cellStyle name="20% - Accent3 2 3 2 2 4 2 3 2" xfId="45735" xr:uid="{00000000-0005-0000-0000-0000B4110000}"/>
    <cellStyle name="20% - Accent3 2 3 2 2 4 2 4" xfId="36037" xr:uid="{00000000-0005-0000-0000-0000B5110000}"/>
    <cellStyle name="20% - Accent3 2 3 2 2 4 3" xfId="18405" xr:uid="{00000000-0005-0000-0000-0000B6110000}"/>
    <cellStyle name="20% - Accent3 2 3 2 2 4 3 2" xfId="28773" xr:uid="{00000000-0005-0000-0000-0000B7110000}"/>
    <cellStyle name="20% - Accent3 2 3 2 2 4 3 2 2" xfId="47962" xr:uid="{00000000-0005-0000-0000-0000B8110000}"/>
    <cellStyle name="20% - Accent3 2 3 2 2 4 3 3" xfId="38264" xr:uid="{00000000-0005-0000-0000-0000B9110000}"/>
    <cellStyle name="20% - Accent3 2 3 2 2 4 4" xfId="24313" xr:uid="{00000000-0005-0000-0000-0000BA110000}"/>
    <cellStyle name="20% - Accent3 2 3 2 2 4 4 2" xfId="43507" xr:uid="{00000000-0005-0000-0000-0000BB110000}"/>
    <cellStyle name="20% - Accent3 2 3 2 2 4 5" xfId="33809" xr:uid="{00000000-0005-0000-0000-0000BC110000}"/>
    <cellStyle name="20% - Accent3 2 3 2 2 5" xfId="14484" xr:uid="{00000000-0005-0000-0000-0000BD110000}"/>
    <cellStyle name="20% - Accent3 2 3 2 2 5 2" xfId="15613" xr:uid="{00000000-0005-0000-0000-0000BE110000}"/>
    <cellStyle name="20% - Accent3 2 3 2 2 5 2 2" xfId="20077" xr:uid="{00000000-0005-0000-0000-0000BF110000}"/>
    <cellStyle name="20% - Accent3 2 3 2 2 5 2 2 2" xfId="30445" xr:uid="{00000000-0005-0000-0000-0000C0110000}"/>
    <cellStyle name="20% - Accent3 2 3 2 2 5 2 2 2 2" xfId="49634" xr:uid="{00000000-0005-0000-0000-0000C1110000}"/>
    <cellStyle name="20% - Accent3 2 3 2 2 5 2 2 3" xfId="39936" xr:uid="{00000000-0005-0000-0000-0000C2110000}"/>
    <cellStyle name="20% - Accent3 2 3 2 2 5 2 3" xfId="25990" xr:uid="{00000000-0005-0000-0000-0000C3110000}"/>
    <cellStyle name="20% - Accent3 2 3 2 2 5 2 3 2" xfId="45179" xr:uid="{00000000-0005-0000-0000-0000C4110000}"/>
    <cellStyle name="20% - Accent3 2 3 2 2 5 2 4" xfId="35481" xr:uid="{00000000-0005-0000-0000-0000C5110000}"/>
    <cellStyle name="20% - Accent3 2 3 2 2 5 3" xfId="18962" xr:uid="{00000000-0005-0000-0000-0000C6110000}"/>
    <cellStyle name="20% - Accent3 2 3 2 2 5 3 2" xfId="29330" xr:uid="{00000000-0005-0000-0000-0000C7110000}"/>
    <cellStyle name="20% - Accent3 2 3 2 2 5 3 2 2" xfId="48519" xr:uid="{00000000-0005-0000-0000-0000C8110000}"/>
    <cellStyle name="20% - Accent3 2 3 2 2 5 3 3" xfId="38821" xr:uid="{00000000-0005-0000-0000-0000C9110000}"/>
    <cellStyle name="20% - Accent3 2 3 2 2 5 4" xfId="24875" xr:uid="{00000000-0005-0000-0000-0000CA110000}"/>
    <cellStyle name="20% - Accent3 2 3 2 2 5 4 2" xfId="44064" xr:uid="{00000000-0005-0000-0000-0000CB110000}"/>
    <cellStyle name="20% - Accent3 2 3 2 2 5 5" xfId="34366" xr:uid="{00000000-0005-0000-0000-0000CC110000}"/>
    <cellStyle name="20% - Accent3 2 3 2 2 6" xfId="15056" xr:uid="{00000000-0005-0000-0000-0000CD110000}"/>
    <cellStyle name="20% - Accent3 2 3 2 2 6 2" xfId="19520" xr:uid="{00000000-0005-0000-0000-0000CE110000}"/>
    <cellStyle name="20% - Accent3 2 3 2 2 6 2 2" xfId="29888" xr:uid="{00000000-0005-0000-0000-0000CF110000}"/>
    <cellStyle name="20% - Accent3 2 3 2 2 6 2 2 2" xfId="49077" xr:uid="{00000000-0005-0000-0000-0000D0110000}"/>
    <cellStyle name="20% - Accent3 2 3 2 2 6 2 3" xfId="39379" xr:uid="{00000000-0005-0000-0000-0000D1110000}"/>
    <cellStyle name="20% - Accent3 2 3 2 2 6 3" xfId="25433" xr:uid="{00000000-0005-0000-0000-0000D2110000}"/>
    <cellStyle name="20% - Accent3 2 3 2 2 6 3 2" xfId="44622" xr:uid="{00000000-0005-0000-0000-0000D3110000}"/>
    <cellStyle name="20% - Accent3 2 3 2 2 6 4" xfId="34924" xr:uid="{00000000-0005-0000-0000-0000D4110000}"/>
    <cellStyle name="20% - Accent3 2 3 2 2 7" xfId="16726" xr:uid="{00000000-0005-0000-0000-0000D5110000}"/>
    <cellStyle name="20% - Accent3 2 3 2 2 7 2" xfId="21190" xr:uid="{00000000-0005-0000-0000-0000D6110000}"/>
    <cellStyle name="20% - Accent3 2 3 2 2 7 2 2" xfId="31558" xr:uid="{00000000-0005-0000-0000-0000D7110000}"/>
    <cellStyle name="20% - Accent3 2 3 2 2 7 2 2 2" xfId="50747" xr:uid="{00000000-0005-0000-0000-0000D8110000}"/>
    <cellStyle name="20% - Accent3 2 3 2 2 7 2 3" xfId="41049" xr:uid="{00000000-0005-0000-0000-0000D9110000}"/>
    <cellStyle name="20% - Accent3 2 3 2 2 7 3" xfId="27103" xr:uid="{00000000-0005-0000-0000-0000DA110000}"/>
    <cellStyle name="20% - Accent3 2 3 2 2 7 3 2" xfId="46292" xr:uid="{00000000-0005-0000-0000-0000DB110000}"/>
    <cellStyle name="20% - Accent3 2 3 2 2 7 4" xfId="36594" xr:uid="{00000000-0005-0000-0000-0000DC110000}"/>
    <cellStyle name="20% - Accent3 2 3 2 2 8" xfId="17292" xr:uid="{00000000-0005-0000-0000-0000DD110000}"/>
    <cellStyle name="20% - Accent3 2 3 2 2 8 2" xfId="21747" xr:uid="{00000000-0005-0000-0000-0000DE110000}"/>
    <cellStyle name="20% - Accent3 2 3 2 2 8 2 2" xfId="32115" xr:uid="{00000000-0005-0000-0000-0000DF110000}"/>
    <cellStyle name="20% - Accent3 2 3 2 2 8 2 2 2" xfId="51304" xr:uid="{00000000-0005-0000-0000-0000E0110000}"/>
    <cellStyle name="20% - Accent3 2 3 2 2 8 2 3" xfId="41606" xr:uid="{00000000-0005-0000-0000-0000E1110000}"/>
    <cellStyle name="20% - Accent3 2 3 2 2 8 3" xfId="27660" xr:uid="{00000000-0005-0000-0000-0000E2110000}"/>
    <cellStyle name="20% - Accent3 2 3 2 2 8 3 2" xfId="46849" xr:uid="{00000000-0005-0000-0000-0000E3110000}"/>
    <cellStyle name="20% - Accent3 2 3 2 2 8 4" xfId="37151" xr:uid="{00000000-0005-0000-0000-0000E4110000}"/>
    <cellStyle name="20% - Accent3 2 3 2 2 9" xfId="17849" xr:uid="{00000000-0005-0000-0000-0000E5110000}"/>
    <cellStyle name="20% - Accent3 2 3 2 2 9 2" xfId="28217" xr:uid="{00000000-0005-0000-0000-0000E6110000}"/>
    <cellStyle name="20% - Accent3 2 3 2 2 9 2 2" xfId="47406" xr:uid="{00000000-0005-0000-0000-0000E7110000}"/>
    <cellStyle name="20% - Accent3 2 3 2 2 9 3" xfId="37708" xr:uid="{00000000-0005-0000-0000-0000E8110000}"/>
    <cellStyle name="20% - Accent3 2 3 2 3" xfId="12956" xr:uid="{00000000-0005-0000-0000-0000E9110000}"/>
    <cellStyle name="20% - Accent3 2 3 2 3 10" xfId="53619" xr:uid="{00000000-0005-0000-0000-0000EA110000}"/>
    <cellStyle name="20% - Accent3 2 3 2 3 2" xfId="13908" xr:uid="{00000000-0005-0000-0000-0000EB110000}"/>
    <cellStyle name="20% - Accent3 2 3 2 3 2 2" xfId="16172" xr:uid="{00000000-0005-0000-0000-0000EC110000}"/>
    <cellStyle name="20% - Accent3 2 3 2 3 2 2 2" xfId="20636" xr:uid="{00000000-0005-0000-0000-0000ED110000}"/>
    <cellStyle name="20% - Accent3 2 3 2 3 2 2 2 2" xfId="31004" xr:uid="{00000000-0005-0000-0000-0000EE110000}"/>
    <cellStyle name="20% - Accent3 2 3 2 3 2 2 2 2 2" xfId="50193" xr:uid="{00000000-0005-0000-0000-0000EF110000}"/>
    <cellStyle name="20% - Accent3 2 3 2 3 2 2 2 3" xfId="40495" xr:uid="{00000000-0005-0000-0000-0000F0110000}"/>
    <cellStyle name="20% - Accent3 2 3 2 3 2 2 3" xfId="26549" xr:uid="{00000000-0005-0000-0000-0000F1110000}"/>
    <cellStyle name="20% - Accent3 2 3 2 3 2 2 3 2" xfId="45738" xr:uid="{00000000-0005-0000-0000-0000F2110000}"/>
    <cellStyle name="20% - Accent3 2 3 2 3 2 2 4" xfId="36040" xr:uid="{00000000-0005-0000-0000-0000F3110000}"/>
    <cellStyle name="20% - Accent3 2 3 2 3 2 3" xfId="18408" xr:uid="{00000000-0005-0000-0000-0000F4110000}"/>
    <cellStyle name="20% - Accent3 2 3 2 3 2 3 2" xfId="28776" xr:uid="{00000000-0005-0000-0000-0000F5110000}"/>
    <cellStyle name="20% - Accent3 2 3 2 3 2 3 2 2" xfId="47965" xr:uid="{00000000-0005-0000-0000-0000F6110000}"/>
    <cellStyle name="20% - Accent3 2 3 2 3 2 3 3" xfId="38267" xr:uid="{00000000-0005-0000-0000-0000F7110000}"/>
    <cellStyle name="20% - Accent3 2 3 2 3 2 4" xfId="24316" xr:uid="{00000000-0005-0000-0000-0000F8110000}"/>
    <cellStyle name="20% - Accent3 2 3 2 3 2 4 2" xfId="43510" xr:uid="{00000000-0005-0000-0000-0000F9110000}"/>
    <cellStyle name="20% - Accent3 2 3 2 3 2 5" xfId="33812" xr:uid="{00000000-0005-0000-0000-0000FA110000}"/>
    <cellStyle name="20% - Accent3 2 3 2 3 3" xfId="14487" xr:uid="{00000000-0005-0000-0000-0000FB110000}"/>
    <cellStyle name="20% - Accent3 2 3 2 3 3 2" xfId="15616" xr:uid="{00000000-0005-0000-0000-0000FC110000}"/>
    <cellStyle name="20% - Accent3 2 3 2 3 3 2 2" xfId="20080" xr:uid="{00000000-0005-0000-0000-0000FD110000}"/>
    <cellStyle name="20% - Accent3 2 3 2 3 3 2 2 2" xfId="30448" xr:uid="{00000000-0005-0000-0000-0000FE110000}"/>
    <cellStyle name="20% - Accent3 2 3 2 3 3 2 2 2 2" xfId="49637" xr:uid="{00000000-0005-0000-0000-0000FF110000}"/>
    <cellStyle name="20% - Accent3 2 3 2 3 3 2 2 3" xfId="39939" xr:uid="{00000000-0005-0000-0000-000000120000}"/>
    <cellStyle name="20% - Accent3 2 3 2 3 3 2 3" xfId="25993" xr:uid="{00000000-0005-0000-0000-000001120000}"/>
    <cellStyle name="20% - Accent3 2 3 2 3 3 2 3 2" xfId="45182" xr:uid="{00000000-0005-0000-0000-000002120000}"/>
    <cellStyle name="20% - Accent3 2 3 2 3 3 2 4" xfId="35484" xr:uid="{00000000-0005-0000-0000-000003120000}"/>
    <cellStyle name="20% - Accent3 2 3 2 3 3 3" xfId="18965" xr:uid="{00000000-0005-0000-0000-000004120000}"/>
    <cellStyle name="20% - Accent3 2 3 2 3 3 3 2" xfId="29333" xr:uid="{00000000-0005-0000-0000-000005120000}"/>
    <cellStyle name="20% - Accent3 2 3 2 3 3 3 2 2" xfId="48522" xr:uid="{00000000-0005-0000-0000-000006120000}"/>
    <cellStyle name="20% - Accent3 2 3 2 3 3 3 3" xfId="38824" xr:uid="{00000000-0005-0000-0000-000007120000}"/>
    <cellStyle name="20% - Accent3 2 3 2 3 3 4" xfId="24878" xr:uid="{00000000-0005-0000-0000-000008120000}"/>
    <cellStyle name="20% - Accent3 2 3 2 3 3 4 2" xfId="44067" xr:uid="{00000000-0005-0000-0000-000009120000}"/>
    <cellStyle name="20% - Accent3 2 3 2 3 3 5" xfId="34369" xr:uid="{00000000-0005-0000-0000-00000A120000}"/>
    <cellStyle name="20% - Accent3 2 3 2 3 4" xfId="15059" xr:uid="{00000000-0005-0000-0000-00000B120000}"/>
    <cellStyle name="20% - Accent3 2 3 2 3 4 2" xfId="19523" xr:uid="{00000000-0005-0000-0000-00000C120000}"/>
    <cellStyle name="20% - Accent3 2 3 2 3 4 2 2" xfId="29891" xr:uid="{00000000-0005-0000-0000-00000D120000}"/>
    <cellStyle name="20% - Accent3 2 3 2 3 4 2 2 2" xfId="49080" xr:uid="{00000000-0005-0000-0000-00000E120000}"/>
    <cellStyle name="20% - Accent3 2 3 2 3 4 2 3" xfId="39382" xr:uid="{00000000-0005-0000-0000-00000F120000}"/>
    <cellStyle name="20% - Accent3 2 3 2 3 4 3" xfId="25436" xr:uid="{00000000-0005-0000-0000-000010120000}"/>
    <cellStyle name="20% - Accent3 2 3 2 3 4 3 2" xfId="44625" xr:uid="{00000000-0005-0000-0000-000011120000}"/>
    <cellStyle name="20% - Accent3 2 3 2 3 4 4" xfId="34927" xr:uid="{00000000-0005-0000-0000-000012120000}"/>
    <cellStyle name="20% - Accent3 2 3 2 3 5" xfId="16729" xr:uid="{00000000-0005-0000-0000-000013120000}"/>
    <cellStyle name="20% - Accent3 2 3 2 3 5 2" xfId="21193" xr:uid="{00000000-0005-0000-0000-000014120000}"/>
    <cellStyle name="20% - Accent3 2 3 2 3 5 2 2" xfId="31561" xr:uid="{00000000-0005-0000-0000-000015120000}"/>
    <cellStyle name="20% - Accent3 2 3 2 3 5 2 2 2" xfId="50750" xr:uid="{00000000-0005-0000-0000-000016120000}"/>
    <cellStyle name="20% - Accent3 2 3 2 3 5 2 3" xfId="41052" xr:uid="{00000000-0005-0000-0000-000017120000}"/>
    <cellStyle name="20% - Accent3 2 3 2 3 5 3" xfId="27106" xr:uid="{00000000-0005-0000-0000-000018120000}"/>
    <cellStyle name="20% - Accent3 2 3 2 3 5 3 2" xfId="46295" xr:uid="{00000000-0005-0000-0000-000019120000}"/>
    <cellStyle name="20% - Accent3 2 3 2 3 5 4" xfId="36597" xr:uid="{00000000-0005-0000-0000-00001A120000}"/>
    <cellStyle name="20% - Accent3 2 3 2 3 6" xfId="17295" xr:uid="{00000000-0005-0000-0000-00001B120000}"/>
    <cellStyle name="20% - Accent3 2 3 2 3 6 2" xfId="21750" xr:uid="{00000000-0005-0000-0000-00001C120000}"/>
    <cellStyle name="20% - Accent3 2 3 2 3 6 2 2" xfId="32118" xr:uid="{00000000-0005-0000-0000-00001D120000}"/>
    <cellStyle name="20% - Accent3 2 3 2 3 6 2 2 2" xfId="51307" xr:uid="{00000000-0005-0000-0000-00001E120000}"/>
    <cellStyle name="20% - Accent3 2 3 2 3 6 2 3" xfId="41609" xr:uid="{00000000-0005-0000-0000-00001F120000}"/>
    <cellStyle name="20% - Accent3 2 3 2 3 6 3" xfId="27663" xr:uid="{00000000-0005-0000-0000-000020120000}"/>
    <cellStyle name="20% - Accent3 2 3 2 3 6 3 2" xfId="46852" xr:uid="{00000000-0005-0000-0000-000021120000}"/>
    <cellStyle name="20% - Accent3 2 3 2 3 6 4" xfId="37154" xr:uid="{00000000-0005-0000-0000-000022120000}"/>
    <cellStyle name="20% - Accent3 2 3 2 3 7" xfId="17852" xr:uid="{00000000-0005-0000-0000-000023120000}"/>
    <cellStyle name="20% - Accent3 2 3 2 3 7 2" xfId="28220" xr:uid="{00000000-0005-0000-0000-000024120000}"/>
    <cellStyle name="20% - Accent3 2 3 2 3 7 2 2" xfId="47409" xr:uid="{00000000-0005-0000-0000-000025120000}"/>
    <cellStyle name="20% - Accent3 2 3 2 3 7 3" xfId="37711" xr:uid="{00000000-0005-0000-0000-000026120000}"/>
    <cellStyle name="20% - Accent3 2 3 2 3 8" xfId="23715" xr:uid="{00000000-0005-0000-0000-000027120000}"/>
    <cellStyle name="20% - Accent3 2 3 2 3 8 2" xfId="42954" xr:uid="{00000000-0005-0000-0000-000028120000}"/>
    <cellStyle name="20% - Accent3 2 3 2 3 9" xfId="33256" xr:uid="{00000000-0005-0000-0000-000029120000}"/>
    <cellStyle name="20% - Accent3 2 3 2 4" xfId="12957" xr:uid="{00000000-0005-0000-0000-00002A120000}"/>
    <cellStyle name="20% - Accent3 2 3 2 4 2" xfId="13909" xr:uid="{00000000-0005-0000-0000-00002B120000}"/>
    <cellStyle name="20% - Accent3 2 3 2 4 2 2" xfId="16173" xr:uid="{00000000-0005-0000-0000-00002C120000}"/>
    <cellStyle name="20% - Accent3 2 3 2 4 2 2 2" xfId="20637" xr:uid="{00000000-0005-0000-0000-00002D120000}"/>
    <cellStyle name="20% - Accent3 2 3 2 4 2 2 2 2" xfId="31005" xr:uid="{00000000-0005-0000-0000-00002E120000}"/>
    <cellStyle name="20% - Accent3 2 3 2 4 2 2 2 2 2" xfId="50194" xr:uid="{00000000-0005-0000-0000-00002F120000}"/>
    <cellStyle name="20% - Accent3 2 3 2 4 2 2 2 3" xfId="40496" xr:uid="{00000000-0005-0000-0000-000030120000}"/>
    <cellStyle name="20% - Accent3 2 3 2 4 2 2 3" xfId="26550" xr:uid="{00000000-0005-0000-0000-000031120000}"/>
    <cellStyle name="20% - Accent3 2 3 2 4 2 2 3 2" xfId="45739" xr:uid="{00000000-0005-0000-0000-000032120000}"/>
    <cellStyle name="20% - Accent3 2 3 2 4 2 2 4" xfId="36041" xr:uid="{00000000-0005-0000-0000-000033120000}"/>
    <cellStyle name="20% - Accent3 2 3 2 4 2 3" xfId="18409" xr:uid="{00000000-0005-0000-0000-000034120000}"/>
    <cellStyle name="20% - Accent3 2 3 2 4 2 3 2" xfId="28777" xr:uid="{00000000-0005-0000-0000-000035120000}"/>
    <cellStyle name="20% - Accent3 2 3 2 4 2 3 2 2" xfId="47966" xr:uid="{00000000-0005-0000-0000-000036120000}"/>
    <cellStyle name="20% - Accent3 2 3 2 4 2 3 3" xfId="38268" xr:uid="{00000000-0005-0000-0000-000037120000}"/>
    <cellStyle name="20% - Accent3 2 3 2 4 2 4" xfId="24317" xr:uid="{00000000-0005-0000-0000-000038120000}"/>
    <cellStyle name="20% - Accent3 2 3 2 4 2 4 2" xfId="43511" xr:uid="{00000000-0005-0000-0000-000039120000}"/>
    <cellStyle name="20% - Accent3 2 3 2 4 2 5" xfId="33813" xr:uid="{00000000-0005-0000-0000-00003A120000}"/>
    <cellStyle name="20% - Accent3 2 3 2 4 3" xfId="14488" xr:uid="{00000000-0005-0000-0000-00003B120000}"/>
    <cellStyle name="20% - Accent3 2 3 2 4 3 2" xfId="15617" xr:uid="{00000000-0005-0000-0000-00003C120000}"/>
    <cellStyle name="20% - Accent3 2 3 2 4 3 2 2" xfId="20081" xr:uid="{00000000-0005-0000-0000-00003D120000}"/>
    <cellStyle name="20% - Accent3 2 3 2 4 3 2 2 2" xfId="30449" xr:uid="{00000000-0005-0000-0000-00003E120000}"/>
    <cellStyle name="20% - Accent3 2 3 2 4 3 2 2 2 2" xfId="49638" xr:uid="{00000000-0005-0000-0000-00003F120000}"/>
    <cellStyle name="20% - Accent3 2 3 2 4 3 2 2 3" xfId="39940" xr:uid="{00000000-0005-0000-0000-000040120000}"/>
    <cellStyle name="20% - Accent3 2 3 2 4 3 2 3" xfId="25994" xr:uid="{00000000-0005-0000-0000-000041120000}"/>
    <cellStyle name="20% - Accent3 2 3 2 4 3 2 3 2" xfId="45183" xr:uid="{00000000-0005-0000-0000-000042120000}"/>
    <cellStyle name="20% - Accent3 2 3 2 4 3 2 4" xfId="35485" xr:uid="{00000000-0005-0000-0000-000043120000}"/>
    <cellStyle name="20% - Accent3 2 3 2 4 3 3" xfId="18966" xr:uid="{00000000-0005-0000-0000-000044120000}"/>
    <cellStyle name="20% - Accent3 2 3 2 4 3 3 2" xfId="29334" xr:uid="{00000000-0005-0000-0000-000045120000}"/>
    <cellStyle name="20% - Accent3 2 3 2 4 3 3 2 2" xfId="48523" xr:uid="{00000000-0005-0000-0000-000046120000}"/>
    <cellStyle name="20% - Accent3 2 3 2 4 3 3 3" xfId="38825" xr:uid="{00000000-0005-0000-0000-000047120000}"/>
    <cellStyle name="20% - Accent3 2 3 2 4 3 4" xfId="24879" xr:uid="{00000000-0005-0000-0000-000048120000}"/>
    <cellStyle name="20% - Accent3 2 3 2 4 3 4 2" xfId="44068" xr:uid="{00000000-0005-0000-0000-000049120000}"/>
    <cellStyle name="20% - Accent3 2 3 2 4 3 5" xfId="34370" xr:uid="{00000000-0005-0000-0000-00004A120000}"/>
    <cellStyle name="20% - Accent3 2 3 2 4 4" xfId="15060" xr:uid="{00000000-0005-0000-0000-00004B120000}"/>
    <cellStyle name="20% - Accent3 2 3 2 4 4 2" xfId="19524" xr:uid="{00000000-0005-0000-0000-00004C120000}"/>
    <cellStyle name="20% - Accent3 2 3 2 4 4 2 2" xfId="29892" xr:uid="{00000000-0005-0000-0000-00004D120000}"/>
    <cellStyle name="20% - Accent3 2 3 2 4 4 2 2 2" xfId="49081" xr:uid="{00000000-0005-0000-0000-00004E120000}"/>
    <cellStyle name="20% - Accent3 2 3 2 4 4 2 3" xfId="39383" xr:uid="{00000000-0005-0000-0000-00004F120000}"/>
    <cellStyle name="20% - Accent3 2 3 2 4 4 3" xfId="25437" xr:uid="{00000000-0005-0000-0000-000050120000}"/>
    <cellStyle name="20% - Accent3 2 3 2 4 4 3 2" xfId="44626" xr:uid="{00000000-0005-0000-0000-000051120000}"/>
    <cellStyle name="20% - Accent3 2 3 2 4 4 4" xfId="34928" xr:uid="{00000000-0005-0000-0000-000052120000}"/>
    <cellStyle name="20% - Accent3 2 3 2 4 5" xfId="16730" xr:uid="{00000000-0005-0000-0000-000053120000}"/>
    <cellStyle name="20% - Accent3 2 3 2 4 5 2" xfId="21194" xr:uid="{00000000-0005-0000-0000-000054120000}"/>
    <cellStyle name="20% - Accent3 2 3 2 4 5 2 2" xfId="31562" xr:uid="{00000000-0005-0000-0000-000055120000}"/>
    <cellStyle name="20% - Accent3 2 3 2 4 5 2 2 2" xfId="50751" xr:uid="{00000000-0005-0000-0000-000056120000}"/>
    <cellStyle name="20% - Accent3 2 3 2 4 5 2 3" xfId="41053" xr:uid="{00000000-0005-0000-0000-000057120000}"/>
    <cellStyle name="20% - Accent3 2 3 2 4 5 3" xfId="27107" xr:uid="{00000000-0005-0000-0000-000058120000}"/>
    <cellStyle name="20% - Accent3 2 3 2 4 5 3 2" xfId="46296" xr:uid="{00000000-0005-0000-0000-000059120000}"/>
    <cellStyle name="20% - Accent3 2 3 2 4 5 4" xfId="36598" xr:uid="{00000000-0005-0000-0000-00005A120000}"/>
    <cellStyle name="20% - Accent3 2 3 2 4 6" xfId="17296" xr:uid="{00000000-0005-0000-0000-00005B120000}"/>
    <cellStyle name="20% - Accent3 2 3 2 4 6 2" xfId="21751" xr:uid="{00000000-0005-0000-0000-00005C120000}"/>
    <cellStyle name="20% - Accent3 2 3 2 4 6 2 2" xfId="32119" xr:uid="{00000000-0005-0000-0000-00005D120000}"/>
    <cellStyle name="20% - Accent3 2 3 2 4 6 2 2 2" xfId="51308" xr:uid="{00000000-0005-0000-0000-00005E120000}"/>
    <cellStyle name="20% - Accent3 2 3 2 4 6 2 3" xfId="41610" xr:uid="{00000000-0005-0000-0000-00005F120000}"/>
    <cellStyle name="20% - Accent3 2 3 2 4 6 3" xfId="27664" xr:uid="{00000000-0005-0000-0000-000060120000}"/>
    <cellStyle name="20% - Accent3 2 3 2 4 6 3 2" xfId="46853" xr:uid="{00000000-0005-0000-0000-000061120000}"/>
    <cellStyle name="20% - Accent3 2 3 2 4 6 4" xfId="37155" xr:uid="{00000000-0005-0000-0000-000062120000}"/>
    <cellStyle name="20% - Accent3 2 3 2 4 7" xfId="17853" xr:uid="{00000000-0005-0000-0000-000063120000}"/>
    <cellStyle name="20% - Accent3 2 3 2 4 7 2" xfId="28221" xr:uid="{00000000-0005-0000-0000-000064120000}"/>
    <cellStyle name="20% - Accent3 2 3 2 4 7 2 2" xfId="47410" xr:uid="{00000000-0005-0000-0000-000065120000}"/>
    <cellStyle name="20% - Accent3 2 3 2 4 7 3" xfId="37712" xr:uid="{00000000-0005-0000-0000-000066120000}"/>
    <cellStyle name="20% - Accent3 2 3 2 4 8" xfId="23716" xr:uid="{00000000-0005-0000-0000-000067120000}"/>
    <cellStyle name="20% - Accent3 2 3 2 4 8 2" xfId="42955" xr:uid="{00000000-0005-0000-0000-000068120000}"/>
    <cellStyle name="20% - Accent3 2 3 2 4 9" xfId="33257" xr:uid="{00000000-0005-0000-0000-000069120000}"/>
    <cellStyle name="20% - Accent3 2 3 2 5" xfId="13904" xr:uid="{00000000-0005-0000-0000-00006A120000}"/>
    <cellStyle name="20% - Accent3 2 3 2 5 2" xfId="16168" xr:uid="{00000000-0005-0000-0000-00006B120000}"/>
    <cellStyle name="20% - Accent3 2 3 2 5 2 2" xfId="20632" xr:uid="{00000000-0005-0000-0000-00006C120000}"/>
    <cellStyle name="20% - Accent3 2 3 2 5 2 2 2" xfId="31000" xr:uid="{00000000-0005-0000-0000-00006D120000}"/>
    <cellStyle name="20% - Accent3 2 3 2 5 2 2 2 2" xfId="50189" xr:uid="{00000000-0005-0000-0000-00006E120000}"/>
    <cellStyle name="20% - Accent3 2 3 2 5 2 2 3" xfId="40491" xr:uid="{00000000-0005-0000-0000-00006F120000}"/>
    <cellStyle name="20% - Accent3 2 3 2 5 2 3" xfId="26545" xr:uid="{00000000-0005-0000-0000-000070120000}"/>
    <cellStyle name="20% - Accent3 2 3 2 5 2 3 2" xfId="45734" xr:uid="{00000000-0005-0000-0000-000071120000}"/>
    <cellStyle name="20% - Accent3 2 3 2 5 2 4" xfId="36036" xr:uid="{00000000-0005-0000-0000-000072120000}"/>
    <cellStyle name="20% - Accent3 2 3 2 5 3" xfId="18404" xr:uid="{00000000-0005-0000-0000-000073120000}"/>
    <cellStyle name="20% - Accent3 2 3 2 5 3 2" xfId="28772" xr:uid="{00000000-0005-0000-0000-000074120000}"/>
    <cellStyle name="20% - Accent3 2 3 2 5 3 2 2" xfId="47961" xr:uid="{00000000-0005-0000-0000-000075120000}"/>
    <cellStyle name="20% - Accent3 2 3 2 5 3 3" xfId="38263" xr:uid="{00000000-0005-0000-0000-000076120000}"/>
    <cellStyle name="20% - Accent3 2 3 2 5 4" xfId="24312" xr:uid="{00000000-0005-0000-0000-000077120000}"/>
    <cellStyle name="20% - Accent3 2 3 2 5 4 2" xfId="43506" xr:uid="{00000000-0005-0000-0000-000078120000}"/>
    <cellStyle name="20% - Accent3 2 3 2 5 5" xfId="33808" xr:uid="{00000000-0005-0000-0000-000079120000}"/>
    <cellStyle name="20% - Accent3 2 3 2 6" xfId="14483" xr:uid="{00000000-0005-0000-0000-00007A120000}"/>
    <cellStyle name="20% - Accent3 2 3 2 6 2" xfId="15612" xr:uid="{00000000-0005-0000-0000-00007B120000}"/>
    <cellStyle name="20% - Accent3 2 3 2 6 2 2" xfId="20076" xr:uid="{00000000-0005-0000-0000-00007C120000}"/>
    <cellStyle name="20% - Accent3 2 3 2 6 2 2 2" xfId="30444" xr:uid="{00000000-0005-0000-0000-00007D120000}"/>
    <cellStyle name="20% - Accent3 2 3 2 6 2 2 2 2" xfId="49633" xr:uid="{00000000-0005-0000-0000-00007E120000}"/>
    <cellStyle name="20% - Accent3 2 3 2 6 2 2 3" xfId="39935" xr:uid="{00000000-0005-0000-0000-00007F120000}"/>
    <cellStyle name="20% - Accent3 2 3 2 6 2 3" xfId="25989" xr:uid="{00000000-0005-0000-0000-000080120000}"/>
    <cellStyle name="20% - Accent3 2 3 2 6 2 3 2" xfId="45178" xr:uid="{00000000-0005-0000-0000-000081120000}"/>
    <cellStyle name="20% - Accent3 2 3 2 6 2 4" xfId="35480" xr:uid="{00000000-0005-0000-0000-000082120000}"/>
    <cellStyle name="20% - Accent3 2 3 2 6 3" xfId="18961" xr:uid="{00000000-0005-0000-0000-000083120000}"/>
    <cellStyle name="20% - Accent3 2 3 2 6 3 2" xfId="29329" xr:uid="{00000000-0005-0000-0000-000084120000}"/>
    <cellStyle name="20% - Accent3 2 3 2 6 3 2 2" xfId="48518" xr:uid="{00000000-0005-0000-0000-000085120000}"/>
    <cellStyle name="20% - Accent3 2 3 2 6 3 3" xfId="38820" xr:uid="{00000000-0005-0000-0000-000086120000}"/>
    <cellStyle name="20% - Accent3 2 3 2 6 4" xfId="24874" xr:uid="{00000000-0005-0000-0000-000087120000}"/>
    <cellStyle name="20% - Accent3 2 3 2 6 4 2" xfId="44063" xr:uid="{00000000-0005-0000-0000-000088120000}"/>
    <cellStyle name="20% - Accent3 2 3 2 6 5" xfId="34365" xr:uid="{00000000-0005-0000-0000-000089120000}"/>
    <cellStyle name="20% - Accent3 2 3 2 7" xfId="15055" xr:uid="{00000000-0005-0000-0000-00008A120000}"/>
    <cellStyle name="20% - Accent3 2 3 2 7 2" xfId="19519" xr:uid="{00000000-0005-0000-0000-00008B120000}"/>
    <cellStyle name="20% - Accent3 2 3 2 7 2 2" xfId="29887" xr:uid="{00000000-0005-0000-0000-00008C120000}"/>
    <cellStyle name="20% - Accent3 2 3 2 7 2 2 2" xfId="49076" xr:uid="{00000000-0005-0000-0000-00008D120000}"/>
    <cellStyle name="20% - Accent3 2 3 2 7 2 3" xfId="39378" xr:uid="{00000000-0005-0000-0000-00008E120000}"/>
    <cellStyle name="20% - Accent3 2 3 2 7 3" xfId="25432" xr:uid="{00000000-0005-0000-0000-00008F120000}"/>
    <cellStyle name="20% - Accent3 2 3 2 7 3 2" xfId="44621" xr:uid="{00000000-0005-0000-0000-000090120000}"/>
    <cellStyle name="20% - Accent3 2 3 2 7 4" xfId="34923" xr:uid="{00000000-0005-0000-0000-000091120000}"/>
    <cellStyle name="20% - Accent3 2 3 2 8" xfId="16725" xr:uid="{00000000-0005-0000-0000-000092120000}"/>
    <cellStyle name="20% - Accent3 2 3 2 8 2" xfId="21189" xr:uid="{00000000-0005-0000-0000-000093120000}"/>
    <cellStyle name="20% - Accent3 2 3 2 8 2 2" xfId="31557" xr:uid="{00000000-0005-0000-0000-000094120000}"/>
    <cellStyle name="20% - Accent3 2 3 2 8 2 2 2" xfId="50746" xr:uid="{00000000-0005-0000-0000-000095120000}"/>
    <cellStyle name="20% - Accent3 2 3 2 8 2 3" xfId="41048" xr:uid="{00000000-0005-0000-0000-000096120000}"/>
    <cellStyle name="20% - Accent3 2 3 2 8 3" xfId="27102" xr:uid="{00000000-0005-0000-0000-000097120000}"/>
    <cellStyle name="20% - Accent3 2 3 2 8 3 2" xfId="46291" xr:uid="{00000000-0005-0000-0000-000098120000}"/>
    <cellStyle name="20% - Accent3 2 3 2 8 4" xfId="36593" xr:uid="{00000000-0005-0000-0000-000099120000}"/>
    <cellStyle name="20% - Accent3 2 3 2 9" xfId="17291" xr:uid="{00000000-0005-0000-0000-00009A120000}"/>
    <cellStyle name="20% - Accent3 2 3 2 9 2" xfId="21746" xr:uid="{00000000-0005-0000-0000-00009B120000}"/>
    <cellStyle name="20% - Accent3 2 3 2 9 2 2" xfId="32114" xr:uid="{00000000-0005-0000-0000-00009C120000}"/>
    <cellStyle name="20% - Accent3 2 3 2 9 2 2 2" xfId="51303" xr:uid="{00000000-0005-0000-0000-00009D120000}"/>
    <cellStyle name="20% - Accent3 2 3 2 9 2 3" xfId="41605" xr:uid="{00000000-0005-0000-0000-00009E120000}"/>
    <cellStyle name="20% - Accent3 2 3 2 9 3" xfId="27659" xr:uid="{00000000-0005-0000-0000-00009F120000}"/>
    <cellStyle name="20% - Accent3 2 3 2 9 3 2" xfId="46848" xr:uid="{00000000-0005-0000-0000-0000A0120000}"/>
    <cellStyle name="20% - Accent3 2 3 2 9 4" xfId="37150" xr:uid="{00000000-0005-0000-0000-0000A1120000}"/>
    <cellStyle name="20% - Accent3 2 3 3" xfId="1666" xr:uid="{00000000-0005-0000-0000-0000A2120000}"/>
    <cellStyle name="20% - Accent3 2 3 3 10" xfId="23717" xr:uid="{00000000-0005-0000-0000-0000A3120000}"/>
    <cellStyle name="20% - Accent3 2 3 3 10 2" xfId="42956" xr:uid="{00000000-0005-0000-0000-0000A4120000}"/>
    <cellStyle name="20% - Accent3 2 3 3 11" xfId="33258" xr:uid="{00000000-0005-0000-0000-0000A5120000}"/>
    <cellStyle name="20% - Accent3 2 3 3 12" xfId="52944" xr:uid="{00000000-0005-0000-0000-0000A6120000}"/>
    <cellStyle name="20% - Accent3 2 3 3 13" xfId="12958" xr:uid="{00000000-0005-0000-0000-0000A7120000}"/>
    <cellStyle name="20% - Accent3 2 3 3 2" xfId="12959" xr:uid="{00000000-0005-0000-0000-0000A8120000}"/>
    <cellStyle name="20% - Accent3 2 3 3 2 10" xfId="53819" xr:uid="{00000000-0005-0000-0000-0000A9120000}"/>
    <cellStyle name="20% - Accent3 2 3 3 2 2" xfId="13911" xr:uid="{00000000-0005-0000-0000-0000AA120000}"/>
    <cellStyle name="20% - Accent3 2 3 3 2 2 2" xfId="16175" xr:uid="{00000000-0005-0000-0000-0000AB120000}"/>
    <cellStyle name="20% - Accent3 2 3 3 2 2 2 2" xfId="20639" xr:uid="{00000000-0005-0000-0000-0000AC120000}"/>
    <cellStyle name="20% - Accent3 2 3 3 2 2 2 2 2" xfId="31007" xr:uid="{00000000-0005-0000-0000-0000AD120000}"/>
    <cellStyle name="20% - Accent3 2 3 3 2 2 2 2 2 2" xfId="50196" xr:uid="{00000000-0005-0000-0000-0000AE120000}"/>
    <cellStyle name="20% - Accent3 2 3 3 2 2 2 2 3" xfId="40498" xr:uid="{00000000-0005-0000-0000-0000AF120000}"/>
    <cellStyle name="20% - Accent3 2 3 3 2 2 2 3" xfId="26552" xr:uid="{00000000-0005-0000-0000-0000B0120000}"/>
    <cellStyle name="20% - Accent3 2 3 3 2 2 2 3 2" xfId="45741" xr:uid="{00000000-0005-0000-0000-0000B1120000}"/>
    <cellStyle name="20% - Accent3 2 3 3 2 2 2 4" xfId="36043" xr:uid="{00000000-0005-0000-0000-0000B2120000}"/>
    <cellStyle name="20% - Accent3 2 3 3 2 2 3" xfId="18411" xr:uid="{00000000-0005-0000-0000-0000B3120000}"/>
    <cellStyle name="20% - Accent3 2 3 3 2 2 3 2" xfId="28779" xr:uid="{00000000-0005-0000-0000-0000B4120000}"/>
    <cellStyle name="20% - Accent3 2 3 3 2 2 3 2 2" xfId="47968" xr:uid="{00000000-0005-0000-0000-0000B5120000}"/>
    <cellStyle name="20% - Accent3 2 3 3 2 2 3 3" xfId="38270" xr:uid="{00000000-0005-0000-0000-0000B6120000}"/>
    <cellStyle name="20% - Accent3 2 3 3 2 2 4" xfId="24319" xr:uid="{00000000-0005-0000-0000-0000B7120000}"/>
    <cellStyle name="20% - Accent3 2 3 3 2 2 4 2" xfId="43513" xr:uid="{00000000-0005-0000-0000-0000B8120000}"/>
    <cellStyle name="20% - Accent3 2 3 3 2 2 5" xfId="33815" xr:uid="{00000000-0005-0000-0000-0000B9120000}"/>
    <cellStyle name="20% - Accent3 2 3 3 2 3" xfId="14490" xr:uid="{00000000-0005-0000-0000-0000BA120000}"/>
    <cellStyle name="20% - Accent3 2 3 3 2 3 2" xfId="15619" xr:uid="{00000000-0005-0000-0000-0000BB120000}"/>
    <cellStyle name="20% - Accent3 2 3 3 2 3 2 2" xfId="20083" xr:uid="{00000000-0005-0000-0000-0000BC120000}"/>
    <cellStyle name="20% - Accent3 2 3 3 2 3 2 2 2" xfId="30451" xr:uid="{00000000-0005-0000-0000-0000BD120000}"/>
    <cellStyle name="20% - Accent3 2 3 3 2 3 2 2 2 2" xfId="49640" xr:uid="{00000000-0005-0000-0000-0000BE120000}"/>
    <cellStyle name="20% - Accent3 2 3 3 2 3 2 2 3" xfId="39942" xr:uid="{00000000-0005-0000-0000-0000BF120000}"/>
    <cellStyle name="20% - Accent3 2 3 3 2 3 2 3" xfId="25996" xr:uid="{00000000-0005-0000-0000-0000C0120000}"/>
    <cellStyle name="20% - Accent3 2 3 3 2 3 2 3 2" xfId="45185" xr:uid="{00000000-0005-0000-0000-0000C1120000}"/>
    <cellStyle name="20% - Accent3 2 3 3 2 3 2 4" xfId="35487" xr:uid="{00000000-0005-0000-0000-0000C2120000}"/>
    <cellStyle name="20% - Accent3 2 3 3 2 3 3" xfId="18968" xr:uid="{00000000-0005-0000-0000-0000C3120000}"/>
    <cellStyle name="20% - Accent3 2 3 3 2 3 3 2" xfId="29336" xr:uid="{00000000-0005-0000-0000-0000C4120000}"/>
    <cellStyle name="20% - Accent3 2 3 3 2 3 3 2 2" xfId="48525" xr:uid="{00000000-0005-0000-0000-0000C5120000}"/>
    <cellStyle name="20% - Accent3 2 3 3 2 3 3 3" xfId="38827" xr:uid="{00000000-0005-0000-0000-0000C6120000}"/>
    <cellStyle name="20% - Accent3 2 3 3 2 3 4" xfId="24881" xr:uid="{00000000-0005-0000-0000-0000C7120000}"/>
    <cellStyle name="20% - Accent3 2 3 3 2 3 4 2" xfId="44070" xr:uid="{00000000-0005-0000-0000-0000C8120000}"/>
    <cellStyle name="20% - Accent3 2 3 3 2 3 5" xfId="34372" xr:uid="{00000000-0005-0000-0000-0000C9120000}"/>
    <cellStyle name="20% - Accent3 2 3 3 2 4" xfId="15062" xr:uid="{00000000-0005-0000-0000-0000CA120000}"/>
    <cellStyle name="20% - Accent3 2 3 3 2 4 2" xfId="19526" xr:uid="{00000000-0005-0000-0000-0000CB120000}"/>
    <cellStyle name="20% - Accent3 2 3 3 2 4 2 2" xfId="29894" xr:uid="{00000000-0005-0000-0000-0000CC120000}"/>
    <cellStyle name="20% - Accent3 2 3 3 2 4 2 2 2" xfId="49083" xr:uid="{00000000-0005-0000-0000-0000CD120000}"/>
    <cellStyle name="20% - Accent3 2 3 3 2 4 2 3" xfId="39385" xr:uid="{00000000-0005-0000-0000-0000CE120000}"/>
    <cellStyle name="20% - Accent3 2 3 3 2 4 3" xfId="25439" xr:uid="{00000000-0005-0000-0000-0000CF120000}"/>
    <cellStyle name="20% - Accent3 2 3 3 2 4 3 2" xfId="44628" xr:uid="{00000000-0005-0000-0000-0000D0120000}"/>
    <cellStyle name="20% - Accent3 2 3 3 2 4 4" xfId="34930" xr:uid="{00000000-0005-0000-0000-0000D1120000}"/>
    <cellStyle name="20% - Accent3 2 3 3 2 5" xfId="16732" xr:uid="{00000000-0005-0000-0000-0000D2120000}"/>
    <cellStyle name="20% - Accent3 2 3 3 2 5 2" xfId="21196" xr:uid="{00000000-0005-0000-0000-0000D3120000}"/>
    <cellStyle name="20% - Accent3 2 3 3 2 5 2 2" xfId="31564" xr:uid="{00000000-0005-0000-0000-0000D4120000}"/>
    <cellStyle name="20% - Accent3 2 3 3 2 5 2 2 2" xfId="50753" xr:uid="{00000000-0005-0000-0000-0000D5120000}"/>
    <cellStyle name="20% - Accent3 2 3 3 2 5 2 3" xfId="41055" xr:uid="{00000000-0005-0000-0000-0000D6120000}"/>
    <cellStyle name="20% - Accent3 2 3 3 2 5 3" xfId="27109" xr:uid="{00000000-0005-0000-0000-0000D7120000}"/>
    <cellStyle name="20% - Accent3 2 3 3 2 5 3 2" xfId="46298" xr:uid="{00000000-0005-0000-0000-0000D8120000}"/>
    <cellStyle name="20% - Accent3 2 3 3 2 5 4" xfId="36600" xr:uid="{00000000-0005-0000-0000-0000D9120000}"/>
    <cellStyle name="20% - Accent3 2 3 3 2 6" xfId="17298" xr:uid="{00000000-0005-0000-0000-0000DA120000}"/>
    <cellStyle name="20% - Accent3 2 3 3 2 6 2" xfId="21753" xr:uid="{00000000-0005-0000-0000-0000DB120000}"/>
    <cellStyle name="20% - Accent3 2 3 3 2 6 2 2" xfId="32121" xr:uid="{00000000-0005-0000-0000-0000DC120000}"/>
    <cellStyle name="20% - Accent3 2 3 3 2 6 2 2 2" xfId="51310" xr:uid="{00000000-0005-0000-0000-0000DD120000}"/>
    <cellStyle name="20% - Accent3 2 3 3 2 6 2 3" xfId="41612" xr:uid="{00000000-0005-0000-0000-0000DE120000}"/>
    <cellStyle name="20% - Accent3 2 3 3 2 6 3" xfId="27666" xr:uid="{00000000-0005-0000-0000-0000DF120000}"/>
    <cellStyle name="20% - Accent3 2 3 3 2 6 3 2" xfId="46855" xr:uid="{00000000-0005-0000-0000-0000E0120000}"/>
    <cellStyle name="20% - Accent3 2 3 3 2 6 4" xfId="37157" xr:uid="{00000000-0005-0000-0000-0000E1120000}"/>
    <cellStyle name="20% - Accent3 2 3 3 2 7" xfId="17855" xr:uid="{00000000-0005-0000-0000-0000E2120000}"/>
    <cellStyle name="20% - Accent3 2 3 3 2 7 2" xfId="28223" xr:uid="{00000000-0005-0000-0000-0000E3120000}"/>
    <cellStyle name="20% - Accent3 2 3 3 2 7 2 2" xfId="47412" xr:uid="{00000000-0005-0000-0000-0000E4120000}"/>
    <cellStyle name="20% - Accent3 2 3 3 2 7 3" xfId="37714" xr:uid="{00000000-0005-0000-0000-0000E5120000}"/>
    <cellStyle name="20% - Accent3 2 3 3 2 8" xfId="23718" xr:uid="{00000000-0005-0000-0000-0000E6120000}"/>
    <cellStyle name="20% - Accent3 2 3 3 2 8 2" xfId="42957" xr:uid="{00000000-0005-0000-0000-0000E7120000}"/>
    <cellStyle name="20% - Accent3 2 3 3 2 9" xfId="33259" xr:uid="{00000000-0005-0000-0000-0000E8120000}"/>
    <cellStyle name="20% - Accent3 2 3 3 3" xfId="12960" xr:uid="{00000000-0005-0000-0000-0000E9120000}"/>
    <cellStyle name="20% - Accent3 2 3 3 3 2" xfId="13912" xr:uid="{00000000-0005-0000-0000-0000EA120000}"/>
    <cellStyle name="20% - Accent3 2 3 3 3 2 2" xfId="16176" xr:uid="{00000000-0005-0000-0000-0000EB120000}"/>
    <cellStyle name="20% - Accent3 2 3 3 3 2 2 2" xfId="20640" xr:uid="{00000000-0005-0000-0000-0000EC120000}"/>
    <cellStyle name="20% - Accent3 2 3 3 3 2 2 2 2" xfId="31008" xr:uid="{00000000-0005-0000-0000-0000ED120000}"/>
    <cellStyle name="20% - Accent3 2 3 3 3 2 2 2 2 2" xfId="50197" xr:uid="{00000000-0005-0000-0000-0000EE120000}"/>
    <cellStyle name="20% - Accent3 2 3 3 3 2 2 2 3" xfId="40499" xr:uid="{00000000-0005-0000-0000-0000EF120000}"/>
    <cellStyle name="20% - Accent3 2 3 3 3 2 2 3" xfId="26553" xr:uid="{00000000-0005-0000-0000-0000F0120000}"/>
    <cellStyle name="20% - Accent3 2 3 3 3 2 2 3 2" xfId="45742" xr:uid="{00000000-0005-0000-0000-0000F1120000}"/>
    <cellStyle name="20% - Accent3 2 3 3 3 2 2 4" xfId="36044" xr:uid="{00000000-0005-0000-0000-0000F2120000}"/>
    <cellStyle name="20% - Accent3 2 3 3 3 2 3" xfId="18412" xr:uid="{00000000-0005-0000-0000-0000F3120000}"/>
    <cellStyle name="20% - Accent3 2 3 3 3 2 3 2" xfId="28780" xr:uid="{00000000-0005-0000-0000-0000F4120000}"/>
    <cellStyle name="20% - Accent3 2 3 3 3 2 3 2 2" xfId="47969" xr:uid="{00000000-0005-0000-0000-0000F5120000}"/>
    <cellStyle name="20% - Accent3 2 3 3 3 2 3 3" xfId="38271" xr:uid="{00000000-0005-0000-0000-0000F6120000}"/>
    <cellStyle name="20% - Accent3 2 3 3 3 2 4" xfId="24320" xr:uid="{00000000-0005-0000-0000-0000F7120000}"/>
    <cellStyle name="20% - Accent3 2 3 3 3 2 4 2" xfId="43514" xr:uid="{00000000-0005-0000-0000-0000F8120000}"/>
    <cellStyle name="20% - Accent3 2 3 3 3 2 5" xfId="33816" xr:uid="{00000000-0005-0000-0000-0000F9120000}"/>
    <cellStyle name="20% - Accent3 2 3 3 3 3" xfId="14491" xr:uid="{00000000-0005-0000-0000-0000FA120000}"/>
    <cellStyle name="20% - Accent3 2 3 3 3 3 2" xfId="15620" xr:uid="{00000000-0005-0000-0000-0000FB120000}"/>
    <cellStyle name="20% - Accent3 2 3 3 3 3 2 2" xfId="20084" xr:uid="{00000000-0005-0000-0000-0000FC120000}"/>
    <cellStyle name="20% - Accent3 2 3 3 3 3 2 2 2" xfId="30452" xr:uid="{00000000-0005-0000-0000-0000FD120000}"/>
    <cellStyle name="20% - Accent3 2 3 3 3 3 2 2 2 2" xfId="49641" xr:uid="{00000000-0005-0000-0000-0000FE120000}"/>
    <cellStyle name="20% - Accent3 2 3 3 3 3 2 2 3" xfId="39943" xr:uid="{00000000-0005-0000-0000-0000FF120000}"/>
    <cellStyle name="20% - Accent3 2 3 3 3 3 2 3" xfId="25997" xr:uid="{00000000-0005-0000-0000-000000130000}"/>
    <cellStyle name="20% - Accent3 2 3 3 3 3 2 3 2" xfId="45186" xr:uid="{00000000-0005-0000-0000-000001130000}"/>
    <cellStyle name="20% - Accent3 2 3 3 3 3 2 4" xfId="35488" xr:uid="{00000000-0005-0000-0000-000002130000}"/>
    <cellStyle name="20% - Accent3 2 3 3 3 3 3" xfId="18969" xr:uid="{00000000-0005-0000-0000-000003130000}"/>
    <cellStyle name="20% - Accent3 2 3 3 3 3 3 2" xfId="29337" xr:uid="{00000000-0005-0000-0000-000004130000}"/>
    <cellStyle name="20% - Accent3 2 3 3 3 3 3 2 2" xfId="48526" xr:uid="{00000000-0005-0000-0000-000005130000}"/>
    <cellStyle name="20% - Accent3 2 3 3 3 3 3 3" xfId="38828" xr:uid="{00000000-0005-0000-0000-000006130000}"/>
    <cellStyle name="20% - Accent3 2 3 3 3 3 4" xfId="24882" xr:uid="{00000000-0005-0000-0000-000007130000}"/>
    <cellStyle name="20% - Accent3 2 3 3 3 3 4 2" xfId="44071" xr:uid="{00000000-0005-0000-0000-000008130000}"/>
    <cellStyle name="20% - Accent3 2 3 3 3 3 5" xfId="34373" xr:uid="{00000000-0005-0000-0000-000009130000}"/>
    <cellStyle name="20% - Accent3 2 3 3 3 4" xfId="15063" xr:uid="{00000000-0005-0000-0000-00000A130000}"/>
    <cellStyle name="20% - Accent3 2 3 3 3 4 2" xfId="19527" xr:uid="{00000000-0005-0000-0000-00000B130000}"/>
    <cellStyle name="20% - Accent3 2 3 3 3 4 2 2" xfId="29895" xr:uid="{00000000-0005-0000-0000-00000C130000}"/>
    <cellStyle name="20% - Accent3 2 3 3 3 4 2 2 2" xfId="49084" xr:uid="{00000000-0005-0000-0000-00000D130000}"/>
    <cellStyle name="20% - Accent3 2 3 3 3 4 2 3" xfId="39386" xr:uid="{00000000-0005-0000-0000-00000E130000}"/>
    <cellStyle name="20% - Accent3 2 3 3 3 4 3" xfId="25440" xr:uid="{00000000-0005-0000-0000-00000F130000}"/>
    <cellStyle name="20% - Accent3 2 3 3 3 4 3 2" xfId="44629" xr:uid="{00000000-0005-0000-0000-000010130000}"/>
    <cellStyle name="20% - Accent3 2 3 3 3 4 4" xfId="34931" xr:uid="{00000000-0005-0000-0000-000011130000}"/>
    <cellStyle name="20% - Accent3 2 3 3 3 5" xfId="16733" xr:uid="{00000000-0005-0000-0000-000012130000}"/>
    <cellStyle name="20% - Accent3 2 3 3 3 5 2" xfId="21197" xr:uid="{00000000-0005-0000-0000-000013130000}"/>
    <cellStyle name="20% - Accent3 2 3 3 3 5 2 2" xfId="31565" xr:uid="{00000000-0005-0000-0000-000014130000}"/>
    <cellStyle name="20% - Accent3 2 3 3 3 5 2 2 2" xfId="50754" xr:uid="{00000000-0005-0000-0000-000015130000}"/>
    <cellStyle name="20% - Accent3 2 3 3 3 5 2 3" xfId="41056" xr:uid="{00000000-0005-0000-0000-000016130000}"/>
    <cellStyle name="20% - Accent3 2 3 3 3 5 3" xfId="27110" xr:uid="{00000000-0005-0000-0000-000017130000}"/>
    <cellStyle name="20% - Accent3 2 3 3 3 5 3 2" xfId="46299" xr:uid="{00000000-0005-0000-0000-000018130000}"/>
    <cellStyle name="20% - Accent3 2 3 3 3 5 4" xfId="36601" xr:uid="{00000000-0005-0000-0000-000019130000}"/>
    <cellStyle name="20% - Accent3 2 3 3 3 6" xfId="17299" xr:uid="{00000000-0005-0000-0000-00001A130000}"/>
    <cellStyle name="20% - Accent3 2 3 3 3 6 2" xfId="21754" xr:uid="{00000000-0005-0000-0000-00001B130000}"/>
    <cellStyle name="20% - Accent3 2 3 3 3 6 2 2" xfId="32122" xr:uid="{00000000-0005-0000-0000-00001C130000}"/>
    <cellStyle name="20% - Accent3 2 3 3 3 6 2 2 2" xfId="51311" xr:uid="{00000000-0005-0000-0000-00001D130000}"/>
    <cellStyle name="20% - Accent3 2 3 3 3 6 2 3" xfId="41613" xr:uid="{00000000-0005-0000-0000-00001E130000}"/>
    <cellStyle name="20% - Accent3 2 3 3 3 6 3" xfId="27667" xr:uid="{00000000-0005-0000-0000-00001F130000}"/>
    <cellStyle name="20% - Accent3 2 3 3 3 6 3 2" xfId="46856" xr:uid="{00000000-0005-0000-0000-000020130000}"/>
    <cellStyle name="20% - Accent3 2 3 3 3 6 4" xfId="37158" xr:uid="{00000000-0005-0000-0000-000021130000}"/>
    <cellStyle name="20% - Accent3 2 3 3 3 7" xfId="17856" xr:uid="{00000000-0005-0000-0000-000022130000}"/>
    <cellStyle name="20% - Accent3 2 3 3 3 7 2" xfId="28224" xr:uid="{00000000-0005-0000-0000-000023130000}"/>
    <cellStyle name="20% - Accent3 2 3 3 3 7 2 2" xfId="47413" xr:uid="{00000000-0005-0000-0000-000024130000}"/>
    <cellStyle name="20% - Accent3 2 3 3 3 7 3" xfId="37715" xr:uid="{00000000-0005-0000-0000-000025130000}"/>
    <cellStyle name="20% - Accent3 2 3 3 3 8" xfId="23719" xr:uid="{00000000-0005-0000-0000-000026130000}"/>
    <cellStyle name="20% - Accent3 2 3 3 3 8 2" xfId="42958" xr:uid="{00000000-0005-0000-0000-000027130000}"/>
    <cellStyle name="20% - Accent3 2 3 3 3 9" xfId="33260" xr:uid="{00000000-0005-0000-0000-000028130000}"/>
    <cellStyle name="20% - Accent3 2 3 3 4" xfId="13910" xr:uid="{00000000-0005-0000-0000-000029130000}"/>
    <cellStyle name="20% - Accent3 2 3 3 4 2" xfId="16174" xr:uid="{00000000-0005-0000-0000-00002A130000}"/>
    <cellStyle name="20% - Accent3 2 3 3 4 2 2" xfId="20638" xr:uid="{00000000-0005-0000-0000-00002B130000}"/>
    <cellStyle name="20% - Accent3 2 3 3 4 2 2 2" xfId="31006" xr:uid="{00000000-0005-0000-0000-00002C130000}"/>
    <cellStyle name="20% - Accent3 2 3 3 4 2 2 2 2" xfId="50195" xr:uid="{00000000-0005-0000-0000-00002D130000}"/>
    <cellStyle name="20% - Accent3 2 3 3 4 2 2 3" xfId="40497" xr:uid="{00000000-0005-0000-0000-00002E130000}"/>
    <cellStyle name="20% - Accent3 2 3 3 4 2 3" xfId="26551" xr:uid="{00000000-0005-0000-0000-00002F130000}"/>
    <cellStyle name="20% - Accent3 2 3 3 4 2 3 2" xfId="45740" xr:uid="{00000000-0005-0000-0000-000030130000}"/>
    <cellStyle name="20% - Accent3 2 3 3 4 2 4" xfId="36042" xr:uid="{00000000-0005-0000-0000-000031130000}"/>
    <cellStyle name="20% - Accent3 2 3 3 4 3" xfId="18410" xr:uid="{00000000-0005-0000-0000-000032130000}"/>
    <cellStyle name="20% - Accent3 2 3 3 4 3 2" xfId="28778" xr:uid="{00000000-0005-0000-0000-000033130000}"/>
    <cellStyle name="20% - Accent3 2 3 3 4 3 2 2" xfId="47967" xr:uid="{00000000-0005-0000-0000-000034130000}"/>
    <cellStyle name="20% - Accent3 2 3 3 4 3 3" xfId="38269" xr:uid="{00000000-0005-0000-0000-000035130000}"/>
    <cellStyle name="20% - Accent3 2 3 3 4 4" xfId="24318" xr:uid="{00000000-0005-0000-0000-000036130000}"/>
    <cellStyle name="20% - Accent3 2 3 3 4 4 2" xfId="43512" xr:uid="{00000000-0005-0000-0000-000037130000}"/>
    <cellStyle name="20% - Accent3 2 3 3 4 5" xfId="33814" xr:uid="{00000000-0005-0000-0000-000038130000}"/>
    <cellStyle name="20% - Accent3 2 3 3 5" xfId="14489" xr:uid="{00000000-0005-0000-0000-000039130000}"/>
    <cellStyle name="20% - Accent3 2 3 3 5 2" xfId="15618" xr:uid="{00000000-0005-0000-0000-00003A130000}"/>
    <cellStyle name="20% - Accent3 2 3 3 5 2 2" xfId="20082" xr:uid="{00000000-0005-0000-0000-00003B130000}"/>
    <cellStyle name="20% - Accent3 2 3 3 5 2 2 2" xfId="30450" xr:uid="{00000000-0005-0000-0000-00003C130000}"/>
    <cellStyle name="20% - Accent3 2 3 3 5 2 2 2 2" xfId="49639" xr:uid="{00000000-0005-0000-0000-00003D130000}"/>
    <cellStyle name="20% - Accent3 2 3 3 5 2 2 3" xfId="39941" xr:uid="{00000000-0005-0000-0000-00003E130000}"/>
    <cellStyle name="20% - Accent3 2 3 3 5 2 3" xfId="25995" xr:uid="{00000000-0005-0000-0000-00003F130000}"/>
    <cellStyle name="20% - Accent3 2 3 3 5 2 3 2" xfId="45184" xr:uid="{00000000-0005-0000-0000-000040130000}"/>
    <cellStyle name="20% - Accent3 2 3 3 5 2 4" xfId="35486" xr:uid="{00000000-0005-0000-0000-000041130000}"/>
    <cellStyle name="20% - Accent3 2 3 3 5 3" xfId="18967" xr:uid="{00000000-0005-0000-0000-000042130000}"/>
    <cellStyle name="20% - Accent3 2 3 3 5 3 2" xfId="29335" xr:uid="{00000000-0005-0000-0000-000043130000}"/>
    <cellStyle name="20% - Accent3 2 3 3 5 3 2 2" xfId="48524" xr:uid="{00000000-0005-0000-0000-000044130000}"/>
    <cellStyle name="20% - Accent3 2 3 3 5 3 3" xfId="38826" xr:uid="{00000000-0005-0000-0000-000045130000}"/>
    <cellStyle name="20% - Accent3 2 3 3 5 4" xfId="24880" xr:uid="{00000000-0005-0000-0000-000046130000}"/>
    <cellStyle name="20% - Accent3 2 3 3 5 4 2" xfId="44069" xr:uid="{00000000-0005-0000-0000-000047130000}"/>
    <cellStyle name="20% - Accent3 2 3 3 5 5" xfId="34371" xr:uid="{00000000-0005-0000-0000-000048130000}"/>
    <cellStyle name="20% - Accent3 2 3 3 6" xfId="15061" xr:uid="{00000000-0005-0000-0000-000049130000}"/>
    <cellStyle name="20% - Accent3 2 3 3 6 2" xfId="19525" xr:uid="{00000000-0005-0000-0000-00004A130000}"/>
    <cellStyle name="20% - Accent3 2 3 3 6 2 2" xfId="29893" xr:uid="{00000000-0005-0000-0000-00004B130000}"/>
    <cellStyle name="20% - Accent3 2 3 3 6 2 2 2" xfId="49082" xr:uid="{00000000-0005-0000-0000-00004C130000}"/>
    <cellStyle name="20% - Accent3 2 3 3 6 2 3" xfId="39384" xr:uid="{00000000-0005-0000-0000-00004D130000}"/>
    <cellStyle name="20% - Accent3 2 3 3 6 3" xfId="25438" xr:uid="{00000000-0005-0000-0000-00004E130000}"/>
    <cellStyle name="20% - Accent3 2 3 3 6 3 2" xfId="44627" xr:uid="{00000000-0005-0000-0000-00004F130000}"/>
    <cellStyle name="20% - Accent3 2 3 3 6 4" xfId="34929" xr:uid="{00000000-0005-0000-0000-000050130000}"/>
    <cellStyle name="20% - Accent3 2 3 3 7" xfId="16731" xr:uid="{00000000-0005-0000-0000-000051130000}"/>
    <cellStyle name="20% - Accent3 2 3 3 7 2" xfId="21195" xr:uid="{00000000-0005-0000-0000-000052130000}"/>
    <cellStyle name="20% - Accent3 2 3 3 7 2 2" xfId="31563" xr:uid="{00000000-0005-0000-0000-000053130000}"/>
    <cellStyle name="20% - Accent3 2 3 3 7 2 2 2" xfId="50752" xr:uid="{00000000-0005-0000-0000-000054130000}"/>
    <cellStyle name="20% - Accent3 2 3 3 7 2 3" xfId="41054" xr:uid="{00000000-0005-0000-0000-000055130000}"/>
    <cellStyle name="20% - Accent3 2 3 3 7 3" xfId="27108" xr:uid="{00000000-0005-0000-0000-000056130000}"/>
    <cellStyle name="20% - Accent3 2 3 3 7 3 2" xfId="46297" xr:uid="{00000000-0005-0000-0000-000057130000}"/>
    <cellStyle name="20% - Accent3 2 3 3 7 4" xfId="36599" xr:uid="{00000000-0005-0000-0000-000058130000}"/>
    <cellStyle name="20% - Accent3 2 3 3 8" xfId="17297" xr:uid="{00000000-0005-0000-0000-000059130000}"/>
    <cellStyle name="20% - Accent3 2 3 3 8 2" xfId="21752" xr:uid="{00000000-0005-0000-0000-00005A130000}"/>
    <cellStyle name="20% - Accent3 2 3 3 8 2 2" xfId="32120" xr:uid="{00000000-0005-0000-0000-00005B130000}"/>
    <cellStyle name="20% - Accent3 2 3 3 8 2 2 2" xfId="51309" xr:uid="{00000000-0005-0000-0000-00005C130000}"/>
    <cellStyle name="20% - Accent3 2 3 3 8 2 3" xfId="41611" xr:uid="{00000000-0005-0000-0000-00005D130000}"/>
    <cellStyle name="20% - Accent3 2 3 3 8 3" xfId="27665" xr:uid="{00000000-0005-0000-0000-00005E130000}"/>
    <cellStyle name="20% - Accent3 2 3 3 8 3 2" xfId="46854" xr:uid="{00000000-0005-0000-0000-00005F130000}"/>
    <cellStyle name="20% - Accent3 2 3 3 8 4" xfId="37156" xr:uid="{00000000-0005-0000-0000-000060130000}"/>
    <cellStyle name="20% - Accent3 2 3 3 9" xfId="17854" xr:uid="{00000000-0005-0000-0000-000061130000}"/>
    <cellStyle name="20% - Accent3 2 3 3 9 2" xfId="28222" xr:uid="{00000000-0005-0000-0000-000062130000}"/>
    <cellStyle name="20% - Accent3 2 3 3 9 2 2" xfId="47411" xr:uid="{00000000-0005-0000-0000-000063130000}"/>
    <cellStyle name="20% - Accent3 2 3 3 9 3" xfId="37713" xr:uid="{00000000-0005-0000-0000-000064130000}"/>
    <cellStyle name="20% - Accent3 2 3 4" xfId="12961" xr:uid="{00000000-0005-0000-0000-000065130000}"/>
    <cellStyle name="20% - Accent3 2 3 4 10" xfId="53423" xr:uid="{00000000-0005-0000-0000-000066130000}"/>
    <cellStyle name="20% - Accent3 2 3 4 2" xfId="13913" xr:uid="{00000000-0005-0000-0000-000067130000}"/>
    <cellStyle name="20% - Accent3 2 3 4 2 2" xfId="16177" xr:uid="{00000000-0005-0000-0000-000068130000}"/>
    <cellStyle name="20% - Accent3 2 3 4 2 2 2" xfId="20641" xr:uid="{00000000-0005-0000-0000-000069130000}"/>
    <cellStyle name="20% - Accent3 2 3 4 2 2 2 2" xfId="31009" xr:uid="{00000000-0005-0000-0000-00006A130000}"/>
    <cellStyle name="20% - Accent3 2 3 4 2 2 2 2 2" xfId="50198" xr:uid="{00000000-0005-0000-0000-00006B130000}"/>
    <cellStyle name="20% - Accent3 2 3 4 2 2 2 3" xfId="40500" xr:uid="{00000000-0005-0000-0000-00006C130000}"/>
    <cellStyle name="20% - Accent3 2 3 4 2 2 3" xfId="26554" xr:uid="{00000000-0005-0000-0000-00006D130000}"/>
    <cellStyle name="20% - Accent3 2 3 4 2 2 3 2" xfId="45743" xr:uid="{00000000-0005-0000-0000-00006E130000}"/>
    <cellStyle name="20% - Accent3 2 3 4 2 2 4" xfId="36045" xr:uid="{00000000-0005-0000-0000-00006F130000}"/>
    <cellStyle name="20% - Accent3 2 3 4 2 3" xfId="18413" xr:uid="{00000000-0005-0000-0000-000070130000}"/>
    <cellStyle name="20% - Accent3 2 3 4 2 3 2" xfId="28781" xr:uid="{00000000-0005-0000-0000-000071130000}"/>
    <cellStyle name="20% - Accent3 2 3 4 2 3 2 2" xfId="47970" xr:uid="{00000000-0005-0000-0000-000072130000}"/>
    <cellStyle name="20% - Accent3 2 3 4 2 3 3" xfId="38272" xr:uid="{00000000-0005-0000-0000-000073130000}"/>
    <cellStyle name="20% - Accent3 2 3 4 2 4" xfId="24321" xr:uid="{00000000-0005-0000-0000-000074130000}"/>
    <cellStyle name="20% - Accent3 2 3 4 2 4 2" xfId="43515" xr:uid="{00000000-0005-0000-0000-000075130000}"/>
    <cellStyle name="20% - Accent3 2 3 4 2 5" xfId="33817" xr:uid="{00000000-0005-0000-0000-000076130000}"/>
    <cellStyle name="20% - Accent3 2 3 4 3" xfId="14492" xr:uid="{00000000-0005-0000-0000-000077130000}"/>
    <cellStyle name="20% - Accent3 2 3 4 3 2" xfId="15621" xr:uid="{00000000-0005-0000-0000-000078130000}"/>
    <cellStyle name="20% - Accent3 2 3 4 3 2 2" xfId="20085" xr:uid="{00000000-0005-0000-0000-000079130000}"/>
    <cellStyle name="20% - Accent3 2 3 4 3 2 2 2" xfId="30453" xr:uid="{00000000-0005-0000-0000-00007A130000}"/>
    <cellStyle name="20% - Accent3 2 3 4 3 2 2 2 2" xfId="49642" xr:uid="{00000000-0005-0000-0000-00007B130000}"/>
    <cellStyle name="20% - Accent3 2 3 4 3 2 2 3" xfId="39944" xr:uid="{00000000-0005-0000-0000-00007C130000}"/>
    <cellStyle name="20% - Accent3 2 3 4 3 2 3" xfId="25998" xr:uid="{00000000-0005-0000-0000-00007D130000}"/>
    <cellStyle name="20% - Accent3 2 3 4 3 2 3 2" xfId="45187" xr:uid="{00000000-0005-0000-0000-00007E130000}"/>
    <cellStyle name="20% - Accent3 2 3 4 3 2 4" xfId="35489" xr:uid="{00000000-0005-0000-0000-00007F130000}"/>
    <cellStyle name="20% - Accent3 2 3 4 3 3" xfId="18970" xr:uid="{00000000-0005-0000-0000-000080130000}"/>
    <cellStyle name="20% - Accent3 2 3 4 3 3 2" xfId="29338" xr:uid="{00000000-0005-0000-0000-000081130000}"/>
    <cellStyle name="20% - Accent3 2 3 4 3 3 2 2" xfId="48527" xr:uid="{00000000-0005-0000-0000-000082130000}"/>
    <cellStyle name="20% - Accent3 2 3 4 3 3 3" xfId="38829" xr:uid="{00000000-0005-0000-0000-000083130000}"/>
    <cellStyle name="20% - Accent3 2 3 4 3 4" xfId="24883" xr:uid="{00000000-0005-0000-0000-000084130000}"/>
    <cellStyle name="20% - Accent3 2 3 4 3 4 2" xfId="44072" xr:uid="{00000000-0005-0000-0000-000085130000}"/>
    <cellStyle name="20% - Accent3 2 3 4 3 5" xfId="34374" xr:uid="{00000000-0005-0000-0000-000086130000}"/>
    <cellStyle name="20% - Accent3 2 3 4 4" xfId="15064" xr:uid="{00000000-0005-0000-0000-000087130000}"/>
    <cellStyle name="20% - Accent3 2 3 4 4 2" xfId="19528" xr:uid="{00000000-0005-0000-0000-000088130000}"/>
    <cellStyle name="20% - Accent3 2 3 4 4 2 2" xfId="29896" xr:uid="{00000000-0005-0000-0000-000089130000}"/>
    <cellStyle name="20% - Accent3 2 3 4 4 2 2 2" xfId="49085" xr:uid="{00000000-0005-0000-0000-00008A130000}"/>
    <cellStyle name="20% - Accent3 2 3 4 4 2 3" xfId="39387" xr:uid="{00000000-0005-0000-0000-00008B130000}"/>
    <cellStyle name="20% - Accent3 2 3 4 4 3" xfId="25441" xr:uid="{00000000-0005-0000-0000-00008C130000}"/>
    <cellStyle name="20% - Accent3 2 3 4 4 3 2" xfId="44630" xr:uid="{00000000-0005-0000-0000-00008D130000}"/>
    <cellStyle name="20% - Accent3 2 3 4 4 4" xfId="34932" xr:uid="{00000000-0005-0000-0000-00008E130000}"/>
    <cellStyle name="20% - Accent3 2 3 4 5" xfId="16734" xr:uid="{00000000-0005-0000-0000-00008F130000}"/>
    <cellStyle name="20% - Accent3 2 3 4 5 2" xfId="21198" xr:uid="{00000000-0005-0000-0000-000090130000}"/>
    <cellStyle name="20% - Accent3 2 3 4 5 2 2" xfId="31566" xr:uid="{00000000-0005-0000-0000-000091130000}"/>
    <cellStyle name="20% - Accent3 2 3 4 5 2 2 2" xfId="50755" xr:uid="{00000000-0005-0000-0000-000092130000}"/>
    <cellStyle name="20% - Accent3 2 3 4 5 2 3" xfId="41057" xr:uid="{00000000-0005-0000-0000-000093130000}"/>
    <cellStyle name="20% - Accent3 2 3 4 5 3" xfId="27111" xr:uid="{00000000-0005-0000-0000-000094130000}"/>
    <cellStyle name="20% - Accent3 2 3 4 5 3 2" xfId="46300" xr:uid="{00000000-0005-0000-0000-000095130000}"/>
    <cellStyle name="20% - Accent3 2 3 4 5 4" xfId="36602" xr:uid="{00000000-0005-0000-0000-000096130000}"/>
    <cellStyle name="20% - Accent3 2 3 4 6" xfId="17300" xr:uid="{00000000-0005-0000-0000-000097130000}"/>
    <cellStyle name="20% - Accent3 2 3 4 6 2" xfId="21755" xr:uid="{00000000-0005-0000-0000-000098130000}"/>
    <cellStyle name="20% - Accent3 2 3 4 6 2 2" xfId="32123" xr:uid="{00000000-0005-0000-0000-000099130000}"/>
    <cellStyle name="20% - Accent3 2 3 4 6 2 2 2" xfId="51312" xr:uid="{00000000-0005-0000-0000-00009A130000}"/>
    <cellStyle name="20% - Accent3 2 3 4 6 2 3" xfId="41614" xr:uid="{00000000-0005-0000-0000-00009B130000}"/>
    <cellStyle name="20% - Accent3 2 3 4 6 3" xfId="27668" xr:uid="{00000000-0005-0000-0000-00009C130000}"/>
    <cellStyle name="20% - Accent3 2 3 4 6 3 2" xfId="46857" xr:uid="{00000000-0005-0000-0000-00009D130000}"/>
    <cellStyle name="20% - Accent3 2 3 4 6 4" xfId="37159" xr:uid="{00000000-0005-0000-0000-00009E130000}"/>
    <cellStyle name="20% - Accent3 2 3 4 7" xfId="17857" xr:uid="{00000000-0005-0000-0000-00009F130000}"/>
    <cellStyle name="20% - Accent3 2 3 4 7 2" xfId="28225" xr:uid="{00000000-0005-0000-0000-0000A0130000}"/>
    <cellStyle name="20% - Accent3 2 3 4 7 2 2" xfId="47414" xr:uid="{00000000-0005-0000-0000-0000A1130000}"/>
    <cellStyle name="20% - Accent3 2 3 4 7 3" xfId="37716" xr:uid="{00000000-0005-0000-0000-0000A2130000}"/>
    <cellStyle name="20% - Accent3 2 3 4 8" xfId="23720" xr:uid="{00000000-0005-0000-0000-0000A3130000}"/>
    <cellStyle name="20% - Accent3 2 3 4 8 2" xfId="42959" xr:uid="{00000000-0005-0000-0000-0000A4130000}"/>
    <cellStyle name="20% - Accent3 2 3 4 9" xfId="33261" xr:uid="{00000000-0005-0000-0000-0000A5130000}"/>
    <cellStyle name="20% - Accent3 2 3 5" xfId="12962" xr:uid="{00000000-0005-0000-0000-0000A6130000}"/>
    <cellStyle name="20% - Accent3 2 3 5 2" xfId="13914" xr:uid="{00000000-0005-0000-0000-0000A7130000}"/>
    <cellStyle name="20% - Accent3 2 3 5 2 2" xfId="16178" xr:uid="{00000000-0005-0000-0000-0000A8130000}"/>
    <cellStyle name="20% - Accent3 2 3 5 2 2 2" xfId="20642" xr:uid="{00000000-0005-0000-0000-0000A9130000}"/>
    <cellStyle name="20% - Accent3 2 3 5 2 2 2 2" xfId="31010" xr:uid="{00000000-0005-0000-0000-0000AA130000}"/>
    <cellStyle name="20% - Accent3 2 3 5 2 2 2 2 2" xfId="50199" xr:uid="{00000000-0005-0000-0000-0000AB130000}"/>
    <cellStyle name="20% - Accent3 2 3 5 2 2 2 3" xfId="40501" xr:uid="{00000000-0005-0000-0000-0000AC130000}"/>
    <cellStyle name="20% - Accent3 2 3 5 2 2 3" xfId="26555" xr:uid="{00000000-0005-0000-0000-0000AD130000}"/>
    <cellStyle name="20% - Accent3 2 3 5 2 2 3 2" xfId="45744" xr:uid="{00000000-0005-0000-0000-0000AE130000}"/>
    <cellStyle name="20% - Accent3 2 3 5 2 2 4" xfId="36046" xr:uid="{00000000-0005-0000-0000-0000AF130000}"/>
    <cellStyle name="20% - Accent3 2 3 5 2 3" xfId="18414" xr:uid="{00000000-0005-0000-0000-0000B0130000}"/>
    <cellStyle name="20% - Accent3 2 3 5 2 3 2" xfId="28782" xr:uid="{00000000-0005-0000-0000-0000B1130000}"/>
    <cellStyle name="20% - Accent3 2 3 5 2 3 2 2" xfId="47971" xr:uid="{00000000-0005-0000-0000-0000B2130000}"/>
    <cellStyle name="20% - Accent3 2 3 5 2 3 3" xfId="38273" xr:uid="{00000000-0005-0000-0000-0000B3130000}"/>
    <cellStyle name="20% - Accent3 2 3 5 2 4" xfId="24322" xr:uid="{00000000-0005-0000-0000-0000B4130000}"/>
    <cellStyle name="20% - Accent3 2 3 5 2 4 2" xfId="43516" xr:uid="{00000000-0005-0000-0000-0000B5130000}"/>
    <cellStyle name="20% - Accent3 2 3 5 2 5" xfId="33818" xr:uid="{00000000-0005-0000-0000-0000B6130000}"/>
    <cellStyle name="20% - Accent3 2 3 5 3" xfId="14493" xr:uid="{00000000-0005-0000-0000-0000B7130000}"/>
    <cellStyle name="20% - Accent3 2 3 5 3 2" xfId="15622" xr:uid="{00000000-0005-0000-0000-0000B8130000}"/>
    <cellStyle name="20% - Accent3 2 3 5 3 2 2" xfId="20086" xr:uid="{00000000-0005-0000-0000-0000B9130000}"/>
    <cellStyle name="20% - Accent3 2 3 5 3 2 2 2" xfId="30454" xr:uid="{00000000-0005-0000-0000-0000BA130000}"/>
    <cellStyle name="20% - Accent3 2 3 5 3 2 2 2 2" xfId="49643" xr:uid="{00000000-0005-0000-0000-0000BB130000}"/>
    <cellStyle name="20% - Accent3 2 3 5 3 2 2 3" xfId="39945" xr:uid="{00000000-0005-0000-0000-0000BC130000}"/>
    <cellStyle name="20% - Accent3 2 3 5 3 2 3" xfId="25999" xr:uid="{00000000-0005-0000-0000-0000BD130000}"/>
    <cellStyle name="20% - Accent3 2 3 5 3 2 3 2" xfId="45188" xr:uid="{00000000-0005-0000-0000-0000BE130000}"/>
    <cellStyle name="20% - Accent3 2 3 5 3 2 4" xfId="35490" xr:uid="{00000000-0005-0000-0000-0000BF130000}"/>
    <cellStyle name="20% - Accent3 2 3 5 3 3" xfId="18971" xr:uid="{00000000-0005-0000-0000-0000C0130000}"/>
    <cellStyle name="20% - Accent3 2 3 5 3 3 2" xfId="29339" xr:uid="{00000000-0005-0000-0000-0000C1130000}"/>
    <cellStyle name="20% - Accent3 2 3 5 3 3 2 2" xfId="48528" xr:uid="{00000000-0005-0000-0000-0000C2130000}"/>
    <cellStyle name="20% - Accent3 2 3 5 3 3 3" xfId="38830" xr:uid="{00000000-0005-0000-0000-0000C3130000}"/>
    <cellStyle name="20% - Accent3 2 3 5 3 4" xfId="24884" xr:uid="{00000000-0005-0000-0000-0000C4130000}"/>
    <cellStyle name="20% - Accent3 2 3 5 3 4 2" xfId="44073" xr:uid="{00000000-0005-0000-0000-0000C5130000}"/>
    <cellStyle name="20% - Accent3 2 3 5 3 5" xfId="34375" xr:uid="{00000000-0005-0000-0000-0000C6130000}"/>
    <cellStyle name="20% - Accent3 2 3 5 4" xfId="15065" xr:uid="{00000000-0005-0000-0000-0000C7130000}"/>
    <cellStyle name="20% - Accent3 2 3 5 4 2" xfId="19529" xr:uid="{00000000-0005-0000-0000-0000C8130000}"/>
    <cellStyle name="20% - Accent3 2 3 5 4 2 2" xfId="29897" xr:uid="{00000000-0005-0000-0000-0000C9130000}"/>
    <cellStyle name="20% - Accent3 2 3 5 4 2 2 2" xfId="49086" xr:uid="{00000000-0005-0000-0000-0000CA130000}"/>
    <cellStyle name="20% - Accent3 2 3 5 4 2 3" xfId="39388" xr:uid="{00000000-0005-0000-0000-0000CB130000}"/>
    <cellStyle name="20% - Accent3 2 3 5 4 3" xfId="25442" xr:uid="{00000000-0005-0000-0000-0000CC130000}"/>
    <cellStyle name="20% - Accent3 2 3 5 4 3 2" xfId="44631" xr:uid="{00000000-0005-0000-0000-0000CD130000}"/>
    <cellStyle name="20% - Accent3 2 3 5 4 4" xfId="34933" xr:uid="{00000000-0005-0000-0000-0000CE130000}"/>
    <cellStyle name="20% - Accent3 2 3 5 5" xfId="16735" xr:uid="{00000000-0005-0000-0000-0000CF130000}"/>
    <cellStyle name="20% - Accent3 2 3 5 5 2" xfId="21199" xr:uid="{00000000-0005-0000-0000-0000D0130000}"/>
    <cellStyle name="20% - Accent3 2 3 5 5 2 2" xfId="31567" xr:uid="{00000000-0005-0000-0000-0000D1130000}"/>
    <cellStyle name="20% - Accent3 2 3 5 5 2 2 2" xfId="50756" xr:uid="{00000000-0005-0000-0000-0000D2130000}"/>
    <cellStyle name="20% - Accent3 2 3 5 5 2 3" xfId="41058" xr:uid="{00000000-0005-0000-0000-0000D3130000}"/>
    <cellStyle name="20% - Accent3 2 3 5 5 3" xfId="27112" xr:uid="{00000000-0005-0000-0000-0000D4130000}"/>
    <cellStyle name="20% - Accent3 2 3 5 5 3 2" xfId="46301" xr:uid="{00000000-0005-0000-0000-0000D5130000}"/>
    <cellStyle name="20% - Accent3 2 3 5 5 4" xfId="36603" xr:uid="{00000000-0005-0000-0000-0000D6130000}"/>
    <cellStyle name="20% - Accent3 2 3 5 6" xfId="17301" xr:uid="{00000000-0005-0000-0000-0000D7130000}"/>
    <cellStyle name="20% - Accent3 2 3 5 6 2" xfId="21756" xr:uid="{00000000-0005-0000-0000-0000D8130000}"/>
    <cellStyle name="20% - Accent3 2 3 5 6 2 2" xfId="32124" xr:uid="{00000000-0005-0000-0000-0000D9130000}"/>
    <cellStyle name="20% - Accent3 2 3 5 6 2 2 2" xfId="51313" xr:uid="{00000000-0005-0000-0000-0000DA130000}"/>
    <cellStyle name="20% - Accent3 2 3 5 6 2 3" xfId="41615" xr:uid="{00000000-0005-0000-0000-0000DB130000}"/>
    <cellStyle name="20% - Accent3 2 3 5 6 3" xfId="27669" xr:uid="{00000000-0005-0000-0000-0000DC130000}"/>
    <cellStyle name="20% - Accent3 2 3 5 6 3 2" xfId="46858" xr:uid="{00000000-0005-0000-0000-0000DD130000}"/>
    <cellStyle name="20% - Accent3 2 3 5 6 4" xfId="37160" xr:uid="{00000000-0005-0000-0000-0000DE130000}"/>
    <cellStyle name="20% - Accent3 2 3 5 7" xfId="17858" xr:uid="{00000000-0005-0000-0000-0000DF130000}"/>
    <cellStyle name="20% - Accent3 2 3 5 7 2" xfId="28226" xr:uid="{00000000-0005-0000-0000-0000E0130000}"/>
    <cellStyle name="20% - Accent3 2 3 5 7 2 2" xfId="47415" xr:uid="{00000000-0005-0000-0000-0000E1130000}"/>
    <cellStyle name="20% - Accent3 2 3 5 7 3" xfId="37717" xr:uid="{00000000-0005-0000-0000-0000E2130000}"/>
    <cellStyle name="20% - Accent3 2 3 5 8" xfId="23721" xr:uid="{00000000-0005-0000-0000-0000E3130000}"/>
    <cellStyle name="20% - Accent3 2 3 5 8 2" xfId="42960" xr:uid="{00000000-0005-0000-0000-0000E4130000}"/>
    <cellStyle name="20% - Accent3 2 3 5 9" xfId="33262" xr:uid="{00000000-0005-0000-0000-0000E5130000}"/>
    <cellStyle name="20% - Accent3 2 3 6" xfId="22868" xr:uid="{00000000-0005-0000-0000-0000E6130000}"/>
    <cellStyle name="20% - Accent3 2 3 6 2" xfId="32952" xr:uid="{00000000-0005-0000-0000-0000E7130000}"/>
    <cellStyle name="20% - Accent3 2 3 6 2 2" xfId="52138" xr:uid="{00000000-0005-0000-0000-0000E8130000}"/>
    <cellStyle name="20% - Accent3 2 3 6 3" xfId="42440" xr:uid="{00000000-0005-0000-0000-0000E9130000}"/>
    <cellStyle name="20% - Accent3 2 3 7" xfId="23340" xr:uid="{00000000-0005-0000-0000-0000EA130000}"/>
    <cellStyle name="20% - Accent3 2 3 8" xfId="23225" xr:uid="{00000000-0005-0000-0000-0000EB130000}"/>
    <cellStyle name="20% - Accent3 2 3 8 2" xfId="42793" xr:uid="{00000000-0005-0000-0000-0000EC130000}"/>
    <cellStyle name="20% - Accent3 2 3 9" xfId="12220" xr:uid="{00000000-0005-0000-0000-0000ED130000}"/>
    <cellStyle name="20% - Accent3 2 4" xfId="1668" xr:uid="{00000000-0005-0000-0000-0000EE130000}"/>
    <cellStyle name="20% - Accent3 2 4 2" xfId="12963" xr:uid="{00000000-0005-0000-0000-0000EF130000}"/>
    <cellStyle name="20% - Accent3 2 4 2 10" xfId="23722" xr:uid="{00000000-0005-0000-0000-0000F0130000}"/>
    <cellStyle name="20% - Accent3 2 4 2 10 2" xfId="42961" xr:uid="{00000000-0005-0000-0000-0000F1130000}"/>
    <cellStyle name="20% - Accent3 2 4 2 11" xfId="33263" xr:uid="{00000000-0005-0000-0000-0000F2130000}"/>
    <cellStyle name="20% - Accent3 2 4 2 12" xfId="52765" xr:uid="{00000000-0005-0000-0000-0000F3130000}"/>
    <cellStyle name="20% - Accent3 2 4 2 2" xfId="12964" xr:uid="{00000000-0005-0000-0000-0000F4130000}"/>
    <cellStyle name="20% - Accent3 2 4 2 2 10" xfId="53193" xr:uid="{00000000-0005-0000-0000-0000F5130000}"/>
    <cellStyle name="20% - Accent3 2 4 2 2 2" xfId="13916" xr:uid="{00000000-0005-0000-0000-0000F6130000}"/>
    <cellStyle name="20% - Accent3 2 4 2 2 2 2" xfId="16180" xr:uid="{00000000-0005-0000-0000-0000F7130000}"/>
    <cellStyle name="20% - Accent3 2 4 2 2 2 2 2" xfId="20644" xr:uid="{00000000-0005-0000-0000-0000F8130000}"/>
    <cellStyle name="20% - Accent3 2 4 2 2 2 2 2 2" xfId="31012" xr:uid="{00000000-0005-0000-0000-0000F9130000}"/>
    <cellStyle name="20% - Accent3 2 4 2 2 2 2 2 2 2" xfId="50201" xr:uid="{00000000-0005-0000-0000-0000FA130000}"/>
    <cellStyle name="20% - Accent3 2 4 2 2 2 2 2 3" xfId="40503" xr:uid="{00000000-0005-0000-0000-0000FB130000}"/>
    <cellStyle name="20% - Accent3 2 4 2 2 2 2 3" xfId="26557" xr:uid="{00000000-0005-0000-0000-0000FC130000}"/>
    <cellStyle name="20% - Accent3 2 4 2 2 2 2 3 2" xfId="45746" xr:uid="{00000000-0005-0000-0000-0000FD130000}"/>
    <cellStyle name="20% - Accent3 2 4 2 2 2 2 4" xfId="36048" xr:uid="{00000000-0005-0000-0000-0000FE130000}"/>
    <cellStyle name="20% - Accent3 2 4 2 2 2 3" xfId="18416" xr:uid="{00000000-0005-0000-0000-0000FF130000}"/>
    <cellStyle name="20% - Accent3 2 4 2 2 2 3 2" xfId="28784" xr:uid="{00000000-0005-0000-0000-000000140000}"/>
    <cellStyle name="20% - Accent3 2 4 2 2 2 3 2 2" xfId="47973" xr:uid="{00000000-0005-0000-0000-000001140000}"/>
    <cellStyle name="20% - Accent3 2 4 2 2 2 3 3" xfId="38275" xr:uid="{00000000-0005-0000-0000-000002140000}"/>
    <cellStyle name="20% - Accent3 2 4 2 2 2 4" xfId="24324" xr:uid="{00000000-0005-0000-0000-000003140000}"/>
    <cellStyle name="20% - Accent3 2 4 2 2 2 4 2" xfId="43518" xr:uid="{00000000-0005-0000-0000-000004140000}"/>
    <cellStyle name="20% - Accent3 2 4 2 2 2 5" xfId="33820" xr:uid="{00000000-0005-0000-0000-000005140000}"/>
    <cellStyle name="20% - Accent3 2 4 2 2 2 6" xfId="54046" xr:uid="{00000000-0005-0000-0000-000006140000}"/>
    <cellStyle name="20% - Accent3 2 4 2 2 3" xfId="14495" xr:uid="{00000000-0005-0000-0000-000007140000}"/>
    <cellStyle name="20% - Accent3 2 4 2 2 3 2" xfId="15624" xr:uid="{00000000-0005-0000-0000-000008140000}"/>
    <cellStyle name="20% - Accent3 2 4 2 2 3 2 2" xfId="20088" xr:uid="{00000000-0005-0000-0000-000009140000}"/>
    <cellStyle name="20% - Accent3 2 4 2 2 3 2 2 2" xfId="30456" xr:uid="{00000000-0005-0000-0000-00000A140000}"/>
    <cellStyle name="20% - Accent3 2 4 2 2 3 2 2 2 2" xfId="49645" xr:uid="{00000000-0005-0000-0000-00000B140000}"/>
    <cellStyle name="20% - Accent3 2 4 2 2 3 2 2 3" xfId="39947" xr:uid="{00000000-0005-0000-0000-00000C140000}"/>
    <cellStyle name="20% - Accent3 2 4 2 2 3 2 3" xfId="26001" xr:uid="{00000000-0005-0000-0000-00000D140000}"/>
    <cellStyle name="20% - Accent3 2 4 2 2 3 2 3 2" xfId="45190" xr:uid="{00000000-0005-0000-0000-00000E140000}"/>
    <cellStyle name="20% - Accent3 2 4 2 2 3 2 4" xfId="35492" xr:uid="{00000000-0005-0000-0000-00000F140000}"/>
    <cellStyle name="20% - Accent3 2 4 2 2 3 3" xfId="18973" xr:uid="{00000000-0005-0000-0000-000010140000}"/>
    <cellStyle name="20% - Accent3 2 4 2 2 3 3 2" xfId="29341" xr:uid="{00000000-0005-0000-0000-000011140000}"/>
    <cellStyle name="20% - Accent3 2 4 2 2 3 3 2 2" xfId="48530" xr:uid="{00000000-0005-0000-0000-000012140000}"/>
    <cellStyle name="20% - Accent3 2 4 2 2 3 3 3" xfId="38832" xr:uid="{00000000-0005-0000-0000-000013140000}"/>
    <cellStyle name="20% - Accent3 2 4 2 2 3 4" xfId="24886" xr:uid="{00000000-0005-0000-0000-000014140000}"/>
    <cellStyle name="20% - Accent3 2 4 2 2 3 4 2" xfId="44075" xr:uid="{00000000-0005-0000-0000-000015140000}"/>
    <cellStyle name="20% - Accent3 2 4 2 2 3 5" xfId="34377" xr:uid="{00000000-0005-0000-0000-000016140000}"/>
    <cellStyle name="20% - Accent3 2 4 2 2 4" xfId="15067" xr:uid="{00000000-0005-0000-0000-000017140000}"/>
    <cellStyle name="20% - Accent3 2 4 2 2 4 2" xfId="19531" xr:uid="{00000000-0005-0000-0000-000018140000}"/>
    <cellStyle name="20% - Accent3 2 4 2 2 4 2 2" xfId="29899" xr:uid="{00000000-0005-0000-0000-000019140000}"/>
    <cellStyle name="20% - Accent3 2 4 2 2 4 2 2 2" xfId="49088" xr:uid="{00000000-0005-0000-0000-00001A140000}"/>
    <cellStyle name="20% - Accent3 2 4 2 2 4 2 3" xfId="39390" xr:uid="{00000000-0005-0000-0000-00001B140000}"/>
    <cellStyle name="20% - Accent3 2 4 2 2 4 3" xfId="25444" xr:uid="{00000000-0005-0000-0000-00001C140000}"/>
    <cellStyle name="20% - Accent3 2 4 2 2 4 3 2" xfId="44633" xr:uid="{00000000-0005-0000-0000-00001D140000}"/>
    <cellStyle name="20% - Accent3 2 4 2 2 4 4" xfId="34935" xr:uid="{00000000-0005-0000-0000-00001E140000}"/>
    <cellStyle name="20% - Accent3 2 4 2 2 5" xfId="16737" xr:uid="{00000000-0005-0000-0000-00001F140000}"/>
    <cellStyle name="20% - Accent3 2 4 2 2 5 2" xfId="21201" xr:uid="{00000000-0005-0000-0000-000020140000}"/>
    <cellStyle name="20% - Accent3 2 4 2 2 5 2 2" xfId="31569" xr:uid="{00000000-0005-0000-0000-000021140000}"/>
    <cellStyle name="20% - Accent3 2 4 2 2 5 2 2 2" xfId="50758" xr:uid="{00000000-0005-0000-0000-000022140000}"/>
    <cellStyle name="20% - Accent3 2 4 2 2 5 2 3" xfId="41060" xr:uid="{00000000-0005-0000-0000-000023140000}"/>
    <cellStyle name="20% - Accent3 2 4 2 2 5 3" xfId="27114" xr:uid="{00000000-0005-0000-0000-000024140000}"/>
    <cellStyle name="20% - Accent3 2 4 2 2 5 3 2" xfId="46303" xr:uid="{00000000-0005-0000-0000-000025140000}"/>
    <cellStyle name="20% - Accent3 2 4 2 2 5 4" xfId="36605" xr:uid="{00000000-0005-0000-0000-000026140000}"/>
    <cellStyle name="20% - Accent3 2 4 2 2 6" xfId="17303" xr:uid="{00000000-0005-0000-0000-000027140000}"/>
    <cellStyle name="20% - Accent3 2 4 2 2 6 2" xfId="21758" xr:uid="{00000000-0005-0000-0000-000028140000}"/>
    <cellStyle name="20% - Accent3 2 4 2 2 6 2 2" xfId="32126" xr:uid="{00000000-0005-0000-0000-000029140000}"/>
    <cellStyle name="20% - Accent3 2 4 2 2 6 2 2 2" xfId="51315" xr:uid="{00000000-0005-0000-0000-00002A140000}"/>
    <cellStyle name="20% - Accent3 2 4 2 2 6 2 3" xfId="41617" xr:uid="{00000000-0005-0000-0000-00002B140000}"/>
    <cellStyle name="20% - Accent3 2 4 2 2 6 3" xfId="27671" xr:uid="{00000000-0005-0000-0000-00002C140000}"/>
    <cellStyle name="20% - Accent3 2 4 2 2 6 3 2" xfId="46860" xr:uid="{00000000-0005-0000-0000-00002D140000}"/>
    <cellStyle name="20% - Accent3 2 4 2 2 6 4" xfId="37162" xr:uid="{00000000-0005-0000-0000-00002E140000}"/>
    <cellStyle name="20% - Accent3 2 4 2 2 7" xfId="17860" xr:uid="{00000000-0005-0000-0000-00002F140000}"/>
    <cellStyle name="20% - Accent3 2 4 2 2 7 2" xfId="28228" xr:uid="{00000000-0005-0000-0000-000030140000}"/>
    <cellStyle name="20% - Accent3 2 4 2 2 7 2 2" xfId="47417" xr:uid="{00000000-0005-0000-0000-000031140000}"/>
    <cellStyle name="20% - Accent3 2 4 2 2 7 3" xfId="37719" xr:uid="{00000000-0005-0000-0000-000032140000}"/>
    <cellStyle name="20% - Accent3 2 4 2 2 8" xfId="23723" xr:uid="{00000000-0005-0000-0000-000033140000}"/>
    <cellStyle name="20% - Accent3 2 4 2 2 8 2" xfId="42962" xr:uid="{00000000-0005-0000-0000-000034140000}"/>
    <cellStyle name="20% - Accent3 2 4 2 2 9" xfId="33264" xr:uid="{00000000-0005-0000-0000-000035140000}"/>
    <cellStyle name="20% - Accent3 2 4 2 3" xfId="12965" xr:uid="{00000000-0005-0000-0000-000036140000}"/>
    <cellStyle name="20% - Accent3 2 4 2 3 10" xfId="53650" xr:uid="{00000000-0005-0000-0000-000037140000}"/>
    <cellStyle name="20% - Accent3 2 4 2 3 2" xfId="13917" xr:uid="{00000000-0005-0000-0000-000038140000}"/>
    <cellStyle name="20% - Accent3 2 4 2 3 2 2" xfId="16181" xr:uid="{00000000-0005-0000-0000-000039140000}"/>
    <cellStyle name="20% - Accent3 2 4 2 3 2 2 2" xfId="20645" xr:uid="{00000000-0005-0000-0000-00003A140000}"/>
    <cellStyle name="20% - Accent3 2 4 2 3 2 2 2 2" xfId="31013" xr:uid="{00000000-0005-0000-0000-00003B140000}"/>
    <cellStyle name="20% - Accent3 2 4 2 3 2 2 2 2 2" xfId="50202" xr:uid="{00000000-0005-0000-0000-00003C140000}"/>
    <cellStyle name="20% - Accent3 2 4 2 3 2 2 2 3" xfId="40504" xr:uid="{00000000-0005-0000-0000-00003D140000}"/>
    <cellStyle name="20% - Accent3 2 4 2 3 2 2 3" xfId="26558" xr:uid="{00000000-0005-0000-0000-00003E140000}"/>
    <cellStyle name="20% - Accent3 2 4 2 3 2 2 3 2" xfId="45747" xr:uid="{00000000-0005-0000-0000-00003F140000}"/>
    <cellStyle name="20% - Accent3 2 4 2 3 2 2 4" xfId="36049" xr:uid="{00000000-0005-0000-0000-000040140000}"/>
    <cellStyle name="20% - Accent3 2 4 2 3 2 3" xfId="18417" xr:uid="{00000000-0005-0000-0000-000041140000}"/>
    <cellStyle name="20% - Accent3 2 4 2 3 2 3 2" xfId="28785" xr:uid="{00000000-0005-0000-0000-000042140000}"/>
    <cellStyle name="20% - Accent3 2 4 2 3 2 3 2 2" xfId="47974" xr:uid="{00000000-0005-0000-0000-000043140000}"/>
    <cellStyle name="20% - Accent3 2 4 2 3 2 3 3" xfId="38276" xr:uid="{00000000-0005-0000-0000-000044140000}"/>
    <cellStyle name="20% - Accent3 2 4 2 3 2 4" xfId="24325" xr:uid="{00000000-0005-0000-0000-000045140000}"/>
    <cellStyle name="20% - Accent3 2 4 2 3 2 4 2" xfId="43519" xr:uid="{00000000-0005-0000-0000-000046140000}"/>
    <cellStyle name="20% - Accent3 2 4 2 3 2 5" xfId="33821" xr:uid="{00000000-0005-0000-0000-000047140000}"/>
    <cellStyle name="20% - Accent3 2 4 2 3 3" xfId="14496" xr:uid="{00000000-0005-0000-0000-000048140000}"/>
    <cellStyle name="20% - Accent3 2 4 2 3 3 2" xfId="15625" xr:uid="{00000000-0005-0000-0000-000049140000}"/>
    <cellStyle name="20% - Accent3 2 4 2 3 3 2 2" xfId="20089" xr:uid="{00000000-0005-0000-0000-00004A140000}"/>
    <cellStyle name="20% - Accent3 2 4 2 3 3 2 2 2" xfId="30457" xr:uid="{00000000-0005-0000-0000-00004B140000}"/>
    <cellStyle name="20% - Accent3 2 4 2 3 3 2 2 2 2" xfId="49646" xr:uid="{00000000-0005-0000-0000-00004C140000}"/>
    <cellStyle name="20% - Accent3 2 4 2 3 3 2 2 3" xfId="39948" xr:uid="{00000000-0005-0000-0000-00004D140000}"/>
    <cellStyle name="20% - Accent3 2 4 2 3 3 2 3" xfId="26002" xr:uid="{00000000-0005-0000-0000-00004E140000}"/>
    <cellStyle name="20% - Accent3 2 4 2 3 3 2 3 2" xfId="45191" xr:uid="{00000000-0005-0000-0000-00004F140000}"/>
    <cellStyle name="20% - Accent3 2 4 2 3 3 2 4" xfId="35493" xr:uid="{00000000-0005-0000-0000-000050140000}"/>
    <cellStyle name="20% - Accent3 2 4 2 3 3 3" xfId="18974" xr:uid="{00000000-0005-0000-0000-000051140000}"/>
    <cellStyle name="20% - Accent3 2 4 2 3 3 3 2" xfId="29342" xr:uid="{00000000-0005-0000-0000-000052140000}"/>
    <cellStyle name="20% - Accent3 2 4 2 3 3 3 2 2" xfId="48531" xr:uid="{00000000-0005-0000-0000-000053140000}"/>
    <cellStyle name="20% - Accent3 2 4 2 3 3 3 3" xfId="38833" xr:uid="{00000000-0005-0000-0000-000054140000}"/>
    <cellStyle name="20% - Accent3 2 4 2 3 3 4" xfId="24887" xr:uid="{00000000-0005-0000-0000-000055140000}"/>
    <cellStyle name="20% - Accent3 2 4 2 3 3 4 2" xfId="44076" xr:uid="{00000000-0005-0000-0000-000056140000}"/>
    <cellStyle name="20% - Accent3 2 4 2 3 3 5" xfId="34378" xr:uid="{00000000-0005-0000-0000-000057140000}"/>
    <cellStyle name="20% - Accent3 2 4 2 3 4" xfId="15068" xr:uid="{00000000-0005-0000-0000-000058140000}"/>
    <cellStyle name="20% - Accent3 2 4 2 3 4 2" xfId="19532" xr:uid="{00000000-0005-0000-0000-000059140000}"/>
    <cellStyle name="20% - Accent3 2 4 2 3 4 2 2" xfId="29900" xr:uid="{00000000-0005-0000-0000-00005A140000}"/>
    <cellStyle name="20% - Accent3 2 4 2 3 4 2 2 2" xfId="49089" xr:uid="{00000000-0005-0000-0000-00005B140000}"/>
    <cellStyle name="20% - Accent3 2 4 2 3 4 2 3" xfId="39391" xr:uid="{00000000-0005-0000-0000-00005C140000}"/>
    <cellStyle name="20% - Accent3 2 4 2 3 4 3" xfId="25445" xr:uid="{00000000-0005-0000-0000-00005D140000}"/>
    <cellStyle name="20% - Accent3 2 4 2 3 4 3 2" xfId="44634" xr:uid="{00000000-0005-0000-0000-00005E140000}"/>
    <cellStyle name="20% - Accent3 2 4 2 3 4 4" xfId="34936" xr:uid="{00000000-0005-0000-0000-00005F140000}"/>
    <cellStyle name="20% - Accent3 2 4 2 3 5" xfId="16738" xr:uid="{00000000-0005-0000-0000-000060140000}"/>
    <cellStyle name="20% - Accent3 2 4 2 3 5 2" xfId="21202" xr:uid="{00000000-0005-0000-0000-000061140000}"/>
    <cellStyle name="20% - Accent3 2 4 2 3 5 2 2" xfId="31570" xr:uid="{00000000-0005-0000-0000-000062140000}"/>
    <cellStyle name="20% - Accent3 2 4 2 3 5 2 2 2" xfId="50759" xr:uid="{00000000-0005-0000-0000-000063140000}"/>
    <cellStyle name="20% - Accent3 2 4 2 3 5 2 3" xfId="41061" xr:uid="{00000000-0005-0000-0000-000064140000}"/>
    <cellStyle name="20% - Accent3 2 4 2 3 5 3" xfId="27115" xr:uid="{00000000-0005-0000-0000-000065140000}"/>
    <cellStyle name="20% - Accent3 2 4 2 3 5 3 2" xfId="46304" xr:uid="{00000000-0005-0000-0000-000066140000}"/>
    <cellStyle name="20% - Accent3 2 4 2 3 5 4" xfId="36606" xr:uid="{00000000-0005-0000-0000-000067140000}"/>
    <cellStyle name="20% - Accent3 2 4 2 3 6" xfId="17304" xr:uid="{00000000-0005-0000-0000-000068140000}"/>
    <cellStyle name="20% - Accent3 2 4 2 3 6 2" xfId="21759" xr:uid="{00000000-0005-0000-0000-000069140000}"/>
    <cellStyle name="20% - Accent3 2 4 2 3 6 2 2" xfId="32127" xr:uid="{00000000-0005-0000-0000-00006A140000}"/>
    <cellStyle name="20% - Accent3 2 4 2 3 6 2 2 2" xfId="51316" xr:uid="{00000000-0005-0000-0000-00006B140000}"/>
    <cellStyle name="20% - Accent3 2 4 2 3 6 2 3" xfId="41618" xr:uid="{00000000-0005-0000-0000-00006C140000}"/>
    <cellStyle name="20% - Accent3 2 4 2 3 6 3" xfId="27672" xr:uid="{00000000-0005-0000-0000-00006D140000}"/>
    <cellStyle name="20% - Accent3 2 4 2 3 6 3 2" xfId="46861" xr:uid="{00000000-0005-0000-0000-00006E140000}"/>
    <cellStyle name="20% - Accent3 2 4 2 3 6 4" xfId="37163" xr:uid="{00000000-0005-0000-0000-00006F140000}"/>
    <cellStyle name="20% - Accent3 2 4 2 3 7" xfId="17861" xr:uid="{00000000-0005-0000-0000-000070140000}"/>
    <cellStyle name="20% - Accent3 2 4 2 3 7 2" xfId="28229" xr:uid="{00000000-0005-0000-0000-000071140000}"/>
    <cellStyle name="20% - Accent3 2 4 2 3 7 2 2" xfId="47418" xr:uid="{00000000-0005-0000-0000-000072140000}"/>
    <cellStyle name="20% - Accent3 2 4 2 3 7 3" xfId="37720" xr:uid="{00000000-0005-0000-0000-000073140000}"/>
    <cellStyle name="20% - Accent3 2 4 2 3 8" xfId="23724" xr:uid="{00000000-0005-0000-0000-000074140000}"/>
    <cellStyle name="20% - Accent3 2 4 2 3 8 2" xfId="42963" xr:uid="{00000000-0005-0000-0000-000075140000}"/>
    <cellStyle name="20% - Accent3 2 4 2 3 9" xfId="33265" xr:uid="{00000000-0005-0000-0000-000076140000}"/>
    <cellStyle name="20% - Accent3 2 4 2 4" xfId="13915" xr:uid="{00000000-0005-0000-0000-000077140000}"/>
    <cellStyle name="20% - Accent3 2 4 2 4 2" xfId="16179" xr:uid="{00000000-0005-0000-0000-000078140000}"/>
    <cellStyle name="20% - Accent3 2 4 2 4 2 2" xfId="20643" xr:uid="{00000000-0005-0000-0000-000079140000}"/>
    <cellStyle name="20% - Accent3 2 4 2 4 2 2 2" xfId="31011" xr:uid="{00000000-0005-0000-0000-00007A140000}"/>
    <cellStyle name="20% - Accent3 2 4 2 4 2 2 2 2" xfId="50200" xr:uid="{00000000-0005-0000-0000-00007B140000}"/>
    <cellStyle name="20% - Accent3 2 4 2 4 2 2 3" xfId="40502" xr:uid="{00000000-0005-0000-0000-00007C140000}"/>
    <cellStyle name="20% - Accent3 2 4 2 4 2 3" xfId="26556" xr:uid="{00000000-0005-0000-0000-00007D140000}"/>
    <cellStyle name="20% - Accent3 2 4 2 4 2 3 2" xfId="45745" xr:uid="{00000000-0005-0000-0000-00007E140000}"/>
    <cellStyle name="20% - Accent3 2 4 2 4 2 4" xfId="36047" xr:uid="{00000000-0005-0000-0000-00007F140000}"/>
    <cellStyle name="20% - Accent3 2 4 2 4 3" xfId="18415" xr:uid="{00000000-0005-0000-0000-000080140000}"/>
    <cellStyle name="20% - Accent3 2 4 2 4 3 2" xfId="28783" xr:uid="{00000000-0005-0000-0000-000081140000}"/>
    <cellStyle name="20% - Accent3 2 4 2 4 3 2 2" xfId="47972" xr:uid="{00000000-0005-0000-0000-000082140000}"/>
    <cellStyle name="20% - Accent3 2 4 2 4 3 3" xfId="38274" xr:uid="{00000000-0005-0000-0000-000083140000}"/>
    <cellStyle name="20% - Accent3 2 4 2 4 4" xfId="24323" xr:uid="{00000000-0005-0000-0000-000084140000}"/>
    <cellStyle name="20% - Accent3 2 4 2 4 4 2" xfId="43517" xr:uid="{00000000-0005-0000-0000-000085140000}"/>
    <cellStyle name="20% - Accent3 2 4 2 4 5" xfId="33819" xr:uid="{00000000-0005-0000-0000-000086140000}"/>
    <cellStyle name="20% - Accent3 2 4 2 5" xfId="14494" xr:uid="{00000000-0005-0000-0000-000087140000}"/>
    <cellStyle name="20% - Accent3 2 4 2 5 2" xfId="15623" xr:uid="{00000000-0005-0000-0000-000088140000}"/>
    <cellStyle name="20% - Accent3 2 4 2 5 2 2" xfId="20087" xr:uid="{00000000-0005-0000-0000-000089140000}"/>
    <cellStyle name="20% - Accent3 2 4 2 5 2 2 2" xfId="30455" xr:uid="{00000000-0005-0000-0000-00008A140000}"/>
    <cellStyle name="20% - Accent3 2 4 2 5 2 2 2 2" xfId="49644" xr:uid="{00000000-0005-0000-0000-00008B140000}"/>
    <cellStyle name="20% - Accent3 2 4 2 5 2 2 3" xfId="39946" xr:uid="{00000000-0005-0000-0000-00008C140000}"/>
    <cellStyle name="20% - Accent3 2 4 2 5 2 3" xfId="26000" xr:uid="{00000000-0005-0000-0000-00008D140000}"/>
    <cellStyle name="20% - Accent3 2 4 2 5 2 3 2" xfId="45189" xr:uid="{00000000-0005-0000-0000-00008E140000}"/>
    <cellStyle name="20% - Accent3 2 4 2 5 2 4" xfId="35491" xr:uid="{00000000-0005-0000-0000-00008F140000}"/>
    <cellStyle name="20% - Accent3 2 4 2 5 3" xfId="18972" xr:uid="{00000000-0005-0000-0000-000090140000}"/>
    <cellStyle name="20% - Accent3 2 4 2 5 3 2" xfId="29340" xr:uid="{00000000-0005-0000-0000-000091140000}"/>
    <cellStyle name="20% - Accent3 2 4 2 5 3 2 2" xfId="48529" xr:uid="{00000000-0005-0000-0000-000092140000}"/>
    <cellStyle name="20% - Accent3 2 4 2 5 3 3" xfId="38831" xr:uid="{00000000-0005-0000-0000-000093140000}"/>
    <cellStyle name="20% - Accent3 2 4 2 5 4" xfId="24885" xr:uid="{00000000-0005-0000-0000-000094140000}"/>
    <cellStyle name="20% - Accent3 2 4 2 5 4 2" xfId="44074" xr:uid="{00000000-0005-0000-0000-000095140000}"/>
    <cellStyle name="20% - Accent3 2 4 2 5 5" xfId="34376" xr:uid="{00000000-0005-0000-0000-000096140000}"/>
    <cellStyle name="20% - Accent3 2 4 2 6" xfId="15066" xr:uid="{00000000-0005-0000-0000-000097140000}"/>
    <cellStyle name="20% - Accent3 2 4 2 6 2" xfId="19530" xr:uid="{00000000-0005-0000-0000-000098140000}"/>
    <cellStyle name="20% - Accent3 2 4 2 6 2 2" xfId="29898" xr:uid="{00000000-0005-0000-0000-000099140000}"/>
    <cellStyle name="20% - Accent3 2 4 2 6 2 2 2" xfId="49087" xr:uid="{00000000-0005-0000-0000-00009A140000}"/>
    <cellStyle name="20% - Accent3 2 4 2 6 2 3" xfId="39389" xr:uid="{00000000-0005-0000-0000-00009B140000}"/>
    <cellStyle name="20% - Accent3 2 4 2 6 3" xfId="25443" xr:uid="{00000000-0005-0000-0000-00009C140000}"/>
    <cellStyle name="20% - Accent3 2 4 2 6 3 2" xfId="44632" xr:uid="{00000000-0005-0000-0000-00009D140000}"/>
    <cellStyle name="20% - Accent3 2 4 2 6 4" xfId="34934" xr:uid="{00000000-0005-0000-0000-00009E140000}"/>
    <cellStyle name="20% - Accent3 2 4 2 7" xfId="16736" xr:uid="{00000000-0005-0000-0000-00009F140000}"/>
    <cellStyle name="20% - Accent3 2 4 2 7 2" xfId="21200" xr:uid="{00000000-0005-0000-0000-0000A0140000}"/>
    <cellStyle name="20% - Accent3 2 4 2 7 2 2" xfId="31568" xr:uid="{00000000-0005-0000-0000-0000A1140000}"/>
    <cellStyle name="20% - Accent3 2 4 2 7 2 2 2" xfId="50757" xr:uid="{00000000-0005-0000-0000-0000A2140000}"/>
    <cellStyle name="20% - Accent3 2 4 2 7 2 3" xfId="41059" xr:uid="{00000000-0005-0000-0000-0000A3140000}"/>
    <cellStyle name="20% - Accent3 2 4 2 7 3" xfId="27113" xr:uid="{00000000-0005-0000-0000-0000A4140000}"/>
    <cellStyle name="20% - Accent3 2 4 2 7 3 2" xfId="46302" xr:uid="{00000000-0005-0000-0000-0000A5140000}"/>
    <cellStyle name="20% - Accent3 2 4 2 7 4" xfId="36604" xr:uid="{00000000-0005-0000-0000-0000A6140000}"/>
    <cellStyle name="20% - Accent3 2 4 2 8" xfId="17302" xr:uid="{00000000-0005-0000-0000-0000A7140000}"/>
    <cellStyle name="20% - Accent3 2 4 2 8 2" xfId="21757" xr:uid="{00000000-0005-0000-0000-0000A8140000}"/>
    <cellStyle name="20% - Accent3 2 4 2 8 2 2" xfId="32125" xr:uid="{00000000-0005-0000-0000-0000A9140000}"/>
    <cellStyle name="20% - Accent3 2 4 2 8 2 2 2" xfId="51314" xr:uid="{00000000-0005-0000-0000-0000AA140000}"/>
    <cellStyle name="20% - Accent3 2 4 2 8 2 3" xfId="41616" xr:uid="{00000000-0005-0000-0000-0000AB140000}"/>
    <cellStyle name="20% - Accent3 2 4 2 8 3" xfId="27670" xr:uid="{00000000-0005-0000-0000-0000AC140000}"/>
    <cellStyle name="20% - Accent3 2 4 2 8 3 2" xfId="46859" xr:uid="{00000000-0005-0000-0000-0000AD140000}"/>
    <cellStyle name="20% - Accent3 2 4 2 8 4" xfId="37161" xr:uid="{00000000-0005-0000-0000-0000AE140000}"/>
    <cellStyle name="20% - Accent3 2 4 2 9" xfId="17859" xr:uid="{00000000-0005-0000-0000-0000AF140000}"/>
    <cellStyle name="20% - Accent3 2 4 2 9 2" xfId="28227" xr:uid="{00000000-0005-0000-0000-0000B0140000}"/>
    <cellStyle name="20% - Accent3 2 4 2 9 2 2" xfId="47416" xr:uid="{00000000-0005-0000-0000-0000B1140000}"/>
    <cellStyle name="20% - Accent3 2 4 2 9 3" xfId="37718" xr:uid="{00000000-0005-0000-0000-0000B2140000}"/>
    <cellStyle name="20% - Accent3 2 4 3" xfId="12966" xr:uid="{00000000-0005-0000-0000-0000B3140000}"/>
    <cellStyle name="20% - Accent3 2 4 3 10" xfId="23725" xr:uid="{00000000-0005-0000-0000-0000B4140000}"/>
    <cellStyle name="20% - Accent3 2 4 3 10 2" xfId="42964" xr:uid="{00000000-0005-0000-0000-0000B5140000}"/>
    <cellStyle name="20% - Accent3 2 4 3 11" xfId="33266" xr:uid="{00000000-0005-0000-0000-0000B6140000}"/>
    <cellStyle name="20% - Accent3 2 4 3 12" xfId="52975" xr:uid="{00000000-0005-0000-0000-0000B7140000}"/>
    <cellStyle name="20% - Accent3 2 4 3 2" xfId="12967" xr:uid="{00000000-0005-0000-0000-0000B8140000}"/>
    <cellStyle name="20% - Accent3 2 4 3 2 10" xfId="53850" xr:uid="{00000000-0005-0000-0000-0000B9140000}"/>
    <cellStyle name="20% - Accent3 2 4 3 2 2" xfId="13919" xr:uid="{00000000-0005-0000-0000-0000BA140000}"/>
    <cellStyle name="20% - Accent3 2 4 3 2 2 2" xfId="16183" xr:uid="{00000000-0005-0000-0000-0000BB140000}"/>
    <cellStyle name="20% - Accent3 2 4 3 2 2 2 2" xfId="20647" xr:uid="{00000000-0005-0000-0000-0000BC140000}"/>
    <cellStyle name="20% - Accent3 2 4 3 2 2 2 2 2" xfId="31015" xr:uid="{00000000-0005-0000-0000-0000BD140000}"/>
    <cellStyle name="20% - Accent3 2 4 3 2 2 2 2 2 2" xfId="50204" xr:uid="{00000000-0005-0000-0000-0000BE140000}"/>
    <cellStyle name="20% - Accent3 2 4 3 2 2 2 2 3" xfId="40506" xr:uid="{00000000-0005-0000-0000-0000BF140000}"/>
    <cellStyle name="20% - Accent3 2 4 3 2 2 2 3" xfId="26560" xr:uid="{00000000-0005-0000-0000-0000C0140000}"/>
    <cellStyle name="20% - Accent3 2 4 3 2 2 2 3 2" xfId="45749" xr:uid="{00000000-0005-0000-0000-0000C1140000}"/>
    <cellStyle name="20% - Accent3 2 4 3 2 2 2 4" xfId="36051" xr:uid="{00000000-0005-0000-0000-0000C2140000}"/>
    <cellStyle name="20% - Accent3 2 4 3 2 2 3" xfId="18419" xr:uid="{00000000-0005-0000-0000-0000C3140000}"/>
    <cellStyle name="20% - Accent3 2 4 3 2 2 3 2" xfId="28787" xr:uid="{00000000-0005-0000-0000-0000C4140000}"/>
    <cellStyle name="20% - Accent3 2 4 3 2 2 3 2 2" xfId="47976" xr:uid="{00000000-0005-0000-0000-0000C5140000}"/>
    <cellStyle name="20% - Accent3 2 4 3 2 2 3 3" xfId="38278" xr:uid="{00000000-0005-0000-0000-0000C6140000}"/>
    <cellStyle name="20% - Accent3 2 4 3 2 2 4" xfId="24327" xr:uid="{00000000-0005-0000-0000-0000C7140000}"/>
    <cellStyle name="20% - Accent3 2 4 3 2 2 4 2" xfId="43521" xr:uid="{00000000-0005-0000-0000-0000C8140000}"/>
    <cellStyle name="20% - Accent3 2 4 3 2 2 5" xfId="33823" xr:uid="{00000000-0005-0000-0000-0000C9140000}"/>
    <cellStyle name="20% - Accent3 2 4 3 2 3" xfId="14498" xr:uid="{00000000-0005-0000-0000-0000CA140000}"/>
    <cellStyle name="20% - Accent3 2 4 3 2 3 2" xfId="15627" xr:uid="{00000000-0005-0000-0000-0000CB140000}"/>
    <cellStyle name="20% - Accent3 2 4 3 2 3 2 2" xfId="20091" xr:uid="{00000000-0005-0000-0000-0000CC140000}"/>
    <cellStyle name="20% - Accent3 2 4 3 2 3 2 2 2" xfId="30459" xr:uid="{00000000-0005-0000-0000-0000CD140000}"/>
    <cellStyle name="20% - Accent3 2 4 3 2 3 2 2 2 2" xfId="49648" xr:uid="{00000000-0005-0000-0000-0000CE140000}"/>
    <cellStyle name="20% - Accent3 2 4 3 2 3 2 2 3" xfId="39950" xr:uid="{00000000-0005-0000-0000-0000CF140000}"/>
    <cellStyle name="20% - Accent3 2 4 3 2 3 2 3" xfId="26004" xr:uid="{00000000-0005-0000-0000-0000D0140000}"/>
    <cellStyle name="20% - Accent3 2 4 3 2 3 2 3 2" xfId="45193" xr:uid="{00000000-0005-0000-0000-0000D1140000}"/>
    <cellStyle name="20% - Accent3 2 4 3 2 3 2 4" xfId="35495" xr:uid="{00000000-0005-0000-0000-0000D2140000}"/>
    <cellStyle name="20% - Accent3 2 4 3 2 3 3" xfId="18976" xr:uid="{00000000-0005-0000-0000-0000D3140000}"/>
    <cellStyle name="20% - Accent3 2 4 3 2 3 3 2" xfId="29344" xr:uid="{00000000-0005-0000-0000-0000D4140000}"/>
    <cellStyle name="20% - Accent3 2 4 3 2 3 3 2 2" xfId="48533" xr:uid="{00000000-0005-0000-0000-0000D5140000}"/>
    <cellStyle name="20% - Accent3 2 4 3 2 3 3 3" xfId="38835" xr:uid="{00000000-0005-0000-0000-0000D6140000}"/>
    <cellStyle name="20% - Accent3 2 4 3 2 3 4" xfId="24889" xr:uid="{00000000-0005-0000-0000-0000D7140000}"/>
    <cellStyle name="20% - Accent3 2 4 3 2 3 4 2" xfId="44078" xr:uid="{00000000-0005-0000-0000-0000D8140000}"/>
    <cellStyle name="20% - Accent3 2 4 3 2 3 5" xfId="34380" xr:uid="{00000000-0005-0000-0000-0000D9140000}"/>
    <cellStyle name="20% - Accent3 2 4 3 2 4" xfId="15070" xr:uid="{00000000-0005-0000-0000-0000DA140000}"/>
    <cellStyle name="20% - Accent3 2 4 3 2 4 2" xfId="19534" xr:uid="{00000000-0005-0000-0000-0000DB140000}"/>
    <cellStyle name="20% - Accent3 2 4 3 2 4 2 2" xfId="29902" xr:uid="{00000000-0005-0000-0000-0000DC140000}"/>
    <cellStyle name="20% - Accent3 2 4 3 2 4 2 2 2" xfId="49091" xr:uid="{00000000-0005-0000-0000-0000DD140000}"/>
    <cellStyle name="20% - Accent3 2 4 3 2 4 2 3" xfId="39393" xr:uid="{00000000-0005-0000-0000-0000DE140000}"/>
    <cellStyle name="20% - Accent3 2 4 3 2 4 3" xfId="25447" xr:uid="{00000000-0005-0000-0000-0000DF140000}"/>
    <cellStyle name="20% - Accent3 2 4 3 2 4 3 2" xfId="44636" xr:uid="{00000000-0005-0000-0000-0000E0140000}"/>
    <cellStyle name="20% - Accent3 2 4 3 2 4 4" xfId="34938" xr:uid="{00000000-0005-0000-0000-0000E1140000}"/>
    <cellStyle name="20% - Accent3 2 4 3 2 5" xfId="16740" xr:uid="{00000000-0005-0000-0000-0000E2140000}"/>
    <cellStyle name="20% - Accent3 2 4 3 2 5 2" xfId="21204" xr:uid="{00000000-0005-0000-0000-0000E3140000}"/>
    <cellStyle name="20% - Accent3 2 4 3 2 5 2 2" xfId="31572" xr:uid="{00000000-0005-0000-0000-0000E4140000}"/>
    <cellStyle name="20% - Accent3 2 4 3 2 5 2 2 2" xfId="50761" xr:uid="{00000000-0005-0000-0000-0000E5140000}"/>
    <cellStyle name="20% - Accent3 2 4 3 2 5 2 3" xfId="41063" xr:uid="{00000000-0005-0000-0000-0000E6140000}"/>
    <cellStyle name="20% - Accent3 2 4 3 2 5 3" xfId="27117" xr:uid="{00000000-0005-0000-0000-0000E7140000}"/>
    <cellStyle name="20% - Accent3 2 4 3 2 5 3 2" xfId="46306" xr:uid="{00000000-0005-0000-0000-0000E8140000}"/>
    <cellStyle name="20% - Accent3 2 4 3 2 5 4" xfId="36608" xr:uid="{00000000-0005-0000-0000-0000E9140000}"/>
    <cellStyle name="20% - Accent3 2 4 3 2 6" xfId="17306" xr:uid="{00000000-0005-0000-0000-0000EA140000}"/>
    <cellStyle name="20% - Accent3 2 4 3 2 6 2" xfId="21761" xr:uid="{00000000-0005-0000-0000-0000EB140000}"/>
    <cellStyle name="20% - Accent3 2 4 3 2 6 2 2" xfId="32129" xr:uid="{00000000-0005-0000-0000-0000EC140000}"/>
    <cellStyle name="20% - Accent3 2 4 3 2 6 2 2 2" xfId="51318" xr:uid="{00000000-0005-0000-0000-0000ED140000}"/>
    <cellStyle name="20% - Accent3 2 4 3 2 6 2 3" xfId="41620" xr:uid="{00000000-0005-0000-0000-0000EE140000}"/>
    <cellStyle name="20% - Accent3 2 4 3 2 6 3" xfId="27674" xr:uid="{00000000-0005-0000-0000-0000EF140000}"/>
    <cellStyle name="20% - Accent3 2 4 3 2 6 3 2" xfId="46863" xr:uid="{00000000-0005-0000-0000-0000F0140000}"/>
    <cellStyle name="20% - Accent3 2 4 3 2 6 4" xfId="37165" xr:uid="{00000000-0005-0000-0000-0000F1140000}"/>
    <cellStyle name="20% - Accent3 2 4 3 2 7" xfId="17863" xr:uid="{00000000-0005-0000-0000-0000F2140000}"/>
    <cellStyle name="20% - Accent3 2 4 3 2 7 2" xfId="28231" xr:uid="{00000000-0005-0000-0000-0000F3140000}"/>
    <cellStyle name="20% - Accent3 2 4 3 2 7 2 2" xfId="47420" xr:uid="{00000000-0005-0000-0000-0000F4140000}"/>
    <cellStyle name="20% - Accent3 2 4 3 2 7 3" xfId="37722" xr:uid="{00000000-0005-0000-0000-0000F5140000}"/>
    <cellStyle name="20% - Accent3 2 4 3 2 8" xfId="23726" xr:uid="{00000000-0005-0000-0000-0000F6140000}"/>
    <cellStyle name="20% - Accent3 2 4 3 2 8 2" xfId="42965" xr:uid="{00000000-0005-0000-0000-0000F7140000}"/>
    <cellStyle name="20% - Accent3 2 4 3 2 9" xfId="33267" xr:uid="{00000000-0005-0000-0000-0000F8140000}"/>
    <cellStyle name="20% - Accent3 2 4 3 3" xfId="12968" xr:uid="{00000000-0005-0000-0000-0000F9140000}"/>
    <cellStyle name="20% - Accent3 2 4 3 3 2" xfId="13920" xr:uid="{00000000-0005-0000-0000-0000FA140000}"/>
    <cellStyle name="20% - Accent3 2 4 3 3 2 2" xfId="16184" xr:uid="{00000000-0005-0000-0000-0000FB140000}"/>
    <cellStyle name="20% - Accent3 2 4 3 3 2 2 2" xfId="20648" xr:uid="{00000000-0005-0000-0000-0000FC140000}"/>
    <cellStyle name="20% - Accent3 2 4 3 3 2 2 2 2" xfId="31016" xr:uid="{00000000-0005-0000-0000-0000FD140000}"/>
    <cellStyle name="20% - Accent3 2 4 3 3 2 2 2 2 2" xfId="50205" xr:uid="{00000000-0005-0000-0000-0000FE140000}"/>
    <cellStyle name="20% - Accent3 2 4 3 3 2 2 2 3" xfId="40507" xr:uid="{00000000-0005-0000-0000-0000FF140000}"/>
    <cellStyle name="20% - Accent3 2 4 3 3 2 2 3" xfId="26561" xr:uid="{00000000-0005-0000-0000-000000150000}"/>
    <cellStyle name="20% - Accent3 2 4 3 3 2 2 3 2" xfId="45750" xr:uid="{00000000-0005-0000-0000-000001150000}"/>
    <cellStyle name="20% - Accent3 2 4 3 3 2 2 4" xfId="36052" xr:uid="{00000000-0005-0000-0000-000002150000}"/>
    <cellStyle name="20% - Accent3 2 4 3 3 2 3" xfId="18420" xr:uid="{00000000-0005-0000-0000-000003150000}"/>
    <cellStyle name="20% - Accent3 2 4 3 3 2 3 2" xfId="28788" xr:uid="{00000000-0005-0000-0000-000004150000}"/>
    <cellStyle name="20% - Accent3 2 4 3 3 2 3 2 2" xfId="47977" xr:uid="{00000000-0005-0000-0000-000005150000}"/>
    <cellStyle name="20% - Accent3 2 4 3 3 2 3 3" xfId="38279" xr:uid="{00000000-0005-0000-0000-000006150000}"/>
    <cellStyle name="20% - Accent3 2 4 3 3 2 4" xfId="24328" xr:uid="{00000000-0005-0000-0000-000007150000}"/>
    <cellStyle name="20% - Accent3 2 4 3 3 2 4 2" xfId="43522" xr:uid="{00000000-0005-0000-0000-000008150000}"/>
    <cellStyle name="20% - Accent3 2 4 3 3 2 5" xfId="33824" xr:uid="{00000000-0005-0000-0000-000009150000}"/>
    <cellStyle name="20% - Accent3 2 4 3 3 3" xfId="14499" xr:uid="{00000000-0005-0000-0000-00000A150000}"/>
    <cellStyle name="20% - Accent3 2 4 3 3 3 2" xfId="15628" xr:uid="{00000000-0005-0000-0000-00000B150000}"/>
    <cellStyle name="20% - Accent3 2 4 3 3 3 2 2" xfId="20092" xr:uid="{00000000-0005-0000-0000-00000C150000}"/>
    <cellStyle name="20% - Accent3 2 4 3 3 3 2 2 2" xfId="30460" xr:uid="{00000000-0005-0000-0000-00000D150000}"/>
    <cellStyle name="20% - Accent3 2 4 3 3 3 2 2 2 2" xfId="49649" xr:uid="{00000000-0005-0000-0000-00000E150000}"/>
    <cellStyle name="20% - Accent3 2 4 3 3 3 2 2 3" xfId="39951" xr:uid="{00000000-0005-0000-0000-00000F150000}"/>
    <cellStyle name="20% - Accent3 2 4 3 3 3 2 3" xfId="26005" xr:uid="{00000000-0005-0000-0000-000010150000}"/>
    <cellStyle name="20% - Accent3 2 4 3 3 3 2 3 2" xfId="45194" xr:uid="{00000000-0005-0000-0000-000011150000}"/>
    <cellStyle name="20% - Accent3 2 4 3 3 3 2 4" xfId="35496" xr:uid="{00000000-0005-0000-0000-000012150000}"/>
    <cellStyle name="20% - Accent3 2 4 3 3 3 3" xfId="18977" xr:uid="{00000000-0005-0000-0000-000013150000}"/>
    <cellStyle name="20% - Accent3 2 4 3 3 3 3 2" xfId="29345" xr:uid="{00000000-0005-0000-0000-000014150000}"/>
    <cellStyle name="20% - Accent3 2 4 3 3 3 3 2 2" xfId="48534" xr:uid="{00000000-0005-0000-0000-000015150000}"/>
    <cellStyle name="20% - Accent3 2 4 3 3 3 3 3" xfId="38836" xr:uid="{00000000-0005-0000-0000-000016150000}"/>
    <cellStyle name="20% - Accent3 2 4 3 3 3 4" xfId="24890" xr:uid="{00000000-0005-0000-0000-000017150000}"/>
    <cellStyle name="20% - Accent3 2 4 3 3 3 4 2" xfId="44079" xr:uid="{00000000-0005-0000-0000-000018150000}"/>
    <cellStyle name="20% - Accent3 2 4 3 3 3 5" xfId="34381" xr:uid="{00000000-0005-0000-0000-000019150000}"/>
    <cellStyle name="20% - Accent3 2 4 3 3 4" xfId="15071" xr:uid="{00000000-0005-0000-0000-00001A150000}"/>
    <cellStyle name="20% - Accent3 2 4 3 3 4 2" xfId="19535" xr:uid="{00000000-0005-0000-0000-00001B150000}"/>
    <cellStyle name="20% - Accent3 2 4 3 3 4 2 2" xfId="29903" xr:uid="{00000000-0005-0000-0000-00001C150000}"/>
    <cellStyle name="20% - Accent3 2 4 3 3 4 2 2 2" xfId="49092" xr:uid="{00000000-0005-0000-0000-00001D150000}"/>
    <cellStyle name="20% - Accent3 2 4 3 3 4 2 3" xfId="39394" xr:uid="{00000000-0005-0000-0000-00001E150000}"/>
    <cellStyle name="20% - Accent3 2 4 3 3 4 3" xfId="25448" xr:uid="{00000000-0005-0000-0000-00001F150000}"/>
    <cellStyle name="20% - Accent3 2 4 3 3 4 3 2" xfId="44637" xr:uid="{00000000-0005-0000-0000-000020150000}"/>
    <cellStyle name="20% - Accent3 2 4 3 3 4 4" xfId="34939" xr:uid="{00000000-0005-0000-0000-000021150000}"/>
    <cellStyle name="20% - Accent3 2 4 3 3 5" xfId="16741" xr:uid="{00000000-0005-0000-0000-000022150000}"/>
    <cellStyle name="20% - Accent3 2 4 3 3 5 2" xfId="21205" xr:uid="{00000000-0005-0000-0000-000023150000}"/>
    <cellStyle name="20% - Accent3 2 4 3 3 5 2 2" xfId="31573" xr:uid="{00000000-0005-0000-0000-000024150000}"/>
    <cellStyle name="20% - Accent3 2 4 3 3 5 2 2 2" xfId="50762" xr:uid="{00000000-0005-0000-0000-000025150000}"/>
    <cellStyle name="20% - Accent3 2 4 3 3 5 2 3" xfId="41064" xr:uid="{00000000-0005-0000-0000-000026150000}"/>
    <cellStyle name="20% - Accent3 2 4 3 3 5 3" xfId="27118" xr:uid="{00000000-0005-0000-0000-000027150000}"/>
    <cellStyle name="20% - Accent3 2 4 3 3 5 3 2" xfId="46307" xr:uid="{00000000-0005-0000-0000-000028150000}"/>
    <cellStyle name="20% - Accent3 2 4 3 3 5 4" xfId="36609" xr:uid="{00000000-0005-0000-0000-000029150000}"/>
    <cellStyle name="20% - Accent3 2 4 3 3 6" xfId="17307" xr:uid="{00000000-0005-0000-0000-00002A150000}"/>
    <cellStyle name="20% - Accent3 2 4 3 3 6 2" xfId="21762" xr:uid="{00000000-0005-0000-0000-00002B150000}"/>
    <cellStyle name="20% - Accent3 2 4 3 3 6 2 2" xfId="32130" xr:uid="{00000000-0005-0000-0000-00002C150000}"/>
    <cellStyle name="20% - Accent3 2 4 3 3 6 2 2 2" xfId="51319" xr:uid="{00000000-0005-0000-0000-00002D150000}"/>
    <cellStyle name="20% - Accent3 2 4 3 3 6 2 3" xfId="41621" xr:uid="{00000000-0005-0000-0000-00002E150000}"/>
    <cellStyle name="20% - Accent3 2 4 3 3 6 3" xfId="27675" xr:uid="{00000000-0005-0000-0000-00002F150000}"/>
    <cellStyle name="20% - Accent3 2 4 3 3 6 3 2" xfId="46864" xr:uid="{00000000-0005-0000-0000-000030150000}"/>
    <cellStyle name="20% - Accent3 2 4 3 3 6 4" xfId="37166" xr:uid="{00000000-0005-0000-0000-000031150000}"/>
    <cellStyle name="20% - Accent3 2 4 3 3 7" xfId="17864" xr:uid="{00000000-0005-0000-0000-000032150000}"/>
    <cellStyle name="20% - Accent3 2 4 3 3 7 2" xfId="28232" xr:uid="{00000000-0005-0000-0000-000033150000}"/>
    <cellStyle name="20% - Accent3 2 4 3 3 7 2 2" xfId="47421" xr:uid="{00000000-0005-0000-0000-000034150000}"/>
    <cellStyle name="20% - Accent3 2 4 3 3 7 3" xfId="37723" xr:uid="{00000000-0005-0000-0000-000035150000}"/>
    <cellStyle name="20% - Accent3 2 4 3 3 8" xfId="23727" xr:uid="{00000000-0005-0000-0000-000036150000}"/>
    <cellStyle name="20% - Accent3 2 4 3 3 8 2" xfId="42966" xr:uid="{00000000-0005-0000-0000-000037150000}"/>
    <cellStyle name="20% - Accent3 2 4 3 3 9" xfId="33268" xr:uid="{00000000-0005-0000-0000-000038150000}"/>
    <cellStyle name="20% - Accent3 2 4 3 4" xfId="13918" xr:uid="{00000000-0005-0000-0000-000039150000}"/>
    <cellStyle name="20% - Accent3 2 4 3 4 2" xfId="16182" xr:uid="{00000000-0005-0000-0000-00003A150000}"/>
    <cellStyle name="20% - Accent3 2 4 3 4 2 2" xfId="20646" xr:uid="{00000000-0005-0000-0000-00003B150000}"/>
    <cellStyle name="20% - Accent3 2 4 3 4 2 2 2" xfId="31014" xr:uid="{00000000-0005-0000-0000-00003C150000}"/>
    <cellStyle name="20% - Accent3 2 4 3 4 2 2 2 2" xfId="50203" xr:uid="{00000000-0005-0000-0000-00003D150000}"/>
    <cellStyle name="20% - Accent3 2 4 3 4 2 2 3" xfId="40505" xr:uid="{00000000-0005-0000-0000-00003E150000}"/>
    <cellStyle name="20% - Accent3 2 4 3 4 2 3" xfId="26559" xr:uid="{00000000-0005-0000-0000-00003F150000}"/>
    <cellStyle name="20% - Accent3 2 4 3 4 2 3 2" xfId="45748" xr:uid="{00000000-0005-0000-0000-000040150000}"/>
    <cellStyle name="20% - Accent3 2 4 3 4 2 4" xfId="36050" xr:uid="{00000000-0005-0000-0000-000041150000}"/>
    <cellStyle name="20% - Accent3 2 4 3 4 3" xfId="18418" xr:uid="{00000000-0005-0000-0000-000042150000}"/>
    <cellStyle name="20% - Accent3 2 4 3 4 3 2" xfId="28786" xr:uid="{00000000-0005-0000-0000-000043150000}"/>
    <cellStyle name="20% - Accent3 2 4 3 4 3 2 2" xfId="47975" xr:uid="{00000000-0005-0000-0000-000044150000}"/>
    <cellStyle name="20% - Accent3 2 4 3 4 3 3" xfId="38277" xr:uid="{00000000-0005-0000-0000-000045150000}"/>
    <cellStyle name="20% - Accent3 2 4 3 4 4" xfId="24326" xr:uid="{00000000-0005-0000-0000-000046150000}"/>
    <cellStyle name="20% - Accent3 2 4 3 4 4 2" xfId="43520" xr:uid="{00000000-0005-0000-0000-000047150000}"/>
    <cellStyle name="20% - Accent3 2 4 3 4 5" xfId="33822" xr:uid="{00000000-0005-0000-0000-000048150000}"/>
    <cellStyle name="20% - Accent3 2 4 3 5" xfId="14497" xr:uid="{00000000-0005-0000-0000-000049150000}"/>
    <cellStyle name="20% - Accent3 2 4 3 5 2" xfId="15626" xr:uid="{00000000-0005-0000-0000-00004A150000}"/>
    <cellStyle name="20% - Accent3 2 4 3 5 2 2" xfId="20090" xr:uid="{00000000-0005-0000-0000-00004B150000}"/>
    <cellStyle name="20% - Accent3 2 4 3 5 2 2 2" xfId="30458" xr:uid="{00000000-0005-0000-0000-00004C150000}"/>
    <cellStyle name="20% - Accent3 2 4 3 5 2 2 2 2" xfId="49647" xr:uid="{00000000-0005-0000-0000-00004D150000}"/>
    <cellStyle name="20% - Accent3 2 4 3 5 2 2 3" xfId="39949" xr:uid="{00000000-0005-0000-0000-00004E150000}"/>
    <cellStyle name="20% - Accent3 2 4 3 5 2 3" xfId="26003" xr:uid="{00000000-0005-0000-0000-00004F150000}"/>
    <cellStyle name="20% - Accent3 2 4 3 5 2 3 2" xfId="45192" xr:uid="{00000000-0005-0000-0000-000050150000}"/>
    <cellStyle name="20% - Accent3 2 4 3 5 2 4" xfId="35494" xr:uid="{00000000-0005-0000-0000-000051150000}"/>
    <cellStyle name="20% - Accent3 2 4 3 5 3" xfId="18975" xr:uid="{00000000-0005-0000-0000-000052150000}"/>
    <cellStyle name="20% - Accent3 2 4 3 5 3 2" xfId="29343" xr:uid="{00000000-0005-0000-0000-000053150000}"/>
    <cellStyle name="20% - Accent3 2 4 3 5 3 2 2" xfId="48532" xr:uid="{00000000-0005-0000-0000-000054150000}"/>
    <cellStyle name="20% - Accent3 2 4 3 5 3 3" xfId="38834" xr:uid="{00000000-0005-0000-0000-000055150000}"/>
    <cellStyle name="20% - Accent3 2 4 3 5 4" xfId="24888" xr:uid="{00000000-0005-0000-0000-000056150000}"/>
    <cellStyle name="20% - Accent3 2 4 3 5 4 2" xfId="44077" xr:uid="{00000000-0005-0000-0000-000057150000}"/>
    <cellStyle name="20% - Accent3 2 4 3 5 5" xfId="34379" xr:uid="{00000000-0005-0000-0000-000058150000}"/>
    <cellStyle name="20% - Accent3 2 4 3 6" xfId="15069" xr:uid="{00000000-0005-0000-0000-000059150000}"/>
    <cellStyle name="20% - Accent3 2 4 3 6 2" xfId="19533" xr:uid="{00000000-0005-0000-0000-00005A150000}"/>
    <cellStyle name="20% - Accent3 2 4 3 6 2 2" xfId="29901" xr:uid="{00000000-0005-0000-0000-00005B150000}"/>
    <cellStyle name="20% - Accent3 2 4 3 6 2 2 2" xfId="49090" xr:uid="{00000000-0005-0000-0000-00005C150000}"/>
    <cellStyle name="20% - Accent3 2 4 3 6 2 3" xfId="39392" xr:uid="{00000000-0005-0000-0000-00005D150000}"/>
    <cellStyle name="20% - Accent3 2 4 3 6 3" xfId="25446" xr:uid="{00000000-0005-0000-0000-00005E150000}"/>
    <cellStyle name="20% - Accent3 2 4 3 6 3 2" xfId="44635" xr:uid="{00000000-0005-0000-0000-00005F150000}"/>
    <cellStyle name="20% - Accent3 2 4 3 6 4" xfId="34937" xr:uid="{00000000-0005-0000-0000-000060150000}"/>
    <cellStyle name="20% - Accent3 2 4 3 7" xfId="16739" xr:uid="{00000000-0005-0000-0000-000061150000}"/>
    <cellStyle name="20% - Accent3 2 4 3 7 2" xfId="21203" xr:uid="{00000000-0005-0000-0000-000062150000}"/>
    <cellStyle name="20% - Accent3 2 4 3 7 2 2" xfId="31571" xr:uid="{00000000-0005-0000-0000-000063150000}"/>
    <cellStyle name="20% - Accent3 2 4 3 7 2 2 2" xfId="50760" xr:uid="{00000000-0005-0000-0000-000064150000}"/>
    <cellStyle name="20% - Accent3 2 4 3 7 2 3" xfId="41062" xr:uid="{00000000-0005-0000-0000-000065150000}"/>
    <cellStyle name="20% - Accent3 2 4 3 7 3" xfId="27116" xr:uid="{00000000-0005-0000-0000-000066150000}"/>
    <cellStyle name="20% - Accent3 2 4 3 7 3 2" xfId="46305" xr:uid="{00000000-0005-0000-0000-000067150000}"/>
    <cellStyle name="20% - Accent3 2 4 3 7 4" xfId="36607" xr:uid="{00000000-0005-0000-0000-000068150000}"/>
    <cellStyle name="20% - Accent3 2 4 3 8" xfId="17305" xr:uid="{00000000-0005-0000-0000-000069150000}"/>
    <cellStyle name="20% - Accent3 2 4 3 8 2" xfId="21760" xr:uid="{00000000-0005-0000-0000-00006A150000}"/>
    <cellStyle name="20% - Accent3 2 4 3 8 2 2" xfId="32128" xr:uid="{00000000-0005-0000-0000-00006B150000}"/>
    <cellStyle name="20% - Accent3 2 4 3 8 2 2 2" xfId="51317" xr:uid="{00000000-0005-0000-0000-00006C150000}"/>
    <cellStyle name="20% - Accent3 2 4 3 8 2 3" xfId="41619" xr:uid="{00000000-0005-0000-0000-00006D150000}"/>
    <cellStyle name="20% - Accent3 2 4 3 8 3" xfId="27673" xr:uid="{00000000-0005-0000-0000-00006E150000}"/>
    <cellStyle name="20% - Accent3 2 4 3 8 3 2" xfId="46862" xr:uid="{00000000-0005-0000-0000-00006F150000}"/>
    <cellStyle name="20% - Accent3 2 4 3 8 4" xfId="37164" xr:uid="{00000000-0005-0000-0000-000070150000}"/>
    <cellStyle name="20% - Accent3 2 4 3 9" xfId="17862" xr:uid="{00000000-0005-0000-0000-000071150000}"/>
    <cellStyle name="20% - Accent3 2 4 3 9 2" xfId="28230" xr:uid="{00000000-0005-0000-0000-000072150000}"/>
    <cellStyle name="20% - Accent3 2 4 3 9 2 2" xfId="47419" xr:uid="{00000000-0005-0000-0000-000073150000}"/>
    <cellStyle name="20% - Accent3 2 4 3 9 3" xfId="37721" xr:uid="{00000000-0005-0000-0000-000074150000}"/>
    <cellStyle name="20% - Accent3 2 4 4" xfId="12969" xr:uid="{00000000-0005-0000-0000-000075150000}"/>
    <cellStyle name="20% - Accent3 2 4 4 10" xfId="53454" xr:uid="{00000000-0005-0000-0000-000076150000}"/>
    <cellStyle name="20% - Accent3 2 4 4 2" xfId="13921" xr:uid="{00000000-0005-0000-0000-000077150000}"/>
    <cellStyle name="20% - Accent3 2 4 4 2 2" xfId="16185" xr:uid="{00000000-0005-0000-0000-000078150000}"/>
    <cellStyle name="20% - Accent3 2 4 4 2 2 2" xfId="20649" xr:uid="{00000000-0005-0000-0000-000079150000}"/>
    <cellStyle name="20% - Accent3 2 4 4 2 2 2 2" xfId="31017" xr:uid="{00000000-0005-0000-0000-00007A150000}"/>
    <cellStyle name="20% - Accent3 2 4 4 2 2 2 2 2" xfId="50206" xr:uid="{00000000-0005-0000-0000-00007B150000}"/>
    <cellStyle name="20% - Accent3 2 4 4 2 2 2 3" xfId="40508" xr:uid="{00000000-0005-0000-0000-00007C150000}"/>
    <cellStyle name="20% - Accent3 2 4 4 2 2 3" xfId="26562" xr:uid="{00000000-0005-0000-0000-00007D150000}"/>
    <cellStyle name="20% - Accent3 2 4 4 2 2 3 2" xfId="45751" xr:uid="{00000000-0005-0000-0000-00007E150000}"/>
    <cellStyle name="20% - Accent3 2 4 4 2 2 4" xfId="36053" xr:uid="{00000000-0005-0000-0000-00007F150000}"/>
    <cellStyle name="20% - Accent3 2 4 4 2 3" xfId="18421" xr:uid="{00000000-0005-0000-0000-000080150000}"/>
    <cellStyle name="20% - Accent3 2 4 4 2 3 2" xfId="28789" xr:uid="{00000000-0005-0000-0000-000081150000}"/>
    <cellStyle name="20% - Accent3 2 4 4 2 3 2 2" xfId="47978" xr:uid="{00000000-0005-0000-0000-000082150000}"/>
    <cellStyle name="20% - Accent3 2 4 4 2 3 3" xfId="38280" xr:uid="{00000000-0005-0000-0000-000083150000}"/>
    <cellStyle name="20% - Accent3 2 4 4 2 4" xfId="24329" xr:uid="{00000000-0005-0000-0000-000084150000}"/>
    <cellStyle name="20% - Accent3 2 4 4 2 4 2" xfId="43523" xr:uid="{00000000-0005-0000-0000-000085150000}"/>
    <cellStyle name="20% - Accent3 2 4 4 2 5" xfId="33825" xr:uid="{00000000-0005-0000-0000-000086150000}"/>
    <cellStyle name="20% - Accent3 2 4 4 3" xfId="14500" xr:uid="{00000000-0005-0000-0000-000087150000}"/>
    <cellStyle name="20% - Accent3 2 4 4 3 2" xfId="15629" xr:uid="{00000000-0005-0000-0000-000088150000}"/>
    <cellStyle name="20% - Accent3 2 4 4 3 2 2" xfId="20093" xr:uid="{00000000-0005-0000-0000-000089150000}"/>
    <cellStyle name="20% - Accent3 2 4 4 3 2 2 2" xfId="30461" xr:uid="{00000000-0005-0000-0000-00008A150000}"/>
    <cellStyle name="20% - Accent3 2 4 4 3 2 2 2 2" xfId="49650" xr:uid="{00000000-0005-0000-0000-00008B150000}"/>
    <cellStyle name="20% - Accent3 2 4 4 3 2 2 3" xfId="39952" xr:uid="{00000000-0005-0000-0000-00008C150000}"/>
    <cellStyle name="20% - Accent3 2 4 4 3 2 3" xfId="26006" xr:uid="{00000000-0005-0000-0000-00008D150000}"/>
    <cellStyle name="20% - Accent3 2 4 4 3 2 3 2" xfId="45195" xr:uid="{00000000-0005-0000-0000-00008E150000}"/>
    <cellStyle name="20% - Accent3 2 4 4 3 2 4" xfId="35497" xr:uid="{00000000-0005-0000-0000-00008F150000}"/>
    <cellStyle name="20% - Accent3 2 4 4 3 3" xfId="18978" xr:uid="{00000000-0005-0000-0000-000090150000}"/>
    <cellStyle name="20% - Accent3 2 4 4 3 3 2" xfId="29346" xr:uid="{00000000-0005-0000-0000-000091150000}"/>
    <cellStyle name="20% - Accent3 2 4 4 3 3 2 2" xfId="48535" xr:uid="{00000000-0005-0000-0000-000092150000}"/>
    <cellStyle name="20% - Accent3 2 4 4 3 3 3" xfId="38837" xr:uid="{00000000-0005-0000-0000-000093150000}"/>
    <cellStyle name="20% - Accent3 2 4 4 3 4" xfId="24891" xr:uid="{00000000-0005-0000-0000-000094150000}"/>
    <cellStyle name="20% - Accent3 2 4 4 3 4 2" xfId="44080" xr:uid="{00000000-0005-0000-0000-000095150000}"/>
    <cellStyle name="20% - Accent3 2 4 4 3 5" xfId="34382" xr:uid="{00000000-0005-0000-0000-000096150000}"/>
    <cellStyle name="20% - Accent3 2 4 4 4" xfId="15072" xr:uid="{00000000-0005-0000-0000-000097150000}"/>
    <cellStyle name="20% - Accent3 2 4 4 4 2" xfId="19536" xr:uid="{00000000-0005-0000-0000-000098150000}"/>
    <cellStyle name="20% - Accent3 2 4 4 4 2 2" xfId="29904" xr:uid="{00000000-0005-0000-0000-000099150000}"/>
    <cellStyle name="20% - Accent3 2 4 4 4 2 2 2" xfId="49093" xr:uid="{00000000-0005-0000-0000-00009A150000}"/>
    <cellStyle name="20% - Accent3 2 4 4 4 2 3" xfId="39395" xr:uid="{00000000-0005-0000-0000-00009B150000}"/>
    <cellStyle name="20% - Accent3 2 4 4 4 3" xfId="25449" xr:uid="{00000000-0005-0000-0000-00009C150000}"/>
    <cellStyle name="20% - Accent3 2 4 4 4 3 2" xfId="44638" xr:uid="{00000000-0005-0000-0000-00009D150000}"/>
    <cellStyle name="20% - Accent3 2 4 4 4 4" xfId="34940" xr:uid="{00000000-0005-0000-0000-00009E150000}"/>
    <cellStyle name="20% - Accent3 2 4 4 5" xfId="16742" xr:uid="{00000000-0005-0000-0000-00009F150000}"/>
    <cellStyle name="20% - Accent3 2 4 4 5 2" xfId="21206" xr:uid="{00000000-0005-0000-0000-0000A0150000}"/>
    <cellStyle name="20% - Accent3 2 4 4 5 2 2" xfId="31574" xr:uid="{00000000-0005-0000-0000-0000A1150000}"/>
    <cellStyle name="20% - Accent3 2 4 4 5 2 2 2" xfId="50763" xr:uid="{00000000-0005-0000-0000-0000A2150000}"/>
    <cellStyle name="20% - Accent3 2 4 4 5 2 3" xfId="41065" xr:uid="{00000000-0005-0000-0000-0000A3150000}"/>
    <cellStyle name="20% - Accent3 2 4 4 5 3" xfId="27119" xr:uid="{00000000-0005-0000-0000-0000A4150000}"/>
    <cellStyle name="20% - Accent3 2 4 4 5 3 2" xfId="46308" xr:uid="{00000000-0005-0000-0000-0000A5150000}"/>
    <cellStyle name="20% - Accent3 2 4 4 5 4" xfId="36610" xr:uid="{00000000-0005-0000-0000-0000A6150000}"/>
    <cellStyle name="20% - Accent3 2 4 4 6" xfId="17308" xr:uid="{00000000-0005-0000-0000-0000A7150000}"/>
    <cellStyle name="20% - Accent3 2 4 4 6 2" xfId="21763" xr:uid="{00000000-0005-0000-0000-0000A8150000}"/>
    <cellStyle name="20% - Accent3 2 4 4 6 2 2" xfId="32131" xr:uid="{00000000-0005-0000-0000-0000A9150000}"/>
    <cellStyle name="20% - Accent3 2 4 4 6 2 2 2" xfId="51320" xr:uid="{00000000-0005-0000-0000-0000AA150000}"/>
    <cellStyle name="20% - Accent3 2 4 4 6 2 3" xfId="41622" xr:uid="{00000000-0005-0000-0000-0000AB150000}"/>
    <cellStyle name="20% - Accent3 2 4 4 6 3" xfId="27676" xr:uid="{00000000-0005-0000-0000-0000AC150000}"/>
    <cellStyle name="20% - Accent3 2 4 4 6 3 2" xfId="46865" xr:uid="{00000000-0005-0000-0000-0000AD150000}"/>
    <cellStyle name="20% - Accent3 2 4 4 6 4" xfId="37167" xr:uid="{00000000-0005-0000-0000-0000AE150000}"/>
    <cellStyle name="20% - Accent3 2 4 4 7" xfId="17865" xr:uid="{00000000-0005-0000-0000-0000AF150000}"/>
    <cellStyle name="20% - Accent3 2 4 4 7 2" xfId="28233" xr:uid="{00000000-0005-0000-0000-0000B0150000}"/>
    <cellStyle name="20% - Accent3 2 4 4 7 2 2" xfId="47422" xr:uid="{00000000-0005-0000-0000-0000B1150000}"/>
    <cellStyle name="20% - Accent3 2 4 4 7 3" xfId="37724" xr:uid="{00000000-0005-0000-0000-0000B2150000}"/>
    <cellStyle name="20% - Accent3 2 4 4 8" xfId="23728" xr:uid="{00000000-0005-0000-0000-0000B3150000}"/>
    <cellStyle name="20% - Accent3 2 4 4 8 2" xfId="42967" xr:uid="{00000000-0005-0000-0000-0000B4150000}"/>
    <cellStyle name="20% - Accent3 2 4 4 9" xfId="33269" xr:uid="{00000000-0005-0000-0000-0000B5150000}"/>
    <cellStyle name="20% - Accent3 2 4 5" xfId="12970" xr:uid="{00000000-0005-0000-0000-0000B6150000}"/>
    <cellStyle name="20% - Accent3 2 4 5 2" xfId="13922" xr:uid="{00000000-0005-0000-0000-0000B7150000}"/>
    <cellStyle name="20% - Accent3 2 4 5 2 2" xfId="16186" xr:uid="{00000000-0005-0000-0000-0000B8150000}"/>
    <cellStyle name="20% - Accent3 2 4 5 2 2 2" xfId="20650" xr:uid="{00000000-0005-0000-0000-0000B9150000}"/>
    <cellStyle name="20% - Accent3 2 4 5 2 2 2 2" xfId="31018" xr:uid="{00000000-0005-0000-0000-0000BA150000}"/>
    <cellStyle name="20% - Accent3 2 4 5 2 2 2 2 2" xfId="50207" xr:uid="{00000000-0005-0000-0000-0000BB150000}"/>
    <cellStyle name="20% - Accent3 2 4 5 2 2 2 3" xfId="40509" xr:uid="{00000000-0005-0000-0000-0000BC150000}"/>
    <cellStyle name="20% - Accent3 2 4 5 2 2 3" xfId="26563" xr:uid="{00000000-0005-0000-0000-0000BD150000}"/>
    <cellStyle name="20% - Accent3 2 4 5 2 2 3 2" xfId="45752" xr:uid="{00000000-0005-0000-0000-0000BE150000}"/>
    <cellStyle name="20% - Accent3 2 4 5 2 2 4" xfId="36054" xr:uid="{00000000-0005-0000-0000-0000BF150000}"/>
    <cellStyle name="20% - Accent3 2 4 5 2 3" xfId="18422" xr:uid="{00000000-0005-0000-0000-0000C0150000}"/>
    <cellStyle name="20% - Accent3 2 4 5 2 3 2" xfId="28790" xr:uid="{00000000-0005-0000-0000-0000C1150000}"/>
    <cellStyle name="20% - Accent3 2 4 5 2 3 2 2" xfId="47979" xr:uid="{00000000-0005-0000-0000-0000C2150000}"/>
    <cellStyle name="20% - Accent3 2 4 5 2 3 3" xfId="38281" xr:uid="{00000000-0005-0000-0000-0000C3150000}"/>
    <cellStyle name="20% - Accent3 2 4 5 2 4" xfId="24330" xr:uid="{00000000-0005-0000-0000-0000C4150000}"/>
    <cellStyle name="20% - Accent3 2 4 5 2 4 2" xfId="43524" xr:uid="{00000000-0005-0000-0000-0000C5150000}"/>
    <cellStyle name="20% - Accent3 2 4 5 2 5" xfId="33826" xr:uid="{00000000-0005-0000-0000-0000C6150000}"/>
    <cellStyle name="20% - Accent3 2 4 5 3" xfId="14501" xr:uid="{00000000-0005-0000-0000-0000C7150000}"/>
    <cellStyle name="20% - Accent3 2 4 5 3 2" xfId="15630" xr:uid="{00000000-0005-0000-0000-0000C8150000}"/>
    <cellStyle name="20% - Accent3 2 4 5 3 2 2" xfId="20094" xr:uid="{00000000-0005-0000-0000-0000C9150000}"/>
    <cellStyle name="20% - Accent3 2 4 5 3 2 2 2" xfId="30462" xr:uid="{00000000-0005-0000-0000-0000CA150000}"/>
    <cellStyle name="20% - Accent3 2 4 5 3 2 2 2 2" xfId="49651" xr:uid="{00000000-0005-0000-0000-0000CB150000}"/>
    <cellStyle name="20% - Accent3 2 4 5 3 2 2 3" xfId="39953" xr:uid="{00000000-0005-0000-0000-0000CC150000}"/>
    <cellStyle name="20% - Accent3 2 4 5 3 2 3" xfId="26007" xr:uid="{00000000-0005-0000-0000-0000CD150000}"/>
    <cellStyle name="20% - Accent3 2 4 5 3 2 3 2" xfId="45196" xr:uid="{00000000-0005-0000-0000-0000CE150000}"/>
    <cellStyle name="20% - Accent3 2 4 5 3 2 4" xfId="35498" xr:uid="{00000000-0005-0000-0000-0000CF150000}"/>
    <cellStyle name="20% - Accent3 2 4 5 3 3" xfId="18979" xr:uid="{00000000-0005-0000-0000-0000D0150000}"/>
    <cellStyle name="20% - Accent3 2 4 5 3 3 2" xfId="29347" xr:uid="{00000000-0005-0000-0000-0000D1150000}"/>
    <cellStyle name="20% - Accent3 2 4 5 3 3 2 2" xfId="48536" xr:uid="{00000000-0005-0000-0000-0000D2150000}"/>
    <cellStyle name="20% - Accent3 2 4 5 3 3 3" xfId="38838" xr:uid="{00000000-0005-0000-0000-0000D3150000}"/>
    <cellStyle name="20% - Accent3 2 4 5 3 4" xfId="24892" xr:uid="{00000000-0005-0000-0000-0000D4150000}"/>
    <cellStyle name="20% - Accent3 2 4 5 3 4 2" xfId="44081" xr:uid="{00000000-0005-0000-0000-0000D5150000}"/>
    <cellStyle name="20% - Accent3 2 4 5 3 5" xfId="34383" xr:uid="{00000000-0005-0000-0000-0000D6150000}"/>
    <cellStyle name="20% - Accent3 2 4 5 4" xfId="15073" xr:uid="{00000000-0005-0000-0000-0000D7150000}"/>
    <cellStyle name="20% - Accent3 2 4 5 4 2" xfId="19537" xr:uid="{00000000-0005-0000-0000-0000D8150000}"/>
    <cellStyle name="20% - Accent3 2 4 5 4 2 2" xfId="29905" xr:uid="{00000000-0005-0000-0000-0000D9150000}"/>
    <cellStyle name="20% - Accent3 2 4 5 4 2 2 2" xfId="49094" xr:uid="{00000000-0005-0000-0000-0000DA150000}"/>
    <cellStyle name="20% - Accent3 2 4 5 4 2 3" xfId="39396" xr:uid="{00000000-0005-0000-0000-0000DB150000}"/>
    <cellStyle name="20% - Accent3 2 4 5 4 3" xfId="25450" xr:uid="{00000000-0005-0000-0000-0000DC150000}"/>
    <cellStyle name="20% - Accent3 2 4 5 4 3 2" xfId="44639" xr:uid="{00000000-0005-0000-0000-0000DD150000}"/>
    <cellStyle name="20% - Accent3 2 4 5 4 4" xfId="34941" xr:uid="{00000000-0005-0000-0000-0000DE150000}"/>
    <cellStyle name="20% - Accent3 2 4 5 5" xfId="16743" xr:uid="{00000000-0005-0000-0000-0000DF150000}"/>
    <cellStyle name="20% - Accent3 2 4 5 5 2" xfId="21207" xr:uid="{00000000-0005-0000-0000-0000E0150000}"/>
    <cellStyle name="20% - Accent3 2 4 5 5 2 2" xfId="31575" xr:uid="{00000000-0005-0000-0000-0000E1150000}"/>
    <cellStyle name="20% - Accent3 2 4 5 5 2 2 2" xfId="50764" xr:uid="{00000000-0005-0000-0000-0000E2150000}"/>
    <cellStyle name="20% - Accent3 2 4 5 5 2 3" xfId="41066" xr:uid="{00000000-0005-0000-0000-0000E3150000}"/>
    <cellStyle name="20% - Accent3 2 4 5 5 3" xfId="27120" xr:uid="{00000000-0005-0000-0000-0000E4150000}"/>
    <cellStyle name="20% - Accent3 2 4 5 5 3 2" xfId="46309" xr:uid="{00000000-0005-0000-0000-0000E5150000}"/>
    <cellStyle name="20% - Accent3 2 4 5 5 4" xfId="36611" xr:uid="{00000000-0005-0000-0000-0000E6150000}"/>
    <cellStyle name="20% - Accent3 2 4 5 6" xfId="17309" xr:uid="{00000000-0005-0000-0000-0000E7150000}"/>
    <cellStyle name="20% - Accent3 2 4 5 6 2" xfId="21764" xr:uid="{00000000-0005-0000-0000-0000E8150000}"/>
    <cellStyle name="20% - Accent3 2 4 5 6 2 2" xfId="32132" xr:uid="{00000000-0005-0000-0000-0000E9150000}"/>
    <cellStyle name="20% - Accent3 2 4 5 6 2 2 2" xfId="51321" xr:uid="{00000000-0005-0000-0000-0000EA150000}"/>
    <cellStyle name="20% - Accent3 2 4 5 6 2 3" xfId="41623" xr:uid="{00000000-0005-0000-0000-0000EB150000}"/>
    <cellStyle name="20% - Accent3 2 4 5 6 3" xfId="27677" xr:uid="{00000000-0005-0000-0000-0000EC150000}"/>
    <cellStyle name="20% - Accent3 2 4 5 6 3 2" xfId="46866" xr:uid="{00000000-0005-0000-0000-0000ED150000}"/>
    <cellStyle name="20% - Accent3 2 4 5 6 4" xfId="37168" xr:uid="{00000000-0005-0000-0000-0000EE150000}"/>
    <cellStyle name="20% - Accent3 2 4 5 7" xfId="17866" xr:uid="{00000000-0005-0000-0000-0000EF150000}"/>
    <cellStyle name="20% - Accent3 2 4 5 7 2" xfId="28234" xr:uid="{00000000-0005-0000-0000-0000F0150000}"/>
    <cellStyle name="20% - Accent3 2 4 5 7 2 2" xfId="47423" xr:uid="{00000000-0005-0000-0000-0000F1150000}"/>
    <cellStyle name="20% - Accent3 2 4 5 7 3" xfId="37725" xr:uid="{00000000-0005-0000-0000-0000F2150000}"/>
    <cellStyle name="20% - Accent3 2 4 5 8" xfId="23729" xr:uid="{00000000-0005-0000-0000-0000F3150000}"/>
    <cellStyle name="20% - Accent3 2 4 5 8 2" xfId="42968" xr:uid="{00000000-0005-0000-0000-0000F4150000}"/>
    <cellStyle name="20% - Accent3 2 4 5 9" xfId="33270" xr:uid="{00000000-0005-0000-0000-0000F5150000}"/>
    <cellStyle name="20% - Accent3 2 4 6" xfId="12219" xr:uid="{00000000-0005-0000-0000-0000F6150000}"/>
    <cellStyle name="20% - Accent3 2 4 7" xfId="52565" xr:uid="{00000000-0005-0000-0000-0000F7150000}"/>
    <cellStyle name="20% - Accent3 2 4 8" xfId="11996" xr:uid="{00000000-0005-0000-0000-0000F8150000}"/>
    <cellStyle name="20% - Accent3 2 5" xfId="1669" xr:uid="{00000000-0005-0000-0000-0000F9150000}"/>
    <cellStyle name="20% - Accent3 2 5 2" xfId="12971" xr:uid="{00000000-0005-0000-0000-0000FA150000}"/>
    <cellStyle name="20% - Accent3 2 5 2 10" xfId="23730" xr:uid="{00000000-0005-0000-0000-0000FB150000}"/>
    <cellStyle name="20% - Accent3 2 5 2 10 2" xfId="42969" xr:uid="{00000000-0005-0000-0000-0000FC150000}"/>
    <cellStyle name="20% - Accent3 2 5 2 11" xfId="33271" xr:uid="{00000000-0005-0000-0000-0000FD150000}"/>
    <cellStyle name="20% - Accent3 2 5 2 12" xfId="52799" xr:uid="{00000000-0005-0000-0000-0000FE150000}"/>
    <cellStyle name="20% - Accent3 2 5 2 2" xfId="12972" xr:uid="{00000000-0005-0000-0000-0000FF150000}"/>
    <cellStyle name="20% - Accent3 2 5 2 2 10" xfId="53227" xr:uid="{00000000-0005-0000-0000-000000160000}"/>
    <cellStyle name="20% - Accent3 2 5 2 2 2" xfId="13924" xr:uid="{00000000-0005-0000-0000-000001160000}"/>
    <cellStyle name="20% - Accent3 2 5 2 2 2 2" xfId="16188" xr:uid="{00000000-0005-0000-0000-000002160000}"/>
    <cellStyle name="20% - Accent3 2 5 2 2 2 2 2" xfId="20652" xr:uid="{00000000-0005-0000-0000-000003160000}"/>
    <cellStyle name="20% - Accent3 2 5 2 2 2 2 2 2" xfId="31020" xr:uid="{00000000-0005-0000-0000-000004160000}"/>
    <cellStyle name="20% - Accent3 2 5 2 2 2 2 2 2 2" xfId="50209" xr:uid="{00000000-0005-0000-0000-000005160000}"/>
    <cellStyle name="20% - Accent3 2 5 2 2 2 2 2 3" xfId="40511" xr:uid="{00000000-0005-0000-0000-000006160000}"/>
    <cellStyle name="20% - Accent3 2 5 2 2 2 2 3" xfId="26565" xr:uid="{00000000-0005-0000-0000-000007160000}"/>
    <cellStyle name="20% - Accent3 2 5 2 2 2 2 3 2" xfId="45754" xr:uid="{00000000-0005-0000-0000-000008160000}"/>
    <cellStyle name="20% - Accent3 2 5 2 2 2 2 4" xfId="36056" xr:uid="{00000000-0005-0000-0000-000009160000}"/>
    <cellStyle name="20% - Accent3 2 5 2 2 2 3" xfId="18424" xr:uid="{00000000-0005-0000-0000-00000A160000}"/>
    <cellStyle name="20% - Accent3 2 5 2 2 2 3 2" xfId="28792" xr:uid="{00000000-0005-0000-0000-00000B160000}"/>
    <cellStyle name="20% - Accent3 2 5 2 2 2 3 2 2" xfId="47981" xr:uid="{00000000-0005-0000-0000-00000C160000}"/>
    <cellStyle name="20% - Accent3 2 5 2 2 2 3 3" xfId="38283" xr:uid="{00000000-0005-0000-0000-00000D160000}"/>
    <cellStyle name="20% - Accent3 2 5 2 2 2 4" xfId="24332" xr:uid="{00000000-0005-0000-0000-00000E160000}"/>
    <cellStyle name="20% - Accent3 2 5 2 2 2 4 2" xfId="43526" xr:uid="{00000000-0005-0000-0000-00000F160000}"/>
    <cellStyle name="20% - Accent3 2 5 2 2 2 5" xfId="33828" xr:uid="{00000000-0005-0000-0000-000010160000}"/>
    <cellStyle name="20% - Accent3 2 5 2 2 2 6" xfId="54080" xr:uid="{00000000-0005-0000-0000-000011160000}"/>
    <cellStyle name="20% - Accent3 2 5 2 2 3" xfId="14503" xr:uid="{00000000-0005-0000-0000-000012160000}"/>
    <cellStyle name="20% - Accent3 2 5 2 2 3 2" xfId="15632" xr:uid="{00000000-0005-0000-0000-000013160000}"/>
    <cellStyle name="20% - Accent3 2 5 2 2 3 2 2" xfId="20096" xr:uid="{00000000-0005-0000-0000-000014160000}"/>
    <cellStyle name="20% - Accent3 2 5 2 2 3 2 2 2" xfId="30464" xr:uid="{00000000-0005-0000-0000-000015160000}"/>
    <cellStyle name="20% - Accent3 2 5 2 2 3 2 2 2 2" xfId="49653" xr:uid="{00000000-0005-0000-0000-000016160000}"/>
    <cellStyle name="20% - Accent3 2 5 2 2 3 2 2 3" xfId="39955" xr:uid="{00000000-0005-0000-0000-000017160000}"/>
    <cellStyle name="20% - Accent3 2 5 2 2 3 2 3" xfId="26009" xr:uid="{00000000-0005-0000-0000-000018160000}"/>
    <cellStyle name="20% - Accent3 2 5 2 2 3 2 3 2" xfId="45198" xr:uid="{00000000-0005-0000-0000-000019160000}"/>
    <cellStyle name="20% - Accent3 2 5 2 2 3 2 4" xfId="35500" xr:uid="{00000000-0005-0000-0000-00001A160000}"/>
    <cellStyle name="20% - Accent3 2 5 2 2 3 3" xfId="18981" xr:uid="{00000000-0005-0000-0000-00001B160000}"/>
    <cellStyle name="20% - Accent3 2 5 2 2 3 3 2" xfId="29349" xr:uid="{00000000-0005-0000-0000-00001C160000}"/>
    <cellStyle name="20% - Accent3 2 5 2 2 3 3 2 2" xfId="48538" xr:uid="{00000000-0005-0000-0000-00001D160000}"/>
    <cellStyle name="20% - Accent3 2 5 2 2 3 3 3" xfId="38840" xr:uid="{00000000-0005-0000-0000-00001E160000}"/>
    <cellStyle name="20% - Accent3 2 5 2 2 3 4" xfId="24894" xr:uid="{00000000-0005-0000-0000-00001F160000}"/>
    <cellStyle name="20% - Accent3 2 5 2 2 3 4 2" xfId="44083" xr:uid="{00000000-0005-0000-0000-000020160000}"/>
    <cellStyle name="20% - Accent3 2 5 2 2 3 5" xfId="34385" xr:uid="{00000000-0005-0000-0000-000021160000}"/>
    <cellStyle name="20% - Accent3 2 5 2 2 4" xfId="15075" xr:uid="{00000000-0005-0000-0000-000022160000}"/>
    <cellStyle name="20% - Accent3 2 5 2 2 4 2" xfId="19539" xr:uid="{00000000-0005-0000-0000-000023160000}"/>
    <cellStyle name="20% - Accent3 2 5 2 2 4 2 2" xfId="29907" xr:uid="{00000000-0005-0000-0000-000024160000}"/>
    <cellStyle name="20% - Accent3 2 5 2 2 4 2 2 2" xfId="49096" xr:uid="{00000000-0005-0000-0000-000025160000}"/>
    <cellStyle name="20% - Accent3 2 5 2 2 4 2 3" xfId="39398" xr:uid="{00000000-0005-0000-0000-000026160000}"/>
    <cellStyle name="20% - Accent3 2 5 2 2 4 3" xfId="25452" xr:uid="{00000000-0005-0000-0000-000027160000}"/>
    <cellStyle name="20% - Accent3 2 5 2 2 4 3 2" xfId="44641" xr:uid="{00000000-0005-0000-0000-000028160000}"/>
    <cellStyle name="20% - Accent3 2 5 2 2 4 4" xfId="34943" xr:uid="{00000000-0005-0000-0000-000029160000}"/>
    <cellStyle name="20% - Accent3 2 5 2 2 5" xfId="16745" xr:uid="{00000000-0005-0000-0000-00002A160000}"/>
    <cellStyle name="20% - Accent3 2 5 2 2 5 2" xfId="21209" xr:uid="{00000000-0005-0000-0000-00002B160000}"/>
    <cellStyle name="20% - Accent3 2 5 2 2 5 2 2" xfId="31577" xr:uid="{00000000-0005-0000-0000-00002C160000}"/>
    <cellStyle name="20% - Accent3 2 5 2 2 5 2 2 2" xfId="50766" xr:uid="{00000000-0005-0000-0000-00002D160000}"/>
    <cellStyle name="20% - Accent3 2 5 2 2 5 2 3" xfId="41068" xr:uid="{00000000-0005-0000-0000-00002E160000}"/>
    <cellStyle name="20% - Accent3 2 5 2 2 5 3" xfId="27122" xr:uid="{00000000-0005-0000-0000-00002F160000}"/>
    <cellStyle name="20% - Accent3 2 5 2 2 5 3 2" xfId="46311" xr:uid="{00000000-0005-0000-0000-000030160000}"/>
    <cellStyle name="20% - Accent3 2 5 2 2 5 4" xfId="36613" xr:uid="{00000000-0005-0000-0000-000031160000}"/>
    <cellStyle name="20% - Accent3 2 5 2 2 6" xfId="17311" xr:uid="{00000000-0005-0000-0000-000032160000}"/>
    <cellStyle name="20% - Accent3 2 5 2 2 6 2" xfId="21766" xr:uid="{00000000-0005-0000-0000-000033160000}"/>
    <cellStyle name="20% - Accent3 2 5 2 2 6 2 2" xfId="32134" xr:uid="{00000000-0005-0000-0000-000034160000}"/>
    <cellStyle name="20% - Accent3 2 5 2 2 6 2 2 2" xfId="51323" xr:uid="{00000000-0005-0000-0000-000035160000}"/>
    <cellStyle name="20% - Accent3 2 5 2 2 6 2 3" xfId="41625" xr:uid="{00000000-0005-0000-0000-000036160000}"/>
    <cellStyle name="20% - Accent3 2 5 2 2 6 3" xfId="27679" xr:uid="{00000000-0005-0000-0000-000037160000}"/>
    <cellStyle name="20% - Accent3 2 5 2 2 6 3 2" xfId="46868" xr:uid="{00000000-0005-0000-0000-000038160000}"/>
    <cellStyle name="20% - Accent3 2 5 2 2 6 4" xfId="37170" xr:uid="{00000000-0005-0000-0000-000039160000}"/>
    <cellStyle name="20% - Accent3 2 5 2 2 7" xfId="17868" xr:uid="{00000000-0005-0000-0000-00003A160000}"/>
    <cellStyle name="20% - Accent3 2 5 2 2 7 2" xfId="28236" xr:uid="{00000000-0005-0000-0000-00003B160000}"/>
    <cellStyle name="20% - Accent3 2 5 2 2 7 2 2" xfId="47425" xr:uid="{00000000-0005-0000-0000-00003C160000}"/>
    <cellStyle name="20% - Accent3 2 5 2 2 7 3" xfId="37727" xr:uid="{00000000-0005-0000-0000-00003D160000}"/>
    <cellStyle name="20% - Accent3 2 5 2 2 8" xfId="23731" xr:uid="{00000000-0005-0000-0000-00003E160000}"/>
    <cellStyle name="20% - Accent3 2 5 2 2 8 2" xfId="42970" xr:uid="{00000000-0005-0000-0000-00003F160000}"/>
    <cellStyle name="20% - Accent3 2 5 2 2 9" xfId="33272" xr:uid="{00000000-0005-0000-0000-000040160000}"/>
    <cellStyle name="20% - Accent3 2 5 2 3" xfId="12973" xr:uid="{00000000-0005-0000-0000-000041160000}"/>
    <cellStyle name="20% - Accent3 2 5 2 3 10" xfId="53684" xr:uid="{00000000-0005-0000-0000-000042160000}"/>
    <cellStyle name="20% - Accent3 2 5 2 3 2" xfId="13925" xr:uid="{00000000-0005-0000-0000-000043160000}"/>
    <cellStyle name="20% - Accent3 2 5 2 3 2 2" xfId="16189" xr:uid="{00000000-0005-0000-0000-000044160000}"/>
    <cellStyle name="20% - Accent3 2 5 2 3 2 2 2" xfId="20653" xr:uid="{00000000-0005-0000-0000-000045160000}"/>
    <cellStyle name="20% - Accent3 2 5 2 3 2 2 2 2" xfId="31021" xr:uid="{00000000-0005-0000-0000-000046160000}"/>
    <cellStyle name="20% - Accent3 2 5 2 3 2 2 2 2 2" xfId="50210" xr:uid="{00000000-0005-0000-0000-000047160000}"/>
    <cellStyle name="20% - Accent3 2 5 2 3 2 2 2 3" xfId="40512" xr:uid="{00000000-0005-0000-0000-000048160000}"/>
    <cellStyle name="20% - Accent3 2 5 2 3 2 2 3" xfId="26566" xr:uid="{00000000-0005-0000-0000-000049160000}"/>
    <cellStyle name="20% - Accent3 2 5 2 3 2 2 3 2" xfId="45755" xr:uid="{00000000-0005-0000-0000-00004A160000}"/>
    <cellStyle name="20% - Accent3 2 5 2 3 2 2 4" xfId="36057" xr:uid="{00000000-0005-0000-0000-00004B160000}"/>
    <cellStyle name="20% - Accent3 2 5 2 3 2 3" xfId="18425" xr:uid="{00000000-0005-0000-0000-00004C160000}"/>
    <cellStyle name="20% - Accent3 2 5 2 3 2 3 2" xfId="28793" xr:uid="{00000000-0005-0000-0000-00004D160000}"/>
    <cellStyle name="20% - Accent3 2 5 2 3 2 3 2 2" xfId="47982" xr:uid="{00000000-0005-0000-0000-00004E160000}"/>
    <cellStyle name="20% - Accent3 2 5 2 3 2 3 3" xfId="38284" xr:uid="{00000000-0005-0000-0000-00004F160000}"/>
    <cellStyle name="20% - Accent3 2 5 2 3 2 4" xfId="24333" xr:uid="{00000000-0005-0000-0000-000050160000}"/>
    <cellStyle name="20% - Accent3 2 5 2 3 2 4 2" xfId="43527" xr:uid="{00000000-0005-0000-0000-000051160000}"/>
    <cellStyle name="20% - Accent3 2 5 2 3 2 5" xfId="33829" xr:uid="{00000000-0005-0000-0000-000052160000}"/>
    <cellStyle name="20% - Accent3 2 5 2 3 3" xfId="14504" xr:uid="{00000000-0005-0000-0000-000053160000}"/>
    <cellStyle name="20% - Accent3 2 5 2 3 3 2" xfId="15633" xr:uid="{00000000-0005-0000-0000-000054160000}"/>
    <cellStyle name="20% - Accent3 2 5 2 3 3 2 2" xfId="20097" xr:uid="{00000000-0005-0000-0000-000055160000}"/>
    <cellStyle name="20% - Accent3 2 5 2 3 3 2 2 2" xfId="30465" xr:uid="{00000000-0005-0000-0000-000056160000}"/>
    <cellStyle name="20% - Accent3 2 5 2 3 3 2 2 2 2" xfId="49654" xr:uid="{00000000-0005-0000-0000-000057160000}"/>
    <cellStyle name="20% - Accent3 2 5 2 3 3 2 2 3" xfId="39956" xr:uid="{00000000-0005-0000-0000-000058160000}"/>
    <cellStyle name="20% - Accent3 2 5 2 3 3 2 3" xfId="26010" xr:uid="{00000000-0005-0000-0000-000059160000}"/>
    <cellStyle name="20% - Accent3 2 5 2 3 3 2 3 2" xfId="45199" xr:uid="{00000000-0005-0000-0000-00005A160000}"/>
    <cellStyle name="20% - Accent3 2 5 2 3 3 2 4" xfId="35501" xr:uid="{00000000-0005-0000-0000-00005B160000}"/>
    <cellStyle name="20% - Accent3 2 5 2 3 3 3" xfId="18982" xr:uid="{00000000-0005-0000-0000-00005C160000}"/>
    <cellStyle name="20% - Accent3 2 5 2 3 3 3 2" xfId="29350" xr:uid="{00000000-0005-0000-0000-00005D160000}"/>
    <cellStyle name="20% - Accent3 2 5 2 3 3 3 2 2" xfId="48539" xr:uid="{00000000-0005-0000-0000-00005E160000}"/>
    <cellStyle name="20% - Accent3 2 5 2 3 3 3 3" xfId="38841" xr:uid="{00000000-0005-0000-0000-00005F160000}"/>
    <cellStyle name="20% - Accent3 2 5 2 3 3 4" xfId="24895" xr:uid="{00000000-0005-0000-0000-000060160000}"/>
    <cellStyle name="20% - Accent3 2 5 2 3 3 4 2" xfId="44084" xr:uid="{00000000-0005-0000-0000-000061160000}"/>
    <cellStyle name="20% - Accent3 2 5 2 3 3 5" xfId="34386" xr:uid="{00000000-0005-0000-0000-000062160000}"/>
    <cellStyle name="20% - Accent3 2 5 2 3 4" xfId="15076" xr:uid="{00000000-0005-0000-0000-000063160000}"/>
    <cellStyle name="20% - Accent3 2 5 2 3 4 2" xfId="19540" xr:uid="{00000000-0005-0000-0000-000064160000}"/>
    <cellStyle name="20% - Accent3 2 5 2 3 4 2 2" xfId="29908" xr:uid="{00000000-0005-0000-0000-000065160000}"/>
    <cellStyle name="20% - Accent3 2 5 2 3 4 2 2 2" xfId="49097" xr:uid="{00000000-0005-0000-0000-000066160000}"/>
    <cellStyle name="20% - Accent3 2 5 2 3 4 2 3" xfId="39399" xr:uid="{00000000-0005-0000-0000-000067160000}"/>
    <cellStyle name="20% - Accent3 2 5 2 3 4 3" xfId="25453" xr:uid="{00000000-0005-0000-0000-000068160000}"/>
    <cellStyle name="20% - Accent3 2 5 2 3 4 3 2" xfId="44642" xr:uid="{00000000-0005-0000-0000-000069160000}"/>
    <cellStyle name="20% - Accent3 2 5 2 3 4 4" xfId="34944" xr:uid="{00000000-0005-0000-0000-00006A160000}"/>
    <cellStyle name="20% - Accent3 2 5 2 3 5" xfId="16746" xr:uid="{00000000-0005-0000-0000-00006B160000}"/>
    <cellStyle name="20% - Accent3 2 5 2 3 5 2" xfId="21210" xr:uid="{00000000-0005-0000-0000-00006C160000}"/>
    <cellStyle name="20% - Accent3 2 5 2 3 5 2 2" xfId="31578" xr:uid="{00000000-0005-0000-0000-00006D160000}"/>
    <cellStyle name="20% - Accent3 2 5 2 3 5 2 2 2" xfId="50767" xr:uid="{00000000-0005-0000-0000-00006E160000}"/>
    <cellStyle name="20% - Accent3 2 5 2 3 5 2 3" xfId="41069" xr:uid="{00000000-0005-0000-0000-00006F160000}"/>
    <cellStyle name="20% - Accent3 2 5 2 3 5 3" xfId="27123" xr:uid="{00000000-0005-0000-0000-000070160000}"/>
    <cellStyle name="20% - Accent3 2 5 2 3 5 3 2" xfId="46312" xr:uid="{00000000-0005-0000-0000-000071160000}"/>
    <cellStyle name="20% - Accent3 2 5 2 3 5 4" xfId="36614" xr:uid="{00000000-0005-0000-0000-000072160000}"/>
    <cellStyle name="20% - Accent3 2 5 2 3 6" xfId="17312" xr:uid="{00000000-0005-0000-0000-000073160000}"/>
    <cellStyle name="20% - Accent3 2 5 2 3 6 2" xfId="21767" xr:uid="{00000000-0005-0000-0000-000074160000}"/>
    <cellStyle name="20% - Accent3 2 5 2 3 6 2 2" xfId="32135" xr:uid="{00000000-0005-0000-0000-000075160000}"/>
    <cellStyle name="20% - Accent3 2 5 2 3 6 2 2 2" xfId="51324" xr:uid="{00000000-0005-0000-0000-000076160000}"/>
    <cellStyle name="20% - Accent3 2 5 2 3 6 2 3" xfId="41626" xr:uid="{00000000-0005-0000-0000-000077160000}"/>
    <cellStyle name="20% - Accent3 2 5 2 3 6 3" xfId="27680" xr:uid="{00000000-0005-0000-0000-000078160000}"/>
    <cellStyle name="20% - Accent3 2 5 2 3 6 3 2" xfId="46869" xr:uid="{00000000-0005-0000-0000-000079160000}"/>
    <cellStyle name="20% - Accent3 2 5 2 3 6 4" xfId="37171" xr:uid="{00000000-0005-0000-0000-00007A160000}"/>
    <cellStyle name="20% - Accent3 2 5 2 3 7" xfId="17869" xr:uid="{00000000-0005-0000-0000-00007B160000}"/>
    <cellStyle name="20% - Accent3 2 5 2 3 7 2" xfId="28237" xr:uid="{00000000-0005-0000-0000-00007C160000}"/>
    <cellStyle name="20% - Accent3 2 5 2 3 7 2 2" xfId="47426" xr:uid="{00000000-0005-0000-0000-00007D160000}"/>
    <cellStyle name="20% - Accent3 2 5 2 3 7 3" xfId="37728" xr:uid="{00000000-0005-0000-0000-00007E160000}"/>
    <cellStyle name="20% - Accent3 2 5 2 3 8" xfId="23732" xr:uid="{00000000-0005-0000-0000-00007F160000}"/>
    <cellStyle name="20% - Accent3 2 5 2 3 8 2" xfId="42971" xr:uid="{00000000-0005-0000-0000-000080160000}"/>
    <cellStyle name="20% - Accent3 2 5 2 3 9" xfId="33273" xr:uid="{00000000-0005-0000-0000-000081160000}"/>
    <cellStyle name="20% - Accent3 2 5 2 4" xfId="13923" xr:uid="{00000000-0005-0000-0000-000082160000}"/>
    <cellStyle name="20% - Accent3 2 5 2 4 2" xfId="16187" xr:uid="{00000000-0005-0000-0000-000083160000}"/>
    <cellStyle name="20% - Accent3 2 5 2 4 2 2" xfId="20651" xr:uid="{00000000-0005-0000-0000-000084160000}"/>
    <cellStyle name="20% - Accent3 2 5 2 4 2 2 2" xfId="31019" xr:uid="{00000000-0005-0000-0000-000085160000}"/>
    <cellStyle name="20% - Accent3 2 5 2 4 2 2 2 2" xfId="50208" xr:uid="{00000000-0005-0000-0000-000086160000}"/>
    <cellStyle name="20% - Accent3 2 5 2 4 2 2 3" xfId="40510" xr:uid="{00000000-0005-0000-0000-000087160000}"/>
    <cellStyle name="20% - Accent3 2 5 2 4 2 3" xfId="26564" xr:uid="{00000000-0005-0000-0000-000088160000}"/>
    <cellStyle name="20% - Accent3 2 5 2 4 2 3 2" xfId="45753" xr:uid="{00000000-0005-0000-0000-000089160000}"/>
    <cellStyle name="20% - Accent3 2 5 2 4 2 4" xfId="36055" xr:uid="{00000000-0005-0000-0000-00008A160000}"/>
    <cellStyle name="20% - Accent3 2 5 2 4 3" xfId="18423" xr:uid="{00000000-0005-0000-0000-00008B160000}"/>
    <cellStyle name="20% - Accent3 2 5 2 4 3 2" xfId="28791" xr:uid="{00000000-0005-0000-0000-00008C160000}"/>
    <cellStyle name="20% - Accent3 2 5 2 4 3 2 2" xfId="47980" xr:uid="{00000000-0005-0000-0000-00008D160000}"/>
    <cellStyle name="20% - Accent3 2 5 2 4 3 3" xfId="38282" xr:uid="{00000000-0005-0000-0000-00008E160000}"/>
    <cellStyle name="20% - Accent3 2 5 2 4 4" xfId="24331" xr:uid="{00000000-0005-0000-0000-00008F160000}"/>
    <cellStyle name="20% - Accent3 2 5 2 4 4 2" xfId="43525" xr:uid="{00000000-0005-0000-0000-000090160000}"/>
    <cellStyle name="20% - Accent3 2 5 2 4 5" xfId="33827" xr:uid="{00000000-0005-0000-0000-000091160000}"/>
    <cellStyle name="20% - Accent3 2 5 2 5" xfId="14502" xr:uid="{00000000-0005-0000-0000-000092160000}"/>
    <cellStyle name="20% - Accent3 2 5 2 5 2" xfId="15631" xr:uid="{00000000-0005-0000-0000-000093160000}"/>
    <cellStyle name="20% - Accent3 2 5 2 5 2 2" xfId="20095" xr:uid="{00000000-0005-0000-0000-000094160000}"/>
    <cellStyle name="20% - Accent3 2 5 2 5 2 2 2" xfId="30463" xr:uid="{00000000-0005-0000-0000-000095160000}"/>
    <cellStyle name="20% - Accent3 2 5 2 5 2 2 2 2" xfId="49652" xr:uid="{00000000-0005-0000-0000-000096160000}"/>
    <cellStyle name="20% - Accent3 2 5 2 5 2 2 3" xfId="39954" xr:uid="{00000000-0005-0000-0000-000097160000}"/>
    <cellStyle name="20% - Accent3 2 5 2 5 2 3" xfId="26008" xr:uid="{00000000-0005-0000-0000-000098160000}"/>
    <cellStyle name="20% - Accent3 2 5 2 5 2 3 2" xfId="45197" xr:uid="{00000000-0005-0000-0000-000099160000}"/>
    <cellStyle name="20% - Accent3 2 5 2 5 2 4" xfId="35499" xr:uid="{00000000-0005-0000-0000-00009A160000}"/>
    <cellStyle name="20% - Accent3 2 5 2 5 3" xfId="18980" xr:uid="{00000000-0005-0000-0000-00009B160000}"/>
    <cellStyle name="20% - Accent3 2 5 2 5 3 2" xfId="29348" xr:uid="{00000000-0005-0000-0000-00009C160000}"/>
    <cellStyle name="20% - Accent3 2 5 2 5 3 2 2" xfId="48537" xr:uid="{00000000-0005-0000-0000-00009D160000}"/>
    <cellStyle name="20% - Accent3 2 5 2 5 3 3" xfId="38839" xr:uid="{00000000-0005-0000-0000-00009E160000}"/>
    <cellStyle name="20% - Accent3 2 5 2 5 4" xfId="24893" xr:uid="{00000000-0005-0000-0000-00009F160000}"/>
    <cellStyle name="20% - Accent3 2 5 2 5 4 2" xfId="44082" xr:uid="{00000000-0005-0000-0000-0000A0160000}"/>
    <cellStyle name="20% - Accent3 2 5 2 5 5" xfId="34384" xr:uid="{00000000-0005-0000-0000-0000A1160000}"/>
    <cellStyle name="20% - Accent3 2 5 2 6" xfId="15074" xr:uid="{00000000-0005-0000-0000-0000A2160000}"/>
    <cellStyle name="20% - Accent3 2 5 2 6 2" xfId="19538" xr:uid="{00000000-0005-0000-0000-0000A3160000}"/>
    <cellStyle name="20% - Accent3 2 5 2 6 2 2" xfId="29906" xr:uid="{00000000-0005-0000-0000-0000A4160000}"/>
    <cellStyle name="20% - Accent3 2 5 2 6 2 2 2" xfId="49095" xr:uid="{00000000-0005-0000-0000-0000A5160000}"/>
    <cellStyle name="20% - Accent3 2 5 2 6 2 3" xfId="39397" xr:uid="{00000000-0005-0000-0000-0000A6160000}"/>
    <cellStyle name="20% - Accent3 2 5 2 6 3" xfId="25451" xr:uid="{00000000-0005-0000-0000-0000A7160000}"/>
    <cellStyle name="20% - Accent3 2 5 2 6 3 2" xfId="44640" xr:uid="{00000000-0005-0000-0000-0000A8160000}"/>
    <cellStyle name="20% - Accent3 2 5 2 6 4" xfId="34942" xr:uid="{00000000-0005-0000-0000-0000A9160000}"/>
    <cellStyle name="20% - Accent3 2 5 2 7" xfId="16744" xr:uid="{00000000-0005-0000-0000-0000AA160000}"/>
    <cellStyle name="20% - Accent3 2 5 2 7 2" xfId="21208" xr:uid="{00000000-0005-0000-0000-0000AB160000}"/>
    <cellStyle name="20% - Accent3 2 5 2 7 2 2" xfId="31576" xr:uid="{00000000-0005-0000-0000-0000AC160000}"/>
    <cellStyle name="20% - Accent3 2 5 2 7 2 2 2" xfId="50765" xr:uid="{00000000-0005-0000-0000-0000AD160000}"/>
    <cellStyle name="20% - Accent3 2 5 2 7 2 3" xfId="41067" xr:uid="{00000000-0005-0000-0000-0000AE160000}"/>
    <cellStyle name="20% - Accent3 2 5 2 7 3" xfId="27121" xr:uid="{00000000-0005-0000-0000-0000AF160000}"/>
    <cellStyle name="20% - Accent3 2 5 2 7 3 2" xfId="46310" xr:uid="{00000000-0005-0000-0000-0000B0160000}"/>
    <cellStyle name="20% - Accent3 2 5 2 7 4" xfId="36612" xr:uid="{00000000-0005-0000-0000-0000B1160000}"/>
    <cellStyle name="20% - Accent3 2 5 2 8" xfId="17310" xr:uid="{00000000-0005-0000-0000-0000B2160000}"/>
    <cellStyle name="20% - Accent3 2 5 2 8 2" xfId="21765" xr:uid="{00000000-0005-0000-0000-0000B3160000}"/>
    <cellStyle name="20% - Accent3 2 5 2 8 2 2" xfId="32133" xr:uid="{00000000-0005-0000-0000-0000B4160000}"/>
    <cellStyle name="20% - Accent3 2 5 2 8 2 2 2" xfId="51322" xr:uid="{00000000-0005-0000-0000-0000B5160000}"/>
    <cellStyle name="20% - Accent3 2 5 2 8 2 3" xfId="41624" xr:uid="{00000000-0005-0000-0000-0000B6160000}"/>
    <cellStyle name="20% - Accent3 2 5 2 8 3" xfId="27678" xr:uid="{00000000-0005-0000-0000-0000B7160000}"/>
    <cellStyle name="20% - Accent3 2 5 2 8 3 2" xfId="46867" xr:uid="{00000000-0005-0000-0000-0000B8160000}"/>
    <cellStyle name="20% - Accent3 2 5 2 8 4" xfId="37169" xr:uid="{00000000-0005-0000-0000-0000B9160000}"/>
    <cellStyle name="20% - Accent3 2 5 2 9" xfId="17867" xr:uid="{00000000-0005-0000-0000-0000BA160000}"/>
    <cellStyle name="20% - Accent3 2 5 2 9 2" xfId="28235" xr:uid="{00000000-0005-0000-0000-0000BB160000}"/>
    <cellStyle name="20% - Accent3 2 5 2 9 2 2" xfId="47424" xr:uid="{00000000-0005-0000-0000-0000BC160000}"/>
    <cellStyle name="20% - Accent3 2 5 2 9 3" xfId="37726" xr:uid="{00000000-0005-0000-0000-0000BD160000}"/>
    <cellStyle name="20% - Accent3 2 5 3" xfId="12974" xr:uid="{00000000-0005-0000-0000-0000BE160000}"/>
    <cellStyle name="20% - Accent3 2 5 3 10" xfId="53009" xr:uid="{00000000-0005-0000-0000-0000BF160000}"/>
    <cellStyle name="20% - Accent3 2 5 3 2" xfId="13926" xr:uid="{00000000-0005-0000-0000-0000C0160000}"/>
    <cellStyle name="20% - Accent3 2 5 3 2 2" xfId="16190" xr:uid="{00000000-0005-0000-0000-0000C1160000}"/>
    <cellStyle name="20% - Accent3 2 5 3 2 2 2" xfId="20654" xr:uid="{00000000-0005-0000-0000-0000C2160000}"/>
    <cellStyle name="20% - Accent3 2 5 3 2 2 2 2" xfId="31022" xr:uid="{00000000-0005-0000-0000-0000C3160000}"/>
    <cellStyle name="20% - Accent3 2 5 3 2 2 2 2 2" xfId="50211" xr:uid="{00000000-0005-0000-0000-0000C4160000}"/>
    <cellStyle name="20% - Accent3 2 5 3 2 2 2 3" xfId="40513" xr:uid="{00000000-0005-0000-0000-0000C5160000}"/>
    <cellStyle name="20% - Accent3 2 5 3 2 2 3" xfId="26567" xr:uid="{00000000-0005-0000-0000-0000C6160000}"/>
    <cellStyle name="20% - Accent3 2 5 3 2 2 3 2" xfId="45756" xr:uid="{00000000-0005-0000-0000-0000C7160000}"/>
    <cellStyle name="20% - Accent3 2 5 3 2 2 4" xfId="36058" xr:uid="{00000000-0005-0000-0000-0000C8160000}"/>
    <cellStyle name="20% - Accent3 2 5 3 2 3" xfId="18426" xr:uid="{00000000-0005-0000-0000-0000C9160000}"/>
    <cellStyle name="20% - Accent3 2 5 3 2 3 2" xfId="28794" xr:uid="{00000000-0005-0000-0000-0000CA160000}"/>
    <cellStyle name="20% - Accent3 2 5 3 2 3 2 2" xfId="47983" xr:uid="{00000000-0005-0000-0000-0000CB160000}"/>
    <cellStyle name="20% - Accent3 2 5 3 2 3 3" xfId="38285" xr:uid="{00000000-0005-0000-0000-0000CC160000}"/>
    <cellStyle name="20% - Accent3 2 5 3 2 4" xfId="24334" xr:uid="{00000000-0005-0000-0000-0000CD160000}"/>
    <cellStyle name="20% - Accent3 2 5 3 2 4 2" xfId="43528" xr:uid="{00000000-0005-0000-0000-0000CE160000}"/>
    <cellStyle name="20% - Accent3 2 5 3 2 5" xfId="33830" xr:uid="{00000000-0005-0000-0000-0000CF160000}"/>
    <cellStyle name="20% - Accent3 2 5 3 2 6" xfId="53884" xr:uid="{00000000-0005-0000-0000-0000D0160000}"/>
    <cellStyle name="20% - Accent3 2 5 3 3" xfId="14505" xr:uid="{00000000-0005-0000-0000-0000D1160000}"/>
    <cellStyle name="20% - Accent3 2 5 3 3 2" xfId="15634" xr:uid="{00000000-0005-0000-0000-0000D2160000}"/>
    <cellStyle name="20% - Accent3 2 5 3 3 2 2" xfId="20098" xr:uid="{00000000-0005-0000-0000-0000D3160000}"/>
    <cellStyle name="20% - Accent3 2 5 3 3 2 2 2" xfId="30466" xr:uid="{00000000-0005-0000-0000-0000D4160000}"/>
    <cellStyle name="20% - Accent3 2 5 3 3 2 2 2 2" xfId="49655" xr:uid="{00000000-0005-0000-0000-0000D5160000}"/>
    <cellStyle name="20% - Accent3 2 5 3 3 2 2 3" xfId="39957" xr:uid="{00000000-0005-0000-0000-0000D6160000}"/>
    <cellStyle name="20% - Accent3 2 5 3 3 2 3" xfId="26011" xr:uid="{00000000-0005-0000-0000-0000D7160000}"/>
    <cellStyle name="20% - Accent3 2 5 3 3 2 3 2" xfId="45200" xr:uid="{00000000-0005-0000-0000-0000D8160000}"/>
    <cellStyle name="20% - Accent3 2 5 3 3 2 4" xfId="35502" xr:uid="{00000000-0005-0000-0000-0000D9160000}"/>
    <cellStyle name="20% - Accent3 2 5 3 3 3" xfId="18983" xr:uid="{00000000-0005-0000-0000-0000DA160000}"/>
    <cellStyle name="20% - Accent3 2 5 3 3 3 2" xfId="29351" xr:uid="{00000000-0005-0000-0000-0000DB160000}"/>
    <cellStyle name="20% - Accent3 2 5 3 3 3 2 2" xfId="48540" xr:uid="{00000000-0005-0000-0000-0000DC160000}"/>
    <cellStyle name="20% - Accent3 2 5 3 3 3 3" xfId="38842" xr:uid="{00000000-0005-0000-0000-0000DD160000}"/>
    <cellStyle name="20% - Accent3 2 5 3 3 4" xfId="24896" xr:uid="{00000000-0005-0000-0000-0000DE160000}"/>
    <cellStyle name="20% - Accent3 2 5 3 3 4 2" xfId="44085" xr:uid="{00000000-0005-0000-0000-0000DF160000}"/>
    <cellStyle name="20% - Accent3 2 5 3 3 5" xfId="34387" xr:uid="{00000000-0005-0000-0000-0000E0160000}"/>
    <cellStyle name="20% - Accent3 2 5 3 4" xfId="15077" xr:uid="{00000000-0005-0000-0000-0000E1160000}"/>
    <cellStyle name="20% - Accent3 2 5 3 4 2" xfId="19541" xr:uid="{00000000-0005-0000-0000-0000E2160000}"/>
    <cellStyle name="20% - Accent3 2 5 3 4 2 2" xfId="29909" xr:uid="{00000000-0005-0000-0000-0000E3160000}"/>
    <cellStyle name="20% - Accent3 2 5 3 4 2 2 2" xfId="49098" xr:uid="{00000000-0005-0000-0000-0000E4160000}"/>
    <cellStyle name="20% - Accent3 2 5 3 4 2 3" xfId="39400" xr:uid="{00000000-0005-0000-0000-0000E5160000}"/>
    <cellStyle name="20% - Accent3 2 5 3 4 3" xfId="25454" xr:uid="{00000000-0005-0000-0000-0000E6160000}"/>
    <cellStyle name="20% - Accent3 2 5 3 4 3 2" xfId="44643" xr:uid="{00000000-0005-0000-0000-0000E7160000}"/>
    <cellStyle name="20% - Accent3 2 5 3 4 4" xfId="34945" xr:uid="{00000000-0005-0000-0000-0000E8160000}"/>
    <cellStyle name="20% - Accent3 2 5 3 5" xfId="16747" xr:uid="{00000000-0005-0000-0000-0000E9160000}"/>
    <cellStyle name="20% - Accent3 2 5 3 5 2" xfId="21211" xr:uid="{00000000-0005-0000-0000-0000EA160000}"/>
    <cellStyle name="20% - Accent3 2 5 3 5 2 2" xfId="31579" xr:uid="{00000000-0005-0000-0000-0000EB160000}"/>
    <cellStyle name="20% - Accent3 2 5 3 5 2 2 2" xfId="50768" xr:uid="{00000000-0005-0000-0000-0000EC160000}"/>
    <cellStyle name="20% - Accent3 2 5 3 5 2 3" xfId="41070" xr:uid="{00000000-0005-0000-0000-0000ED160000}"/>
    <cellStyle name="20% - Accent3 2 5 3 5 3" xfId="27124" xr:uid="{00000000-0005-0000-0000-0000EE160000}"/>
    <cellStyle name="20% - Accent3 2 5 3 5 3 2" xfId="46313" xr:uid="{00000000-0005-0000-0000-0000EF160000}"/>
    <cellStyle name="20% - Accent3 2 5 3 5 4" xfId="36615" xr:uid="{00000000-0005-0000-0000-0000F0160000}"/>
    <cellStyle name="20% - Accent3 2 5 3 6" xfId="17313" xr:uid="{00000000-0005-0000-0000-0000F1160000}"/>
    <cellStyle name="20% - Accent3 2 5 3 6 2" xfId="21768" xr:uid="{00000000-0005-0000-0000-0000F2160000}"/>
    <cellStyle name="20% - Accent3 2 5 3 6 2 2" xfId="32136" xr:uid="{00000000-0005-0000-0000-0000F3160000}"/>
    <cellStyle name="20% - Accent3 2 5 3 6 2 2 2" xfId="51325" xr:uid="{00000000-0005-0000-0000-0000F4160000}"/>
    <cellStyle name="20% - Accent3 2 5 3 6 2 3" xfId="41627" xr:uid="{00000000-0005-0000-0000-0000F5160000}"/>
    <cellStyle name="20% - Accent3 2 5 3 6 3" xfId="27681" xr:uid="{00000000-0005-0000-0000-0000F6160000}"/>
    <cellStyle name="20% - Accent3 2 5 3 6 3 2" xfId="46870" xr:uid="{00000000-0005-0000-0000-0000F7160000}"/>
    <cellStyle name="20% - Accent3 2 5 3 6 4" xfId="37172" xr:uid="{00000000-0005-0000-0000-0000F8160000}"/>
    <cellStyle name="20% - Accent3 2 5 3 7" xfId="17870" xr:uid="{00000000-0005-0000-0000-0000F9160000}"/>
    <cellStyle name="20% - Accent3 2 5 3 7 2" xfId="28238" xr:uid="{00000000-0005-0000-0000-0000FA160000}"/>
    <cellStyle name="20% - Accent3 2 5 3 7 2 2" xfId="47427" xr:uid="{00000000-0005-0000-0000-0000FB160000}"/>
    <cellStyle name="20% - Accent3 2 5 3 7 3" xfId="37729" xr:uid="{00000000-0005-0000-0000-0000FC160000}"/>
    <cellStyle name="20% - Accent3 2 5 3 8" xfId="23733" xr:uid="{00000000-0005-0000-0000-0000FD160000}"/>
    <cellStyle name="20% - Accent3 2 5 3 8 2" xfId="42972" xr:uid="{00000000-0005-0000-0000-0000FE160000}"/>
    <cellStyle name="20% - Accent3 2 5 3 9" xfId="33274" xr:uid="{00000000-0005-0000-0000-0000FF160000}"/>
    <cellStyle name="20% - Accent3 2 5 4" xfId="12975" xr:uid="{00000000-0005-0000-0000-000000170000}"/>
    <cellStyle name="20% - Accent3 2 5 4 10" xfId="53488" xr:uid="{00000000-0005-0000-0000-000001170000}"/>
    <cellStyle name="20% - Accent3 2 5 4 2" xfId="13927" xr:uid="{00000000-0005-0000-0000-000002170000}"/>
    <cellStyle name="20% - Accent3 2 5 4 2 2" xfId="16191" xr:uid="{00000000-0005-0000-0000-000003170000}"/>
    <cellStyle name="20% - Accent3 2 5 4 2 2 2" xfId="20655" xr:uid="{00000000-0005-0000-0000-000004170000}"/>
    <cellStyle name="20% - Accent3 2 5 4 2 2 2 2" xfId="31023" xr:uid="{00000000-0005-0000-0000-000005170000}"/>
    <cellStyle name="20% - Accent3 2 5 4 2 2 2 2 2" xfId="50212" xr:uid="{00000000-0005-0000-0000-000006170000}"/>
    <cellStyle name="20% - Accent3 2 5 4 2 2 2 3" xfId="40514" xr:uid="{00000000-0005-0000-0000-000007170000}"/>
    <cellStyle name="20% - Accent3 2 5 4 2 2 3" xfId="26568" xr:uid="{00000000-0005-0000-0000-000008170000}"/>
    <cellStyle name="20% - Accent3 2 5 4 2 2 3 2" xfId="45757" xr:uid="{00000000-0005-0000-0000-000009170000}"/>
    <cellStyle name="20% - Accent3 2 5 4 2 2 4" xfId="36059" xr:uid="{00000000-0005-0000-0000-00000A170000}"/>
    <cellStyle name="20% - Accent3 2 5 4 2 3" xfId="18427" xr:uid="{00000000-0005-0000-0000-00000B170000}"/>
    <cellStyle name="20% - Accent3 2 5 4 2 3 2" xfId="28795" xr:uid="{00000000-0005-0000-0000-00000C170000}"/>
    <cellStyle name="20% - Accent3 2 5 4 2 3 2 2" xfId="47984" xr:uid="{00000000-0005-0000-0000-00000D170000}"/>
    <cellStyle name="20% - Accent3 2 5 4 2 3 3" xfId="38286" xr:uid="{00000000-0005-0000-0000-00000E170000}"/>
    <cellStyle name="20% - Accent3 2 5 4 2 4" xfId="24335" xr:uid="{00000000-0005-0000-0000-00000F170000}"/>
    <cellStyle name="20% - Accent3 2 5 4 2 4 2" xfId="43529" xr:uid="{00000000-0005-0000-0000-000010170000}"/>
    <cellStyle name="20% - Accent3 2 5 4 2 5" xfId="33831" xr:uid="{00000000-0005-0000-0000-000011170000}"/>
    <cellStyle name="20% - Accent3 2 5 4 3" xfId="14506" xr:uid="{00000000-0005-0000-0000-000012170000}"/>
    <cellStyle name="20% - Accent3 2 5 4 3 2" xfId="15635" xr:uid="{00000000-0005-0000-0000-000013170000}"/>
    <cellStyle name="20% - Accent3 2 5 4 3 2 2" xfId="20099" xr:uid="{00000000-0005-0000-0000-000014170000}"/>
    <cellStyle name="20% - Accent3 2 5 4 3 2 2 2" xfId="30467" xr:uid="{00000000-0005-0000-0000-000015170000}"/>
    <cellStyle name="20% - Accent3 2 5 4 3 2 2 2 2" xfId="49656" xr:uid="{00000000-0005-0000-0000-000016170000}"/>
    <cellStyle name="20% - Accent3 2 5 4 3 2 2 3" xfId="39958" xr:uid="{00000000-0005-0000-0000-000017170000}"/>
    <cellStyle name="20% - Accent3 2 5 4 3 2 3" xfId="26012" xr:uid="{00000000-0005-0000-0000-000018170000}"/>
    <cellStyle name="20% - Accent3 2 5 4 3 2 3 2" xfId="45201" xr:uid="{00000000-0005-0000-0000-000019170000}"/>
    <cellStyle name="20% - Accent3 2 5 4 3 2 4" xfId="35503" xr:uid="{00000000-0005-0000-0000-00001A170000}"/>
    <cellStyle name="20% - Accent3 2 5 4 3 3" xfId="18984" xr:uid="{00000000-0005-0000-0000-00001B170000}"/>
    <cellStyle name="20% - Accent3 2 5 4 3 3 2" xfId="29352" xr:uid="{00000000-0005-0000-0000-00001C170000}"/>
    <cellStyle name="20% - Accent3 2 5 4 3 3 2 2" xfId="48541" xr:uid="{00000000-0005-0000-0000-00001D170000}"/>
    <cellStyle name="20% - Accent3 2 5 4 3 3 3" xfId="38843" xr:uid="{00000000-0005-0000-0000-00001E170000}"/>
    <cellStyle name="20% - Accent3 2 5 4 3 4" xfId="24897" xr:uid="{00000000-0005-0000-0000-00001F170000}"/>
    <cellStyle name="20% - Accent3 2 5 4 3 4 2" xfId="44086" xr:uid="{00000000-0005-0000-0000-000020170000}"/>
    <cellStyle name="20% - Accent3 2 5 4 3 5" xfId="34388" xr:uid="{00000000-0005-0000-0000-000021170000}"/>
    <cellStyle name="20% - Accent3 2 5 4 4" xfId="15078" xr:uid="{00000000-0005-0000-0000-000022170000}"/>
    <cellStyle name="20% - Accent3 2 5 4 4 2" xfId="19542" xr:uid="{00000000-0005-0000-0000-000023170000}"/>
    <cellStyle name="20% - Accent3 2 5 4 4 2 2" xfId="29910" xr:uid="{00000000-0005-0000-0000-000024170000}"/>
    <cellStyle name="20% - Accent3 2 5 4 4 2 2 2" xfId="49099" xr:uid="{00000000-0005-0000-0000-000025170000}"/>
    <cellStyle name="20% - Accent3 2 5 4 4 2 3" xfId="39401" xr:uid="{00000000-0005-0000-0000-000026170000}"/>
    <cellStyle name="20% - Accent3 2 5 4 4 3" xfId="25455" xr:uid="{00000000-0005-0000-0000-000027170000}"/>
    <cellStyle name="20% - Accent3 2 5 4 4 3 2" xfId="44644" xr:uid="{00000000-0005-0000-0000-000028170000}"/>
    <cellStyle name="20% - Accent3 2 5 4 4 4" xfId="34946" xr:uid="{00000000-0005-0000-0000-000029170000}"/>
    <cellStyle name="20% - Accent3 2 5 4 5" xfId="16748" xr:uid="{00000000-0005-0000-0000-00002A170000}"/>
    <cellStyle name="20% - Accent3 2 5 4 5 2" xfId="21212" xr:uid="{00000000-0005-0000-0000-00002B170000}"/>
    <cellStyle name="20% - Accent3 2 5 4 5 2 2" xfId="31580" xr:uid="{00000000-0005-0000-0000-00002C170000}"/>
    <cellStyle name="20% - Accent3 2 5 4 5 2 2 2" xfId="50769" xr:uid="{00000000-0005-0000-0000-00002D170000}"/>
    <cellStyle name="20% - Accent3 2 5 4 5 2 3" xfId="41071" xr:uid="{00000000-0005-0000-0000-00002E170000}"/>
    <cellStyle name="20% - Accent3 2 5 4 5 3" xfId="27125" xr:uid="{00000000-0005-0000-0000-00002F170000}"/>
    <cellStyle name="20% - Accent3 2 5 4 5 3 2" xfId="46314" xr:uid="{00000000-0005-0000-0000-000030170000}"/>
    <cellStyle name="20% - Accent3 2 5 4 5 4" xfId="36616" xr:uid="{00000000-0005-0000-0000-000031170000}"/>
    <cellStyle name="20% - Accent3 2 5 4 6" xfId="17314" xr:uid="{00000000-0005-0000-0000-000032170000}"/>
    <cellStyle name="20% - Accent3 2 5 4 6 2" xfId="21769" xr:uid="{00000000-0005-0000-0000-000033170000}"/>
    <cellStyle name="20% - Accent3 2 5 4 6 2 2" xfId="32137" xr:uid="{00000000-0005-0000-0000-000034170000}"/>
    <cellStyle name="20% - Accent3 2 5 4 6 2 2 2" xfId="51326" xr:uid="{00000000-0005-0000-0000-000035170000}"/>
    <cellStyle name="20% - Accent3 2 5 4 6 2 3" xfId="41628" xr:uid="{00000000-0005-0000-0000-000036170000}"/>
    <cellStyle name="20% - Accent3 2 5 4 6 3" xfId="27682" xr:uid="{00000000-0005-0000-0000-000037170000}"/>
    <cellStyle name="20% - Accent3 2 5 4 6 3 2" xfId="46871" xr:uid="{00000000-0005-0000-0000-000038170000}"/>
    <cellStyle name="20% - Accent3 2 5 4 6 4" xfId="37173" xr:uid="{00000000-0005-0000-0000-000039170000}"/>
    <cellStyle name="20% - Accent3 2 5 4 7" xfId="17871" xr:uid="{00000000-0005-0000-0000-00003A170000}"/>
    <cellStyle name="20% - Accent3 2 5 4 7 2" xfId="28239" xr:uid="{00000000-0005-0000-0000-00003B170000}"/>
    <cellStyle name="20% - Accent3 2 5 4 7 2 2" xfId="47428" xr:uid="{00000000-0005-0000-0000-00003C170000}"/>
    <cellStyle name="20% - Accent3 2 5 4 7 3" xfId="37730" xr:uid="{00000000-0005-0000-0000-00003D170000}"/>
    <cellStyle name="20% - Accent3 2 5 4 8" xfId="23734" xr:uid="{00000000-0005-0000-0000-00003E170000}"/>
    <cellStyle name="20% - Accent3 2 5 4 8 2" xfId="42973" xr:uid="{00000000-0005-0000-0000-00003F170000}"/>
    <cellStyle name="20% - Accent3 2 5 4 9" xfId="33275" xr:uid="{00000000-0005-0000-0000-000040170000}"/>
    <cellStyle name="20% - Accent3 2 5 5" xfId="12218" xr:uid="{00000000-0005-0000-0000-000041170000}"/>
    <cellStyle name="20% - Accent3 2 5 6" xfId="52599" xr:uid="{00000000-0005-0000-0000-000042170000}"/>
    <cellStyle name="20% - Accent3 2 5 7" xfId="11993" xr:uid="{00000000-0005-0000-0000-000043170000}"/>
    <cellStyle name="20% - Accent3 2 6" xfId="1670" xr:uid="{00000000-0005-0000-0000-000044170000}"/>
    <cellStyle name="20% - Accent3 2 6 2" xfId="12976" xr:uid="{00000000-0005-0000-0000-000045170000}"/>
    <cellStyle name="20% - Accent3 2 6 2 10" xfId="52832" xr:uid="{00000000-0005-0000-0000-000046170000}"/>
    <cellStyle name="20% - Accent3 2 6 2 2" xfId="13928" xr:uid="{00000000-0005-0000-0000-000047170000}"/>
    <cellStyle name="20% - Accent3 2 6 2 2 2" xfId="16192" xr:uid="{00000000-0005-0000-0000-000048170000}"/>
    <cellStyle name="20% - Accent3 2 6 2 2 2 2" xfId="20656" xr:uid="{00000000-0005-0000-0000-000049170000}"/>
    <cellStyle name="20% - Accent3 2 6 2 2 2 2 2" xfId="31024" xr:uid="{00000000-0005-0000-0000-00004A170000}"/>
    <cellStyle name="20% - Accent3 2 6 2 2 2 2 2 2" xfId="50213" xr:uid="{00000000-0005-0000-0000-00004B170000}"/>
    <cellStyle name="20% - Accent3 2 6 2 2 2 2 3" xfId="40515" xr:uid="{00000000-0005-0000-0000-00004C170000}"/>
    <cellStyle name="20% - Accent3 2 6 2 2 2 3" xfId="26569" xr:uid="{00000000-0005-0000-0000-00004D170000}"/>
    <cellStyle name="20% - Accent3 2 6 2 2 2 3 2" xfId="45758" xr:uid="{00000000-0005-0000-0000-00004E170000}"/>
    <cellStyle name="20% - Accent3 2 6 2 2 2 4" xfId="36060" xr:uid="{00000000-0005-0000-0000-00004F170000}"/>
    <cellStyle name="20% - Accent3 2 6 2 2 2 5" xfId="54113" xr:uid="{00000000-0005-0000-0000-000050170000}"/>
    <cellStyle name="20% - Accent3 2 6 2 2 3" xfId="18428" xr:uid="{00000000-0005-0000-0000-000051170000}"/>
    <cellStyle name="20% - Accent3 2 6 2 2 3 2" xfId="28796" xr:uid="{00000000-0005-0000-0000-000052170000}"/>
    <cellStyle name="20% - Accent3 2 6 2 2 3 2 2" xfId="47985" xr:uid="{00000000-0005-0000-0000-000053170000}"/>
    <cellStyle name="20% - Accent3 2 6 2 2 3 3" xfId="38287" xr:uid="{00000000-0005-0000-0000-000054170000}"/>
    <cellStyle name="20% - Accent3 2 6 2 2 4" xfId="24336" xr:uid="{00000000-0005-0000-0000-000055170000}"/>
    <cellStyle name="20% - Accent3 2 6 2 2 4 2" xfId="43530" xr:uid="{00000000-0005-0000-0000-000056170000}"/>
    <cellStyle name="20% - Accent3 2 6 2 2 5" xfId="33832" xr:uid="{00000000-0005-0000-0000-000057170000}"/>
    <cellStyle name="20% - Accent3 2 6 2 2 6" xfId="53260" xr:uid="{00000000-0005-0000-0000-000058170000}"/>
    <cellStyle name="20% - Accent3 2 6 2 3" xfId="14507" xr:uid="{00000000-0005-0000-0000-000059170000}"/>
    <cellStyle name="20% - Accent3 2 6 2 3 2" xfId="15636" xr:uid="{00000000-0005-0000-0000-00005A170000}"/>
    <cellStyle name="20% - Accent3 2 6 2 3 2 2" xfId="20100" xr:uid="{00000000-0005-0000-0000-00005B170000}"/>
    <cellStyle name="20% - Accent3 2 6 2 3 2 2 2" xfId="30468" xr:uid="{00000000-0005-0000-0000-00005C170000}"/>
    <cellStyle name="20% - Accent3 2 6 2 3 2 2 2 2" xfId="49657" xr:uid="{00000000-0005-0000-0000-00005D170000}"/>
    <cellStyle name="20% - Accent3 2 6 2 3 2 2 3" xfId="39959" xr:uid="{00000000-0005-0000-0000-00005E170000}"/>
    <cellStyle name="20% - Accent3 2 6 2 3 2 3" xfId="26013" xr:uid="{00000000-0005-0000-0000-00005F170000}"/>
    <cellStyle name="20% - Accent3 2 6 2 3 2 3 2" xfId="45202" xr:uid="{00000000-0005-0000-0000-000060170000}"/>
    <cellStyle name="20% - Accent3 2 6 2 3 2 4" xfId="35504" xr:uid="{00000000-0005-0000-0000-000061170000}"/>
    <cellStyle name="20% - Accent3 2 6 2 3 3" xfId="18985" xr:uid="{00000000-0005-0000-0000-000062170000}"/>
    <cellStyle name="20% - Accent3 2 6 2 3 3 2" xfId="29353" xr:uid="{00000000-0005-0000-0000-000063170000}"/>
    <cellStyle name="20% - Accent3 2 6 2 3 3 2 2" xfId="48542" xr:uid="{00000000-0005-0000-0000-000064170000}"/>
    <cellStyle name="20% - Accent3 2 6 2 3 3 3" xfId="38844" xr:uid="{00000000-0005-0000-0000-000065170000}"/>
    <cellStyle name="20% - Accent3 2 6 2 3 4" xfId="24898" xr:uid="{00000000-0005-0000-0000-000066170000}"/>
    <cellStyle name="20% - Accent3 2 6 2 3 4 2" xfId="44087" xr:uid="{00000000-0005-0000-0000-000067170000}"/>
    <cellStyle name="20% - Accent3 2 6 2 3 5" xfId="34389" xr:uid="{00000000-0005-0000-0000-000068170000}"/>
    <cellStyle name="20% - Accent3 2 6 2 3 6" xfId="53717" xr:uid="{00000000-0005-0000-0000-000069170000}"/>
    <cellStyle name="20% - Accent3 2 6 2 4" xfId="15079" xr:uid="{00000000-0005-0000-0000-00006A170000}"/>
    <cellStyle name="20% - Accent3 2 6 2 4 2" xfId="19543" xr:uid="{00000000-0005-0000-0000-00006B170000}"/>
    <cellStyle name="20% - Accent3 2 6 2 4 2 2" xfId="29911" xr:uid="{00000000-0005-0000-0000-00006C170000}"/>
    <cellStyle name="20% - Accent3 2 6 2 4 2 2 2" xfId="49100" xr:uid="{00000000-0005-0000-0000-00006D170000}"/>
    <cellStyle name="20% - Accent3 2 6 2 4 2 3" xfId="39402" xr:uid="{00000000-0005-0000-0000-00006E170000}"/>
    <cellStyle name="20% - Accent3 2 6 2 4 3" xfId="25456" xr:uid="{00000000-0005-0000-0000-00006F170000}"/>
    <cellStyle name="20% - Accent3 2 6 2 4 3 2" xfId="44645" xr:uid="{00000000-0005-0000-0000-000070170000}"/>
    <cellStyle name="20% - Accent3 2 6 2 4 4" xfId="34947" xr:uid="{00000000-0005-0000-0000-000071170000}"/>
    <cellStyle name="20% - Accent3 2 6 2 5" xfId="16749" xr:uid="{00000000-0005-0000-0000-000072170000}"/>
    <cellStyle name="20% - Accent3 2 6 2 5 2" xfId="21213" xr:uid="{00000000-0005-0000-0000-000073170000}"/>
    <cellStyle name="20% - Accent3 2 6 2 5 2 2" xfId="31581" xr:uid="{00000000-0005-0000-0000-000074170000}"/>
    <cellStyle name="20% - Accent3 2 6 2 5 2 2 2" xfId="50770" xr:uid="{00000000-0005-0000-0000-000075170000}"/>
    <cellStyle name="20% - Accent3 2 6 2 5 2 3" xfId="41072" xr:uid="{00000000-0005-0000-0000-000076170000}"/>
    <cellStyle name="20% - Accent3 2 6 2 5 3" xfId="27126" xr:uid="{00000000-0005-0000-0000-000077170000}"/>
    <cellStyle name="20% - Accent3 2 6 2 5 3 2" xfId="46315" xr:uid="{00000000-0005-0000-0000-000078170000}"/>
    <cellStyle name="20% - Accent3 2 6 2 5 4" xfId="36617" xr:uid="{00000000-0005-0000-0000-000079170000}"/>
    <cellStyle name="20% - Accent3 2 6 2 6" xfId="17315" xr:uid="{00000000-0005-0000-0000-00007A170000}"/>
    <cellStyle name="20% - Accent3 2 6 2 6 2" xfId="21770" xr:uid="{00000000-0005-0000-0000-00007B170000}"/>
    <cellStyle name="20% - Accent3 2 6 2 6 2 2" xfId="32138" xr:uid="{00000000-0005-0000-0000-00007C170000}"/>
    <cellStyle name="20% - Accent3 2 6 2 6 2 2 2" xfId="51327" xr:uid="{00000000-0005-0000-0000-00007D170000}"/>
    <cellStyle name="20% - Accent3 2 6 2 6 2 3" xfId="41629" xr:uid="{00000000-0005-0000-0000-00007E170000}"/>
    <cellStyle name="20% - Accent3 2 6 2 6 3" xfId="27683" xr:uid="{00000000-0005-0000-0000-00007F170000}"/>
    <cellStyle name="20% - Accent3 2 6 2 6 3 2" xfId="46872" xr:uid="{00000000-0005-0000-0000-000080170000}"/>
    <cellStyle name="20% - Accent3 2 6 2 6 4" xfId="37174" xr:uid="{00000000-0005-0000-0000-000081170000}"/>
    <cellStyle name="20% - Accent3 2 6 2 7" xfId="17872" xr:uid="{00000000-0005-0000-0000-000082170000}"/>
    <cellStyle name="20% - Accent3 2 6 2 7 2" xfId="28240" xr:uid="{00000000-0005-0000-0000-000083170000}"/>
    <cellStyle name="20% - Accent3 2 6 2 7 2 2" xfId="47429" xr:uid="{00000000-0005-0000-0000-000084170000}"/>
    <cellStyle name="20% - Accent3 2 6 2 7 3" xfId="37731" xr:uid="{00000000-0005-0000-0000-000085170000}"/>
    <cellStyle name="20% - Accent3 2 6 2 8" xfId="23735" xr:uid="{00000000-0005-0000-0000-000086170000}"/>
    <cellStyle name="20% - Accent3 2 6 2 8 2" xfId="42974" xr:uid="{00000000-0005-0000-0000-000087170000}"/>
    <cellStyle name="20% - Accent3 2 6 2 9" xfId="33276" xr:uid="{00000000-0005-0000-0000-000088170000}"/>
    <cellStyle name="20% - Accent3 2 6 3" xfId="12977" xr:uid="{00000000-0005-0000-0000-000089170000}"/>
    <cellStyle name="20% - Accent3 2 6 3 10" xfId="53042" xr:uid="{00000000-0005-0000-0000-00008A170000}"/>
    <cellStyle name="20% - Accent3 2 6 3 2" xfId="13929" xr:uid="{00000000-0005-0000-0000-00008B170000}"/>
    <cellStyle name="20% - Accent3 2 6 3 2 2" xfId="16193" xr:uid="{00000000-0005-0000-0000-00008C170000}"/>
    <cellStyle name="20% - Accent3 2 6 3 2 2 2" xfId="20657" xr:uid="{00000000-0005-0000-0000-00008D170000}"/>
    <cellStyle name="20% - Accent3 2 6 3 2 2 2 2" xfId="31025" xr:uid="{00000000-0005-0000-0000-00008E170000}"/>
    <cellStyle name="20% - Accent3 2 6 3 2 2 2 2 2" xfId="50214" xr:uid="{00000000-0005-0000-0000-00008F170000}"/>
    <cellStyle name="20% - Accent3 2 6 3 2 2 2 3" xfId="40516" xr:uid="{00000000-0005-0000-0000-000090170000}"/>
    <cellStyle name="20% - Accent3 2 6 3 2 2 3" xfId="26570" xr:uid="{00000000-0005-0000-0000-000091170000}"/>
    <cellStyle name="20% - Accent3 2 6 3 2 2 3 2" xfId="45759" xr:uid="{00000000-0005-0000-0000-000092170000}"/>
    <cellStyle name="20% - Accent3 2 6 3 2 2 4" xfId="36061" xr:uid="{00000000-0005-0000-0000-000093170000}"/>
    <cellStyle name="20% - Accent3 2 6 3 2 3" xfId="18429" xr:uid="{00000000-0005-0000-0000-000094170000}"/>
    <cellStyle name="20% - Accent3 2 6 3 2 3 2" xfId="28797" xr:uid="{00000000-0005-0000-0000-000095170000}"/>
    <cellStyle name="20% - Accent3 2 6 3 2 3 2 2" xfId="47986" xr:uid="{00000000-0005-0000-0000-000096170000}"/>
    <cellStyle name="20% - Accent3 2 6 3 2 3 3" xfId="38288" xr:uid="{00000000-0005-0000-0000-000097170000}"/>
    <cellStyle name="20% - Accent3 2 6 3 2 4" xfId="24337" xr:uid="{00000000-0005-0000-0000-000098170000}"/>
    <cellStyle name="20% - Accent3 2 6 3 2 4 2" xfId="43531" xr:uid="{00000000-0005-0000-0000-000099170000}"/>
    <cellStyle name="20% - Accent3 2 6 3 2 5" xfId="33833" xr:uid="{00000000-0005-0000-0000-00009A170000}"/>
    <cellStyle name="20% - Accent3 2 6 3 2 6" xfId="53917" xr:uid="{00000000-0005-0000-0000-00009B170000}"/>
    <cellStyle name="20% - Accent3 2 6 3 3" xfId="14508" xr:uid="{00000000-0005-0000-0000-00009C170000}"/>
    <cellStyle name="20% - Accent3 2 6 3 3 2" xfId="15637" xr:uid="{00000000-0005-0000-0000-00009D170000}"/>
    <cellStyle name="20% - Accent3 2 6 3 3 2 2" xfId="20101" xr:uid="{00000000-0005-0000-0000-00009E170000}"/>
    <cellStyle name="20% - Accent3 2 6 3 3 2 2 2" xfId="30469" xr:uid="{00000000-0005-0000-0000-00009F170000}"/>
    <cellStyle name="20% - Accent3 2 6 3 3 2 2 2 2" xfId="49658" xr:uid="{00000000-0005-0000-0000-0000A0170000}"/>
    <cellStyle name="20% - Accent3 2 6 3 3 2 2 3" xfId="39960" xr:uid="{00000000-0005-0000-0000-0000A1170000}"/>
    <cellStyle name="20% - Accent3 2 6 3 3 2 3" xfId="26014" xr:uid="{00000000-0005-0000-0000-0000A2170000}"/>
    <cellStyle name="20% - Accent3 2 6 3 3 2 3 2" xfId="45203" xr:uid="{00000000-0005-0000-0000-0000A3170000}"/>
    <cellStyle name="20% - Accent3 2 6 3 3 2 4" xfId="35505" xr:uid="{00000000-0005-0000-0000-0000A4170000}"/>
    <cellStyle name="20% - Accent3 2 6 3 3 3" xfId="18986" xr:uid="{00000000-0005-0000-0000-0000A5170000}"/>
    <cellStyle name="20% - Accent3 2 6 3 3 3 2" xfId="29354" xr:uid="{00000000-0005-0000-0000-0000A6170000}"/>
    <cellStyle name="20% - Accent3 2 6 3 3 3 2 2" xfId="48543" xr:uid="{00000000-0005-0000-0000-0000A7170000}"/>
    <cellStyle name="20% - Accent3 2 6 3 3 3 3" xfId="38845" xr:uid="{00000000-0005-0000-0000-0000A8170000}"/>
    <cellStyle name="20% - Accent3 2 6 3 3 4" xfId="24899" xr:uid="{00000000-0005-0000-0000-0000A9170000}"/>
    <cellStyle name="20% - Accent3 2 6 3 3 4 2" xfId="44088" xr:uid="{00000000-0005-0000-0000-0000AA170000}"/>
    <cellStyle name="20% - Accent3 2 6 3 3 5" xfId="34390" xr:uid="{00000000-0005-0000-0000-0000AB170000}"/>
    <cellStyle name="20% - Accent3 2 6 3 4" xfId="15080" xr:uid="{00000000-0005-0000-0000-0000AC170000}"/>
    <cellStyle name="20% - Accent3 2 6 3 4 2" xfId="19544" xr:uid="{00000000-0005-0000-0000-0000AD170000}"/>
    <cellStyle name="20% - Accent3 2 6 3 4 2 2" xfId="29912" xr:uid="{00000000-0005-0000-0000-0000AE170000}"/>
    <cellStyle name="20% - Accent3 2 6 3 4 2 2 2" xfId="49101" xr:uid="{00000000-0005-0000-0000-0000AF170000}"/>
    <cellStyle name="20% - Accent3 2 6 3 4 2 3" xfId="39403" xr:uid="{00000000-0005-0000-0000-0000B0170000}"/>
    <cellStyle name="20% - Accent3 2 6 3 4 3" xfId="25457" xr:uid="{00000000-0005-0000-0000-0000B1170000}"/>
    <cellStyle name="20% - Accent3 2 6 3 4 3 2" xfId="44646" xr:uid="{00000000-0005-0000-0000-0000B2170000}"/>
    <cellStyle name="20% - Accent3 2 6 3 4 4" xfId="34948" xr:uid="{00000000-0005-0000-0000-0000B3170000}"/>
    <cellStyle name="20% - Accent3 2 6 3 5" xfId="16750" xr:uid="{00000000-0005-0000-0000-0000B4170000}"/>
    <cellStyle name="20% - Accent3 2 6 3 5 2" xfId="21214" xr:uid="{00000000-0005-0000-0000-0000B5170000}"/>
    <cellStyle name="20% - Accent3 2 6 3 5 2 2" xfId="31582" xr:uid="{00000000-0005-0000-0000-0000B6170000}"/>
    <cellStyle name="20% - Accent3 2 6 3 5 2 2 2" xfId="50771" xr:uid="{00000000-0005-0000-0000-0000B7170000}"/>
    <cellStyle name="20% - Accent3 2 6 3 5 2 3" xfId="41073" xr:uid="{00000000-0005-0000-0000-0000B8170000}"/>
    <cellStyle name="20% - Accent3 2 6 3 5 3" xfId="27127" xr:uid="{00000000-0005-0000-0000-0000B9170000}"/>
    <cellStyle name="20% - Accent3 2 6 3 5 3 2" xfId="46316" xr:uid="{00000000-0005-0000-0000-0000BA170000}"/>
    <cellStyle name="20% - Accent3 2 6 3 5 4" xfId="36618" xr:uid="{00000000-0005-0000-0000-0000BB170000}"/>
    <cellStyle name="20% - Accent3 2 6 3 6" xfId="17316" xr:uid="{00000000-0005-0000-0000-0000BC170000}"/>
    <cellStyle name="20% - Accent3 2 6 3 6 2" xfId="21771" xr:uid="{00000000-0005-0000-0000-0000BD170000}"/>
    <cellStyle name="20% - Accent3 2 6 3 6 2 2" xfId="32139" xr:uid="{00000000-0005-0000-0000-0000BE170000}"/>
    <cellStyle name="20% - Accent3 2 6 3 6 2 2 2" xfId="51328" xr:uid="{00000000-0005-0000-0000-0000BF170000}"/>
    <cellStyle name="20% - Accent3 2 6 3 6 2 3" xfId="41630" xr:uid="{00000000-0005-0000-0000-0000C0170000}"/>
    <cellStyle name="20% - Accent3 2 6 3 6 3" xfId="27684" xr:uid="{00000000-0005-0000-0000-0000C1170000}"/>
    <cellStyle name="20% - Accent3 2 6 3 6 3 2" xfId="46873" xr:uid="{00000000-0005-0000-0000-0000C2170000}"/>
    <cellStyle name="20% - Accent3 2 6 3 6 4" xfId="37175" xr:uid="{00000000-0005-0000-0000-0000C3170000}"/>
    <cellStyle name="20% - Accent3 2 6 3 7" xfId="17873" xr:uid="{00000000-0005-0000-0000-0000C4170000}"/>
    <cellStyle name="20% - Accent3 2 6 3 7 2" xfId="28241" xr:uid="{00000000-0005-0000-0000-0000C5170000}"/>
    <cellStyle name="20% - Accent3 2 6 3 7 2 2" xfId="47430" xr:uid="{00000000-0005-0000-0000-0000C6170000}"/>
    <cellStyle name="20% - Accent3 2 6 3 7 3" xfId="37732" xr:uid="{00000000-0005-0000-0000-0000C7170000}"/>
    <cellStyle name="20% - Accent3 2 6 3 8" xfId="23736" xr:uid="{00000000-0005-0000-0000-0000C8170000}"/>
    <cellStyle name="20% - Accent3 2 6 3 8 2" xfId="42975" xr:uid="{00000000-0005-0000-0000-0000C9170000}"/>
    <cellStyle name="20% - Accent3 2 6 3 9" xfId="33277" xr:uid="{00000000-0005-0000-0000-0000CA170000}"/>
    <cellStyle name="20% - Accent3 2 6 4" xfId="53521" xr:uid="{00000000-0005-0000-0000-0000CB170000}"/>
    <cellStyle name="20% - Accent3 2 6 5" xfId="52636" xr:uid="{00000000-0005-0000-0000-0000CC170000}"/>
    <cellStyle name="20% - Accent3 2 6 6" xfId="12217" xr:uid="{00000000-0005-0000-0000-0000CD170000}"/>
    <cellStyle name="20% - Accent3 2 7" xfId="1671" xr:uid="{00000000-0005-0000-0000-0000CE170000}"/>
    <cellStyle name="20% - Accent3 2 7 10" xfId="52663" xr:uid="{00000000-0005-0000-0000-0000CF170000}"/>
    <cellStyle name="20% - Accent3 2 7 11" xfId="12690" xr:uid="{00000000-0005-0000-0000-0000D0170000}"/>
    <cellStyle name="20% - Accent3 2 7 2" xfId="13807" xr:uid="{00000000-0005-0000-0000-0000D1170000}"/>
    <cellStyle name="20% - Accent3 2 7 2 2" xfId="16071" xr:uid="{00000000-0005-0000-0000-0000D2170000}"/>
    <cellStyle name="20% - Accent3 2 7 2 2 2" xfId="20535" xr:uid="{00000000-0005-0000-0000-0000D3170000}"/>
    <cellStyle name="20% - Accent3 2 7 2 2 2 2" xfId="30903" xr:uid="{00000000-0005-0000-0000-0000D4170000}"/>
    <cellStyle name="20% - Accent3 2 7 2 2 2 2 2" xfId="50092" xr:uid="{00000000-0005-0000-0000-0000D5170000}"/>
    <cellStyle name="20% - Accent3 2 7 2 2 2 3" xfId="40394" xr:uid="{00000000-0005-0000-0000-0000D6170000}"/>
    <cellStyle name="20% - Accent3 2 7 2 2 3" xfId="26448" xr:uid="{00000000-0005-0000-0000-0000D7170000}"/>
    <cellStyle name="20% - Accent3 2 7 2 2 3 2" xfId="45637" xr:uid="{00000000-0005-0000-0000-0000D8170000}"/>
    <cellStyle name="20% - Accent3 2 7 2 2 4" xfId="35939" xr:uid="{00000000-0005-0000-0000-0000D9170000}"/>
    <cellStyle name="20% - Accent3 2 7 2 2 5" xfId="53944" xr:uid="{00000000-0005-0000-0000-0000DA170000}"/>
    <cellStyle name="20% - Accent3 2 7 2 3" xfId="18307" xr:uid="{00000000-0005-0000-0000-0000DB170000}"/>
    <cellStyle name="20% - Accent3 2 7 2 3 2" xfId="28675" xr:uid="{00000000-0005-0000-0000-0000DC170000}"/>
    <cellStyle name="20% - Accent3 2 7 2 3 2 2" xfId="47864" xr:uid="{00000000-0005-0000-0000-0000DD170000}"/>
    <cellStyle name="20% - Accent3 2 7 2 3 3" xfId="38166" xr:uid="{00000000-0005-0000-0000-0000DE170000}"/>
    <cellStyle name="20% - Accent3 2 7 2 4" xfId="24215" xr:uid="{00000000-0005-0000-0000-0000DF170000}"/>
    <cellStyle name="20% - Accent3 2 7 2 4 2" xfId="43409" xr:uid="{00000000-0005-0000-0000-0000E0170000}"/>
    <cellStyle name="20% - Accent3 2 7 2 5" xfId="33711" xr:uid="{00000000-0005-0000-0000-0000E1170000}"/>
    <cellStyle name="20% - Accent3 2 7 2 6" xfId="53091" xr:uid="{00000000-0005-0000-0000-0000E2170000}"/>
    <cellStyle name="20% - Accent3 2 7 3" xfId="14386" xr:uid="{00000000-0005-0000-0000-0000E3170000}"/>
    <cellStyle name="20% - Accent3 2 7 3 2" xfId="15515" xr:uid="{00000000-0005-0000-0000-0000E4170000}"/>
    <cellStyle name="20% - Accent3 2 7 3 2 2" xfId="19979" xr:uid="{00000000-0005-0000-0000-0000E5170000}"/>
    <cellStyle name="20% - Accent3 2 7 3 2 2 2" xfId="30347" xr:uid="{00000000-0005-0000-0000-0000E6170000}"/>
    <cellStyle name="20% - Accent3 2 7 3 2 2 2 2" xfId="49536" xr:uid="{00000000-0005-0000-0000-0000E7170000}"/>
    <cellStyle name="20% - Accent3 2 7 3 2 2 3" xfId="39838" xr:uid="{00000000-0005-0000-0000-0000E8170000}"/>
    <cellStyle name="20% - Accent3 2 7 3 2 3" xfId="25892" xr:uid="{00000000-0005-0000-0000-0000E9170000}"/>
    <cellStyle name="20% - Accent3 2 7 3 2 3 2" xfId="45081" xr:uid="{00000000-0005-0000-0000-0000EA170000}"/>
    <cellStyle name="20% - Accent3 2 7 3 2 4" xfId="35383" xr:uid="{00000000-0005-0000-0000-0000EB170000}"/>
    <cellStyle name="20% - Accent3 2 7 3 3" xfId="18864" xr:uid="{00000000-0005-0000-0000-0000EC170000}"/>
    <cellStyle name="20% - Accent3 2 7 3 3 2" xfId="29232" xr:uid="{00000000-0005-0000-0000-0000ED170000}"/>
    <cellStyle name="20% - Accent3 2 7 3 3 2 2" xfId="48421" xr:uid="{00000000-0005-0000-0000-0000EE170000}"/>
    <cellStyle name="20% - Accent3 2 7 3 3 3" xfId="38723" xr:uid="{00000000-0005-0000-0000-0000EF170000}"/>
    <cellStyle name="20% - Accent3 2 7 3 4" xfId="24777" xr:uid="{00000000-0005-0000-0000-0000F0170000}"/>
    <cellStyle name="20% - Accent3 2 7 3 4 2" xfId="43966" xr:uid="{00000000-0005-0000-0000-0000F1170000}"/>
    <cellStyle name="20% - Accent3 2 7 3 5" xfId="34268" xr:uid="{00000000-0005-0000-0000-0000F2170000}"/>
    <cellStyle name="20% - Accent3 2 7 3 6" xfId="53548" xr:uid="{00000000-0005-0000-0000-0000F3170000}"/>
    <cellStyle name="20% - Accent3 2 7 4" xfId="14958" xr:uid="{00000000-0005-0000-0000-0000F4170000}"/>
    <cellStyle name="20% - Accent3 2 7 4 2" xfId="19422" xr:uid="{00000000-0005-0000-0000-0000F5170000}"/>
    <cellStyle name="20% - Accent3 2 7 4 2 2" xfId="29790" xr:uid="{00000000-0005-0000-0000-0000F6170000}"/>
    <cellStyle name="20% - Accent3 2 7 4 2 2 2" xfId="48979" xr:uid="{00000000-0005-0000-0000-0000F7170000}"/>
    <cellStyle name="20% - Accent3 2 7 4 2 3" xfId="39281" xr:uid="{00000000-0005-0000-0000-0000F8170000}"/>
    <cellStyle name="20% - Accent3 2 7 4 3" xfId="25335" xr:uid="{00000000-0005-0000-0000-0000F9170000}"/>
    <cellStyle name="20% - Accent3 2 7 4 3 2" xfId="44524" xr:uid="{00000000-0005-0000-0000-0000FA170000}"/>
    <cellStyle name="20% - Accent3 2 7 4 4" xfId="34826" xr:uid="{00000000-0005-0000-0000-0000FB170000}"/>
    <cellStyle name="20% - Accent3 2 7 5" xfId="16628" xr:uid="{00000000-0005-0000-0000-0000FC170000}"/>
    <cellStyle name="20% - Accent3 2 7 5 2" xfId="21092" xr:uid="{00000000-0005-0000-0000-0000FD170000}"/>
    <cellStyle name="20% - Accent3 2 7 5 2 2" xfId="31460" xr:uid="{00000000-0005-0000-0000-0000FE170000}"/>
    <cellStyle name="20% - Accent3 2 7 5 2 2 2" xfId="50649" xr:uid="{00000000-0005-0000-0000-0000FF170000}"/>
    <cellStyle name="20% - Accent3 2 7 5 2 3" xfId="40951" xr:uid="{00000000-0005-0000-0000-000000180000}"/>
    <cellStyle name="20% - Accent3 2 7 5 3" xfId="27005" xr:uid="{00000000-0005-0000-0000-000001180000}"/>
    <cellStyle name="20% - Accent3 2 7 5 3 2" xfId="46194" xr:uid="{00000000-0005-0000-0000-000002180000}"/>
    <cellStyle name="20% - Accent3 2 7 5 4" xfId="36496" xr:uid="{00000000-0005-0000-0000-000003180000}"/>
    <cellStyle name="20% - Accent3 2 7 6" xfId="17194" xr:uid="{00000000-0005-0000-0000-000004180000}"/>
    <cellStyle name="20% - Accent3 2 7 6 2" xfId="21649" xr:uid="{00000000-0005-0000-0000-000005180000}"/>
    <cellStyle name="20% - Accent3 2 7 6 2 2" xfId="32017" xr:uid="{00000000-0005-0000-0000-000006180000}"/>
    <cellStyle name="20% - Accent3 2 7 6 2 2 2" xfId="51206" xr:uid="{00000000-0005-0000-0000-000007180000}"/>
    <cellStyle name="20% - Accent3 2 7 6 2 3" xfId="41508" xr:uid="{00000000-0005-0000-0000-000008180000}"/>
    <cellStyle name="20% - Accent3 2 7 6 3" xfId="27562" xr:uid="{00000000-0005-0000-0000-000009180000}"/>
    <cellStyle name="20% - Accent3 2 7 6 3 2" xfId="46751" xr:uid="{00000000-0005-0000-0000-00000A180000}"/>
    <cellStyle name="20% - Accent3 2 7 6 4" xfId="37053" xr:uid="{00000000-0005-0000-0000-00000B180000}"/>
    <cellStyle name="20% - Accent3 2 7 7" xfId="17751" xr:uid="{00000000-0005-0000-0000-00000C180000}"/>
    <cellStyle name="20% - Accent3 2 7 7 2" xfId="28119" xr:uid="{00000000-0005-0000-0000-00000D180000}"/>
    <cellStyle name="20% - Accent3 2 7 7 2 2" xfId="47308" xr:uid="{00000000-0005-0000-0000-00000E180000}"/>
    <cellStyle name="20% - Accent3 2 7 7 3" xfId="37610" xr:uid="{00000000-0005-0000-0000-00000F180000}"/>
    <cellStyle name="20% - Accent3 2 7 8" xfId="23566" xr:uid="{00000000-0005-0000-0000-000010180000}"/>
    <cellStyle name="20% - Accent3 2 7 8 2" xfId="42853" xr:uid="{00000000-0005-0000-0000-000011180000}"/>
    <cellStyle name="20% - Accent3 2 7 9" xfId="33155" xr:uid="{00000000-0005-0000-0000-000012180000}"/>
    <cellStyle name="20% - Accent3 2 8" xfId="1672" xr:uid="{00000000-0005-0000-0000-000013180000}"/>
    <cellStyle name="20% - Accent3 2 8 10" xfId="52863" xr:uid="{00000000-0005-0000-0000-000014180000}"/>
    <cellStyle name="20% - Accent3 2 8 11" xfId="12786" xr:uid="{00000000-0005-0000-0000-000015180000}"/>
    <cellStyle name="20% - Accent3 2 8 2" xfId="13819" xr:uid="{00000000-0005-0000-0000-000016180000}"/>
    <cellStyle name="20% - Accent3 2 8 2 2" xfId="16083" xr:uid="{00000000-0005-0000-0000-000017180000}"/>
    <cellStyle name="20% - Accent3 2 8 2 2 2" xfId="20547" xr:uid="{00000000-0005-0000-0000-000018180000}"/>
    <cellStyle name="20% - Accent3 2 8 2 2 2 2" xfId="30915" xr:uid="{00000000-0005-0000-0000-000019180000}"/>
    <cellStyle name="20% - Accent3 2 8 2 2 2 2 2" xfId="50104" xr:uid="{00000000-0005-0000-0000-00001A180000}"/>
    <cellStyle name="20% - Accent3 2 8 2 2 2 3" xfId="40406" xr:uid="{00000000-0005-0000-0000-00001B180000}"/>
    <cellStyle name="20% - Accent3 2 8 2 2 3" xfId="26460" xr:uid="{00000000-0005-0000-0000-00001C180000}"/>
    <cellStyle name="20% - Accent3 2 8 2 2 3 2" xfId="45649" xr:uid="{00000000-0005-0000-0000-00001D180000}"/>
    <cellStyle name="20% - Accent3 2 8 2 2 4" xfId="35951" xr:uid="{00000000-0005-0000-0000-00001E180000}"/>
    <cellStyle name="20% - Accent3 2 8 2 3" xfId="18319" xr:uid="{00000000-0005-0000-0000-00001F180000}"/>
    <cellStyle name="20% - Accent3 2 8 2 3 2" xfId="28687" xr:uid="{00000000-0005-0000-0000-000020180000}"/>
    <cellStyle name="20% - Accent3 2 8 2 3 2 2" xfId="47876" xr:uid="{00000000-0005-0000-0000-000021180000}"/>
    <cellStyle name="20% - Accent3 2 8 2 3 3" xfId="38178" xr:uid="{00000000-0005-0000-0000-000022180000}"/>
    <cellStyle name="20% - Accent3 2 8 2 4" xfId="24227" xr:uid="{00000000-0005-0000-0000-000023180000}"/>
    <cellStyle name="20% - Accent3 2 8 2 4 2" xfId="43421" xr:uid="{00000000-0005-0000-0000-000024180000}"/>
    <cellStyle name="20% - Accent3 2 8 2 5" xfId="33723" xr:uid="{00000000-0005-0000-0000-000025180000}"/>
    <cellStyle name="20% - Accent3 2 8 2 6" xfId="53747" xr:uid="{00000000-0005-0000-0000-000026180000}"/>
    <cellStyle name="20% - Accent3 2 8 3" xfId="14398" xr:uid="{00000000-0005-0000-0000-000027180000}"/>
    <cellStyle name="20% - Accent3 2 8 3 2" xfId="15527" xr:uid="{00000000-0005-0000-0000-000028180000}"/>
    <cellStyle name="20% - Accent3 2 8 3 2 2" xfId="19991" xr:uid="{00000000-0005-0000-0000-000029180000}"/>
    <cellStyle name="20% - Accent3 2 8 3 2 2 2" xfId="30359" xr:uid="{00000000-0005-0000-0000-00002A180000}"/>
    <cellStyle name="20% - Accent3 2 8 3 2 2 2 2" xfId="49548" xr:uid="{00000000-0005-0000-0000-00002B180000}"/>
    <cellStyle name="20% - Accent3 2 8 3 2 2 3" xfId="39850" xr:uid="{00000000-0005-0000-0000-00002C180000}"/>
    <cellStyle name="20% - Accent3 2 8 3 2 3" xfId="25904" xr:uid="{00000000-0005-0000-0000-00002D180000}"/>
    <cellStyle name="20% - Accent3 2 8 3 2 3 2" xfId="45093" xr:uid="{00000000-0005-0000-0000-00002E180000}"/>
    <cellStyle name="20% - Accent3 2 8 3 2 4" xfId="35395" xr:uid="{00000000-0005-0000-0000-00002F180000}"/>
    <cellStyle name="20% - Accent3 2 8 3 3" xfId="18876" xr:uid="{00000000-0005-0000-0000-000030180000}"/>
    <cellStyle name="20% - Accent3 2 8 3 3 2" xfId="29244" xr:uid="{00000000-0005-0000-0000-000031180000}"/>
    <cellStyle name="20% - Accent3 2 8 3 3 2 2" xfId="48433" xr:uid="{00000000-0005-0000-0000-000032180000}"/>
    <cellStyle name="20% - Accent3 2 8 3 3 3" xfId="38735" xr:uid="{00000000-0005-0000-0000-000033180000}"/>
    <cellStyle name="20% - Accent3 2 8 3 4" xfId="24789" xr:uid="{00000000-0005-0000-0000-000034180000}"/>
    <cellStyle name="20% - Accent3 2 8 3 4 2" xfId="43978" xr:uid="{00000000-0005-0000-0000-000035180000}"/>
    <cellStyle name="20% - Accent3 2 8 3 5" xfId="34280" xr:uid="{00000000-0005-0000-0000-000036180000}"/>
    <cellStyle name="20% - Accent3 2 8 4" xfId="14970" xr:uid="{00000000-0005-0000-0000-000037180000}"/>
    <cellStyle name="20% - Accent3 2 8 4 2" xfId="19434" xr:uid="{00000000-0005-0000-0000-000038180000}"/>
    <cellStyle name="20% - Accent3 2 8 4 2 2" xfId="29802" xr:uid="{00000000-0005-0000-0000-000039180000}"/>
    <cellStyle name="20% - Accent3 2 8 4 2 2 2" xfId="48991" xr:uid="{00000000-0005-0000-0000-00003A180000}"/>
    <cellStyle name="20% - Accent3 2 8 4 2 3" xfId="39293" xr:uid="{00000000-0005-0000-0000-00003B180000}"/>
    <cellStyle name="20% - Accent3 2 8 4 3" xfId="25347" xr:uid="{00000000-0005-0000-0000-00003C180000}"/>
    <cellStyle name="20% - Accent3 2 8 4 3 2" xfId="44536" xr:uid="{00000000-0005-0000-0000-00003D180000}"/>
    <cellStyle name="20% - Accent3 2 8 4 4" xfId="34838" xr:uid="{00000000-0005-0000-0000-00003E180000}"/>
    <cellStyle name="20% - Accent3 2 8 5" xfId="16640" xr:uid="{00000000-0005-0000-0000-00003F180000}"/>
    <cellStyle name="20% - Accent3 2 8 5 2" xfId="21104" xr:uid="{00000000-0005-0000-0000-000040180000}"/>
    <cellStyle name="20% - Accent3 2 8 5 2 2" xfId="31472" xr:uid="{00000000-0005-0000-0000-000041180000}"/>
    <cellStyle name="20% - Accent3 2 8 5 2 2 2" xfId="50661" xr:uid="{00000000-0005-0000-0000-000042180000}"/>
    <cellStyle name="20% - Accent3 2 8 5 2 3" xfId="40963" xr:uid="{00000000-0005-0000-0000-000043180000}"/>
    <cellStyle name="20% - Accent3 2 8 5 3" xfId="27017" xr:uid="{00000000-0005-0000-0000-000044180000}"/>
    <cellStyle name="20% - Accent3 2 8 5 3 2" xfId="46206" xr:uid="{00000000-0005-0000-0000-000045180000}"/>
    <cellStyle name="20% - Accent3 2 8 5 4" xfId="36508" xr:uid="{00000000-0005-0000-0000-000046180000}"/>
    <cellStyle name="20% - Accent3 2 8 6" xfId="17206" xr:uid="{00000000-0005-0000-0000-000047180000}"/>
    <cellStyle name="20% - Accent3 2 8 6 2" xfId="21661" xr:uid="{00000000-0005-0000-0000-000048180000}"/>
    <cellStyle name="20% - Accent3 2 8 6 2 2" xfId="32029" xr:uid="{00000000-0005-0000-0000-000049180000}"/>
    <cellStyle name="20% - Accent3 2 8 6 2 2 2" xfId="51218" xr:uid="{00000000-0005-0000-0000-00004A180000}"/>
    <cellStyle name="20% - Accent3 2 8 6 2 3" xfId="41520" xr:uid="{00000000-0005-0000-0000-00004B180000}"/>
    <cellStyle name="20% - Accent3 2 8 6 3" xfId="27574" xr:uid="{00000000-0005-0000-0000-00004C180000}"/>
    <cellStyle name="20% - Accent3 2 8 6 3 2" xfId="46763" xr:uid="{00000000-0005-0000-0000-00004D180000}"/>
    <cellStyle name="20% - Accent3 2 8 6 4" xfId="37065" xr:uid="{00000000-0005-0000-0000-00004E180000}"/>
    <cellStyle name="20% - Accent3 2 8 7" xfId="17763" xr:uid="{00000000-0005-0000-0000-00004F180000}"/>
    <cellStyle name="20% - Accent3 2 8 7 2" xfId="28131" xr:uid="{00000000-0005-0000-0000-000050180000}"/>
    <cellStyle name="20% - Accent3 2 8 7 2 2" xfId="47320" xr:uid="{00000000-0005-0000-0000-000051180000}"/>
    <cellStyle name="20% - Accent3 2 8 7 3" xfId="37622" xr:uid="{00000000-0005-0000-0000-000052180000}"/>
    <cellStyle name="20% - Accent3 2 8 8" xfId="23589" xr:uid="{00000000-0005-0000-0000-000053180000}"/>
    <cellStyle name="20% - Accent3 2 8 8 2" xfId="42865" xr:uid="{00000000-0005-0000-0000-000054180000}"/>
    <cellStyle name="20% - Accent3 2 8 9" xfId="33167" xr:uid="{00000000-0005-0000-0000-000055180000}"/>
    <cellStyle name="20% - Accent3 2 9" xfId="1673" xr:uid="{00000000-0005-0000-0000-000056180000}"/>
    <cellStyle name="20% - Accent3 2 9 2" xfId="54144" xr:uid="{00000000-0005-0000-0000-000057180000}"/>
    <cellStyle name="20% - Accent3 2 9 3" xfId="53292" xr:uid="{00000000-0005-0000-0000-000058180000}"/>
    <cellStyle name="20% - Accent3 2 9 4" xfId="12978" xr:uid="{00000000-0005-0000-0000-000059180000}"/>
    <cellStyle name="20% - Accent3 20" xfId="22854" xr:uid="{00000000-0005-0000-0000-00005A180000}"/>
    <cellStyle name="20% - Accent3 20 2" xfId="32938" xr:uid="{00000000-0005-0000-0000-00005B180000}"/>
    <cellStyle name="20% - Accent3 20 2 2" xfId="52124" xr:uid="{00000000-0005-0000-0000-00005C180000}"/>
    <cellStyle name="20% - Accent3 20 3" xfId="23211" xr:uid="{00000000-0005-0000-0000-00005D180000}"/>
    <cellStyle name="20% - Accent3 20 3 2" xfId="42779" xr:uid="{00000000-0005-0000-0000-00005E180000}"/>
    <cellStyle name="20% - Accent3 20 4" xfId="42426" xr:uid="{00000000-0005-0000-0000-00005F180000}"/>
    <cellStyle name="20% - Accent3 21" xfId="22737" xr:uid="{00000000-0005-0000-0000-000060180000}"/>
    <cellStyle name="20% - Accent3 21 2" xfId="32821" xr:uid="{00000000-0005-0000-0000-000061180000}"/>
    <cellStyle name="20% - Accent3 21 2 2" xfId="52007" xr:uid="{00000000-0005-0000-0000-000062180000}"/>
    <cellStyle name="20% - Accent3 21 3" xfId="42309" xr:uid="{00000000-0005-0000-0000-000063180000}"/>
    <cellStyle name="20% - Accent3 22" xfId="23094" xr:uid="{00000000-0005-0000-0000-000064180000}"/>
    <cellStyle name="20% - Accent3 22 2" xfId="42662" xr:uid="{00000000-0005-0000-0000-000065180000}"/>
    <cellStyle name="20% - Accent3 23" xfId="33113" xr:uid="{00000000-0005-0000-0000-000066180000}"/>
    <cellStyle name="20% - Accent3 3" xfId="73" xr:uid="{00000000-0005-0000-0000-000067180000}"/>
    <cellStyle name="20% - Accent3 3 2" xfId="1675" xr:uid="{00000000-0005-0000-0000-000068180000}"/>
    <cellStyle name="20% - Accent3 3 2 2" xfId="1676" xr:uid="{00000000-0005-0000-0000-000069180000}"/>
    <cellStyle name="20% - Accent3 3 2 2 2" xfId="1677" xr:uid="{00000000-0005-0000-0000-00006A180000}"/>
    <cellStyle name="20% - Accent3 3 2 2 2 2" xfId="1678" xr:uid="{00000000-0005-0000-0000-00006B180000}"/>
    <cellStyle name="20% - Accent3 3 2 2 3" xfId="1679" xr:uid="{00000000-0005-0000-0000-00006C180000}"/>
    <cellStyle name="20% - Accent3 3 2 3" xfId="1680" xr:uid="{00000000-0005-0000-0000-00006D180000}"/>
    <cellStyle name="20% - Accent3 3 2 3 2" xfId="1681" xr:uid="{00000000-0005-0000-0000-00006E180000}"/>
    <cellStyle name="20% - Accent3 3 2 4" xfId="1682" xr:uid="{00000000-0005-0000-0000-00006F180000}"/>
    <cellStyle name="20% - Accent3 3 2 5" xfId="12979" xr:uid="{00000000-0005-0000-0000-000070180000}"/>
    <cellStyle name="20% - Accent3 3 3" xfId="1683" xr:uid="{00000000-0005-0000-0000-000071180000}"/>
    <cellStyle name="20% - Accent3 3 3 2" xfId="1684" xr:uid="{00000000-0005-0000-0000-000072180000}"/>
    <cellStyle name="20% - Accent3 3 3 2 2" xfId="1685" xr:uid="{00000000-0005-0000-0000-000073180000}"/>
    <cellStyle name="20% - Accent3 3 3 2 2 2" xfId="1686" xr:uid="{00000000-0005-0000-0000-000074180000}"/>
    <cellStyle name="20% - Accent3 3 3 2 3" xfId="1687" xr:uid="{00000000-0005-0000-0000-000075180000}"/>
    <cellStyle name="20% - Accent3 3 3 3" xfId="1688" xr:uid="{00000000-0005-0000-0000-000076180000}"/>
    <cellStyle name="20% - Accent3 3 3 3 2" xfId="1689" xr:uid="{00000000-0005-0000-0000-000077180000}"/>
    <cellStyle name="20% - Accent3 3 3 4" xfId="1690" xr:uid="{00000000-0005-0000-0000-000078180000}"/>
    <cellStyle name="20% - Accent3 3 3 5" xfId="13524" xr:uid="{00000000-0005-0000-0000-000079180000}"/>
    <cellStyle name="20% - Accent3 3 4" xfId="1691" xr:uid="{00000000-0005-0000-0000-00007A180000}"/>
    <cellStyle name="20% - Accent3 3 4 2" xfId="1692" xr:uid="{00000000-0005-0000-0000-00007B180000}"/>
    <cellStyle name="20% - Accent3 3 4 2 2" xfId="1693" xr:uid="{00000000-0005-0000-0000-00007C180000}"/>
    <cellStyle name="20% - Accent3 3 4 3" xfId="1694" xr:uid="{00000000-0005-0000-0000-00007D180000}"/>
    <cellStyle name="20% - Accent3 3 4 4" xfId="22276" xr:uid="{00000000-0005-0000-0000-00007E180000}"/>
    <cellStyle name="20% - Accent3 3 5" xfId="1695" xr:uid="{00000000-0005-0000-0000-00007F180000}"/>
    <cellStyle name="20% - Accent3 3 5 2" xfId="1696" xr:uid="{00000000-0005-0000-0000-000080180000}"/>
    <cellStyle name="20% - Accent3 3 5 3" xfId="23339" xr:uid="{00000000-0005-0000-0000-000081180000}"/>
    <cellStyle name="20% - Accent3 3 6" xfId="1697" xr:uid="{00000000-0005-0000-0000-000082180000}"/>
    <cellStyle name="20% - Accent3 3 7" xfId="1674" xr:uid="{00000000-0005-0000-0000-000083180000}"/>
    <cellStyle name="20% - Accent3 3 8" xfId="12216" xr:uid="{00000000-0005-0000-0000-000084180000}"/>
    <cellStyle name="20% - Accent3 4" xfId="74" xr:uid="{00000000-0005-0000-0000-000085180000}"/>
    <cellStyle name="20% - Accent3 4 2" xfId="1698" xr:uid="{00000000-0005-0000-0000-000086180000}"/>
    <cellStyle name="20% - Accent3 4 2 2" xfId="13687" xr:uid="{00000000-0005-0000-0000-000087180000}"/>
    <cellStyle name="20% - Accent3 4 3" xfId="22277" xr:uid="{00000000-0005-0000-0000-000088180000}"/>
    <cellStyle name="20% - Accent3 4 4" xfId="23277" xr:uid="{00000000-0005-0000-0000-000089180000}"/>
    <cellStyle name="20% - Accent3 4 5" xfId="12127" xr:uid="{00000000-0005-0000-0000-00008A180000}"/>
    <cellStyle name="20% - Accent3 5" xfId="75" xr:uid="{00000000-0005-0000-0000-00008B180000}"/>
    <cellStyle name="20% - Accent3 5 2" xfId="1699" xr:uid="{00000000-0005-0000-0000-00008C180000}"/>
    <cellStyle name="20% - Accent3 5 2 2" xfId="22278" xr:uid="{00000000-0005-0000-0000-00008D180000}"/>
    <cellStyle name="20% - Accent3 5 3" xfId="23524" xr:uid="{00000000-0005-0000-0000-00008E180000}"/>
    <cellStyle name="20% - Accent3 5 4" xfId="12626" xr:uid="{00000000-0005-0000-0000-00008F180000}"/>
    <cellStyle name="20% - Accent3 6" xfId="76" xr:uid="{00000000-0005-0000-0000-000090180000}"/>
    <cellStyle name="20% - Accent3 6 2" xfId="1700" xr:uid="{00000000-0005-0000-0000-000091180000}"/>
    <cellStyle name="20% - Accent3 6 2 2" xfId="22279" xr:uid="{00000000-0005-0000-0000-000092180000}"/>
    <cellStyle name="20% - Accent3 6 3" xfId="23588" xr:uid="{00000000-0005-0000-0000-000093180000}"/>
    <cellStyle name="20% - Accent3 6 4" xfId="12785" xr:uid="{00000000-0005-0000-0000-000094180000}"/>
    <cellStyle name="20% - Accent3 7" xfId="77" xr:uid="{00000000-0005-0000-0000-000095180000}"/>
    <cellStyle name="20% - Accent3 7 2" xfId="1701" xr:uid="{00000000-0005-0000-0000-000096180000}"/>
    <cellStyle name="20% - Accent3 8" xfId="78" xr:uid="{00000000-0005-0000-0000-000097180000}"/>
    <cellStyle name="20% - Accent3 8 2" xfId="1702" xr:uid="{00000000-0005-0000-0000-000098180000}"/>
    <cellStyle name="20% - Accent3 9" xfId="79" xr:uid="{00000000-0005-0000-0000-000099180000}"/>
    <cellStyle name="20% - Accent4 10" xfId="80" xr:uid="{00000000-0005-0000-0000-00009A180000}"/>
    <cellStyle name="20% - Accent4 11" xfId="81" xr:uid="{00000000-0005-0000-0000-00009B180000}"/>
    <cellStyle name="20% - Accent4 12" xfId="82" xr:uid="{00000000-0005-0000-0000-00009C180000}"/>
    <cellStyle name="20% - Accent4 13" xfId="83" xr:uid="{00000000-0005-0000-0000-00009D180000}"/>
    <cellStyle name="20% - Accent4 14" xfId="84" xr:uid="{00000000-0005-0000-0000-00009E180000}"/>
    <cellStyle name="20% - Accent4 15" xfId="85" xr:uid="{00000000-0005-0000-0000-00009F180000}"/>
    <cellStyle name="20% - Accent4 16" xfId="86" xr:uid="{00000000-0005-0000-0000-0000A0180000}"/>
    <cellStyle name="20% - Accent4 17" xfId="22766" xr:uid="{00000000-0005-0000-0000-0000A1180000}"/>
    <cellStyle name="20% - Accent4 17 2" xfId="32850" xr:uid="{00000000-0005-0000-0000-0000A2180000}"/>
    <cellStyle name="20% - Accent4 17 2 2" xfId="52036" xr:uid="{00000000-0005-0000-0000-0000A3180000}"/>
    <cellStyle name="20% - Accent4 17 3" xfId="23123" xr:uid="{00000000-0005-0000-0000-0000A4180000}"/>
    <cellStyle name="20% - Accent4 17 3 2" xfId="42691" xr:uid="{00000000-0005-0000-0000-0000A5180000}"/>
    <cellStyle name="20% - Accent4 17 4" xfId="42338" xr:uid="{00000000-0005-0000-0000-0000A6180000}"/>
    <cellStyle name="20% - Accent4 18" xfId="22795" xr:uid="{00000000-0005-0000-0000-0000A7180000}"/>
    <cellStyle name="20% - Accent4 18 2" xfId="32879" xr:uid="{00000000-0005-0000-0000-0000A8180000}"/>
    <cellStyle name="20% - Accent4 18 2 2" xfId="52065" xr:uid="{00000000-0005-0000-0000-0000A9180000}"/>
    <cellStyle name="20% - Accent4 18 3" xfId="23152" xr:uid="{00000000-0005-0000-0000-0000AA180000}"/>
    <cellStyle name="20% - Accent4 18 3 2" xfId="42720" xr:uid="{00000000-0005-0000-0000-0000AB180000}"/>
    <cellStyle name="20% - Accent4 18 4" xfId="42367" xr:uid="{00000000-0005-0000-0000-0000AC180000}"/>
    <cellStyle name="20% - Accent4 19" xfId="22841" xr:uid="{00000000-0005-0000-0000-0000AD180000}"/>
    <cellStyle name="20% - Accent4 19 2" xfId="32925" xr:uid="{00000000-0005-0000-0000-0000AE180000}"/>
    <cellStyle name="20% - Accent4 19 2 2" xfId="52111" xr:uid="{00000000-0005-0000-0000-0000AF180000}"/>
    <cellStyle name="20% - Accent4 19 3" xfId="23198" xr:uid="{00000000-0005-0000-0000-0000B0180000}"/>
    <cellStyle name="20% - Accent4 19 3 2" xfId="42766" xr:uid="{00000000-0005-0000-0000-0000B1180000}"/>
    <cellStyle name="20% - Accent4 19 4" xfId="42413" xr:uid="{00000000-0005-0000-0000-0000B2180000}"/>
    <cellStyle name="20% - Accent4 2" xfId="87" xr:uid="{00000000-0005-0000-0000-0000B3180000}"/>
    <cellStyle name="20% - Accent4 2 10" xfId="1704" xr:uid="{00000000-0005-0000-0000-0000B4180000}"/>
    <cellStyle name="20% - Accent4 2 10 10" xfId="53327" xr:uid="{00000000-0005-0000-0000-0000B5180000}"/>
    <cellStyle name="20% - Accent4 2 10 11" xfId="12980" xr:uid="{00000000-0005-0000-0000-0000B6180000}"/>
    <cellStyle name="20% - Accent4 2 10 2" xfId="13930" xr:uid="{00000000-0005-0000-0000-0000B7180000}"/>
    <cellStyle name="20% - Accent4 2 10 2 2" xfId="16194" xr:uid="{00000000-0005-0000-0000-0000B8180000}"/>
    <cellStyle name="20% - Accent4 2 10 2 2 2" xfId="20658" xr:uid="{00000000-0005-0000-0000-0000B9180000}"/>
    <cellStyle name="20% - Accent4 2 10 2 2 2 2" xfId="31026" xr:uid="{00000000-0005-0000-0000-0000BA180000}"/>
    <cellStyle name="20% - Accent4 2 10 2 2 2 2 2" xfId="50215" xr:uid="{00000000-0005-0000-0000-0000BB180000}"/>
    <cellStyle name="20% - Accent4 2 10 2 2 2 3" xfId="40517" xr:uid="{00000000-0005-0000-0000-0000BC180000}"/>
    <cellStyle name="20% - Accent4 2 10 2 2 3" xfId="26571" xr:uid="{00000000-0005-0000-0000-0000BD180000}"/>
    <cellStyle name="20% - Accent4 2 10 2 2 3 2" xfId="45760" xr:uid="{00000000-0005-0000-0000-0000BE180000}"/>
    <cellStyle name="20% - Accent4 2 10 2 2 4" xfId="36062" xr:uid="{00000000-0005-0000-0000-0000BF180000}"/>
    <cellStyle name="20% - Accent4 2 10 2 3" xfId="18430" xr:uid="{00000000-0005-0000-0000-0000C0180000}"/>
    <cellStyle name="20% - Accent4 2 10 2 3 2" xfId="28798" xr:uid="{00000000-0005-0000-0000-0000C1180000}"/>
    <cellStyle name="20% - Accent4 2 10 2 3 2 2" xfId="47987" xr:uid="{00000000-0005-0000-0000-0000C2180000}"/>
    <cellStyle name="20% - Accent4 2 10 2 3 3" xfId="38289" xr:uid="{00000000-0005-0000-0000-0000C3180000}"/>
    <cellStyle name="20% - Accent4 2 10 2 4" xfId="24338" xr:uid="{00000000-0005-0000-0000-0000C4180000}"/>
    <cellStyle name="20% - Accent4 2 10 2 4 2" xfId="43532" xr:uid="{00000000-0005-0000-0000-0000C5180000}"/>
    <cellStyle name="20% - Accent4 2 10 2 5" xfId="33834" xr:uid="{00000000-0005-0000-0000-0000C6180000}"/>
    <cellStyle name="20% - Accent4 2 10 2 6" xfId="54179" xr:uid="{00000000-0005-0000-0000-0000C7180000}"/>
    <cellStyle name="20% - Accent4 2 10 3" xfId="14509" xr:uid="{00000000-0005-0000-0000-0000C8180000}"/>
    <cellStyle name="20% - Accent4 2 10 3 2" xfId="15638" xr:uid="{00000000-0005-0000-0000-0000C9180000}"/>
    <cellStyle name="20% - Accent4 2 10 3 2 2" xfId="20102" xr:uid="{00000000-0005-0000-0000-0000CA180000}"/>
    <cellStyle name="20% - Accent4 2 10 3 2 2 2" xfId="30470" xr:uid="{00000000-0005-0000-0000-0000CB180000}"/>
    <cellStyle name="20% - Accent4 2 10 3 2 2 2 2" xfId="49659" xr:uid="{00000000-0005-0000-0000-0000CC180000}"/>
    <cellStyle name="20% - Accent4 2 10 3 2 2 3" xfId="39961" xr:uid="{00000000-0005-0000-0000-0000CD180000}"/>
    <cellStyle name="20% - Accent4 2 10 3 2 3" xfId="26015" xr:uid="{00000000-0005-0000-0000-0000CE180000}"/>
    <cellStyle name="20% - Accent4 2 10 3 2 3 2" xfId="45204" xr:uid="{00000000-0005-0000-0000-0000CF180000}"/>
    <cellStyle name="20% - Accent4 2 10 3 2 4" xfId="35506" xr:uid="{00000000-0005-0000-0000-0000D0180000}"/>
    <cellStyle name="20% - Accent4 2 10 3 3" xfId="18987" xr:uid="{00000000-0005-0000-0000-0000D1180000}"/>
    <cellStyle name="20% - Accent4 2 10 3 3 2" xfId="29355" xr:uid="{00000000-0005-0000-0000-0000D2180000}"/>
    <cellStyle name="20% - Accent4 2 10 3 3 2 2" xfId="48544" xr:uid="{00000000-0005-0000-0000-0000D3180000}"/>
    <cellStyle name="20% - Accent4 2 10 3 3 3" xfId="38846" xr:uid="{00000000-0005-0000-0000-0000D4180000}"/>
    <cellStyle name="20% - Accent4 2 10 3 4" xfId="24900" xr:uid="{00000000-0005-0000-0000-0000D5180000}"/>
    <cellStyle name="20% - Accent4 2 10 3 4 2" xfId="44089" xr:uid="{00000000-0005-0000-0000-0000D6180000}"/>
    <cellStyle name="20% - Accent4 2 10 3 5" xfId="34391" xr:uid="{00000000-0005-0000-0000-0000D7180000}"/>
    <cellStyle name="20% - Accent4 2 10 4" xfId="15081" xr:uid="{00000000-0005-0000-0000-0000D8180000}"/>
    <cellStyle name="20% - Accent4 2 10 4 2" xfId="19545" xr:uid="{00000000-0005-0000-0000-0000D9180000}"/>
    <cellStyle name="20% - Accent4 2 10 4 2 2" xfId="29913" xr:uid="{00000000-0005-0000-0000-0000DA180000}"/>
    <cellStyle name="20% - Accent4 2 10 4 2 2 2" xfId="49102" xr:uid="{00000000-0005-0000-0000-0000DB180000}"/>
    <cellStyle name="20% - Accent4 2 10 4 2 3" xfId="39404" xr:uid="{00000000-0005-0000-0000-0000DC180000}"/>
    <cellStyle name="20% - Accent4 2 10 4 3" xfId="25458" xr:uid="{00000000-0005-0000-0000-0000DD180000}"/>
    <cellStyle name="20% - Accent4 2 10 4 3 2" xfId="44647" xr:uid="{00000000-0005-0000-0000-0000DE180000}"/>
    <cellStyle name="20% - Accent4 2 10 4 4" xfId="34949" xr:uid="{00000000-0005-0000-0000-0000DF180000}"/>
    <cellStyle name="20% - Accent4 2 10 5" xfId="16751" xr:uid="{00000000-0005-0000-0000-0000E0180000}"/>
    <cellStyle name="20% - Accent4 2 10 5 2" xfId="21215" xr:uid="{00000000-0005-0000-0000-0000E1180000}"/>
    <cellStyle name="20% - Accent4 2 10 5 2 2" xfId="31583" xr:uid="{00000000-0005-0000-0000-0000E2180000}"/>
    <cellStyle name="20% - Accent4 2 10 5 2 2 2" xfId="50772" xr:uid="{00000000-0005-0000-0000-0000E3180000}"/>
    <cellStyle name="20% - Accent4 2 10 5 2 3" xfId="41074" xr:uid="{00000000-0005-0000-0000-0000E4180000}"/>
    <cellStyle name="20% - Accent4 2 10 5 3" xfId="27128" xr:uid="{00000000-0005-0000-0000-0000E5180000}"/>
    <cellStyle name="20% - Accent4 2 10 5 3 2" xfId="46317" xr:uid="{00000000-0005-0000-0000-0000E6180000}"/>
    <cellStyle name="20% - Accent4 2 10 5 4" xfId="36619" xr:uid="{00000000-0005-0000-0000-0000E7180000}"/>
    <cellStyle name="20% - Accent4 2 10 6" xfId="17317" xr:uid="{00000000-0005-0000-0000-0000E8180000}"/>
    <cellStyle name="20% - Accent4 2 10 6 2" xfId="21772" xr:uid="{00000000-0005-0000-0000-0000E9180000}"/>
    <cellStyle name="20% - Accent4 2 10 6 2 2" xfId="32140" xr:uid="{00000000-0005-0000-0000-0000EA180000}"/>
    <cellStyle name="20% - Accent4 2 10 6 2 2 2" xfId="51329" xr:uid="{00000000-0005-0000-0000-0000EB180000}"/>
    <cellStyle name="20% - Accent4 2 10 6 2 3" xfId="41631" xr:uid="{00000000-0005-0000-0000-0000EC180000}"/>
    <cellStyle name="20% - Accent4 2 10 6 3" xfId="27685" xr:uid="{00000000-0005-0000-0000-0000ED180000}"/>
    <cellStyle name="20% - Accent4 2 10 6 3 2" xfId="46874" xr:uid="{00000000-0005-0000-0000-0000EE180000}"/>
    <cellStyle name="20% - Accent4 2 10 6 4" xfId="37176" xr:uid="{00000000-0005-0000-0000-0000EF180000}"/>
    <cellStyle name="20% - Accent4 2 10 7" xfId="17874" xr:uid="{00000000-0005-0000-0000-0000F0180000}"/>
    <cellStyle name="20% - Accent4 2 10 7 2" xfId="28242" xr:uid="{00000000-0005-0000-0000-0000F1180000}"/>
    <cellStyle name="20% - Accent4 2 10 7 2 2" xfId="47431" xr:uid="{00000000-0005-0000-0000-0000F2180000}"/>
    <cellStyle name="20% - Accent4 2 10 7 3" xfId="37733" xr:uid="{00000000-0005-0000-0000-0000F3180000}"/>
    <cellStyle name="20% - Accent4 2 10 8" xfId="23737" xr:uid="{00000000-0005-0000-0000-0000F4180000}"/>
    <cellStyle name="20% - Accent4 2 10 8 2" xfId="42976" xr:uid="{00000000-0005-0000-0000-0000F5180000}"/>
    <cellStyle name="20% - Accent4 2 10 9" xfId="33278" xr:uid="{00000000-0005-0000-0000-0000F6180000}"/>
    <cellStyle name="20% - Accent4 2 11" xfId="1703" xr:uid="{00000000-0005-0000-0000-0000F7180000}"/>
    <cellStyle name="20% - Accent4 2 11 2" xfId="53354" xr:uid="{00000000-0005-0000-0000-0000F8180000}"/>
    <cellStyle name="20% - Accent4 2 11 3" xfId="13496" xr:uid="{00000000-0005-0000-0000-0000F9180000}"/>
    <cellStyle name="20% - Accent4 2 12" xfId="22214" xr:uid="{00000000-0005-0000-0000-0000FA180000}"/>
    <cellStyle name="20% - Accent4 2 12 2" xfId="32573" xr:uid="{00000000-0005-0000-0000-0000FB180000}"/>
    <cellStyle name="20% - Accent4 2 12 2 2" xfId="51761" xr:uid="{00000000-0005-0000-0000-0000FC180000}"/>
    <cellStyle name="20% - Accent4 2 12 3" xfId="42063" xr:uid="{00000000-0005-0000-0000-0000FD180000}"/>
    <cellStyle name="20% - Accent4 2 13" xfId="22242" xr:uid="{00000000-0005-0000-0000-0000FE180000}"/>
    <cellStyle name="20% - Accent4 2 13 2" xfId="32599" xr:uid="{00000000-0005-0000-0000-0000FF180000}"/>
    <cellStyle name="20% - Accent4 2 13 2 2" xfId="51787" xr:uid="{00000000-0005-0000-0000-000000190000}"/>
    <cellStyle name="20% - Accent4 2 13 3" xfId="42089" xr:uid="{00000000-0005-0000-0000-000001190000}"/>
    <cellStyle name="20% - Accent4 2 14" xfId="12129" xr:uid="{00000000-0005-0000-0000-000002190000}"/>
    <cellStyle name="20% - Accent4 2 15" xfId="23256" xr:uid="{00000000-0005-0000-0000-000003190000}"/>
    <cellStyle name="20% - Accent4 2 15 2" xfId="42822" xr:uid="{00000000-0005-0000-0000-000004190000}"/>
    <cellStyle name="20% - Accent4 2 16" xfId="32994" xr:uid="{00000000-0005-0000-0000-000005190000}"/>
    <cellStyle name="20% - Accent4 2 16 2" xfId="52180" xr:uid="{00000000-0005-0000-0000-000006190000}"/>
    <cellStyle name="20% - Accent4 2 17" xfId="33088" xr:uid="{00000000-0005-0000-0000-000007190000}"/>
    <cellStyle name="20% - Accent4 2 18" xfId="52274" xr:uid="{00000000-0005-0000-0000-000008190000}"/>
    <cellStyle name="20% - Accent4 2 19" xfId="52331" xr:uid="{00000000-0005-0000-0000-000009190000}"/>
    <cellStyle name="20% - Accent4 2 2" xfId="88" xr:uid="{00000000-0005-0000-0000-00000A190000}"/>
    <cellStyle name="20% - Accent4 2 2 2" xfId="1706" xr:uid="{00000000-0005-0000-0000-00000B190000}"/>
    <cellStyle name="20% - Accent4 2 2 2 2" xfId="8328" xr:uid="{00000000-0005-0000-0000-00000C190000}"/>
    <cellStyle name="20% - Accent4 2 2 2 2 2" xfId="11225" xr:uid="{00000000-0005-0000-0000-00000D190000}"/>
    <cellStyle name="20% - Accent4 2 2 2 2 2 2" xfId="53979" xr:uid="{00000000-0005-0000-0000-00000E190000}"/>
    <cellStyle name="20% - Accent4 2 2 2 2 3" xfId="53126" xr:uid="{00000000-0005-0000-0000-00000F190000}"/>
    <cellStyle name="20% - Accent4 2 2 2 3" xfId="9785" xr:uid="{00000000-0005-0000-0000-000010190000}"/>
    <cellStyle name="20% - Accent4 2 2 2 3 2" xfId="53583" xr:uid="{00000000-0005-0000-0000-000011190000}"/>
    <cellStyle name="20% - Accent4 2 2 2 4" xfId="6849" xr:uid="{00000000-0005-0000-0000-000012190000}"/>
    <cellStyle name="20% - Accent4 2 2 2 4 2" xfId="52698" xr:uid="{00000000-0005-0000-0000-000013190000}"/>
    <cellStyle name="20% - Accent4 2 2 2 5" xfId="12708" xr:uid="{00000000-0005-0000-0000-000014190000}"/>
    <cellStyle name="20% - Accent4 2 2 3" xfId="1707" xr:uid="{00000000-0005-0000-0000-000015190000}"/>
    <cellStyle name="20% - Accent4 2 2 3 2" xfId="10567" xr:uid="{00000000-0005-0000-0000-000016190000}"/>
    <cellStyle name="20% - Accent4 2 2 3 2 2" xfId="53783" xr:uid="{00000000-0005-0000-0000-000017190000}"/>
    <cellStyle name="20% - Accent4 2 2 3 3" xfId="7667" xr:uid="{00000000-0005-0000-0000-000018190000}"/>
    <cellStyle name="20% - Accent4 2 2 3 3 2" xfId="52908" xr:uid="{00000000-0005-0000-0000-000019190000}"/>
    <cellStyle name="20% - Accent4 2 2 3 4" xfId="12131" xr:uid="{00000000-0005-0000-0000-00001A190000}"/>
    <cellStyle name="20% - Accent4 2 2 4" xfId="1705" xr:uid="{00000000-0005-0000-0000-00001B190000}"/>
    <cellStyle name="20% - Accent4 2 2 4 2" xfId="9127" xr:uid="{00000000-0005-0000-0000-00001C190000}"/>
    <cellStyle name="20% - Accent4 2 2 4 2 2" xfId="51870" xr:uid="{00000000-0005-0000-0000-00001D190000}"/>
    <cellStyle name="20% - Accent4 2 2 4 2 3" xfId="32683" xr:uid="{00000000-0005-0000-0000-00001E190000}"/>
    <cellStyle name="20% - Accent4 2 2 4 3" xfId="42172" xr:uid="{00000000-0005-0000-0000-00001F190000}"/>
    <cellStyle name="20% - Accent4 2 2 4 4" xfId="53387" xr:uid="{00000000-0005-0000-0000-000020190000}"/>
    <cellStyle name="20% - Accent4 2 2 4 5" xfId="22583" xr:uid="{00000000-0005-0000-0000-000021190000}"/>
    <cellStyle name="20% - Accent4 2 2 5" xfId="6141" xr:uid="{00000000-0005-0000-0000-000022190000}"/>
    <cellStyle name="20% - Accent4 2 2 5 2" xfId="23282" xr:uid="{00000000-0005-0000-0000-000023190000}"/>
    <cellStyle name="20% - Accent4 2 2 6" xfId="22956" xr:uid="{00000000-0005-0000-0000-000024190000}"/>
    <cellStyle name="20% - Accent4 2 2 6 2" xfId="42525" xr:uid="{00000000-0005-0000-0000-000025190000}"/>
    <cellStyle name="20% - Accent4 2 2 7" xfId="12134" xr:uid="{00000000-0005-0000-0000-000026190000}"/>
    <cellStyle name="20% - Accent4 2 2 8" xfId="52494" xr:uid="{00000000-0005-0000-0000-000027190000}"/>
    <cellStyle name="20% - Accent4 2 2 9" xfId="11998" xr:uid="{00000000-0005-0000-0000-000028190000}"/>
    <cellStyle name="20% - Accent4 2 20" xfId="52380" xr:uid="{00000000-0005-0000-0000-000029190000}"/>
    <cellStyle name="20% - Accent4 2 21" xfId="12106" xr:uid="{00000000-0005-0000-0000-00002A190000}"/>
    <cellStyle name="20% - Accent4 2 22" xfId="52422" xr:uid="{00000000-0005-0000-0000-00002B190000}"/>
    <cellStyle name="20% - Accent4 2 23" xfId="52452" xr:uid="{00000000-0005-0000-0000-00002C190000}"/>
    <cellStyle name="20% - Accent4 2 24" xfId="11963" xr:uid="{00000000-0005-0000-0000-00002D190000}"/>
    <cellStyle name="20% - Accent4 2 3" xfId="89" xr:uid="{00000000-0005-0000-0000-00002E190000}"/>
    <cellStyle name="20% - Accent4 2 3 10" xfId="52535" xr:uid="{00000000-0005-0000-0000-00002F190000}"/>
    <cellStyle name="20% - Accent4 2 3 11" xfId="11999" xr:uid="{00000000-0005-0000-0000-000030190000}"/>
    <cellStyle name="20% - Accent4 2 3 2" xfId="1709" xr:uid="{00000000-0005-0000-0000-000031190000}"/>
    <cellStyle name="20% - Accent4 2 3 2 10" xfId="17875" xr:uid="{00000000-0005-0000-0000-000032190000}"/>
    <cellStyle name="20% - Accent4 2 3 2 10 2" xfId="28243" xr:uid="{00000000-0005-0000-0000-000033190000}"/>
    <cellStyle name="20% - Accent4 2 3 2 10 2 2" xfId="47432" xr:uid="{00000000-0005-0000-0000-000034190000}"/>
    <cellStyle name="20% - Accent4 2 3 2 10 3" xfId="37734" xr:uid="{00000000-0005-0000-0000-000035190000}"/>
    <cellStyle name="20% - Accent4 2 3 2 11" xfId="23738" xr:uid="{00000000-0005-0000-0000-000036190000}"/>
    <cellStyle name="20% - Accent4 2 3 2 11 2" xfId="42977" xr:uid="{00000000-0005-0000-0000-000037190000}"/>
    <cellStyle name="20% - Accent4 2 3 2 12" xfId="33279" xr:uid="{00000000-0005-0000-0000-000038190000}"/>
    <cellStyle name="20% - Accent4 2 3 2 13" xfId="52736" xr:uid="{00000000-0005-0000-0000-000039190000}"/>
    <cellStyle name="20% - Accent4 2 3 2 14" xfId="12981" xr:uid="{00000000-0005-0000-0000-00003A190000}"/>
    <cellStyle name="20% - Accent4 2 3 2 2" xfId="12982" xr:uid="{00000000-0005-0000-0000-00003B190000}"/>
    <cellStyle name="20% - Accent4 2 3 2 2 10" xfId="23739" xr:uid="{00000000-0005-0000-0000-00003C190000}"/>
    <cellStyle name="20% - Accent4 2 3 2 2 10 2" xfId="42978" xr:uid="{00000000-0005-0000-0000-00003D190000}"/>
    <cellStyle name="20% - Accent4 2 3 2 2 11" xfId="33280" xr:uid="{00000000-0005-0000-0000-00003E190000}"/>
    <cellStyle name="20% - Accent4 2 3 2 2 12" xfId="53164" xr:uid="{00000000-0005-0000-0000-00003F190000}"/>
    <cellStyle name="20% - Accent4 2 3 2 2 2" xfId="12983" xr:uid="{00000000-0005-0000-0000-000040190000}"/>
    <cellStyle name="20% - Accent4 2 3 2 2 2 10" xfId="54017" xr:uid="{00000000-0005-0000-0000-000041190000}"/>
    <cellStyle name="20% - Accent4 2 3 2 2 2 2" xfId="13933" xr:uid="{00000000-0005-0000-0000-000042190000}"/>
    <cellStyle name="20% - Accent4 2 3 2 2 2 2 2" xfId="16197" xr:uid="{00000000-0005-0000-0000-000043190000}"/>
    <cellStyle name="20% - Accent4 2 3 2 2 2 2 2 2" xfId="20661" xr:uid="{00000000-0005-0000-0000-000044190000}"/>
    <cellStyle name="20% - Accent4 2 3 2 2 2 2 2 2 2" xfId="31029" xr:uid="{00000000-0005-0000-0000-000045190000}"/>
    <cellStyle name="20% - Accent4 2 3 2 2 2 2 2 2 2 2" xfId="50218" xr:uid="{00000000-0005-0000-0000-000046190000}"/>
    <cellStyle name="20% - Accent4 2 3 2 2 2 2 2 2 3" xfId="40520" xr:uid="{00000000-0005-0000-0000-000047190000}"/>
    <cellStyle name="20% - Accent4 2 3 2 2 2 2 2 3" xfId="26574" xr:uid="{00000000-0005-0000-0000-000048190000}"/>
    <cellStyle name="20% - Accent4 2 3 2 2 2 2 2 3 2" xfId="45763" xr:uid="{00000000-0005-0000-0000-000049190000}"/>
    <cellStyle name="20% - Accent4 2 3 2 2 2 2 2 4" xfId="36065" xr:uid="{00000000-0005-0000-0000-00004A190000}"/>
    <cellStyle name="20% - Accent4 2 3 2 2 2 2 3" xfId="18433" xr:uid="{00000000-0005-0000-0000-00004B190000}"/>
    <cellStyle name="20% - Accent4 2 3 2 2 2 2 3 2" xfId="28801" xr:uid="{00000000-0005-0000-0000-00004C190000}"/>
    <cellStyle name="20% - Accent4 2 3 2 2 2 2 3 2 2" xfId="47990" xr:uid="{00000000-0005-0000-0000-00004D190000}"/>
    <cellStyle name="20% - Accent4 2 3 2 2 2 2 3 3" xfId="38292" xr:uid="{00000000-0005-0000-0000-00004E190000}"/>
    <cellStyle name="20% - Accent4 2 3 2 2 2 2 4" xfId="24341" xr:uid="{00000000-0005-0000-0000-00004F190000}"/>
    <cellStyle name="20% - Accent4 2 3 2 2 2 2 4 2" xfId="43535" xr:uid="{00000000-0005-0000-0000-000050190000}"/>
    <cellStyle name="20% - Accent4 2 3 2 2 2 2 5" xfId="33837" xr:uid="{00000000-0005-0000-0000-000051190000}"/>
    <cellStyle name="20% - Accent4 2 3 2 2 2 3" xfId="14512" xr:uid="{00000000-0005-0000-0000-000052190000}"/>
    <cellStyle name="20% - Accent4 2 3 2 2 2 3 2" xfId="15641" xr:uid="{00000000-0005-0000-0000-000053190000}"/>
    <cellStyle name="20% - Accent4 2 3 2 2 2 3 2 2" xfId="20105" xr:uid="{00000000-0005-0000-0000-000054190000}"/>
    <cellStyle name="20% - Accent4 2 3 2 2 2 3 2 2 2" xfId="30473" xr:uid="{00000000-0005-0000-0000-000055190000}"/>
    <cellStyle name="20% - Accent4 2 3 2 2 2 3 2 2 2 2" xfId="49662" xr:uid="{00000000-0005-0000-0000-000056190000}"/>
    <cellStyle name="20% - Accent4 2 3 2 2 2 3 2 2 3" xfId="39964" xr:uid="{00000000-0005-0000-0000-000057190000}"/>
    <cellStyle name="20% - Accent4 2 3 2 2 2 3 2 3" xfId="26018" xr:uid="{00000000-0005-0000-0000-000058190000}"/>
    <cellStyle name="20% - Accent4 2 3 2 2 2 3 2 3 2" xfId="45207" xr:uid="{00000000-0005-0000-0000-000059190000}"/>
    <cellStyle name="20% - Accent4 2 3 2 2 2 3 2 4" xfId="35509" xr:uid="{00000000-0005-0000-0000-00005A190000}"/>
    <cellStyle name="20% - Accent4 2 3 2 2 2 3 3" xfId="18990" xr:uid="{00000000-0005-0000-0000-00005B190000}"/>
    <cellStyle name="20% - Accent4 2 3 2 2 2 3 3 2" xfId="29358" xr:uid="{00000000-0005-0000-0000-00005C190000}"/>
    <cellStyle name="20% - Accent4 2 3 2 2 2 3 3 2 2" xfId="48547" xr:uid="{00000000-0005-0000-0000-00005D190000}"/>
    <cellStyle name="20% - Accent4 2 3 2 2 2 3 3 3" xfId="38849" xr:uid="{00000000-0005-0000-0000-00005E190000}"/>
    <cellStyle name="20% - Accent4 2 3 2 2 2 3 4" xfId="24903" xr:uid="{00000000-0005-0000-0000-00005F190000}"/>
    <cellStyle name="20% - Accent4 2 3 2 2 2 3 4 2" xfId="44092" xr:uid="{00000000-0005-0000-0000-000060190000}"/>
    <cellStyle name="20% - Accent4 2 3 2 2 2 3 5" xfId="34394" xr:uid="{00000000-0005-0000-0000-000061190000}"/>
    <cellStyle name="20% - Accent4 2 3 2 2 2 4" xfId="15084" xr:uid="{00000000-0005-0000-0000-000062190000}"/>
    <cellStyle name="20% - Accent4 2 3 2 2 2 4 2" xfId="19548" xr:uid="{00000000-0005-0000-0000-000063190000}"/>
    <cellStyle name="20% - Accent4 2 3 2 2 2 4 2 2" xfId="29916" xr:uid="{00000000-0005-0000-0000-000064190000}"/>
    <cellStyle name="20% - Accent4 2 3 2 2 2 4 2 2 2" xfId="49105" xr:uid="{00000000-0005-0000-0000-000065190000}"/>
    <cellStyle name="20% - Accent4 2 3 2 2 2 4 2 3" xfId="39407" xr:uid="{00000000-0005-0000-0000-000066190000}"/>
    <cellStyle name="20% - Accent4 2 3 2 2 2 4 3" xfId="25461" xr:uid="{00000000-0005-0000-0000-000067190000}"/>
    <cellStyle name="20% - Accent4 2 3 2 2 2 4 3 2" xfId="44650" xr:uid="{00000000-0005-0000-0000-000068190000}"/>
    <cellStyle name="20% - Accent4 2 3 2 2 2 4 4" xfId="34952" xr:uid="{00000000-0005-0000-0000-000069190000}"/>
    <cellStyle name="20% - Accent4 2 3 2 2 2 5" xfId="16754" xr:uid="{00000000-0005-0000-0000-00006A190000}"/>
    <cellStyle name="20% - Accent4 2 3 2 2 2 5 2" xfId="21218" xr:uid="{00000000-0005-0000-0000-00006B190000}"/>
    <cellStyle name="20% - Accent4 2 3 2 2 2 5 2 2" xfId="31586" xr:uid="{00000000-0005-0000-0000-00006C190000}"/>
    <cellStyle name="20% - Accent4 2 3 2 2 2 5 2 2 2" xfId="50775" xr:uid="{00000000-0005-0000-0000-00006D190000}"/>
    <cellStyle name="20% - Accent4 2 3 2 2 2 5 2 3" xfId="41077" xr:uid="{00000000-0005-0000-0000-00006E190000}"/>
    <cellStyle name="20% - Accent4 2 3 2 2 2 5 3" xfId="27131" xr:uid="{00000000-0005-0000-0000-00006F190000}"/>
    <cellStyle name="20% - Accent4 2 3 2 2 2 5 3 2" xfId="46320" xr:uid="{00000000-0005-0000-0000-000070190000}"/>
    <cellStyle name="20% - Accent4 2 3 2 2 2 5 4" xfId="36622" xr:uid="{00000000-0005-0000-0000-000071190000}"/>
    <cellStyle name="20% - Accent4 2 3 2 2 2 6" xfId="17320" xr:uid="{00000000-0005-0000-0000-000072190000}"/>
    <cellStyle name="20% - Accent4 2 3 2 2 2 6 2" xfId="21775" xr:uid="{00000000-0005-0000-0000-000073190000}"/>
    <cellStyle name="20% - Accent4 2 3 2 2 2 6 2 2" xfId="32143" xr:uid="{00000000-0005-0000-0000-000074190000}"/>
    <cellStyle name="20% - Accent4 2 3 2 2 2 6 2 2 2" xfId="51332" xr:uid="{00000000-0005-0000-0000-000075190000}"/>
    <cellStyle name="20% - Accent4 2 3 2 2 2 6 2 3" xfId="41634" xr:uid="{00000000-0005-0000-0000-000076190000}"/>
    <cellStyle name="20% - Accent4 2 3 2 2 2 6 3" xfId="27688" xr:uid="{00000000-0005-0000-0000-000077190000}"/>
    <cellStyle name="20% - Accent4 2 3 2 2 2 6 3 2" xfId="46877" xr:uid="{00000000-0005-0000-0000-000078190000}"/>
    <cellStyle name="20% - Accent4 2 3 2 2 2 6 4" xfId="37179" xr:uid="{00000000-0005-0000-0000-000079190000}"/>
    <cellStyle name="20% - Accent4 2 3 2 2 2 7" xfId="17877" xr:uid="{00000000-0005-0000-0000-00007A190000}"/>
    <cellStyle name="20% - Accent4 2 3 2 2 2 7 2" xfId="28245" xr:uid="{00000000-0005-0000-0000-00007B190000}"/>
    <cellStyle name="20% - Accent4 2 3 2 2 2 7 2 2" xfId="47434" xr:uid="{00000000-0005-0000-0000-00007C190000}"/>
    <cellStyle name="20% - Accent4 2 3 2 2 2 7 3" xfId="37736" xr:uid="{00000000-0005-0000-0000-00007D190000}"/>
    <cellStyle name="20% - Accent4 2 3 2 2 2 8" xfId="23740" xr:uid="{00000000-0005-0000-0000-00007E190000}"/>
    <cellStyle name="20% - Accent4 2 3 2 2 2 8 2" xfId="42979" xr:uid="{00000000-0005-0000-0000-00007F190000}"/>
    <cellStyle name="20% - Accent4 2 3 2 2 2 9" xfId="33281" xr:uid="{00000000-0005-0000-0000-000080190000}"/>
    <cellStyle name="20% - Accent4 2 3 2 2 3" xfId="12984" xr:uid="{00000000-0005-0000-0000-000081190000}"/>
    <cellStyle name="20% - Accent4 2 3 2 2 3 2" xfId="13934" xr:uid="{00000000-0005-0000-0000-000082190000}"/>
    <cellStyle name="20% - Accent4 2 3 2 2 3 2 2" xfId="16198" xr:uid="{00000000-0005-0000-0000-000083190000}"/>
    <cellStyle name="20% - Accent4 2 3 2 2 3 2 2 2" xfId="20662" xr:uid="{00000000-0005-0000-0000-000084190000}"/>
    <cellStyle name="20% - Accent4 2 3 2 2 3 2 2 2 2" xfId="31030" xr:uid="{00000000-0005-0000-0000-000085190000}"/>
    <cellStyle name="20% - Accent4 2 3 2 2 3 2 2 2 2 2" xfId="50219" xr:uid="{00000000-0005-0000-0000-000086190000}"/>
    <cellStyle name="20% - Accent4 2 3 2 2 3 2 2 2 3" xfId="40521" xr:uid="{00000000-0005-0000-0000-000087190000}"/>
    <cellStyle name="20% - Accent4 2 3 2 2 3 2 2 3" xfId="26575" xr:uid="{00000000-0005-0000-0000-000088190000}"/>
    <cellStyle name="20% - Accent4 2 3 2 2 3 2 2 3 2" xfId="45764" xr:uid="{00000000-0005-0000-0000-000089190000}"/>
    <cellStyle name="20% - Accent4 2 3 2 2 3 2 2 4" xfId="36066" xr:uid="{00000000-0005-0000-0000-00008A190000}"/>
    <cellStyle name="20% - Accent4 2 3 2 2 3 2 3" xfId="18434" xr:uid="{00000000-0005-0000-0000-00008B190000}"/>
    <cellStyle name="20% - Accent4 2 3 2 2 3 2 3 2" xfId="28802" xr:uid="{00000000-0005-0000-0000-00008C190000}"/>
    <cellStyle name="20% - Accent4 2 3 2 2 3 2 3 2 2" xfId="47991" xr:uid="{00000000-0005-0000-0000-00008D190000}"/>
    <cellStyle name="20% - Accent4 2 3 2 2 3 2 3 3" xfId="38293" xr:uid="{00000000-0005-0000-0000-00008E190000}"/>
    <cellStyle name="20% - Accent4 2 3 2 2 3 2 4" xfId="24342" xr:uid="{00000000-0005-0000-0000-00008F190000}"/>
    <cellStyle name="20% - Accent4 2 3 2 2 3 2 4 2" xfId="43536" xr:uid="{00000000-0005-0000-0000-000090190000}"/>
    <cellStyle name="20% - Accent4 2 3 2 2 3 2 5" xfId="33838" xr:uid="{00000000-0005-0000-0000-000091190000}"/>
    <cellStyle name="20% - Accent4 2 3 2 2 3 3" xfId="14513" xr:uid="{00000000-0005-0000-0000-000092190000}"/>
    <cellStyle name="20% - Accent4 2 3 2 2 3 3 2" xfId="15642" xr:uid="{00000000-0005-0000-0000-000093190000}"/>
    <cellStyle name="20% - Accent4 2 3 2 2 3 3 2 2" xfId="20106" xr:uid="{00000000-0005-0000-0000-000094190000}"/>
    <cellStyle name="20% - Accent4 2 3 2 2 3 3 2 2 2" xfId="30474" xr:uid="{00000000-0005-0000-0000-000095190000}"/>
    <cellStyle name="20% - Accent4 2 3 2 2 3 3 2 2 2 2" xfId="49663" xr:uid="{00000000-0005-0000-0000-000096190000}"/>
    <cellStyle name="20% - Accent4 2 3 2 2 3 3 2 2 3" xfId="39965" xr:uid="{00000000-0005-0000-0000-000097190000}"/>
    <cellStyle name="20% - Accent4 2 3 2 2 3 3 2 3" xfId="26019" xr:uid="{00000000-0005-0000-0000-000098190000}"/>
    <cellStyle name="20% - Accent4 2 3 2 2 3 3 2 3 2" xfId="45208" xr:uid="{00000000-0005-0000-0000-000099190000}"/>
    <cellStyle name="20% - Accent4 2 3 2 2 3 3 2 4" xfId="35510" xr:uid="{00000000-0005-0000-0000-00009A190000}"/>
    <cellStyle name="20% - Accent4 2 3 2 2 3 3 3" xfId="18991" xr:uid="{00000000-0005-0000-0000-00009B190000}"/>
    <cellStyle name="20% - Accent4 2 3 2 2 3 3 3 2" xfId="29359" xr:uid="{00000000-0005-0000-0000-00009C190000}"/>
    <cellStyle name="20% - Accent4 2 3 2 2 3 3 3 2 2" xfId="48548" xr:uid="{00000000-0005-0000-0000-00009D190000}"/>
    <cellStyle name="20% - Accent4 2 3 2 2 3 3 3 3" xfId="38850" xr:uid="{00000000-0005-0000-0000-00009E190000}"/>
    <cellStyle name="20% - Accent4 2 3 2 2 3 3 4" xfId="24904" xr:uid="{00000000-0005-0000-0000-00009F190000}"/>
    <cellStyle name="20% - Accent4 2 3 2 2 3 3 4 2" xfId="44093" xr:uid="{00000000-0005-0000-0000-0000A0190000}"/>
    <cellStyle name="20% - Accent4 2 3 2 2 3 3 5" xfId="34395" xr:uid="{00000000-0005-0000-0000-0000A1190000}"/>
    <cellStyle name="20% - Accent4 2 3 2 2 3 4" xfId="15085" xr:uid="{00000000-0005-0000-0000-0000A2190000}"/>
    <cellStyle name="20% - Accent4 2 3 2 2 3 4 2" xfId="19549" xr:uid="{00000000-0005-0000-0000-0000A3190000}"/>
    <cellStyle name="20% - Accent4 2 3 2 2 3 4 2 2" xfId="29917" xr:uid="{00000000-0005-0000-0000-0000A4190000}"/>
    <cellStyle name="20% - Accent4 2 3 2 2 3 4 2 2 2" xfId="49106" xr:uid="{00000000-0005-0000-0000-0000A5190000}"/>
    <cellStyle name="20% - Accent4 2 3 2 2 3 4 2 3" xfId="39408" xr:uid="{00000000-0005-0000-0000-0000A6190000}"/>
    <cellStyle name="20% - Accent4 2 3 2 2 3 4 3" xfId="25462" xr:uid="{00000000-0005-0000-0000-0000A7190000}"/>
    <cellStyle name="20% - Accent4 2 3 2 2 3 4 3 2" xfId="44651" xr:uid="{00000000-0005-0000-0000-0000A8190000}"/>
    <cellStyle name="20% - Accent4 2 3 2 2 3 4 4" xfId="34953" xr:uid="{00000000-0005-0000-0000-0000A9190000}"/>
    <cellStyle name="20% - Accent4 2 3 2 2 3 5" xfId="16755" xr:uid="{00000000-0005-0000-0000-0000AA190000}"/>
    <cellStyle name="20% - Accent4 2 3 2 2 3 5 2" xfId="21219" xr:uid="{00000000-0005-0000-0000-0000AB190000}"/>
    <cellStyle name="20% - Accent4 2 3 2 2 3 5 2 2" xfId="31587" xr:uid="{00000000-0005-0000-0000-0000AC190000}"/>
    <cellStyle name="20% - Accent4 2 3 2 2 3 5 2 2 2" xfId="50776" xr:uid="{00000000-0005-0000-0000-0000AD190000}"/>
    <cellStyle name="20% - Accent4 2 3 2 2 3 5 2 3" xfId="41078" xr:uid="{00000000-0005-0000-0000-0000AE190000}"/>
    <cellStyle name="20% - Accent4 2 3 2 2 3 5 3" xfId="27132" xr:uid="{00000000-0005-0000-0000-0000AF190000}"/>
    <cellStyle name="20% - Accent4 2 3 2 2 3 5 3 2" xfId="46321" xr:uid="{00000000-0005-0000-0000-0000B0190000}"/>
    <cellStyle name="20% - Accent4 2 3 2 2 3 5 4" xfId="36623" xr:uid="{00000000-0005-0000-0000-0000B1190000}"/>
    <cellStyle name="20% - Accent4 2 3 2 2 3 6" xfId="17321" xr:uid="{00000000-0005-0000-0000-0000B2190000}"/>
    <cellStyle name="20% - Accent4 2 3 2 2 3 6 2" xfId="21776" xr:uid="{00000000-0005-0000-0000-0000B3190000}"/>
    <cellStyle name="20% - Accent4 2 3 2 2 3 6 2 2" xfId="32144" xr:uid="{00000000-0005-0000-0000-0000B4190000}"/>
    <cellStyle name="20% - Accent4 2 3 2 2 3 6 2 2 2" xfId="51333" xr:uid="{00000000-0005-0000-0000-0000B5190000}"/>
    <cellStyle name="20% - Accent4 2 3 2 2 3 6 2 3" xfId="41635" xr:uid="{00000000-0005-0000-0000-0000B6190000}"/>
    <cellStyle name="20% - Accent4 2 3 2 2 3 6 3" xfId="27689" xr:uid="{00000000-0005-0000-0000-0000B7190000}"/>
    <cellStyle name="20% - Accent4 2 3 2 2 3 6 3 2" xfId="46878" xr:uid="{00000000-0005-0000-0000-0000B8190000}"/>
    <cellStyle name="20% - Accent4 2 3 2 2 3 6 4" xfId="37180" xr:uid="{00000000-0005-0000-0000-0000B9190000}"/>
    <cellStyle name="20% - Accent4 2 3 2 2 3 7" xfId="17878" xr:uid="{00000000-0005-0000-0000-0000BA190000}"/>
    <cellStyle name="20% - Accent4 2 3 2 2 3 7 2" xfId="28246" xr:uid="{00000000-0005-0000-0000-0000BB190000}"/>
    <cellStyle name="20% - Accent4 2 3 2 2 3 7 2 2" xfId="47435" xr:uid="{00000000-0005-0000-0000-0000BC190000}"/>
    <cellStyle name="20% - Accent4 2 3 2 2 3 7 3" xfId="37737" xr:uid="{00000000-0005-0000-0000-0000BD190000}"/>
    <cellStyle name="20% - Accent4 2 3 2 2 3 8" xfId="23741" xr:uid="{00000000-0005-0000-0000-0000BE190000}"/>
    <cellStyle name="20% - Accent4 2 3 2 2 3 8 2" xfId="42980" xr:uid="{00000000-0005-0000-0000-0000BF190000}"/>
    <cellStyle name="20% - Accent4 2 3 2 2 3 9" xfId="33282" xr:uid="{00000000-0005-0000-0000-0000C0190000}"/>
    <cellStyle name="20% - Accent4 2 3 2 2 4" xfId="13932" xr:uid="{00000000-0005-0000-0000-0000C1190000}"/>
    <cellStyle name="20% - Accent4 2 3 2 2 4 2" xfId="16196" xr:uid="{00000000-0005-0000-0000-0000C2190000}"/>
    <cellStyle name="20% - Accent4 2 3 2 2 4 2 2" xfId="20660" xr:uid="{00000000-0005-0000-0000-0000C3190000}"/>
    <cellStyle name="20% - Accent4 2 3 2 2 4 2 2 2" xfId="31028" xr:uid="{00000000-0005-0000-0000-0000C4190000}"/>
    <cellStyle name="20% - Accent4 2 3 2 2 4 2 2 2 2" xfId="50217" xr:uid="{00000000-0005-0000-0000-0000C5190000}"/>
    <cellStyle name="20% - Accent4 2 3 2 2 4 2 2 3" xfId="40519" xr:uid="{00000000-0005-0000-0000-0000C6190000}"/>
    <cellStyle name="20% - Accent4 2 3 2 2 4 2 3" xfId="26573" xr:uid="{00000000-0005-0000-0000-0000C7190000}"/>
    <cellStyle name="20% - Accent4 2 3 2 2 4 2 3 2" xfId="45762" xr:uid="{00000000-0005-0000-0000-0000C8190000}"/>
    <cellStyle name="20% - Accent4 2 3 2 2 4 2 4" xfId="36064" xr:uid="{00000000-0005-0000-0000-0000C9190000}"/>
    <cellStyle name="20% - Accent4 2 3 2 2 4 3" xfId="18432" xr:uid="{00000000-0005-0000-0000-0000CA190000}"/>
    <cellStyle name="20% - Accent4 2 3 2 2 4 3 2" xfId="28800" xr:uid="{00000000-0005-0000-0000-0000CB190000}"/>
    <cellStyle name="20% - Accent4 2 3 2 2 4 3 2 2" xfId="47989" xr:uid="{00000000-0005-0000-0000-0000CC190000}"/>
    <cellStyle name="20% - Accent4 2 3 2 2 4 3 3" xfId="38291" xr:uid="{00000000-0005-0000-0000-0000CD190000}"/>
    <cellStyle name="20% - Accent4 2 3 2 2 4 4" xfId="24340" xr:uid="{00000000-0005-0000-0000-0000CE190000}"/>
    <cellStyle name="20% - Accent4 2 3 2 2 4 4 2" xfId="43534" xr:uid="{00000000-0005-0000-0000-0000CF190000}"/>
    <cellStyle name="20% - Accent4 2 3 2 2 4 5" xfId="33836" xr:uid="{00000000-0005-0000-0000-0000D0190000}"/>
    <cellStyle name="20% - Accent4 2 3 2 2 5" xfId="14511" xr:uid="{00000000-0005-0000-0000-0000D1190000}"/>
    <cellStyle name="20% - Accent4 2 3 2 2 5 2" xfId="15640" xr:uid="{00000000-0005-0000-0000-0000D2190000}"/>
    <cellStyle name="20% - Accent4 2 3 2 2 5 2 2" xfId="20104" xr:uid="{00000000-0005-0000-0000-0000D3190000}"/>
    <cellStyle name="20% - Accent4 2 3 2 2 5 2 2 2" xfId="30472" xr:uid="{00000000-0005-0000-0000-0000D4190000}"/>
    <cellStyle name="20% - Accent4 2 3 2 2 5 2 2 2 2" xfId="49661" xr:uid="{00000000-0005-0000-0000-0000D5190000}"/>
    <cellStyle name="20% - Accent4 2 3 2 2 5 2 2 3" xfId="39963" xr:uid="{00000000-0005-0000-0000-0000D6190000}"/>
    <cellStyle name="20% - Accent4 2 3 2 2 5 2 3" xfId="26017" xr:uid="{00000000-0005-0000-0000-0000D7190000}"/>
    <cellStyle name="20% - Accent4 2 3 2 2 5 2 3 2" xfId="45206" xr:uid="{00000000-0005-0000-0000-0000D8190000}"/>
    <cellStyle name="20% - Accent4 2 3 2 2 5 2 4" xfId="35508" xr:uid="{00000000-0005-0000-0000-0000D9190000}"/>
    <cellStyle name="20% - Accent4 2 3 2 2 5 3" xfId="18989" xr:uid="{00000000-0005-0000-0000-0000DA190000}"/>
    <cellStyle name="20% - Accent4 2 3 2 2 5 3 2" xfId="29357" xr:uid="{00000000-0005-0000-0000-0000DB190000}"/>
    <cellStyle name="20% - Accent4 2 3 2 2 5 3 2 2" xfId="48546" xr:uid="{00000000-0005-0000-0000-0000DC190000}"/>
    <cellStyle name="20% - Accent4 2 3 2 2 5 3 3" xfId="38848" xr:uid="{00000000-0005-0000-0000-0000DD190000}"/>
    <cellStyle name="20% - Accent4 2 3 2 2 5 4" xfId="24902" xr:uid="{00000000-0005-0000-0000-0000DE190000}"/>
    <cellStyle name="20% - Accent4 2 3 2 2 5 4 2" xfId="44091" xr:uid="{00000000-0005-0000-0000-0000DF190000}"/>
    <cellStyle name="20% - Accent4 2 3 2 2 5 5" xfId="34393" xr:uid="{00000000-0005-0000-0000-0000E0190000}"/>
    <cellStyle name="20% - Accent4 2 3 2 2 6" xfId="15083" xr:uid="{00000000-0005-0000-0000-0000E1190000}"/>
    <cellStyle name="20% - Accent4 2 3 2 2 6 2" xfId="19547" xr:uid="{00000000-0005-0000-0000-0000E2190000}"/>
    <cellStyle name="20% - Accent4 2 3 2 2 6 2 2" xfId="29915" xr:uid="{00000000-0005-0000-0000-0000E3190000}"/>
    <cellStyle name="20% - Accent4 2 3 2 2 6 2 2 2" xfId="49104" xr:uid="{00000000-0005-0000-0000-0000E4190000}"/>
    <cellStyle name="20% - Accent4 2 3 2 2 6 2 3" xfId="39406" xr:uid="{00000000-0005-0000-0000-0000E5190000}"/>
    <cellStyle name="20% - Accent4 2 3 2 2 6 3" xfId="25460" xr:uid="{00000000-0005-0000-0000-0000E6190000}"/>
    <cellStyle name="20% - Accent4 2 3 2 2 6 3 2" xfId="44649" xr:uid="{00000000-0005-0000-0000-0000E7190000}"/>
    <cellStyle name="20% - Accent4 2 3 2 2 6 4" xfId="34951" xr:uid="{00000000-0005-0000-0000-0000E8190000}"/>
    <cellStyle name="20% - Accent4 2 3 2 2 7" xfId="16753" xr:uid="{00000000-0005-0000-0000-0000E9190000}"/>
    <cellStyle name="20% - Accent4 2 3 2 2 7 2" xfId="21217" xr:uid="{00000000-0005-0000-0000-0000EA190000}"/>
    <cellStyle name="20% - Accent4 2 3 2 2 7 2 2" xfId="31585" xr:uid="{00000000-0005-0000-0000-0000EB190000}"/>
    <cellStyle name="20% - Accent4 2 3 2 2 7 2 2 2" xfId="50774" xr:uid="{00000000-0005-0000-0000-0000EC190000}"/>
    <cellStyle name="20% - Accent4 2 3 2 2 7 2 3" xfId="41076" xr:uid="{00000000-0005-0000-0000-0000ED190000}"/>
    <cellStyle name="20% - Accent4 2 3 2 2 7 3" xfId="27130" xr:uid="{00000000-0005-0000-0000-0000EE190000}"/>
    <cellStyle name="20% - Accent4 2 3 2 2 7 3 2" xfId="46319" xr:uid="{00000000-0005-0000-0000-0000EF190000}"/>
    <cellStyle name="20% - Accent4 2 3 2 2 7 4" xfId="36621" xr:uid="{00000000-0005-0000-0000-0000F0190000}"/>
    <cellStyle name="20% - Accent4 2 3 2 2 8" xfId="17319" xr:uid="{00000000-0005-0000-0000-0000F1190000}"/>
    <cellStyle name="20% - Accent4 2 3 2 2 8 2" xfId="21774" xr:uid="{00000000-0005-0000-0000-0000F2190000}"/>
    <cellStyle name="20% - Accent4 2 3 2 2 8 2 2" xfId="32142" xr:uid="{00000000-0005-0000-0000-0000F3190000}"/>
    <cellStyle name="20% - Accent4 2 3 2 2 8 2 2 2" xfId="51331" xr:uid="{00000000-0005-0000-0000-0000F4190000}"/>
    <cellStyle name="20% - Accent4 2 3 2 2 8 2 3" xfId="41633" xr:uid="{00000000-0005-0000-0000-0000F5190000}"/>
    <cellStyle name="20% - Accent4 2 3 2 2 8 3" xfId="27687" xr:uid="{00000000-0005-0000-0000-0000F6190000}"/>
    <cellStyle name="20% - Accent4 2 3 2 2 8 3 2" xfId="46876" xr:uid="{00000000-0005-0000-0000-0000F7190000}"/>
    <cellStyle name="20% - Accent4 2 3 2 2 8 4" xfId="37178" xr:uid="{00000000-0005-0000-0000-0000F8190000}"/>
    <cellStyle name="20% - Accent4 2 3 2 2 9" xfId="17876" xr:uid="{00000000-0005-0000-0000-0000F9190000}"/>
    <cellStyle name="20% - Accent4 2 3 2 2 9 2" xfId="28244" xr:uid="{00000000-0005-0000-0000-0000FA190000}"/>
    <cellStyle name="20% - Accent4 2 3 2 2 9 2 2" xfId="47433" xr:uid="{00000000-0005-0000-0000-0000FB190000}"/>
    <cellStyle name="20% - Accent4 2 3 2 2 9 3" xfId="37735" xr:uid="{00000000-0005-0000-0000-0000FC190000}"/>
    <cellStyle name="20% - Accent4 2 3 2 3" xfId="12985" xr:uid="{00000000-0005-0000-0000-0000FD190000}"/>
    <cellStyle name="20% - Accent4 2 3 2 3 10" xfId="53621" xr:uid="{00000000-0005-0000-0000-0000FE190000}"/>
    <cellStyle name="20% - Accent4 2 3 2 3 2" xfId="13935" xr:uid="{00000000-0005-0000-0000-0000FF190000}"/>
    <cellStyle name="20% - Accent4 2 3 2 3 2 2" xfId="16199" xr:uid="{00000000-0005-0000-0000-0000001A0000}"/>
    <cellStyle name="20% - Accent4 2 3 2 3 2 2 2" xfId="20663" xr:uid="{00000000-0005-0000-0000-0000011A0000}"/>
    <cellStyle name="20% - Accent4 2 3 2 3 2 2 2 2" xfId="31031" xr:uid="{00000000-0005-0000-0000-0000021A0000}"/>
    <cellStyle name="20% - Accent4 2 3 2 3 2 2 2 2 2" xfId="50220" xr:uid="{00000000-0005-0000-0000-0000031A0000}"/>
    <cellStyle name="20% - Accent4 2 3 2 3 2 2 2 3" xfId="40522" xr:uid="{00000000-0005-0000-0000-0000041A0000}"/>
    <cellStyle name="20% - Accent4 2 3 2 3 2 2 3" xfId="26576" xr:uid="{00000000-0005-0000-0000-0000051A0000}"/>
    <cellStyle name="20% - Accent4 2 3 2 3 2 2 3 2" xfId="45765" xr:uid="{00000000-0005-0000-0000-0000061A0000}"/>
    <cellStyle name="20% - Accent4 2 3 2 3 2 2 4" xfId="36067" xr:uid="{00000000-0005-0000-0000-0000071A0000}"/>
    <cellStyle name="20% - Accent4 2 3 2 3 2 3" xfId="18435" xr:uid="{00000000-0005-0000-0000-0000081A0000}"/>
    <cellStyle name="20% - Accent4 2 3 2 3 2 3 2" xfId="28803" xr:uid="{00000000-0005-0000-0000-0000091A0000}"/>
    <cellStyle name="20% - Accent4 2 3 2 3 2 3 2 2" xfId="47992" xr:uid="{00000000-0005-0000-0000-00000A1A0000}"/>
    <cellStyle name="20% - Accent4 2 3 2 3 2 3 3" xfId="38294" xr:uid="{00000000-0005-0000-0000-00000B1A0000}"/>
    <cellStyle name="20% - Accent4 2 3 2 3 2 4" xfId="24343" xr:uid="{00000000-0005-0000-0000-00000C1A0000}"/>
    <cellStyle name="20% - Accent4 2 3 2 3 2 4 2" xfId="43537" xr:uid="{00000000-0005-0000-0000-00000D1A0000}"/>
    <cellStyle name="20% - Accent4 2 3 2 3 2 5" xfId="33839" xr:uid="{00000000-0005-0000-0000-00000E1A0000}"/>
    <cellStyle name="20% - Accent4 2 3 2 3 3" xfId="14514" xr:uid="{00000000-0005-0000-0000-00000F1A0000}"/>
    <cellStyle name="20% - Accent4 2 3 2 3 3 2" xfId="15643" xr:uid="{00000000-0005-0000-0000-0000101A0000}"/>
    <cellStyle name="20% - Accent4 2 3 2 3 3 2 2" xfId="20107" xr:uid="{00000000-0005-0000-0000-0000111A0000}"/>
    <cellStyle name="20% - Accent4 2 3 2 3 3 2 2 2" xfId="30475" xr:uid="{00000000-0005-0000-0000-0000121A0000}"/>
    <cellStyle name="20% - Accent4 2 3 2 3 3 2 2 2 2" xfId="49664" xr:uid="{00000000-0005-0000-0000-0000131A0000}"/>
    <cellStyle name="20% - Accent4 2 3 2 3 3 2 2 3" xfId="39966" xr:uid="{00000000-0005-0000-0000-0000141A0000}"/>
    <cellStyle name="20% - Accent4 2 3 2 3 3 2 3" xfId="26020" xr:uid="{00000000-0005-0000-0000-0000151A0000}"/>
    <cellStyle name="20% - Accent4 2 3 2 3 3 2 3 2" xfId="45209" xr:uid="{00000000-0005-0000-0000-0000161A0000}"/>
    <cellStyle name="20% - Accent4 2 3 2 3 3 2 4" xfId="35511" xr:uid="{00000000-0005-0000-0000-0000171A0000}"/>
    <cellStyle name="20% - Accent4 2 3 2 3 3 3" xfId="18992" xr:uid="{00000000-0005-0000-0000-0000181A0000}"/>
    <cellStyle name="20% - Accent4 2 3 2 3 3 3 2" xfId="29360" xr:uid="{00000000-0005-0000-0000-0000191A0000}"/>
    <cellStyle name="20% - Accent4 2 3 2 3 3 3 2 2" xfId="48549" xr:uid="{00000000-0005-0000-0000-00001A1A0000}"/>
    <cellStyle name="20% - Accent4 2 3 2 3 3 3 3" xfId="38851" xr:uid="{00000000-0005-0000-0000-00001B1A0000}"/>
    <cellStyle name="20% - Accent4 2 3 2 3 3 4" xfId="24905" xr:uid="{00000000-0005-0000-0000-00001C1A0000}"/>
    <cellStyle name="20% - Accent4 2 3 2 3 3 4 2" xfId="44094" xr:uid="{00000000-0005-0000-0000-00001D1A0000}"/>
    <cellStyle name="20% - Accent4 2 3 2 3 3 5" xfId="34396" xr:uid="{00000000-0005-0000-0000-00001E1A0000}"/>
    <cellStyle name="20% - Accent4 2 3 2 3 4" xfId="15086" xr:uid="{00000000-0005-0000-0000-00001F1A0000}"/>
    <cellStyle name="20% - Accent4 2 3 2 3 4 2" xfId="19550" xr:uid="{00000000-0005-0000-0000-0000201A0000}"/>
    <cellStyle name="20% - Accent4 2 3 2 3 4 2 2" xfId="29918" xr:uid="{00000000-0005-0000-0000-0000211A0000}"/>
    <cellStyle name="20% - Accent4 2 3 2 3 4 2 2 2" xfId="49107" xr:uid="{00000000-0005-0000-0000-0000221A0000}"/>
    <cellStyle name="20% - Accent4 2 3 2 3 4 2 3" xfId="39409" xr:uid="{00000000-0005-0000-0000-0000231A0000}"/>
    <cellStyle name="20% - Accent4 2 3 2 3 4 3" xfId="25463" xr:uid="{00000000-0005-0000-0000-0000241A0000}"/>
    <cellStyle name="20% - Accent4 2 3 2 3 4 3 2" xfId="44652" xr:uid="{00000000-0005-0000-0000-0000251A0000}"/>
    <cellStyle name="20% - Accent4 2 3 2 3 4 4" xfId="34954" xr:uid="{00000000-0005-0000-0000-0000261A0000}"/>
    <cellStyle name="20% - Accent4 2 3 2 3 5" xfId="16756" xr:uid="{00000000-0005-0000-0000-0000271A0000}"/>
    <cellStyle name="20% - Accent4 2 3 2 3 5 2" xfId="21220" xr:uid="{00000000-0005-0000-0000-0000281A0000}"/>
    <cellStyle name="20% - Accent4 2 3 2 3 5 2 2" xfId="31588" xr:uid="{00000000-0005-0000-0000-0000291A0000}"/>
    <cellStyle name="20% - Accent4 2 3 2 3 5 2 2 2" xfId="50777" xr:uid="{00000000-0005-0000-0000-00002A1A0000}"/>
    <cellStyle name="20% - Accent4 2 3 2 3 5 2 3" xfId="41079" xr:uid="{00000000-0005-0000-0000-00002B1A0000}"/>
    <cellStyle name="20% - Accent4 2 3 2 3 5 3" xfId="27133" xr:uid="{00000000-0005-0000-0000-00002C1A0000}"/>
    <cellStyle name="20% - Accent4 2 3 2 3 5 3 2" xfId="46322" xr:uid="{00000000-0005-0000-0000-00002D1A0000}"/>
    <cellStyle name="20% - Accent4 2 3 2 3 5 4" xfId="36624" xr:uid="{00000000-0005-0000-0000-00002E1A0000}"/>
    <cellStyle name="20% - Accent4 2 3 2 3 6" xfId="17322" xr:uid="{00000000-0005-0000-0000-00002F1A0000}"/>
    <cellStyle name="20% - Accent4 2 3 2 3 6 2" xfId="21777" xr:uid="{00000000-0005-0000-0000-0000301A0000}"/>
    <cellStyle name="20% - Accent4 2 3 2 3 6 2 2" xfId="32145" xr:uid="{00000000-0005-0000-0000-0000311A0000}"/>
    <cellStyle name="20% - Accent4 2 3 2 3 6 2 2 2" xfId="51334" xr:uid="{00000000-0005-0000-0000-0000321A0000}"/>
    <cellStyle name="20% - Accent4 2 3 2 3 6 2 3" xfId="41636" xr:uid="{00000000-0005-0000-0000-0000331A0000}"/>
    <cellStyle name="20% - Accent4 2 3 2 3 6 3" xfId="27690" xr:uid="{00000000-0005-0000-0000-0000341A0000}"/>
    <cellStyle name="20% - Accent4 2 3 2 3 6 3 2" xfId="46879" xr:uid="{00000000-0005-0000-0000-0000351A0000}"/>
    <cellStyle name="20% - Accent4 2 3 2 3 6 4" xfId="37181" xr:uid="{00000000-0005-0000-0000-0000361A0000}"/>
    <cellStyle name="20% - Accent4 2 3 2 3 7" xfId="17879" xr:uid="{00000000-0005-0000-0000-0000371A0000}"/>
    <cellStyle name="20% - Accent4 2 3 2 3 7 2" xfId="28247" xr:uid="{00000000-0005-0000-0000-0000381A0000}"/>
    <cellStyle name="20% - Accent4 2 3 2 3 7 2 2" xfId="47436" xr:uid="{00000000-0005-0000-0000-0000391A0000}"/>
    <cellStyle name="20% - Accent4 2 3 2 3 7 3" xfId="37738" xr:uid="{00000000-0005-0000-0000-00003A1A0000}"/>
    <cellStyle name="20% - Accent4 2 3 2 3 8" xfId="23742" xr:uid="{00000000-0005-0000-0000-00003B1A0000}"/>
    <cellStyle name="20% - Accent4 2 3 2 3 8 2" xfId="42981" xr:uid="{00000000-0005-0000-0000-00003C1A0000}"/>
    <cellStyle name="20% - Accent4 2 3 2 3 9" xfId="33283" xr:uid="{00000000-0005-0000-0000-00003D1A0000}"/>
    <cellStyle name="20% - Accent4 2 3 2 4" xfId="12986" xr:uid="{00000000-0005-0000-0000-00003E1A0000}"/>
    <cellStyle name="20% - Accent4 2 3 2 4 2" xfId="13936" xr:uid="{00000000-0005-0000-0000-00003F1A0000}"/>
    <cellStyle name="20% - Accent4 2 3 2 4 2 2" xfId="16200" xr:uid="{00000000-0005-0000-0000-0000401A0000}"/>
    <cellStyle name="20% - Accent4 2 3 2 4 2 2 2" xfId="20664" xr:uid="{00000000-0005-0000-0000-0000411A0000}"/>
    <cellStyle name="20% - Accent4 2 3 2 4 2 2 2 2" xfId="31032" xr:uid="{00000000-0005-0000-0000-0000421A0000}"/>
    <cellStyle name="20% - Accent4 2 3 2 4 2 2 2 2 2" xfId="50221" xr:uid="{00000000-0005-0000-0000-0000431A0000}"/>
    <cellStyle name="20% - Accent4 2 3 2 4 2 2 2 3" xfId="40523" xr:uid="{00000000-0005-0000-0000-0000441A0000}"/>
    <cellStyle name="20% - Accent4 2 3 2 4 2 2 3" xfId="26577" xr:uid="{00000000-0005-0000-0000-0000451A0000}"/>
    <cellStyle name="20% - Accent4 2 3 2 4 2 2 3 2" xfId="45766" xr:uid="{00000000-0005-0000-0000-0000461A0000}"/>
    <cellStyle name="20% - Accent4 2 3 2 4 2 2 4" xfId="36068" xr:uid="{00000000-0005-0000-0000-0000471A0000}"/>
    <cellStyle name="20% - Accent4 2 3 2 4 2 3" xfId="18436" xr:uid="{00000000-0005-0000-0000-0000481A0000}"/>
    <cellStyle name="20% - Accent4 2 3 2 4 2 3 2" xfId="28804" xr:uid="{00000000-0005-0000-0000-0000491A0000}"/>
    <cellStyle name="20% - Accent4 2 3 2 4 2 3 2 2" xfId="47993" xr:uid="{00000000-0005-0000-0000-00004A1A0000}"/>
    <cellStyle name="20% - Accent4 2 3 2 4 2 3 3" xfId="38295" xr:uid="{00000000-0005-0000-0000-00004B1A0000}"/>
    <cellStyle name="20% - Accent4 2 3 2 4 2 4" xfId="24344" xr:uid="{00000000-0005-0000-0000-00004C1A0000}"/>
    <cellStyle name="20% - Accent4 2 3 2 4 2 4 2" xfId="43538" xr:uid="{00000000-0005-0000-0000-00004D1A0000}"/>
    <cellStyle name="20% - Accent4 2 3 2 4 2 5" xfId="33840" xr:uid="{00000000-0005-0000-0000-00004E1A0000}"/>
    <cellStyle name="20% - Accent4 2 3 2 4 3" xfId="14515" xr:uid="{00000000-0005-0000-0000-00004F1A0000}"/>
    <cellStyle name="20% - Accent4 2 3 2 4 3 2" xfId="15644" xr:uid="{00000000-0005-0000-0000-0000501A0000}"/>
    <cellStyle name="20% - Accent4 2 3 2 4 3 2 2" xfId="20108" xr:uid="{00000000-0005-0000-0000-0000511A0000}"/>
    <cellStyle name="20% - Accent4 2 3 2 4 3 2 2 2" xfId="30476" xr:uid="{00000000-0005-0000-0000-0000521A0000}"/>
    <cellStyle name="20% - Accent4 2 3 2 4 3 2 2 2 2" xfId="49665" xr:uid="{00000000-0005-0000-0000-0000531A0000}"/>
    <cellStyle name="20% - Accent4 2 3 2 4 3 2 2 3" xfId="39967" xr:uid="{00000000-0005-0000-0000-0000541A0000}"/>
    <cellStyle name="20% - Accent4 2 3 2 4 3 2 3" xfId="26021" xr:uid="{00000000-0005-0000-0000-0000551A0000}"/>
    <cellStyle name="20% - Accent4 2 3 2 4 3 2 3 2" xfId="45210" xr:uid="{00000000-0005-0000-0000-0000561A0000}"/>
    <cellStyle name="20% - Accent4 2 3 2 4 3 2 4" xfId="35512" xr:uid="{00000000-0005-0000-0000-0000571A0000}"/>
    <cellStyle name="20% - Accent4 2 3 2 4 3 3" xfId="18993" xr:uid="{00000000-0005-0000-0000-0000581A0000}"/>
    <cellStyle name="20% - Accent4 2 3 2 4 3 3 2" xfId="29361" xr:uid="{00000000-0005-0000-0000-0000591A0000}"/>
    <cellStyle name="20% - Accent4 2 3 2 4 3 3 2 2" xfId="48550" xr:uid="{00000000-0005-0000-0000-00005A1A0000}"/>
    <cellStyle name="20% - Accent4 2 3 2 4 3 3 3" xfId="38852" xr:uid="{00000000-0005-0000-0000-00005B1A0000}"/>
    <cellStyle name="20% - Accent4 2 3 2 4 3 4" xfId="24906" xr:uid="{00000000-0005-0000-0000-00005C1A0000}"/>
    <cellStyle name="20% - Accent4 2 3 2 4 3 4 2" xfId="44095" xr:uid="{00000000-0005-0000-0000-00005D1A0000}"/>
    <cellStyle name="20% - Accent4 2 3 2 4 3 5" xfId="34397" xr:uid="{00000000-0005-0000-0000-00005E1A0000}"/>
    <cellStyle name="20% - Accent4 2 3 2 4 4" xfId="15087" xr:uid="{00000000-0005-0000-0000-00005F1A0000}"/>
    <cellStyle name="20% - Accent4 2 3 2 4 4 2" xfId="19551" xr:uid="{00000000-0005-0000-0000-0000601A0000}"/>
    <cellStyle name="20% - Accent4 2 3 2 4 4 2 2" xfId="29919" xr:uid="{00000000-0005-0000-0000-0000611A0000}"/>
    <cellStyle name="20% - Accent4 2 3 2 4 4 2 2 2" xfId="49108" xr:uid="{00000000-0005-0000-0000-0000621A0000}"/>
    <cellStyle name="20% - Accent4 2 3 2 4 4 2 3" xfId="39410" xr:uid="{00000000-0005-0000-0000-0000631A0000}"/>
    <cellStyle name="20% - Accent4 2 3 2 4 4 3" xfId="25464" xr:uid="{00000000-0005-0000-0000-0000641A0000}"/>
    <cellStyle name="20% - Accent4 2 3 2 4 4 3 2" xfId="44653" xr:uid="{00000000-0005-0000-0000-0000651A0000}"/>
    <cellStyle name="20% - Accent4 2 3 2 4 4 4" xfId="34955" xr:uid="{00000000-0005-0000-0000-0000661A0000}"/>
    <cellStyle name="20% - Accent4 2 3 2 4 5" xfId="16757" xr:uid="{00000000-0005-0000-0000-0000671A0000}"/>
    <cellStyle name="20% - Accent4 2 3 2 4 5 2" xfId="21221" xr:uid="{00000000-0005-0000-0000-0000681A0000}"/>
    <cellStyle name="20% - Accent4 2 3 2 4 5 2 2" xfId="31589" xr:uid="{00000000-0005-0000-0000-0000691A0000}"/>
    <cellStyle name="20% - Accent4 2 3 2 4 5 2 2 2" xfId="50778" xr:uid="{00000000-0005-0000-0000-00006A1A0000}"/>
    <cellStyle name="20% - Accent4 2 3 2 4 5 2 3" xfId="41080" xr:uid="{00000000-0005-0000-0000-00006B1A0000}"/>
    <cellStyle name="20% - Accent4 2 3 2 4 5 3" xfId="27134" xr:uid="{00000000-0005-0000-0000-00006C1A0000}"/>
    <cellStyle name="20% - Accent4 2 3 2 4 5 3 2" xfId="46323" xr:uid="{00000000-0005-0000-0000-00006D1A0000}"/>
    <cellStyle name="20% - Accent4 2 3 2 4 5 4" xfId="36625" xr:uid="{00000000-0005-0000-0000-00006E1A0000}"/>
    <cellStyle name="20% - Accent4 2 3 2 4 6" xfId="17323" xr:uid="{00000000-0005-0000-0000-00006F1A0000}"/>
    <cellStyle name="20% - Accent4 2 3 2 4 6 2" xfId="21778" xr:uid="{00000000-0005-0000-0000-0000701A0000}"/>
    <cellStyle name="20% - Accent4 2 3 2 4 6 2 2" xfId="32146" xr:uid="{00000000-0005-0000-0000-0000711A0000}"/>
    <cellStyle name="20% - Accent4 2 3 2 4 6 2 2 2" xfId="51335" xr:uid="{00000000-0005-0000-0000-0000721A0000}"/>
    <cellStyle name="20% - Accent4 2 3 2 4 6 2 3" xfId="41637" xr:uid="{00000000-0005-0000-0000-0000731A0000}"/>
    <cellStyle name="20% - Accent4 2 3 2 4 6 3" xfId="27691" xr:uid="{00000000-0005-0000-0000-0000741A0000}"/>
    <cellStyle name="20% - Accent4 2 3 2 4 6 3 2" xfId="46880" xr:uid="{00000000-0005-0000-0000-0000751A0000}"/>
    <cellStyle name="20% - Accent4 2 3 2 4 6 4" xfId="37182" xr:uid="{00000000-0005-0000-0000-0000761A0000}"/>
    <cellStyle name="20% - Accent4 2 3 2 4 7" xfId="17880" xr:uid="{00000000-0005-0000-0000-0000771A0000}"/>
    <cellStyle name="20% - Accent4 2 3 2 4 7 2" xfId="28248" xr:uid="{00000000-0005-0000-0000-0000781A0000}"/>
    <cellStyle name="20% - Accent4 2 3 2 4 7 2 2" xfId="47437" xr:uid="{00000000-0005-0000-0000-0000791A0000}"/>
    <cellStyle name="20% - Accent4 2 3 2 4 7 3" xfId="37739" xr:uid="{00000000-0005-0000-0000-00007A1A0000}"/>
    <cellStyle name="20% - Accent4 2 3 2 4 8" xfId="23743" xr:uid="{00000000-0005-0000-0000-00007B1A0000}"/>
    <cellStyle name="20% - Accent4 2 3 2 4 8 2" xfId="42982" xr:uid="{00000000-0005-0000-0000-00007C1A0000}"/>
    <cellStyle name="20% - Accent4 2 3 2 4 9" xfId="33284" xr:uid="{00000000-0005-0000-0000-00007D1A0000}"/>
    <cellStyle name="20% - Accent4 2 3 2 5" xfId="13931" xr:uid="{00000000-0005-0000-0000-00007E1A0000}"/>
    <cellStyle name="20% - Accent4 2 3 2 5 2" xfId="16195" xr:uid="{00000000-0005-0000-0000-00007F1A0000}"/>
    <cellStyle name="20% - Accent4 2 3 2 5 2 2" xfId="20659" xr:uid="{00000000-0005-0000-0000-0000801A0000}"/>
    <cellStyle name="20% - Accent4 2 3 2 5 2 2 2" xfId="31027" xr:uid="{00000000-0005-0000-0000-0000811A0000}"/>
    <cellStyle name="20% - Accent4 2 3 2 5 2 2 2 2" xfId="50216" xr:uid="{00000000-0005-0000-0000-0000821A0000}"/>
    <cellStyle name="20% - Accent4 2 3 2 5 2 2 3" xfId="40518" xr:uid="{00000000-0005-0000-0000-0000831A0000}"/>
    <cellStyle name="20% - Accent4 2 3 2 5 2 3" xfId="26572" xr:uid="{00000000-0005-0000-0000-0000841A0000}"/>
    <cellStyle name="20% - Accent4 2 3 2 5 2 3 2" xfId="45761" xr:uid="{00000000-0005-0000-0000-0000851A0000}"/>
    <cellStyle name="20% - Accent4 2 3 2 5 2 4" xfId="36063" xr:uid="{00000000-0005-0000-0000-0000861A0000}"/>
    <cellStyle name="20% - Accent4 2 3 2 5 3" xfId="18431" xr:uid="{00000000-0005-0000-0000-0000871A0000}"/>
    <cellStyle name="20% - Accent4 2 3 2 5 3 2" xfId="28799" xr:uid="{00000000-0005-0000-0000-0000881A0000}"/>
    <cellStyle name="20% - Accent4 2 3 2 5 3 2 2" xfId="47988" xr:uid="{00000000-0005-0000-0000-0000891A0000}"/>
    <cellStyle name="20% - Accent4 2 3 2 5 3 3" xfId="38290" xr:uid="{00000000-0005-0000-0000-00008A1A0000}"/>
    <cellStyle name="20% - Accent4 2 3 2 5 4" xfId="24339" xr:uid="{00000000-0005-0000-0000-00008B1A0000}"/>
    <cellStyle name="20% - Accent4 2 3 2 5 4 2" xfId="43533" xr:uid="{00000000-0005-0000-0000-00008C1A0000}"/>
    <cellStyle name="20% - Accent4 2 3 2 5 5" xfId="33835" xr:uid="{00000000-0005-0000-0000-00008D1A0000}"/>
    <cellStyle name="20% - Accent4 2 3 2 6" xfId="14510" xr:uid="{00000000-0005-0000-0000-00008E1A0000}"/>
    <cellStyle name="20% - Accent4 2 3 2 6 2" xfId="15639" xr:uid="{00000000-0005-0000-0000-00008F1A0000}"/>
    <cellStyle name="20% - Accent4 2 3 2 6 2 2" xfId="20103" xr:uid="{00000000-0005-0000-0000-0000901A0000}"/>
    <cellStyle name="20% - Accent4 2 3 2 6 2 2 2" xfId="30471" xr:uid="{00000000-0005-0000-0000-0000911A0000}"/>
    <cellStyle name="20% - Accent4 2 3 2 6 2 2 2 2" xfId="49660" xr:uid="{00000000-0005-0000-0000-0000921A0000}"/>
    <cellStyle name="20% - Accent4 2 3 2 6 2 2 3" xfId="39962" xr:uid="{00000000-0005-0000-0000-0000931A0000}"/>
    <cellStyle name="20% - Accent4 2 3 2 6 2 3" xfId="26016" xr:uid="{00000000-0005-0000-0000-0000941A0000}"/>
    <cellStyle name="20% - Accent4 2 3 2 6 2 3 2" xfId="45205" xr:uid="{00000000-0005-0000-0000-0000951A0000}"/>
    <cellStyle name="20% - Accent4 2 3 2 6 2 4" xfId="35507" xr:uid="{00000000-0005-0000-0000-0000961A0000}"/>
    <cellStyle name="20% - Accent4 2 3 2 6 3" xfId="18988" xr:uid="{00000000-0005-0000-0000-0000971A0000}"/>
    <cellStyle name="20% - Accent4 2 3 2 6 3 2" xfId="29356" xr:uid="{00000000-0005-0000-0000-0000981A0000}"/>
    <cellStyle name="20% - Accent4 2 3 2 6 3 2 2" xfId="48545" xr:uid="{00000000-0005-0000-0000-0000991A0000}"/>
    <cellStyle name="20% - Accent4 2 3 2 6 3 3" xfId="38847" xr:uid="{00000000-0005-0000-0000-00009A1A0000}"/>
    <cellStyle name="20% - Accent4 2 3 2 6 4" xfId="24901" xr:uid="{00000000-0005-0000-0000-00009B1A0000}"/>
    <cellStyle name="20% - Accent4 2 3 2 6 4 2" xfId="44090" xr:uid="{00000000-0005-0000-0000-00009C1A0000}"/>
    <cellStyle name="20% - Accent4 2 3 2 6 5" xfId="34392" xr:uid="{00000000-0005-0000-0000-00009D1A0000}"/>
    <cellStyle name="20% - Accent4 2 3 2 7" xfId="15082" xr:uid="{00000000-0005-0000-0000-00009E1A0000}"/>
    <cellStyle name="20% - Accent4 2 3 2 7 2" xfId="19546" xr:uid="{00000000-0005-0000-0000-00009F1A0000}"/>
    <cellStyle name="20% - Accent4 2 3 2 7 2 2" xfId="29914" xr:uid="{00000000-0005-0000-0000-0000A01A0000}"/>
    <cellStyle name="20% - Accent4 2 3 2 7 2 2 2" xfId="49103" xr:uid="{00000000-0005-0000-0000-0000A11A0000}"/>
    <cellStyle name="20% - Accent4 2 3 2 7 2 3" xfId="39405" xr:uid="{00000000-0005-0000-0000-0000A21A0000}"/>
    <cellStyle name="20% - Accent4 2 3 2 7 3" xfId="25459" xr:uid="{00000000-0005-0000-0000-0000A31A0000}"/>
    <cellStyle name="20% - Accent4 2 3 2 7 3 2" xfId="44648" xr:uid="{00000000-0005-0000-0000-0000A41A0000}"/>
    <cellStyle name="20% - Accent4 2 3 2 7 4" xfId="34950" xr:uid="{00000000-0005-0000-0000-0000A51A0000}"/>
    <cellStyle name="20% - Accent4 2 3 2 8" xfId="16752" xr:uid="{00000000-0005-0000-0000-0000A61A0000}"/>
    <cellStyle name="20% - Accent4 2 3 2 8 2" xfId="21216" xr:uid="{00000000-0005-0000-0000-0000A71A0000}"/>
    <cellStyle name="20% - Accent4 2 3 2 8 2 2" xfId="31584" xr:uid="{00000000-0005-0000-0000-0000A81A0000}"/>
    <cellStyle name="20% - Accent4 2 3 2 8 2 2 2" xfId="50773" xr:uid="{00000000-0005-0000-0000-0000A91A0000}"/>
    <cellStyle name="20% - Accent4 2 3 2 8 2 3" xfId="41075" xr:uid="{00000000-0005-0000-0000-0000AA1A0000}"/>
    <cellStyle name="20% - Accent4 2 3 2 8 3" xfId="27129" xr:uid="{00000000-0005-0000-0000-0000AB1A0000}"/>
    <cellStyle name="20% - Accent4 2 3 2 8 3 2" xfId="46318" xr:uid="{00000000-0005-0000-0000-0000AC1A0000}"/>
    <cellStyle name="20% - Accent4 2 3 2 8 4" xfId="36620" xr:uid="{00000000-0005-0000-0000-0000AD1A0000}"/>
    <cellStyle name="20% - Accent4 2 3 2 9" xfId="17318" xr:uid="{00000000-0005-0000-0000-0000AE1A0000}"/>
    <cellStyle name="20% - Accent4 2 3 2 9 2" xfId="21773" xr:uid="{00000000-0005-0000-0000-0000AF1A0000}"/>
    <cellStyle name="20% - Accent4 2 3 2 9 2 2" xfId="32141" xr:uid="{00000000-0005-0000-0000-0000B01A0000}"/>
    <cellStyle name="20% - Accent4 2 3 2 9 2 2 2" xfId="51330" xr:uid="{00000000-0005-0000-0000-0000B11A0000}"/>
    <cellStyle name="20% - Accent4 2 3 2 9 2 3" xfId="41632" xr:uid="{00000000-0005-0000-0000-0000B21A0000}"/>
    <cellStyle name="20% - Accent4 2 3 2 9 3" xfId="27686" xr:uid="{00000000-0005-0000-0000-0000B31A0000}"/>
    <cellStyle name="20% - Accent4 2 3 2 9 3 2" xfId="46875" xr:uid="{00000000-0005-0000-0000-0000B41A0000}"/>
    <cellStyle name="20% - Accent4 2 3 2 9 4" xfId="37177" xr:uid="{00000000-0005-0000-0000-0000B51A0000}"/>
    <cellStyle name="20% - Accent4 2 3 3" xfId="1708" xr:uid="{00000000-0005-0000-0000-0000B61A0000}"/>
    <cellStyle name="20% - Accent4 2 3 3 10" xfId="23744" xr:uid="{00000000-0005-0000-0000-0000B71A0000}"/>
    <cellStyle name="20% - Accent4 2 3 3 10 2" xfId="42983" xr:uid="{00000000-0005-0000-0000-0000B81A0000}"/>
    <cellStyle name="20% - Accent4 2 3 3 11" xfId="33285" xr:uid="{00000000-0005-0000-0000-0000B91A0000}"/>
    <cellStyle name="20% - Accent4 2 3 3 12" xfId="52946" xr:uid="{00000000-0005-0000-0000-0000BA1A0000}"/>
    <cellStyle name="20% - Accent4 2 3 3 13" xfId="12987" xr:uid="{00000000-0005-0000-0000-0000BB1A0000}"/>
    <cellStyle name="20% - Accent4 2 3 3 2" xfId="12988" xr:uid="{00000000-0005-0000-0000-0000BC1A0000}"/>
    <cellStyle name="20% - Accent4 2 3 3 2 10" xfId="53821" xr:uid="{00000000-0005-0000-0000-0000BD1A0000}"/>
    <cellStyle name="20% - Accent4 2 3 3 2 2" xfId="13938" xr:uid="{00000000-0005-0000-0000-0000BE1A0000}"/>
    <cellStyle name="20% - Accent4 2 3 3 2 2 2" xfId="16202" xr:uid="{00000000-0005-0000-0000-0000BF1A0000}"/>
    <cellStyle name="20% - Accent4 2 3 3 2 2 2 2" xfId="20666" xr:uid="{00000000-0005-0000-0000-0000C01A0000}"/>
    <cellStyle name="20% - Accent4 2 3 3 2 2 2 2 2" xfId="31034" xr:uid="{00000000-0005-0000-0000-0000C11A0000}"/>
    <cellStyle name="20% - Accent4 2 3 3 2 2 2 2 2 2" xfId="50223" xr:uid="{00000000-0005-0000-0000-0000C21A0000}"/>
    <cellStyle name="20% - Accent4 2 3 3 2 2 2 2 3" xfId="40525" xr:uid="{00000000-0005-0000-0000-0000C31A0000}"/>
    <cellStyle name="20% - Accent4 2 3 3 2 2 2 3" xfId="26579" xr:uid="{00000000-0005-0000-0000-0000C41A0000}"/>
    <cellStyle name="20% - Accent4 2 3 3 2 2 2 3 2" xfId="45768" xr:uid="{00000000-0005-0000-0000-0000C51A0000}"/>
    <cellStyle name="20% - Accent4 2 3 3 2 2 2 4" xfId="36070" xr:uid="{00000000-0005-0000-0000-0000C61A0000}"/>
    <cellStyle name="20% - Accent4 2 3 3 2 2 3" xfId="18438" xr:uid="{00000000-0005-0000-0000-0000C71A0000}"/>
    <cellStyle name="20% - Accent4 2 3 3 2 2 3 2" xfId="28806" xr:uid="{00000000-0005-0000-0000-0000C81A0000}"/>
    <cellStyle name="20% - Accent4 2 3 3 2 2 3 2 2" xfId="47995" xr:uid="{00000000-0005-0000-0000-0000C91A0000}"/>
    <cellStyle name="20% - Accent4 2 3 3 2 2 3 3" xfId="38297" xr:uid="{00000000-0005-0000-0000-0000CA1A0000}"/>
    <cellStyle name="20% - Accent4 2 3 3 2 2 4" xfId="24346" xr:uid="{00000000-0005-0000-0000-0000CB1A0000}"/>
    <cellStyle name="20% - Accent4 2 3 3 2 2 4 2" xfId="43540" xr:uid="{00000000-0005-0000-0000-0000CC1A0000}"/>
    <cellStyle name="20% - Accent4 2 3 3 2 2 5" xfId="33842" xr:uid="{00000000-0005-0000-0000-0000CD1A0000}"/>
    <cellStyle name="20% - Accent4 2 3 3 2 3" xfId="14517" xr:uid="{00000000-0005-0000-0000-0000CE1A0000}"/>
    <cellStyle name="20% - Accent4 2 3 3 2 3 2" xfId="15646" xr:uid="{00000000-0005-0000-0000-0000CF1A0000}"/>
    <cellStyle name="20% - Accent4 2 3 3 2 3 2 2" xfId="20110" xr:uid="{00000000-0005-0000-0000-0000D01A0000}"/>
    <cellStyle name="20% - Accent4 2 3 3 2 3 2 2 2" xfId="30478" xr:uid="{00000000-0005-0000-0000-0000D11A0000}"/>
    <cellStyle name="20% - Accent4 2 3 3 2 3 2 2 2 2" xfId="49667" xr:uid="{00000000-0005-0000-0000-0000D21A0000}"/>
    <cellStyle name="20% - Accent4 2 3 3 2 3 2 2 3" xfId="39969" xr:uid="{00000000-0005-0000-0000-0000D31A0000}"/>
    <cellStyle name="20% - Accent4 2 3 3 2 3 2 3" xfId="26023" xr:uid="{00000000-0005-0000-0000-0000D41A0000}"/>
    <cellStyle name="20% - Accent4 2 3 3 2 3 2 3 2" xfId="45212" xr:uid="{00000000-0005-0000-0000-0000D51A0000}"/>
    <cellStyle name="20% - Accent4 2 3 3 2 3 2 4" xfId="35514" xr:uid="{00000000-0005-0000-0000-0000D61A0000}"/>
    <cellStyle name="20% - Accent4 2 3 3 2 3 3" xfId="18995" xr:uid="{00000000-0005-0000-0000-0000D71A0000}"/>
    <cellStyle name="20% - Accent4 2 3 3 2 3 3 2" xfId="29363" xr:uid="{00000000-0005-0000-0000-0000D81A0000}"/>
    <cellStyle name="20% - Accent4 2 3 3 2 3 3 2 2" xfId="48552" xr:uid="{00000000-0005-0000-0000-0000D91A0000}"/>
    <cellStyle name="20% - Accent4 2 3 3 2 3 3 3" xfId="38854" xr:uid="{00000000-0005-0000-0000-0000DA1A0000}"/>
    <cellStyle name="20% - Accent4 2 3 3 2 3 4" xfId="24908" xr:uid="{00000000-0005-0000-0000-0000DB1A0000}"/>
    <cellStyle name="20% - Accent4 2 3 3 2 3 4 2" xfId="44097" xr:uid="{00000000-0005-0000-0000-0000DC1A0000}"/>
    <cellStyle name="20% - Accent4 2 3 3 2 3 5" xfId="34399" xr:uid="{00000000-0005-0000-0000-0000DD1A0000}"/>
    <cellStyle name="20% - Accent4 2 3 3 2 4" xfId="15089" xr:uid="{00000000-0005-0000-0000-0000DE1A0000}"/>
    <cellStyle name="20% - Accent4 2 3 3 2 4 2" xfId="19553" xr:uid="{00000000-0005-0000-0000-0000DF1A0000}"/>
    <cellStyle name="20% - Accent4 2 3 3 2 4 2 2" xfId="29921" xr:uid="{00000000-0005-0000-0000-0000E01A0000}"/>
    <cellStyle name="20% - Accent4 2 3 3 2 4 2 2 2" xfId="49110" xr:uid="{00000000-0005-0000-0000-0000E11A0000}"/>
    <cellStyle name="20% - Accent4 2 3 3 2 4 2 3" xfId="39412" xr:uid="{00000000-0005-0000-0000-0000E21A0000}"/>
    <cellStyle name="20% - Accent4 2 3 3 2 4 3" xfId="25466" xr:uid="{00000000-0005-0000-0000-0000E31A0000}"/>
    <cellStyle name="20% - Accent4 2 3 3 2 4 3 2" xfId="44655" xr:uid="{00000000-0005-0000-0000-0000E41A0000}"/>
    <cellStyle name="20% - Accent4 2 3 3 2 4 4" xfId="34957" xr:uid="{00000000-0005-0000-0000-0000E51A0000}"/>
    <cellStyle name="20% - Accent4 2 3 3 2 5" xfId="16759" xr:uid="{00000000-0005-0000-0000-0000E61A0000}"/>
    <cellStyle name="20% - Accent4 2 3 3 2 5 2" xfId="21223" xr:uid="{00000000-0005-0000-0000-0000E71A0000}"/>
    <cellStyle name="20% - Accent4 2 3 3 2 5 2 2" xfId="31591" xr:uid="{00000000-0005-0000-0000-0000E81A0000}"/>
    <cellStyle name="20% - Accent4 2 3 3 2 5 2 2 2" xfId="50780" xr:uid="{00000000-0005-0000-0000-0000E91A0000}"/>
    <cellStyle name="20% - Accent4 2 3 3 2 5 2 3" xfId="41082" xr:uid="{00000000-0005-0000-0000-0000EA1A0000}"/>
    <cellStyle name="20% - Accent4 2 3 3 2 5 3" xfId="27136" xr:uid="{00000000-0005-0000-0000-0000EB1A0000}"/>
    <cellStyle name="20% - Accent4 2 3 3 2 5 3 2" xfId="46325" xr:uid="{00000000-0005-0000-0000-0000EC1A0000}"/>
    <cellStyle name="20% - Accent4 2 3 3 2 5 4" xfId="36627" xr:uid="{00000000-0005-0000-0000-0000ED1A0000}"/>
    <cellStyle name="20% - Accent4 2 3 3 2 6" xfId="17325" xr:uid="{00000000-0005-0000-0000-0000EE1A0000}"/>
    <cellStyle name="20% - Accent4 2 3 3 2 6 2" xfId="21780" xr:uid="{00000000-0005-0000-0000-0000EF1A0000}"/>
    <cellStyle name="20% - Accent4 2 3 3 2 6 2 2" xfId="32148" xr:uid="{00000000-0005-0000-0000-0000F01A0000}"/>
    <cellStyle name="20% - Accent4 2 3 3 2 6 2 2 2" xfId="51337" xr:uid="{00000000-0005-0000-0000-0000F11A0000}"/>
    <cellStyle name="20% - Accent4 2 3 3 2 6 2 3" xfId="41639" xr:uid="{00000000-0005-0000-0000-0000F21A0000}"/>
    <cellStyle name="20% - Accent4 2 3 3 2 6 3" xfId="27693" xr:uid="{00000000-0005-0000-0000-0000F31A0000}"/>
    <cellStyle name="20% - Accent4 2 3 3 2 6 3 2" xfId="46882" xr:uid="{00000000-0005-0000-0000-0000F41A0000}"/>
    <cellStyle name="20% - Accent4 2 3 3 2 6 4" xfId="37184" xr:uid="{00000000-0005-0000-0000-0000F51A0000}"/>
    <cellStyle name="20% - Accent4 2 3 3 2 7" xfId="17882" xr:uid="{00000000-0005-0000-0000-0000F61A0000}"/>
    <cellStyle name="20% - Accent4 2 3 3 2 7 2" xfId="28250" xr:uid="{00000000-0005-0000-0000-0000F71A0000}"/>
    <cellStyle name="20% - Accent4 2 3 3 2 7 2 2" xfId="47439" xr:uid="{00000000-0005-0000-0000-0000F81A0000}"/>
    <cellStyle name="20% - Accent4 2 3 3 2 7 3" xfId="37741" xr:uid="{00000000-0005-0000-0000-0000F91A0000}"/>
    <cellStyle name="20% - Accent4 2 3 3 2 8" xfId="23745" xr:uid="{00000000-0005-0000-0000-0000FA1A0000}"/>
    <cellStyle name="20% - Accent4 2 3 3 2 8 2" xfId="42984" xr:uid="{00000000-0005-0000-0000-0000FB1A0000}"/>
    <cellStyle name="20% - Accent4 2 3 3 2 9" xfId="33286" xr:uid="{00000000-0005-0000-0000-0000FC1A0000}"/>
    <cellStyle name="20% - Accent4 2 3 3 3" xfId="12989" xr:uid="{00000000-0005-0000-0000-0000FD1A0000}"/>
    <cellStyle name="20% - Accent4 2 3 3 3 2" xfId="13939" xr:uid="{00000000-0005-0000-0000-0000FE1A0000}"/>
    <cellStyle name="20% - Accent4 2 3 3 3 2 2" xfId="16203" xr:uid="{00000000-0005-0000-0000-0000FF1A0000}"/>
    <cellStyle name="20% - Accent4 2 3 3 3 2 2 2" xfId="20667" xr:uid="{00000000-0005-0000-0000-0000001B0000}"/>
    <cellStyle name="20% - Accent4 2 3 3 3 2 2 2 2" xfId="31035" xr:uid="{00000000-0005-0000-0000-0000011B0000}"/>
    <cellStyle name="20% - Accent4 2 3 3 3 2 2 2 2 2" xfId="50224" xr:uid="{00000000-0005-0000-0000-0000021B0000}"/>
    <cellStyle name="20% - Accent4 2 3 3 3 2 2 2 3" xfId="40526" xr:uid="{00000000-0005-0000-0000-0000031B0000}"/>
    <cellStyle name="20% - Accent4 2 3 3 3 2 2 3" xfId="26580" xr:uid="{00000000-0005-0000-0000-0000041B0000}"/>
    <cellStyle name="20% - Accent4 2 3 3 3 2 2 3 2" xfId="45769" xr:uid="{00000000-0005-0000-0000-0000051B0000}"/>
    <cellStyle name="20% - Accent4 2 3 3 3 2 2 4" xfId="36071" xr:uid="{00000000-0005-0000-0000-0000061B0000}"/>
    <cellStyle name="20% - Accent4 2 3 3 3 2 3" xfId="18439" xr:uid="{00000000-0005-0000-0000-0000071B0000}"/>
    <cellStyle name="20% - Accent4 2 3 3 3 2 3 2" xfId="28807" xr:uid="{00000000-0005-0000-0000-0000081B0000}"/>
    <cellStyle name="20% - Accent4 2 3 3 3 2 3 2 2" xfId="47996" xr:uid="{00000000-0005-0000-0000-0000091B0000}"/>
    <cellStyle name="20% - Accent4 2 3 3 3 2 3 3" xfId="38298" xr:uid="{00000000-0005-0000-0000-00000A1B0000}"/>
    <cellStyle name="20% - Accent4 2 3 3 3 2 4" xfId="24347" xr:uid="{00000000-0005-0000-0000-00000B1B0000}"/>
    <cellStyle name="20% - Accent4 2 3 3 3 2 4 2" xfId="43541" xr:uid="{00000000-0005-0000-0000-00000C1B0000}"/>
    <cellStyle name="20% - Accent4 2 3 3 3 2 5" xfId="33843" xr:uid="{00000000-0005-0000-0000-00000D1B0000}"/>
    <cellStyle name="20% - Accent4 2 3 3 3 3" xfId="14518" xr:uid="{00000000-0005-0000-0000-00000E1B0000}"/>
    <cellStyle name="20% - Accent4 2 3 3 3 3 2" xfId="15647" xr:uid="{00000000-0005-0000-0000-00000F1B0000}"/>
    <cellStyle name="20% - Accent4 2 3 3 3 3 2 2" xfId="20111" xr:uid="{00000000-0005-0000-0000-0000101B0000}"/>
    <cellStyle name="20% - Accent4 2 3 3 3 3 2 2 2" xfId="30479" xr:uid="{00000000-0005-0000-0000-0000111B0000}"/>
    <cellStyle name="20% - Accent4 2 3 3 3 3 2 2 2 2" xfId="49668" xr:uid="{00000000-0005-0000-0000-0000121B0000}"/>
    <cellStyle name="20% - Accent4 2 3 3 3 3 2 2 3" xfId="39970" xr:uid="{00000000-0005-0000-0000-0000131B0000}"/>
    <cellStyle name="20% - Accent4 2 3 3 3 3 2 3" xfId="26024" xr:uid="{00000000-0005-0000-0000-0000141B0000}"/>
    <cellStyle name="20% - Accent4 2 3 3 3 3 2 3 2" xfId="45213" xr:uid="{00000000-0005-0000-0000-0000151B0000}"/>
    <cellStyle name="20% - Accent4 2 3 3 3 3 2 4" xfId="35515" xr:uid="{00000000-0005-0000-0000-0000161B0000}"/>
    <cellStyle name="20% - Accent4 2 3 3 3 3 3" xfId="18996" xr:uid="{00000000-0005-0000-0000-0000171B0000}"/>
    <cellStyle name="20% - Accent4 2 3 3 3 3 3 2" xfId="29364" xr:uid="{00000000-0005-0000-0000-0000181B0000}"/>
    <cellStyle name="20% - Accent4 2 3 3 3 3 3 2 2" xfId="48553" xr:uid="{00000000-0005-0000-0000-0000191B0000}"/>
    <cellStyle name="20% - Accent4 2 3 3 3 3 3 3" xfId="38855" xr:uid="{00000000-0005-0000-0000-00001A1B0000}"/>
    <cellStyle name="20% - Accent4 2 3 3 3 3 4" xfId="24909" xr:uid="{00000000-0005-0000-0000-00001B1B0000}"/>
    <cellStyle name="20% - Accent4 2 3 3 3 3 4 2" xfId="44098" xr:uid="{00000000-0005-0000-0000-00001C1B0000}"/>
    <cellStyle name="20% - Accent4 2 3 3 3 3 5" xfId="34400" xr:uid="{00000000-0005-0000-0000-00001D1B0000}"/>
    <cellStyle name="20% - Accent4 2 3 3 3 4" xfId="15090" xr:uid="{00000000-0005-0000-0000-00001E1B0000}"/>
    <cellStyle name="20% - Accent4 2 3 3 3 4 2" xfId="19554" xr:uid="{00000000-0005-0000-0000-00001F1B0000}"/>
    <cellStyle name="20% - Accent4 2 3 3 3 4 2 2" xfId="29922" xr:uid="{00000000-0005-0000-0000-0000201B0000}"/>
    <cellStyle name="20% - Accent4 2 3 3 3 4 2 2 2" xfId="49111" xr:uid="{00000000-0005-0000-0000-0000211B0000}"/>
    <cellStyle name="20% - Accent4 2 3 3 3 4 2 3" xfId="39413" xr:uid="{00000000-0005-0000-0000-0000221B0000}"/>
    <cellStyle name="20% - Accent4 2 3 3 3 4 3" xfId="25467" xr:uid="{00000000-0005-0000-0000-0000231B0000}"/>
    <cellStyle name="20% - Accent4 2 3 3 3 4 3 2" xfId="44656" xr:uid="{00000000-0005-0000-0000-0000241B0000}"/>
    <cellStyle name="20% - Accent4 2 3 3 3 4 4" xfId="34958" xr:uid="{00000000-0005-0000-0000-0000251B0000}"/>
    <cellStyle name="20% - Accent4 2 3 3 3 5" xfId="16760" xr:uid="{00000000-0005-0000-0000-0000261B0000}"/>
    <cellStyle name="20% - Accent4 2 3 3 3 5 2" xfId="21224" xr:uid="{00000000-0005-0000-0000-0000271B0000}"/>
    <cellStyle name="20% - Accent4 2 3 3 3 5 2 2" xfId="31592" xr:uid="{00000000-0005-0000-0000-0000281B0000}"/>
    <cellStyle name="20% - Accent4 2 3 3 3 5 2 2 2" xfId="50781" xr:uid="{00000000-0005-0000-0000-0000291B0000}"/>
    <cellStyle name="20% - Accent4 2 3 3 3 5 2 3" xfId="41083" xr:uid="{00000000-0005-0000-0000-00002A1B0000}"/>
    <cellStyle name="20% - Accent4 2 3 3 3 5 3" xfId="27137" xr:uid="{00000000-0005-0000-0000-00002B1B0000}"/>
    <cellStyle name="20% - Accent4 2 3 3 3 5 3 2" xfId="46326" xr:uid="{00000000-0005-0000-0000-00002C1B0000}"/>
    <cellStyle name="20% - Accent4 2 3 3 3 5 4" xfId="36628" xr:uid="{00000000-0005-0000-0000-00002D1B0000}"/>
    <cellStyle name="20% - Accent4 2 3 3 3 6" xfId="17326" xr:uid="{00000000-0005-0000-0000-00002E1B0000}"/>
    <cellStyle name="20% - Accent4 2 3 3 3 6 2" xfId="21781" xr:uid="{00000000-0005-0000-0000-00002F1B0000}"/>
    <cellStyle name="20% - Accent4 2 3 3 3 6 2 2" xfId="32149" xr:uid="{00000000-0005-0000-0000-0000301B0000}"/>
    <cellStyle name="20% - Accent4 2 3 3 3 6 2 2 2" xfId="51338" xr:uid="{00000000-0005-0000-0000-0000311B0000}"/>
    <cellStyle name="20% - Accent4 2 3 3 3 6 2 3" xfId="41640" xr:uid="{00000000-0005-0000-0000-0000321B0000}"/>
    <cellStyle name="20% - Accent4 2 3 3 3 6 3" xfId="27694" xr:uid="{00000000-0005-0000-0000-0000331B0000}"/>
    <cellStyle name="20% - Accent4 2 3 3 3 6 3 2" xfId="46883" xr:uid="{00000000-0005-0000-0000-0000341B0000}"/>
    <cellStyle name="20% - Accent4 2 3 3 3 6 4" xfId="37185" xr:uid="{00000000-0005-0000-0000-0000351B0000}"/>
    <cellStyle name="20% - Accent4 2 3 3 3 7" xfId="17883" xr:uid="{00000000-0005-0000-0000-0000361B0000}"/>
    <cellStyle name="20% - Accent4 2 3 3 3 7 2" xfId="28251" xr:uid="{00000000-0005-0000-0000-0000371B0000}"/>
    <cellStyle name="20% - Accent4 2 3 3 3 7 2 2" xfId="47440" xr:uid="{00000000-0005-0000-0000-0000381B0000}"/>
    <cellStyle name="20% - Accent4 2 3 3 3 7 3" xfId="37742" xr:uid="{00000000-0005-0000-0000-0000391B0000}"/>
    <cellStyle name="20% - Accent4 2 3 3 3 8" xfId="23746" xr:uid="{00000000-0005-0000-0000-00003A1B0000}"/>
    <cellStyle name="20% - Accent4 2 3 3 3 8 2" xfId="42985" xr:uid="{00000000-0005-0000-0000-00003B1B0000}"/>
    <cellStyle name="20% - Accent4 2 3 3 3 9" xfId="33287" xr:uid="{00000000-0005-0000-0000-00003C1B0000}"/>
    <cellStyle name="20% - Accent4 2 3 3 4" xfId="13937" xr:uid="{00000000-0005-0000-0000-00003D1B0000}"/>
    <cellStyle name="20% - Accent4 2 3 3 4 2" xfId="16201" xr:uid="{00000000-0005-0000-0000-00003E1B0000}"/>
    <cellStyle name="20% - Accent4 2 3 3 4 2 2" xfId="20665" xr:uid="{00000000-0005-0000-0000-00003F1B0000}"/>
    <cellStyle name="20% - Accent4 2 3 3 4 2 2 2" xfId="31033" xr:uid="{00000000-0005-0000-0000-0000401B0000}"/>
    <cellStyle name="20% - Accent4 2 3 3 4 2 2 2 2" xfId="50222" xr:uid="{00000000-0005-0000-0000-0000411B0000}"/>
    <cellStyle name="20% - Accent4 2 3 3 4 2 2 3" xfId="40524" xr:uid="{00000000-0005-0000-0000-0000421B0000}"/>
    <cellStyle name="20% - Accent4 2 3 3 4 2 3" xfId="26578" xr:uid="{00000000-0005-0000-0000-0000431B0000}"/>
    <cellStyle name="20% - Accent4 2 3 3 4 2 3 2" xfId="45767" xr:uid="{00000000-0005-0000-0000-0000441B0000}"/>
    <cellStyle name="20% - Accent4 2 3 3 4 2 4" xfId="36069" xr:uid="{00000000-0005-0000-0000-0000451B0000}"/>
    <cellStyle name="20% - Accent4 2 3 3 4 3" xfId="18437" xr:uid="{00000000-0005-0000-0000-0000461B0000}"/>
    <cellStyle name="20% - Accent4 2 3 3 4 3 2" xfId="28805" xr:uid="{00000000-0005-0000-0000-0000471B0000}"/>
    <cellStyle name="20% - Accent4 2 3 3 4 3 2 2" xfId="47994" xr:uid="{00000000-0005-0000-0000-0000481B0000}"/>
    <cellStyle name="20% - Accent4 2 3 3 4 3 3" xfId="38296" xr:uid="{00000000-0005-0000-0000-0000491B0000}"/>
    <cellStyle name="20% - Accent4 2 3 3 4 4" xfId="24345" xr:uid="{00000000-0005-0000-0000-00004A1B0000}"/>
    <cellStyle name="20% - Accent4 2 3 3 4 4 2" xfId="43539" xr:uid="{00000000-0005-0000-0000-00004B1B0000}"/>
    <cellStyle name="20% - Accent4 2 3 3 4 5" xfId="33841" xr:uid="{00000000-0005-0000-0000-00004C1B0000}"/>
    <cellStyle name="20% - Accent4 2 3 3 5" xfId="14516" xr:uid="{00000000-0005-0000-0000-00004D1B0000}"/>
    <cellStyle name="20% - Accent4 2 3 3 5 2" xfId="15645" xr:uid="{00000000-0005-0000-0000-00004E1B0000}"/>
    <cellStyle name="20% - Accent4 2 3 3 5 2 2" xfId="20109" xr:uid="{00000000-0005-0000-0000-00004F1B0000}"/>
    <cellStyle name="20% - Accent4 2 3 3 5 2 2 2" xfId="30477" xr:uid="{00000000-0005-0000-0000-0000501B0000}"/>
    <cellStyle name="20% - Accent4 2 3 3 5 2 2 2 2" xfId="49666" xr:uid="{00000000-0005-0000-0000-0000511B0000}"/>
    <cellStyle name="20% - Accent4 2 3 3 5 2 2 3" xfId="39968" xr:uid="{00000000-0005-0000-0000-0000521B0000}"/>
    <cellStyle name="20% - Accent4 2 3 3 5 2 3" xfId="26022" xr:uid="{00000000-0005-0000-0000-0000531B0000}"/>
    <cellStyle name="20% - Accent4 2 3 3 5 2 3 2" xfId="45211" xr:uid="{00000000-0005-0000-0000-0000541B0000}"/>
    <cellStyle name="20% - Accent4 2 3 3 5 2 4" xfId="35513" xr:uid="{00000000-0005-0000-0000-0000551B0000}"/>
    <cellStyle name="20% - Accent4 2 3 3 5 3" xfId="18994" xr:uid="{00000000-0005-0000-0000-0000561B0000}"/>
    <cellStyle name="20% - Accent4 2 3 3 5 3 2" xfId="29362" xr:uid="{00000000-0005-0000-0000-0000571B0000}"/>
    <cellStyle name="20% - Accent4 2 3 3 5 3 2 2" xfId="48551" xr:uid="{00000000-0005-0000-0000-0000581B0000}"/>
    <cellStyle name="20% - Accent4 2 3 3 5 3 3" xfId="38853" xr:uid="{00000000-0005-0000-0000-0000591B0000}"/>
    <cellStyle name="20% - Accent4 2 3 3 5 4" xfId="24907" xr:uid="{00000000-0005-0000-0000-00005A1B0000}"/>
    <cellStyle name="20% - Accent4 2 3 3 5 4 2" xfId="44096" xr:uid="{00000000-0005-0000-0000-00005B1B0000}"/>
    <cellStyle name="20% - Accent4 2 3 3 5 5" xfId="34398" xr:uid="{00000000-0005-0000-0000-00005C1B0000}"/>
    <cellStyle name="20% - Accent4 2 3 3 6" xfId="15088" xr:uid="{00000000-0005-0000-0000-00005D1B0000}"/>
    <cellStyle name="20% - Accent4 2 3 3 6 2" xfId="19552" xr:uid="{00000000-0005-0000-0000-00005E1B0000}"/>
    <cellStyle name="20% - Accent4 2 3 3 6 2 2" xfId="29920" xr:uid="{00000000-0005-0000-0000-00005F1B0000}"/>
    <cellStyle name="20% - Accent4 2 3 3 6 2 2 2" xfId="49109" xr:uid="{00000000-0005-0000-0000-0000601B0000}"/>
    <cellStyle name="20% - Accent4 2 3 3 6 2 3" xfId="39411" xr:uid="{00000000-0005-0000-0000-0000611B0000}"/>
    <cellStyle name="20% - Accent4 2 3 3 6 3" xfId="25465" xr:uid="{00000000-0005-0000-0000-0000621B0000}"/>
    <cellStyle name="20% - Accent4 2 3 3 6 3 2" xfId="44654" xr:uid="{00000000-0005-0000-0000-0000631B0000}"/>
    <cellStyle name="20% - Accent4 2 3 3 6 4" xfId="34956" xr:uid="{00000000-0005-0000-0000-0000641B0000}"/>
    <cellStyle name="20% - Accent4 2 3 3 7" xfId="16758" xr:uid="{00000000-0005-0000-0000-0000651B0000}"/>
    <cellStyle name="20% - Accent4 2 3 3 7 2" xfId="21222" xr:uid="{00000000-0005-0000-0000-0000661B0000}"/>
    <cellStyle name="20% - Accent4 2 3 3 7 2 2" xfId="31590" xr:uid="{00000000-0005-0000-0000-0000671B0000}"/>
    <cellStyle name="20% - Accent4 2 3 3 7 2 2 2" xfId="50779" xr:uid="{00000000-0005-0000-0000-0000681B0000}"/>
    <cellStyle name="20% - Accent4 2 3 3 7 2 3" xfId="41081" xr:uid="{00000000-0005-0000-0000-0000691B0000}"/>
    <cellStyle name="20% - Accent4 2 3 3 7 3" xfId="27135" xr:uid="{00000000-0005-0000-0000-00006A1B0000}"/>
    <cellStyle name="20% - Accent4 2 3 3 7 3 2" xfId="46324" xr:uid="{00000000-0005-0000-0000-00006B1B0000}"/>
    <cellStyle name="20% - Accent4 2 3 3 7 4" xfId="36626" xr:uid="{00000000-0005-0000-0000-00006C1B0000}"/>
    <cellStyle name="20% - Accent4 2 3 3 8" xfId="17324" xr:uid="{00000000-0005-0000-0000-00006D1B0000}"/>
    <cellStyle name="20% - Accent4 2 3 3 8 2" xfId="21779" xr:uid="{00000000-0005-0000-0000-00006E1B0000}"/>
    <cellStyle name="20% - Accent4 2 3 3 8 2 2" xfId="32147" xr:uid="{00000000-0005-0000-0000-00006F1B0000}"/>
    <cellStyle name="20% - Accent4 2 3 3 8 2 2 2" xfId="51336" xr:uid="{00000000-0005-0000-0000-0000701B0000}"/>
    <cellStyle name="20% - Accent4 2 3 3 8 2 3" xfId="41638" xr:uid="{00000000-0005-0000-0000-0000711B0000}"/>
    <cellStyle name="20% - Accent4 2 3 3 8 3" xfId="27692" xr:uid="{00000000-0005-0000-0000-0000721B0000}"/>
    <cellStyle name="20% - Accent4 2 3 3 8 3 2" xfId="46881" xr:uid="{00000000-0005-0000-0000-0000731B0000}"/>
    <cellStyle name="20% - Accent4 2 3 3 8 4" xfId="37183" xr:uid="{00000000-0005-0000-0000-0000741B0000}"/>
    <cellStyle name="20% - Accent4 2 3 3 9" xfId="17881" xr:uid="{00000000-0005-0000-0000-0000751B0000}"/>
    <cellStyle name="20% - Accent4 2 3 3 9 2" xfId="28249" xr:uid="{00000000-0005-0000-0000-0000761B0000}"/>
    <cellStyle name="20% - Accent4 2 3 3 9 2 2" xfId="47438" xr:uid="{00000000-0005-0000-0000-0000771B0000}"/>
    <cellStyle name="20% - Accent4 2 3 3 9 3" xfId="37740" xr:uid="{00000000-0005-0000-0000-0000781B0000}"/>
    <cellStyle name="20% - Accent4 2 3 4" xfId="12990" xr:uid="{00000000-0005-0000-0000-0000791B0000}"/>
    <cellStyle name="20% - Accent4 2 3 4 10" xfId="53425" xr:uid="{00000000-0005-0000-0000-00007A1B0000}"/>
    <cellStyle name="20% - Accent4 2 3 4 2" xfId="13940" xr:uid="{00000000-0005-0000-0000-00007B1B0000}"/>
    <cellStyle name="20% - Accent4 2 3 4 2 2" xfId="16204" xr:uid="{00000000-0005-0000-0000-00007C1B0000}"/>
    <cellStyle name="20% - Accent4 2 3 4 2 2 2" xfId="20668" xr:uid="{00000000-0005-0000-0000-00007D1B0000}"/>
    <cellStyle name="20% - Accent4 2 3 4 2 2 2 2" xfId="31036" xr:uid="{00000000-0005-0000-0000-00007E1B0000}"/>
    <cellStyle name="20% - Accent4 2 3 4 2 2 2 2 2" xfId="50225" xr:uid="{00000000-0005-0000-0000-00007F1B0000}"/>
    <cellStyle name="20% - Accent4 2 3 4 2 2 2 3" xfId="40527" xr:uid="{00000000-0005-0000-0000-0000801B0000}"/>
    <cellStyle name="20% - Accent4 2 3 4 2 2 3" xfId="26581" xr:uid="{00000000-0005-0000-0000-0000811B0000}"/>
    <cellStyle name="20% - Accent4 2 3 4 2 2 3 2" xfId="45770" xr:uid="{00000000-0005-0000-0000-0000821B0000}"/>
    <cellStyle name="20% - Accent4 2 3 4 2 2 4" xfId="36072" xr:uid="{00000000-0005-0000-0000-0000831B0000}"/>
    <cellStyle name="20% - Accent4 2 3 4 2 3" xfId="18440" xr:uid="{00000000-0005-0000-0000-0000841B0000}"/>
    <cellStyle name="20% - Accent4 2 3 4 2 3 2" xfId="28808" xr:uid="{00000000-0005-0000-0000-0000851B0000}"/>
    <cellStyle name="20% - Accent4 2 3 4 2 3 2 2" xfId="47997" xr:uid="{00000000-0005-0000-0000-0000861B0000}"/>
    <cellStyle name="20% - Accent4 2 3 4 2 3 3" xfId="38299" xr:uid="{00000000-0005-0000-0000-0000871B0000}"/>
    <cellStyle name="20% - Accent4 2 3 4 2 4" xfId="24348" xr:uid="{00000000-0005-0000-0000-0000881B0000}"/>
    <cellStyle name="20% - Accent4 2 3 4 2 4 2" xfId="43542" xr:uid="{00000000-0005-0000-0000-0000891B0000}"/>
    <cellStyle name="20% - Accent4 2 3 4 2 5" xfId="33844" xr:uid="{00000000-0005-0000-0000-00008A1B0000}"/>
    <cellStyle name="20% - Accent4 2 3 4 3" xfId="14519" xr:uid="{00000000-0005-0000-0000-00008B1B0000}"/>
    <cellStyle name="20% - Accent4 2 3 4 3 2" xfId="15648" xr:uid="{00000000-0005-0000-0000-00008C1B0000}"/>
    <cellStyle name="20% - Accent4 2 3 4 3 2 2" xfId="20112" xr:uid="{00000000-0005-0000-0000-00008D1B0000}"/>
    <cellStyle name="20% - Accent4 2 3 4 3 2 2 2" xfId="30480" xr:uid="{00000000-0005-0000-0000-00008E1B0000}"/>
    <cellStyle name="20% - Accent4 2 3 4 3 2 2 2 2" xfId="49669" xr:uid="{00000000-0005-0000-0000-00008F1B0000}"/>
    <cellStyle name="20% - Accent4 2 3 4 3 2 2 3" xfId="39971" xr:uid="{00000000-0005-0000-0000-0000901B0000}"/>
    <cellStyle name="20% - Accent4 2 3 4 3 2 3" xfId="26025" xr:uid="{00000000-0005-0000-0000-0000911B0000}"/>
    <cellStyle name="20% - Accent4 2 3 4 3 2 3 2" xfId="45214" xr:uid="{00000000-0005-0000-0000-0000921B0000}"/>
    <cellStyle name="20% - Accent4 2 3 4 3 2 4" xfId="35516" xr:uid="{00000000-0005-0000-0000-0000931B0000}"/>
    <cellStyle name="20% - Accent4 2 3 4 3 3" xfId="18997" xr:uid="{00000000-0005-0000-0000-0000941B0000}"/>
    <cellStyle name="20% - Accent4 2 3 4 3 3 2" xfId="29365" xr:uid="{00000000-0005-0000-0000-0000951B0000}"/>
    <cellStyle name="20% - Accent4 2 3 4 3 3 2 2" xfId="48554" xr:uid="{00000000-0005-0000-0000-0000961B0000}"/>
    <cellStyle name="20% - Accent4 2 3 4 3 3 3" xfId="38856" xr:uid="{00000000-0005-0000-0000-0000971B0000}"/>
    <cellStyle name="20% - Accent4 2 3 4 3 4" xfId="24910" xr:uid="{00000000-0005-0000-0000-0000981B0000}"/>
    <cellStyle name="20% - Accent4 2 3 4 3 4 2" xfId="44099" xr:uid="{00000000-0005-0000-0000-0000991B0000}"/>
    <cellStyle name="20% - Accent4 2 3 4 3 5" xfId="34401" xr:uid="{00000000-0005-0000-0000-00009A1B0000}"/>
    <cellStyle name="20% - Accent4 2 3 4 4" xfId="15091" xr:uid="{00000000-0005-0000-0000-00009B1B0000}"/>
    <cellStyle name="20% - Accent4 2 3 4 4 2" xfId="19555" xr:uid="{00000000-0005-0000-0000-00009C1B0000}"/>
    <cellStyle name="20% - Accent4 2 3 4 4 2 2" xfId="29923" xr:uid="{00000000-0005-0000-0000-00009D1B0000}"/>
    <cellStyle name="20% - Accent4 2 3 4 4 2 2 2" xfId="49112" xr:uid="{00000000-0005-0000-0000-00009E1B0000}"/>
    <cellStyle name="20% - Accent4 2 3 4 4 2 3" xfId="39414" xr:uid="{00000000-0005-0000-0000-00009F1B0000}"/>
    <cellStyle name="20% - Accent4 2 3 4 4 3" xfId="25468" xr:uid="{00000000-0005-0000-0000-0000A01B0000}"/>
    <cellStyle name="20% - Accent4 2 3 4 4 3 2" xfId="44657" xr:uid="{00000000-0005-0000-0000-0000A11B0000}"/>
    <cellStyle name="20% - Accent4 2 3 4 4 4" xfId="34959" xr:uid="{00000000-0005-0000-0000-0000A21B0000}"/>
    <cellStyle name="20% - Accent4 2 3 4 5" xfId="16761" xr:uid="{00000000-0005-0000-0000-0000A31B0000}"/>
    <cellStyle name="20% - Accent4 2 3 4 5 2" xfId="21225" xr:uid="{00000000-0005-0000-0000-0000A41B0000}"/>
    <cellStyle name="20% - Accent4 2 3 4 5 2 2" xfId="31593" xr:uid="{00000000-0005-0000-0000-0000A51B0000}"/>
    <cellStyle name="20% - Accent4 2 3 4 5 2 2 2" xfId="50782" xr:uid="{00000000-0005-0000-0000-0000A61B0000}"/>
    <cellStyle name="20% - Accent4 2 3 4 5 2 3" xfId="41084" xr:uid="{00000000-0005-0000-0000-0000A71B0000}"/>
    <cellStyle name="20% - Accent4 2 3 4 5 3" xfId="27138" xr:uid="{00000000-0005-0000-0000-0000A81B0000}"/>
    <cellStyle name="20% - Accent4 2 3 4 5 3 2" xfId="46327" xr:uid="{00000000-0005-0000-0000-0000A91B0000}"/>
    <cellStyle name="20% - Accent4 2 3 4 5 4" xfId="36629" xr:uid="{00000000-0005-0000-0000-0000AA1B0000}"/>
    <cellStyle name="20% - Accent4 2 3 4 6" xfId="17327" xr:uid="{00000000-0005-0000-0000-0000AB1B0000}"/>
    <cellStyle name="20% - Accent4 2 3 4 6 2" xfId="21782" xr:uid="{00000000-0005-0000-0000-0000AC1B0000}"/>
    <cellStyle name="20% - Accent4 2 3 4 6 2 2" xfId="32150" xr:uid="{00000000-0005-0000-0000-0000AD1B0000}"/>
    <cellStyle name="20% - Accent4 2 3 4 6 2 2 2" xfId="51339" xr:uid="{00000000-0005-0000-0000-0000AE1B0000}"/>
    <cellStyle name="20% - Accent4 2 3 4 6 2 3" xfId="41641" xr:uid="{00000000-0005-0000-0000-0000AF1B0000}"/>
    <cellStyle name="20% - Accent4 2 3 4 6 3" xfId="27695" xr:uid="{00000000-0005-0000-0000-0000B01B0000}"/>
    <cellStyle name="20% - Accent4 2 3 4 6 3 2" xfId="46884" xr:uid="{00000000-0005-0000-0000-0000B11B0000}"/>
    <cellStyle name="20% - Accent4 2 3 4 6 4" xfId="37186" xr:uid="{00000000-0005-0000-0000-0000B21B0000}"/>
    <cellStyle name="20% - Accent4 2 3 4 7" xfId="17884" xr:uid="{00000000-0005-0000-0000-0000B31B0000}"/>
    <cellStyle name="20% - Accent4 2 3 4 7 2" xfId="28252" xr:uid="{00000000-0005-0000-0000-0000B41B0000}"/>
    <cellStyle name="20% - Accent4 2 3 4 7 2 2" xfId="47441" xr:uid="{00000000-0005-0000-0000-0000B51B0000}"/>
    <cellStyle name="20% - Accent4 2 3 4 7 3" xfId="37743" xr:uid="{00000000-0005-0000-0000-0000B61B0000}"/>
    <cellStyle name="20% - Accent4 2 3 4 8" xfId="23747" xr:uid="{00000000-0005-0000-0000-0000B71B0000}"/>
    <cellStyle name="20% - Accent4 2 3 4 8 2" xfId="42986" xr:uid="{00000000-0005-0000-0000-0000B81B0000}"/>
    <cellStyle name="20% - Accent4 2 3 4 9" xfId="33288" xr:uid="{00000000-0005-0000-0000-0000B91B0000}"/>
    <cellStyle name="20% - Accent4 2 3 5" xfId="12991" xr:uid="{00000000-0005-0000-0000-0000BA1B0000}"/>
    <cellStyle name="20% - Accent4 2 3 5 2" xfId="13941" xr:uid="{00000000-0005-0000-0000-0000BB1B0000}"/>
    <cellStyle name="20% - Accent4 2 3 5 2 2" xfId="16205" xr:uid="{00000000-0005-0000-0000-0000BC1B0000}"/>
    <cellStyle name="20% - Accent4 2 3 5 2 2 2" xfId="20669" xr:uid="{00000000-0005-0000-0000-0000BD1B0000}"/>
    <cellStyle name="20% - Accent4 2 3 5 2 2 2 2" xfId="31037" xr:uid="{00000000-0005-0000-0000-0000BE1B0000}"/>
    <cellStyle name="20% - Accent4 2 3 5 2 2 2 2 2" xfId="50226" xr:uid="{00000000-0005-0000-0000-0000BF1B0000}"/>
    <cellStyle name="20% - Accent4 2 3 5 2 2 2 3" xfId="40528" xr:uid="{00000000-0005-0000-0000-0000C01B0000}"/>
    <cellStyle name="20% - Accent4 2 3 5 2 2 3" xfId="26582" xr:uid="{00000000-0005-0000-0000-0000C11B0000}"/>
    <cellStyle name="20% - Accent4 2 3 5 2 2 3 2" xfId="45771" xr:uid="{00000000-0005-0000-0000-0000C21B0000}"/>
    <cellStyle name="20% - Accent4 2 3 5 2 2 4" xfId="36073" xr:uid="{00000000-0005-0000-0000-0000C31B0000}"/>
    <cellStyle name="20% - Accent4 2 3 5 2 3" xfId="18441" xr:uid="{00000000-0005-0000-0000-0000C41B0000}"/>
    <cellStyle name="20% - Accent4 2 3 5 2 3 2" xfId="28809" xr:uid="{00000000-0005-0000-0000-0000C51B0000}"/>
    <cellStyle name="20% - Accent4 2 3 5 2 3 2 2" xfId="47998" xr:uid="{00000000-0005-0000-0000-0000C61B0000}"/>
    <cellStyle name="20% - Accent4 2 3 5 2 3 3" xfId="38300" xr:uid="{00000000-0005-0000-0000-0000C71B0000}"/>
    <cellStyle name="20% - Accent4 2 3 5 2 4" xfId="24349" xr:uid="{00000000-0005-0000-0000-0000C81B0000}"/>
    <cellStyle name="20% - Accent4 2 3 5 2 4 2" xfId="43543" xr:uid="{00000000-0005-0000-0000-0000C91B0000}"/>
    <cellStyle name="20% - Accent4 2 3 5 2 5" xfId="33845" xr:uid="{00000000-0005-0000-0000-0000CA1B0000}"/>
    <cellStyle name="20% - Accent4 2 3 5 3" xfId="14520" xr:uid="{00000000-0005-0000-0000-0000CB1B0000}"/>
    <cellStyle name="20% - Accent4 2 3 5 3 2" xfId="15649" xr:uid="{00000000-0005-0000-0000-0000CC1B0000}"/>
    <cellStyle name="20% - Accent4 2 3 5 3 2 2" xfId="20113" xr:uid="{00000000-0005-0000-0000-0000CD1B0000}"/>
    <cellStyle name="20% - Accent4 2 3 5 3 2 2 2" xfId="30481" xr:uid="{00000000-0005-0000-0000-0000CE1B0000}"/>
    <cellStyle name="20% - Accent4 2 3 5 3 2 2 2 2" xfId="49670" xr:uid="{00000000-0005-0000-0000-0000CF1B0000}"/>
    <cellStyle name="20% - Accent4 2 3 5 3 2 2 3" xfId="39972" xr:uid="{00000000-0005-0000-0000-0000D01B0000}"/>
    <cellStyle name="20% - Accent4 2 3 5 3 2 3" xfId="26026" xr:uid="{00000000-0005-0000-0000-0000D11B0000}"/>
    <cellStyle name="20% - Accent4 2 3 5 3 2 3 2" xfId="45215" xr:uid="{00000000-0005-0000-0000-0000D21B0000}"/>
    <cellStyle name="20% - Accent4 2 3 5 3 2 4" xfId="35517" xr:uid="{00000000-0005-0000-0000-0000D31B0000}"/>
    <cellStyle name="20% - Accent4 2 3 5 3 3" xfId="18998" xr:uid="{00000000-0005-0000-0000-0000D41B0000}"/>
    <cellStyle name="20% - Accent4 2 3 5 3 3 2" xfId="29366" xr:uid="{00000000-0005-0000-0000-0000D51B0000}"/>
    <cellStyle name="20% - Accent4 2 3 5 3 3 2 2" xfId="48555" xr:uid="{00000000-0005-0000-0000-0000D61B0000}"/>
    <cellStyle name="20% - Accent4 2 3 5 3 3 3" xfId="38857" xr:uid="{00000000-0005-0000-0000-0000D71B0000}"/>
    <cellStyle name="20% - Accent4 2 3 5 3 4" xfId="24911" xr:uid="{00000000-0005-0000-0000-0000D81B0000}"/>
    <cellStyle name="20% - Accent4 2 3 5 3 4 2" xfId="44100" xr:uid="{00000000-0005-0000-0000-0000D91B0000}"/>
    <cellStyle name="20% - Accent4 2 3 5 3 5" xfId="34402" xr:uid="{00000000-0005-0000-0000-0000DA1B0000}"/>
    <cellStyle name="20% - Accent4 2 3 5 4" xfId="15092" xr:uid="{00000000-0005-0000-0000-0000DB1B0000}"/>
    <cellStyle name="20% - Accent4 2 3 5 4 2" xfId="19556" xr:uid="{00000000-0005-0000-0000-0000DC1B0000}"/>
    <cellStyle name="20% - Accent4 2 3 5 4 2 2" xfId="29924" xr:uid="{00000000-0005-0000-0000-0000DD1B0000}"/>
    <cellStyle name="20% - Accent4 2 3 5 4 2 2 2" xfId="49113" xr:uid="{00000000-0005-0000-0000-0000DE1B0000}"/>
    <cellStyle name="20% - Accent4 2 3 5 4 2 3" xfId="39415" xr:uid="{00000000-0005-0000-0000-0000DF1B0000}"/>
    <cellStyle name="20% - Accent4 2 3 5 4 3" xfId="25469" xr:uid="{00000000-0005-0000-0000-0000E01B0000}"/>
    <cellStyle name="20% - Accent4 2 3 5 4 3 2" xfId="44658" xr:uid="{00000000-0005-0000-0000-0000E11B0000}"/>
    <cellStyle name="20% - Accent4 2 3 5 4 4" xfId="34960" xr:uid="{00000000-0005-0000-0000-0000E21B0000}"/>
    <cellStyle name="20% - Accent4 2 3 5 5" xfId="16762" xr:uid="{00000000-0005-0000-0000-0000E31B0000}"/>
    <cellStyle name="20% - Accent4 2 3 5 5 2" xfId="21226" xr:uid="{00000000-0005-0000-0000-0000E41B0000}"/>
    <cellStyle name="20% - Accent4 2 3 5 5 2 2" xfId="31594" xr:uid="{00000000-0005-0000-0000-0000E51B0000}"/>
    <cellStyle name="20% - Accent4 2 3 5 5 2 2 2" xfId="50783" xr:uid="{00000000-0005-0000-0000-0000E61B0000}"/>
    <cellStyle name="20% - Accent4 2 3 5 5 2 3" xfId="41085" xr:uid="{00000000-0005-0000-0000-0000E71B0000}"/>
    <cellStyle name="20% - Accent4 2 3 5 5 3" xfId="27139" xr:uid="{00000000-0005-0000-0000-0000E81B0000}"/>
    <cellStyle name="20% - Accent4 2 3 5 5 3 2" xfId="46328" xr:uid="{00000000-0005-0000-0000-0000E91B0000}"/>
    <cellStyle name="20% - Accent4 2 3 5 5 4" xfId="36630" xr:uid="{00000000-0005-0000-0000-0000EA1B0000}"/>
    <cellStyle name="20% - Accent4 2 3 5 6" xfId="17328" xr:uid="{00000000-0005-0000-0000-0000EB1B0000}"/>
    <cellStyle name="20% - Accent4 2 3 5 6 2" xfId="21783" xr:uid="{00000000-0005-0000-0000-0000EC1B0000}"/>
    <cellStyle name="20% - Accent4 2 3 5 6 2 2" xfId="32151" xr:uid="{00000000-0005-0000-0000-0000ED1B0000}"/>
    <cellStyle name="20% - Accent4 2 3 5 6 2 2 2" xfId="51340" xr:uid="{00000000-0005-0000-0000-0000EE1B0000}"/>
    <cellStyle name="20% - Accent4 2 3 5 6 2 3" xfId="41642" xr:uid="{00000000-0005-0000-0000-0000EF1B0000}"/>
    <cellStyle name="20% - Accent4 2 3 5 6 3" xfId="27696" xr:uid="{00000000-0005-0000-0000-0000F01B0000}"/>
    <cellStyle name="20% - Accent4 2 3 5 6 3 2" xfId="46885" xr:uid="{00000000-0005-0000-0000-0000F11B0000}"/>
    <cellStyle name="20% - Accent4 2 3 5 6 4" xfId="37187" xr:uid="{00000000-0005-0000-0000-0000F21B0000}"/>
    <cellStyle name="20% - Accent4 2 3 5 7" xfId="17885" xr:uid="{00000000-0005-0000-0000-0000F31B0000}"/>
    <cellStyle name="20% - Accent4 2 3 5 7 2" xfId="28253" xr:uid="{00000000-0005-0000-0000-0000F41B0000}"/>
    <cellStyle name="20% - Accent4 2 3 5 7 2 2" xfId="47442" xr:uid="{00000000-0005-0000-0000-0000F51B0000}"/>
    <cellStyle name="20% - Accent4 2 3 5 7 3" xfId="37744" xr:uid="{00000000-0005-0000-0000-0000F61B0000}"/>
    <cellStyle name="20% - Accent4 2 3 5 8" xfId="23748" xr:uid="{00000000-0005-0000-0000-0000F71B0000}"/>
    <cellStyle name="20% - Accent4 2 3 5 8 2" xfId="42987" xr:uid="{00000000-0005-0000-0000-0000F81B0000}"/>
    <cellStyle name="20% - Accent4 2 3 5 9" xfId="33289" xr:uid="{00000000-0005-0000-0000-0000F91B0000}"/>
    <cellStyle name="20% - Accent4 2 3 6" xfId="22870" xr:uid="{00000000-0005-0000-0000-0000FA1B0000}"/>
    <cellStyle name="20% - Accent4 2 3 6 2" xfId="32954" xr:uid="{00000000-0005-0000-0000-0000FB1B0000}"/>
    <cellStyle name="20% - Accent4 2 3 6 2 2" xfId="52140" xr:uid="{00000000-0005-0000-0000-0000FC1B0000}"/>
    <cellStyle name="20% - Accent4 2 3 6 3" xfId="42442" xr:uid="{00000000-0005-0000-0000-0000FD1B0000}"/>
    <cellStyle name="20% - Accent4 2 3 7" xfId="23281" xr:uid="{00000000-0005-0000-0000-0000FE1B0000}"/>
    <cellStyle name="20% - Accent4 2 3 8" xfId="23227" xr:uid="{00000000-0005-0000-0000-0000FF1B0000}"/>
    <cellStyle name="20% - Accent4 2 3 8 2" xfId="42795" xr:uid="{00000000-0005-0000-0000-0000001C0000}"/>
    <cellStyle name="20% - Accent4 2 3 9" xfId="12133" xr:uid="{00000000-0005-0000-0000-0000011C0000}"/>
    <cellStyle name="20% - Accent4 2 4" xfId="1710" xr:uid="{00000000-0005-0000-0000-0000021C0000}"/>
    <cellStyle name="20% - Accent4 2 4 2" xfId="12992" xr:uid="{00000000-0005-0000-0000-0000031C0000}"/>
    <cellStyle name="20% - Accent4 2 4 2 10" xfId="23749" xr:uid="{00000000-0005-0000-0000-0000041C0000}"/>
    <cellStyle name="20% - Accent4 2 4 2 10 2" xfId="42988" xr:uid="{00000000-0005-0000-0000-0000051C0000}"/>
    <cellStyle name="20% - Accent4 2 4 2 11" xfId="33290" xr:uid="{00000000-0005-0000-0000-0000061C0000}"/>
    <cellStyle name="20% - Accent4 2 4 2 12" xfId="52767" xr:uid="{00000000-0005-0000-0000-0000071C0000}"/>
    <cellStyle name="20% - Accent4 2 4 2 2" xfId="12993" xr:uid="{00000000-0005-0000-0000-0000081C0000}"/>
    <cellStyle name="20% - Accent4 2 4 2 2 10" xfId="53195" xr:uid="{00000000-0005-0000-0000-0000091C0000}"/>
    <cellStyle name="20% - Accent4 2 4 2 2 2" xfId="13943" xr:uid="{00000000-0005-0000-0000-00000A1C0000}"/>
    <cellStyle name="20% - Accent4 2 4 2 2 2 2" xfId="16207" xr:uid="{00000000-0005-0000-0000-00000B1C0000}"/>
    <cellStyle name="20% - Accent4 2 4 2 2 2 2 2" xfId="20671" xr:uid="{00000000-0005-0000-0000-00000C1C0000}"/>
    <cellStyle name="20% - Accent4 2 4 2 2 2 2 2 2" xfId="31039" xr:uid="{00000000-0005-0000-0000-00000D1C0000}"/>
    <cellStyle name="20% - Accent4 2 4 2 2 2 2 2 2 2" xfId="50228" xr:uid="{00000000-0005-0000-0000-00000E1C0000}"/>
    <cellStyle name="20% - Accent4 2 4 2 2 2 2 2 3" xfId="40530" xr:uid="{00000000-0005-0000-0000-00000F1C0000}"/>
    <cellStyle name="20% - Accent4 2 4 2 2 2 2 3" xfId="26584" xr:uid="{00000000-0005-0000-0000-0000101C0000}"/>
    <cellStyle name="20% - Accent4 2 4 2 2 2 2 3 2" xfId="45773" xr:uid="{00000000-0005-0000-0000-0000111C0000}"/>
    <cellStyle name="20% - Accent4 2 4 2 2 2 2 4" xfId="36075" xr:uid="{00000000-0005-0000-0000-0000121C0000}"/>
    <cellStyle name="20% - Accent4 2 4 2 2 2 3" xfId="18443" xr:uid="{00000000-0005-0000-0000-0000131C0000}"/>
    <cellStyle name="20% - Accent4 2 4 2 2 2 3 2" xfId="28811" xr:uid="{00000000-0005-0000-0000-0000141C0000}"/>
    <cellStyle name="20% - Accent4 2 4 2 2 2 3 2 2" xfId="48000" xr:uid="{00000000-0005-0000-0000-0000151C0000}"/>
    <cellStyle name="20% - Accent4 2 4 2 2 2 3 3" xfId="38302" xr:uid="{00000000-0005-0000-0000-0000161C0000}"/>
    <cellStyle name="20% - Accent4 2 4 2 2 2 4" xfId="24351" xr:uid="{00000000-0005-0000-0000-0000171C0000}"/>
    <cellStyle name="20% - Accent4 2 4 2 2 2 4 2" xfId="43545" xr:uid="{00000000-0005-0000-0000-0000181C0000}"/>
    <cellStyle name="20% - Accent4 2 4 2 2 2 5" xfId="33847" xr:uid="{00000000-0005-0000-0000-0000191C0000}"/>
    <cellStyle name="20% - Accent4 2 4 2 2 2 6" xfId="54048" xr:uid="{00000000-0005-0000-0000-00001A1C0000}"/>
    <cellStyle name="20% - Accent4 2 4 2 2 3" xfId="14522" xr:uid="{00000000-0005-0000-0000-00001B1C0000}"/>
    <cellStyle name="20% - Accent4 2 4 2 2 3 2" xfId="15651" xr:uid="{00000000-0005-0000-0000-00001C1C0000}"/>
    <cellStyle name="20% - Accent4 2 4 2 2 3 2 2" xfId="20115" xr:uid="{00000000-0005-0000-0000-00001D1C0000}"/>
    <cellStyle name="20% - Accent4 2 4 2 2 3 2 2 2" xfId="30483" xr:uid="{00000000-0005-0000-0000-00001E1C0000}"/>
    <cellStyle name="20% - Accent4 2 4 2 2 3 2 2 2 2" xfId="49672" xr:uid="{00000000-0005-0000-0000-00001F1C0000}"/>
    <cellStyle name="20% - Accent4 2 4 2 2 3 2 2 3" xfId="39974" xr:uid="{00000000-0005-0000-0000-0000201C0000}"/>
    <cellStyle name="20% - Accent4 2 4 2 2 3 2 3" xfId="26028" xr:uid="{00000000-0005-0000-0000-0000211C0000}"/>
    <cellStyle name="20% - Accent4 2 4 2 2 3 2 3 2" xfId="45217" xr:uid="{00000000-0005-0000-0000-0000221C0000}"/>
    <cellStyle name="20% - Accent4 2 4 2 2 3 2 4" xfId="35519" xr:uid="{00000000-0005-0000-0000-0000231C0000}"/>
    <cellStyle name="20% - Accent4 2 4 2 2 3 3" xfId="19000" xr:uid="{00000000-0005-0000-0000-0000241C0000}"/>
    <cellStyle name="20% - Accent4 2 4 2 2 3 3 2" xfId="29368" xr:uid="{00000000-0005-0000-0000-0000251C0000}"/>
    <cellStyle name="20% - Accent4 2 4 2 2 3 3 2 2" xfId="48557" xr:uid="{00000000-0005-0000-0000-0000261C0000}"/>
    <cellStyle name="20% - Accent4 2 4 2 2 3 3 3" xfId="38859" xr:uid="{00000000-0005-0000-0000-0000271C0000}"/>
    <cellStyle name="20% - Accent4 2 4 2 2 3 4" xfId="24913" xr:uid="{00000000-0005-0000-0000-0000281C0000}"/>
    <cellStyle name="20% - Accent4 2 4 2 2 3 4 2" xfId="44102" xr:uid="{00000000-0005-0000-0000-0000291C0000}"/>
    <cellStyle name="20% - Accent4 2 4 2 2 3 5" xfId="34404" xr:uid="{00000000-0005-0000-0000-00002A1C0000}"/>
    <cellStyle name="20% - Accent4 2 4 2 2 4" xfId="15094" xr:uid="{00000000-0005-0000-0000-00002B1C0000}"/>
    <cellStyle name="20% - Accent4 2 4 2 2 4 2" xfId="19558" xr:uid="{00000000-0005-0000-0000-00002C1C0000}"/>
    <cellStyle name="20% - Accent4 2 4 2 2 4 2 2" xfId="29926" xr:uid="{00000000-0005-0000-0000-00002D1C0000}"/>
    <cellStyle name="20% - Accent4 2 4 2 2 4 2 2 2" xfId="49115" xr:uid="{00000000-0005-0000-0000-00002E1C0000}"/>
    <cellStyle name="20% - Accent4 2 4 2 2 4 2 3" xfId="39417" xr:uid="{00000000-0005-0000-0000-00002F1C0000}"/>
    <cellStyle name="20% - Accent4 2 4 2 2 4 3" xfId="25471" xr:uid="{00000000-0005-0000-0000-0000301C0000}"/>
    <cellStyle name="20% - Accent4 2 4 2 2 4 3 2" xfId="44660" xr:uid="{00000000-0005-0000-0000-0000311C0000}"/>
    <cellStyle name="20% - Accent4 2 4 2 2 4 4" xfId="34962" xr:uid="{00000000-0005-0000-0000-0000321C0000}"/>
    <cellStyle name="20% - Accent4 2 4 2 2 5" xfId="16764" xr:uid="{00000000-0005-0000-0000-0000331C0000}"/>
    <cellStyle name="20% - Accent4 2 4 2 2 5 2" xfId="21228" xr:uid="{00000000-0005-0000-0000-0000341C0000}"/>
    <cellStyle name="20% - Accent4 2 4 2 2 5 2 2" xfId="31596" xr:uid="{00000000-0005-0000-0000-0000351C0000}"/>
    <cellStyle name="20% - Accent4 2 4 2 2 5 2 2 2" xfId="50785" xr:uid="{00000000-0005-0000-0000-0000361C0000}"/>
    <cellStyle name="20% - Accent4 2 4 2 2 5 2 3" xfId="41087" xr:uid="{00000000-0005-0000-0000-0000371C0000}"/>
    <cellStyle name="20% - Accent4 2 4 2 2 5 3" xfId="27141" xr:uid="{00000000-0005-0000-0000-0000381C0000}"/>
    <cellStyle name="20% - Accent4 2 4 2 2 5 3 2" xfId="46330" xr:uid="{00000000-0005-0000-0000-0000391C0000}"/>
    <cellStyle name="20% - Accent4 2 4 2 2 5 4" xfId="36632" xr:uid="{00000000-0005-0000-0000-00003A1C0000}"/>
    <cellStyle name="20% - Accent4 2 4 2 2 6" xfId="17330" xr:uid="{00000000-0005-0000-0000-00003B1C0000}"/>
    <cellStyle name="20% - Accent4 2 4 2 2 6 2" xfId="21785" xr:uid="{00000000-0005-0000-0000-00003C1C0000}"/>
    <cellStyle name="20% - Accent4 2 4 2 2 6 2 2" xfId="32153" xr:uid="{00000000-0005-0000-0000-00003D1C0000}"/>
    <cellStyle name="20% - Accent4 2 4 2 2 6 2 2 2" xfId="51342" xr:uid="{00000000-0005-0000-0000-00003E1C0000}"/>
    <cellStyle name="20% - Accent4 2 4 2 2 6 2 3" xfId="41644" xr:uid="{00000000-0005-0000-0000-00003F1C0000}"/>
    <cellStyle name="20% - Accent4 2 4 2 2 6 3" xfId="27698" xr:uid="{00000000-0005-0000-0000-0000401C0000}"/>
    <cellStyle name="20% - Accent4 2 4 2 2 6 3 2" xfId="46887" xr:uid="{00000000-0005-0000-0000-0000411C0000}"/>
    <cellStyle name="20% - Accent4 2 4 2 2 6 4" xfId="37189" xr:uid="{00000000-0005-0000-0000-0000421C0000}"/>
    <cellStyle name="20% - Accent4 2 4 2 2 7" xfId="17887" xr:uid="{00000000-0005-0000-0000-0000431C0000}"/>
    <cellStyle name="20% - Accent4 2 4 2 2 7 2" xfId="28255" xr:uid="{00000000-0005-0000-0000-0000441C0000}"/>
    <cellStyle name="20% - Accent4 2 4 2 2 7 2 2" xfId="47444" xr:uid="{00000000-0005-0000-0000-0000451C0000}"/>
    <cellStyle name="20% - Accent4 2 4 2 2 7 3" xfId="37746" xr:uid="{00000000-0005-0000-0000-0000461C0000}"/>
    <cellStyle name="20% - Accent4 2 4 2 2 8" xfId="23750" xr:uid="{00000000-0005-0000-0000-0000471C0000}"/>
    <cellStyle name="20% - Accent4 2 4 2 2 8 2" xfId="42989" xr:uid="{00000000-0005-0000-0000-0000481C0000}"/>
    <cellStyle name="20% - Accent4 2 4 2 2 9" xfId="33291" xr:uid="{00000000-0005-0000-0000-0000491C0000}"/>
    <cellStyle name="20% - Accent4 2 4 2 3" xfId="12994" xr:uid="{00000000-0005-0000-0000-00004A1C0000}"/>
    <cellStyle name="20% - Accent4 2 4 2 3 10" xfId="53652" xr:uid="{00000000-0005-0000-0000-00004B1C0000}"/>
    <cellStyle name="20% - Accent4 2 4 2 3 2" xfId="13944" xr:uid="{00000000-0005-0000-0000-00004C1C0000}"/>
    <cellStyle name="20% - Accent4 2 4 2 3 2 2" xfId="16208" xr:uid="{00000000-0005-0000-0000-00004D1C0000}"/>
    <cellStyle name="20% - Accent4 2 4 2 3 2 2 2" xfId="20672" xr:uid="{00000000-0005-0000-0000-00004E1C0000}"/>
    <cellStyle name="20% - Accent4 2 4 2 3 2 2 2 2" xfId="31040" xr:uid="{00000000-0005-0000-0000-00004F1C0000}"/>
    <cellStyle name="20% - Accent4 2 4 2 3 2 2 2 2 2" xfId="50229" xr:uid="{00000000-0005-0000-0000-0000501C0000}"/>
    <cellStyle name="20% - Accent4 2 4 2 3 2 2 2 3" xfId="40531" xr:uid="{00000000-0005-0000-0000-0000511C0000}"/>
    <cellStyle name="20% - Accent4 2 4 2 3 2 2 3" xfId="26585" xr:uid="{00000000-0005-0000-0000-0000521C0000}"/>
    <cellStyle name="20% - Accent4 2 4 2 3 2 2 3 2" xfId="45774" xr:uid="{00000000-0005-0000-0000-0000531C0000}"/>
    <cellStyle name="20% - Accent4 2 4 2 3 2 2 4" xfId="36076" xr:uid="{00000000-0005-0000-0000-0000541C0000}"/>
    <cellStyle name="20% - Accent4 2 4 2 3 2 3" xfId="18444" xr:uid="{00000000-0005-0000-0000-0000551C0000}"/>
    <cellStyle name="20% - Accent4 2 4 2 3 2 3 2" xfId="28812" xr:uid="{00000000-0005-0000-0000-0000561C0000}"/>
    <cellStyle name="20% - Accent4 2 4 2 3 2 3 2 2" xfId="48001" xr:uid="{00000000-0005-0000-0000-0000571C0000}"/>
    <cellStyle name="20% - Accent4 2 4 2 3 2 3 3" xfId="38303" xr:uid="{00000000-0005-0000-0000-0000581C0000}"/>
    <cellStyle name="20% - Accent4 2 4 2 3 2 4" xfId="24352" xr:uid="{00000000-0005-0000-0000-0000591C0000}"/>
    <cellStyle name="20% - Accent4 2 4 2 3 2 4 2" xfId="43546" xr:uid="{00000000-0005-0000-0000-00005A1C0000}"/>
    <cellStyle name="20% - Accent4 2 4 2 3 2 5" xfId="33848" xr:uid="{00000000-0005-0000-0000-00005B1C0000}"/>
    <cellStyle name="20% - Accent4 2 4 2 3 3" xfId="14523" xr:uid="{00000000-0005-0000-0000-00005C1C0000}"/>
    <cellStyle name="20% - Accent4 2 4 2 3 3 2" xfId="15652" xr:uid="{00000000-0005-0000-0000-00005D1C0000}"/>
    <cellStyle name="20% - Accent4 2 4 2 3 3 2 2" xfId="20116" xr:uid="{00000000-0005-0000-0000-00005E1C0000}"/>
    <cellStyle name="20% - Accent4 2 4 2 3 3 2 2 2" xfId="30484" xr:uid="{00000000-0005-0000-0000-00005F1C0000}"/>
    <cellStyle name="20% - Accent4 2 4 2 3 3 2 2 2 2" xfId="49673" xr:uid="{00000000-0005-0000-0000-0000601C0000}"/>
    <cellStyle name="20% - Accent4 2 4 2 3 3 2 2 3" xfId="39975" xr:uid="{00000000-0005-0000-0000-0000611C0000}"/>
    <cellStyle name="20% - Accent4 2 4 2 3 3 2 3" xfId="26029" xr:uid="{00000000-0005-0000-0000-0000621C0000}"/>
    <cellStyle name="20% - Accent4 2 4 2 3 3 2 3 2" xfId="45218" xr:uid="{00000000-0005-0000-0000-0000631C0000}"/>
    <cellStyle name="20% - Accent4 2 4 2 3 3 2 4" xfId="35520" xr:uid="{00000000-0005-0000-0000-0000641C0000}"/>
    <cellStyle name="20% - Accent4 2 4 2 3 3 3" xfId="19001" xr:uid="{00000000-0005-0000-0000-0000651C0000}"/>
    <cellStyle name="20% - Accent4 2 4 2 3 3 3 2" xfId="29369" xr:uid="{00000000-0005-0000-0000-0000661C0000}"/>
    <cellStyle name="20% - Accent4 2 4 2 3 3 3 2 2" xfId="48558" xr:uid="{00000000-0005-0000-0000-0000671C0000}"/>
    <cellStyle name="20% - Accent4 2 4 2 3 3 3 3" xfId="38860" xr:uid="{00000000-0005-0000-0000-0000681C0000}"/>
    <cellStyle name="20% - Accent4 2 4 2 3 3 4" xfId="24914" xr:uid="{00000000-0005-0000-0000-0000691C0000}"/>
    <cellStyle name="20% - Accent4 2 4 2 3 3 4 2" xfId="44103" xr:uid="{00000000-0005-0000-0000-00006A1C0000}"/>
    <cellStyle name="20% - Accent4 2 4 2 3 3 5" xfId="34405" xr:uid="{00000000-0005-0000-0000-00006B1C0000}"/>
    <cellStyle name="20% - Accent4 2 4 2 3 4" xfId="15095" xr:uid="{00000000-0005-0000-0000-00006C1C0000}"/>
    <cellStyle name="20% - Accent4 2 4 2 3 4 2" xfId="19559" xr:uid="{00000000-0005-0000-0000-00006D1C0000}"/>
    <cellStyle name="20% - Accent4 2 4 2 3 4 2 2" xfId="29927" xr:uid="{00000000-0005-0000-0000-00006E1C0000}"/>
    <cellStyle name="20% - Accent4 2 4 2 3 4 2 2 2" xfId="49116" xr:uid="{00000000-0005-0000-0000-00006F1C0000}"/>
    <cellStyle name="20% - Accent4 2 4 2 3 4 2 3" xfId="39418" xr:uid="{00000000-0005-0000-0000-0000701C0000}"/>
    <cellStyle name="20% - Accent4 2 4 2 3 4 3" xfId="25472" xr:uid="{00000000-0005-0000-0000-0000711C0000}"/>
    <cellStyle name="20% - Accent4 2 4 2 3 4 3 2" xfId="44661" xr:uid="{00000000-0005-0000-0000-0000721C0000}"/>
    <cellStyle name="20% - Accent4 2 4 2 3 4 4" xfId="34963" xr:uid="{00000000-0005-0000-0000-0000731C0000}"/>
    <cellStyle name="20% - Accent4 2 4 2 3 5" xfId="16765" xr:uid="{00000000-0005-0000-0000-0000741C0000}"/>
    <cellStyle name="20% - Accent4 2 4 2 3 5 2" xfId="21229" xr:uid="{00000000-0005-0000-0000-0000751C0000}"/>
    <cellStyle name="20% - Accent4 2 4 2 3 5 2 2" xfId="31597" xr:uid="{00000000-0005-0000-0000-0000761C0000}"/>
    <cellStyle name="20% - Accent4 2 4 2 3 5 2 2 2" xfId="50786" xr:uid="{00000000-0005-0000-0000-0000771C0000}"/>
    <cellStyle name="20% - Accent4 2 4 2 3 5 2 3" xfId="41088" xr:uid="{00000000-0005-0000-0000-0000781C0000}"/>
    <cellStyle name="20% - Accent4 2 4 2 3 5 3" xfId="27142" xr:uid="{00000000-0005-0000-0000-0000791C0000}"/>
    <cellStyle name="20% - Accent4 2 4 2 3 5 3 2" xfId="46331" xr:uid="{00000000-0005-0000-0000-00007A1C0000}"/>
    <cellStyle name="20% - Accent4 2 4 2 3 5 4" xfId="36633" xr:uid="{00000000-0005-0000-0000-00007B1C0000}"/>
    <cellStyle name="20% - Accent4 2 4 2 3 6" xfId="17331" xr:uid="{00000000-0005-0000-0000-00007C1C0000}"/>
    <cellStyle name="20% - Accent4 2 4 2 3 6 2" xfId="21786" xr:uid="{00000000-0005-0000-0000-00007D1C0000}"/>
    <cellStyle name="20% - Accent4 2 4 2 3 6 2 2" xfId="32154" xr:uid="{00000000-0005-0000-0000-00007E1C0000}"/>
    <cellStyle name="20% - Accent4 2 4 2 3 6 2 2 2" xfId="51343" xr:uid="{00000000-0005-0000-0000-00007F1C0000}"/>
    <cellStyle name="20% - Accent4 2 4 2 3 6 2 3" xfId="41645" xr:uid="{00000000-0005-0000-0000-0000801C0000}"/>
    <cellStyle name="20% - Accent4 2 4 2 3 6 3" xfId="27699" xr:uid="{00000000-0005-0000-0000-0000811C0000}"/>
    <cellStyle name="20% - Accent4 2 4 2 3 6 3 2" xfId="46888" xr:uid="{00000000-0005-0000-0000-0000821C0000}"/>
    <cellStyle name="20% - Accent4 2 4 2 3 6 4" xfId="37190" xr:uid="{00000000-0005-0000-0000-0000831C0000}"/>
    <cellStyle name="20% - Accent4 2 4 2 3 7" xfId="17888" xr:uid="{00000000-0005-0000-0000-0000841C0000}"/>
    <cellStyle name="20% - Accent4 2 4 2 3 7 2" xfId="28256" xr:uid="{00000000-0005-0000-0000-0000851C0000}"/>
    <cellStyle name="20% - Accent4 2 4 2 3 7 2 2" xfId="47445" xr:uid="{00000000-0005-0000-0000-0000861C0000}"/>
    <cellStyle name="20% - Accent4 2 4 2 3 7 3" xfId="37747" xr:uid="{00000000-0005-0000-0000-0000871C0000}"/>
    <cellStyle name="20% - Accent4 2 4 2 3 8" xfId="23751" xr:uid="{00000000-0005-0000-0000-0000881C0000}"/>
    <cellStyle name="20% - Accent4 2 4 2 3 8 2" xfId="42990" xr:uid="{00000000-0005-0000-0000-0000891C0000}"/>
    <cellStyle name="20% - Accent4 2 4 2 3 9" xfId="33292" xr:uid="{00000000-0005-0000-0000-00008A1C0000}"/>
    <cellStyle name="20% - Accent4 2 4 2 4" xfId="13942" xr:uid="{00000000-0005-0000-0000-00008B1C0000}"/>
    <cellStyle name="20% - Accent4 2 4 2 4 2" xfId="16206" xr:uid="{00000000-0005-0000-0000-00008C1C0000}"/>
    <cellStyle name="20% - Accent4 2 4 2 4 2 2" xfId="20670" xr:uid="{00000000-0005-0000-0000-00008D1C0000}"/>
    <cellStyle name="20% - Accent4 2 4 2 4 2 2 2" xfId="31038" xr:uid="{00000000-0005-0000-0000-00008E1C0000}"/>
    <cellStyle name="20% - Accent4 2 4 2 4 2 2 2 2" xfId="50227" xr:uid="{00000000-0005-0000-0000-00008F1C0000}"/>
    <cellStyle name="20% - Accent4 2 4 2 4 2 2 3" xfId="40529" xr:uid="{00000000-0005-0000-0000-0000901C0000}"/>
    <cellStyle name="20% - Accent4 2 4 2 4 2 3" xfId="26583" xr:uid="{00000000-0005-0000-0000-0000911C0000}"/>
    <cellStyle name="20% - Accent4 2 4 2 4 2 3 2" xfId="45772" xr:uid="{00000000-0005-0000-0000-0000921C0000}"/>
    <cellStyle name="20% - Accent4 2 4 2 4 2 4" xfId="36074" xr:uid="{00000000-0005-0000-0000-0000931C0000}"/>
    <cellStyle name="20% - Accent4 2 4 2 4 3" xfId="18442" xr:uid="{00000000-0005-0000-0000-0000941C0000}"/>
    <cellStyle name="20% - Accent4 2 4 2 4 3 2" xfId="28810" xr:uid="{00000000-0005-0000-0000-0000951C0000}"/>
    <cellStyle name="20% - Accent4 2 4 2 4 3 2 2" xfId="47999" xr:uid="{00000000-0005-0000-0000-0000961C0000}"/>
    <cellStyle name="20% - Accent4 2 4 2 4 3 3" xfId="38301" xr:uid="{00000000-0005-0000-0000-0000971C0000}"/>
    <cellStyle name="20% - Accent4 2 4 2 4 4" xfId="24350" xr:uid="{00000000-0005-0000-0000-0000981C0000}"/>
    <cellStyle name="20% - Accent4 2 4 2 4 4 2" xfId="43544" xr:uid="{00000000-0005-0000-0000-0000991C0000}"/>
    <cellStyle name="20% - Accent4 2 4 2 4 5" xfId="33846" xr:uid="{00000000-0005-0000-0000-00009A1C0000}"/>
    <cellStyle name="20% - Accent4 2 4 2 5" xfId="14521" xr:uid="{00000000-0005-0000-0000-00009B1C0000}"/>
    <cellStyle name="20% - Accent4 2 4 2 5 2" xfId="15650" xr:uid="{00000000-0005-0000-0000-00009C1C0000}"/>
    <cellStyle name="20% - Accent4 2 4 2 5 2 2" xfId="20114" xr:uid="{00000000-0005-0000-0000-00009D1C0000}"/>
    <cellStyle name="20% - Accent4 2 4 2 5 2 2 2" xfId="30482" xr:uid="{00000000-0005-0000-0000-00009E1C0000}"/>
    <cellStyle name="20% - Accent4 2 4 2 5 2 2 2 2" xfId="49671" xr:uid="{00000000-0005-0000-0000-00009F1C0000}"/>
    <cellStyle name="20% - Accent4 2 4 2 5 2 2 3" xfId="39973" xr:uid="{00000000-0005-0000-0000-0000A01C0000}"/>
    <cellStyle name="20% - Accent4 2 4 2 5 2 3" xfId="26027" xr:uid="{00000000-0005-0000-0000-0000A11C0000}"/>
    <cellStyle name="20% - Accent4 2 4 2 5 2 3 2" xfId="45216" xr:uid="{00000000-0005-0000-0000-0000A21C0000}"/>
    <cellStyle name="20% - Accent4 2 4 2 5 2 4" xfId="35518" xr:uid="{00000000-0005-0000-0000-0000A31C0000}"/>
    <cellStyle name="20% - Accent4 2 4 2 5 3" xfId="18999" xr:uid="{00000000-0005-0000-0000-0000A41C0000}"/>
    <cellStyle name="20% - Accent4 2 4 2 5 3 2" xfId="29367" xr:uid="{00000000-0005-0000-0000-0000A51C0000}"/>
    <cellStyle name="20% - Accent4 2 4 2 5 3 2 2" xfId="48556" xr:uid="{00000000-0005-0000-0000-0000A61C0000}"/>
    <cellStyle name="20% - Accent4 2 4 2 5 3 3" xfId="38858" xr:uid="{00000000-0005-0000-0000-0000A71C0000}"/>
    <cellStyle name="20% - Accent4 2 4 2 5 4" xfId="24912" xr:uid="{00000000-0005-0000-0000-0000A81C0000}"/>
    <cellStyle name="20% - Accent4 2 4 2 5 4 2" xfId="44101" xr:uid="{00000000-0005-0000-0000-0000A91C0000}"/>
    <cellStyle name="20% - Accent4 2 4 2 5 5" xfId="34403" xr:uid="{00000000-0005-0000-0000-0000AA1C0000}"/>
    <cellStyle name="20% - Accent4 2 4 2 6" xfId="15093" xr:uid="{00000000-0005-0000-0000-0000AB1C0000}"/>
    <cellStyle name="20% - Accent4 2 4 2 6 2" xfId="19557" xr:uid="{00000000-0005-0000-0000-0000AC1C0000}"/>
    <cellStyle name="20% - Accent4 2 4 2 6 2 2" xfId="29925" xr:uid="{00000000-0005-0000-0000-0000AD1C0000}"/>
    <cellStyle name="20% - Accent4 2 4 2 6 2 2 2" xfId="49114" xr:uid="{00000000-0005-0000-0000-0000AE1C0000}"/>
    <cellStyle name="20% - Accent4 2 4 2 6 2 3" xfId="39416" xr:uid="{00000000-0005-0000-0000-0000AF1C0000}"/>
    <cellStyle name="20% - Accent4 2 4 2 6 3" xfId="25470" xr:uid="{00000000-0005-0000-0000-0000B01C0000}"/>
    <cellStyle name="20% - Accent4 2 4 2 6 3 2" xfId="44659" xr:uid="{00000000-0005-0000-0000-0000B11C0000}"/>
    <cellStyle name="20% - Accent4 2 4 2 6 4" xfId="34961" xr:uid="{00000000-0005-0000-0000-0000B21C0000}"/>
    <cellStyle name="20% - Accent4 2 4 2 7" xfId="16763" xr:uid="{00000000-0005-0000-0000-0000B31C0000}"/>
    <cellStyle name="20% - Accent4 2 4 2 7 2" xfId="21227" xr:uid="{00000000-0005-0000-0000-0000B41C0000}"/>
    <cellStyle name="20% - Accent4 2 4 2 7 2 2" xfId="31595" xr:uid="{00000000-0005-0000-0000-0000B51C0000}"/>
    <cellStyle name="20% - Accent4 2 4 2 7 2 2 2" xfId="50784" xr:uid="{00000000-0005-0000-0000-0000B61C0000}"/>
    <cellStyle name="20% - Accent4 2 4 2 7 2 3" xfId="41086" xr:uid="{00000000-0005-0000-0000-0000B71C0000}"/>
    <cellStyle name="20% - Accent4 2 4 2 7 3" xfId="27140" xr:uid="{00000000-0005-0000-0000-0000B81C0000}"/>
    <cellStyle name="20% - Accent4 2 4 2 7 3 2" xfId="46329" xr:uid="{00000000-0005-0000-0000-0000B91C0000}"/>
    <cellStyle name="20% - Accent4 2 4 2 7 4" xfId="36631" xr:uid="{00000000-0005-0000-0000-0000BA1C0000}"/>
    <cellStyle name="20% - Accent4 2 4 2 8" xfId="17329" xr:uid="{00000000-0005-0000-0000-0000BB1C0000}"/>
    <cellStyle name="20% - Accent4 2 4 2 8 2" xfId="21784" xr:uid="{00000000-0005-0000-0000-0000BC1C0000}"/>
    <cellStyle name="20% - Accent4 2 4 2 8 2 2" xfId="32152" xr:uid="{00000000-0005-0000-0000-0000BD1C0000}"/>
    <cellStyle name="20% - Accent4 2 4 2 8 2 2 2" xfId="51341" xr:uid="{00000000-0005-0000-0000-0000BE1C0000}"/>
    <cellStyle name="20% - Accent4 2 4 2 8 2 3" xfId="41643" xr:uid="{00000000-0005-0000-0000-0000BF1C0000}"/>
    <cellStyle name="20% - Accent4 2 4 2 8 3" xfId="27697" xr:uid="{00000000-0005-0000-0000-0000C01C0000}"/>
    <cellStyle name="20% - Accent4 2 4 2 8 3 2" xfId="46886" xr:uid="{00000000-0005-0000-0000-0000C11C0000}"/>
    <cellStyle name="20% - Accent4 2 4 2 8 4" xfId="37188" xr:uid="{00000000-0005-0000-0000-0000C21C0000}"/>
    <cellStyle name="20% - Accent4 2 4 2 9" xfId="17886" xr:uid="{00000000-0005-0000-0000-0000C31C0000}"/>
    <cellStyle name="20% - Accent4 2 4 2 9 2" xfId="28254" xr:uid="{00000000-0005-0000-0000-0000C41C0000}"/>
    <cellStyle name="20% - Accent4 2 4 2 9 2 2" xfId="47443" xr:uid="{00000000-0005-0000-0000-0000C51C0000}"/>
    <cellStyle name="20% - Accent4 2 4 2 9 3" xfId="37745" xr:uid="{00000000-0005-0000-0000-0000C61C0000}"/>
    <cellStyle name="20% - Accent4 2 4 3" xfId="12995" xr:uid="{00000000-0005-0000-0000-0000C71C0000}"/>
    <cellStyle name="20% - Accent4 2 4 3 10" xfId="23752" xr:uid="{00000000-0005-0000-0000-0000C81C0000}"/>
    <cellStyle name="20% - Accent4 2 4 3 10 2" xfId="42991" xr:uid="{00000000-0005-0000-0000-0000C91C0000}"/>
    <cellStyle name="20% - Accent4 2 4 3 11" xfId="33293" xr:uid="{00000000-0005-0000-0000-0000CA1C0000}"/>
    <cellStyle name="20% - Accent4 2 4 3 12" xfId="52977" xr:uid="{00000000-0005-0000-0000-0000CB1C0000}"/>
    <cellStyle name="20% - Accent4 2 4 3 2" xfId="12996" xr:uid="{00000000-0005-0000-0000-0000CC1C0000}"/>
    <cellStyle name="20% - Accent4 2 4 3 2 10" xfId="53852" xr:uid="{00000000-0005-0000-0000-0000CD1C0000}"/>
    <cellStyle name="20% - Accent4 2 4 3 2 2" xfId="13946" xr:uid="{00000000-0005-0000-0000-0000CE1C0000}"/>
    <cellStyle name="20% - Accent4 2 4 3 2 2 2" xfId="16210" xr:uid="{00000000-0005-0000-0000-0000CF1C0000}"/>
    <cellStyle name="20% - Accent4 2 4 3 2 2 2 2" xfId="20674" xr:uid="{00000000-0005-0000-0000-0000D01C0000}"/>
    <cellStyle name="20% - Accent4 2 4 3 2 2 2 2 2" xfId="31042" xr:uid="{00000000-0005-0000-0000-0000D11C0000}"/>
    <cellStyle name="20% - Accent4 2 4 3 2 2 2 2 2 2" xfId="50231" xr:uid="{00000000-0005-0000-0000-0000D21C0000}"/>
    <cellStyle name="20% - Accent4 2 4 3 2 2 2 2 3" xfId="40533" xr:uid="{00000000-0005-0000-0000-0000D31C0000}"/>
    <cellStyle name="20% - Accent4 2 4 3 2 2 2 3" xfId="26587" xr:uid="{00000000-0005-0000-0000-0000D41C0000}"/>
    <cellStyle name="20% - Accent4 2 4 3 2 2 2 3 2" xfId="45776" xr:uid="{00000000-0005-0000-0000-0000D51C0000}"/>
    <cellStyle name="20% - Accent4 2 4 3 2 2 2 4" xfId="36078" xr:uid="{00000000-0005-0000-0000-0000D61C0000}"/>
    <cellStyle name="20% - Accent4 2 4 3 2 2 3" xfId="18446" xr:uid="{00000000-0005-0000-0000-0000D71C0000}"/>
    <cellStyle name="20% - Accent4 2 4 3 2 2 3 2" xfId="28814" xr:uid="{00000000-0005-0000-0000-0000D81C0000}"/>
    <cellStyle name="20% - Accent4 2 4 3 2 2 3 2 2" xfId="48003" xr:uid="{00000000-0005-0000-0000-0000D91C0000}"/>
    <cellStyle name="20% - Accent4 2 4 3 2 2 3 3" xfId="38305" xr:uid="{00000000-0005-0000-0000-0000DA1C0000}"/>
    <cellStyle name="20% - Accent4 2 4 3 2 2 4" xfId="24354" xr:uid="{00000000-0005-0000-0000-0000DB1C0000}"/>
    <cellStyle name="20% - Accent4 2 4 3 2 2 4 2" xfId="43548" xr:uid="{00000000-0005-0000-0000-0000DC1C0000}"/>
    <cellStyle name="20% - Accent4 2 4 3 2 2 5" xfId="33850" xr:uid="{00000000-0005-0000-0000-0000DD1C0000}"/>
    <cellStyle name="20% - Accent4 2 4 3 2 3" xfId="14525" xr:uid="{00000000-0005-0000-0000-0000DE1C0000}"/>
    <cellStyle name="20% - Accent4 2 4 3 2 3 2" xfId="15654" xr:uid="{00000000-0005-0000-0000-0000DF1C0000}"/>
    <cellStyle name="20% - Accent4 2 4 3 2 3 2 2" xfId="20118" xr:uid="{00000000-0005-0000-0000-0000E01C0000}"/>
    <cellStyle name="20% - Accent4 2 4 3 2 3 2 2 2" xfId="30486" xr:uid="{00000000-0005-0000-0000-0000E11C0000}"/>
    <cellStyle name="20% - Accent4 2 4 3 2 3 2 2 2 2" xfId="49675" xr:uid="{00000000-0005-0000-0000-0000E21C0000}"/>
    <cellStyle name="20% - Accent4 2 4 3 2 3 2 2 3" xfId="39977" xr:uid="{00000000-0005-0000-0000-0000E31C0000}"/>
    <cellStyle name="20% - Accent4 2 4 3 2 3 2 3" xfId="26031" xr:uid="{00000000-0005-0000-0000-0000E41C0000}"/>
    <cellStyle name="20% - Accent4 2 4 3 2 3 2 3 2" xfId="45220" xr:uid="{00000000-0005-0000-0000-0000E51C0000}"/>
    <cellStyle name="20% - Accent4 2 4 3 2 3 2 4" xfId="35522" xr:uid="{00000000-0005-0000-0000-0000E61C0000}"/>
    <cellStyle name="20% - Accent4 2 4 3 2 3 3" xfId="19003" xr:uid="{00000000-0005-0000-0000-0000E71C0000}"/>
    <cellStyle name="20% - Accent4 2 4 3 2 3 3 2" xfId="29371" xr:uid="{00000000-0005-0000-0000-0000E81C0000}"/>
    <cellStyle name="20% - Accent4 2 4 3 2 3 3 2 2" xfId="48560" xr:uid="{00000000-0005-0000-0000-0000E91C0000}"/>
    <cellStyle name="20% - Accent4 2 4 3 2 3 3 3" xfId="38862" xr:uid="{00000000-0005-0000-0000-0000EA1C0000}"/>
    <cellStyle name="20% - Accent4 2 4 3 2 3 4" xfId="24916" xr:uid="{00000000-0005-0000-0000-0000EB1C0000}"/>
    <cellStyle name="20% - Accent4 2 4 3 2 3 4 2" xfId="44105" xr:uid="{00000000-0005-0000-0000-0000EC1C0000}"/>
    <cellStyle name="20% - Accent4 2 4 3 2 3 5" xfId="34407" xr:uid="{00000000-0005-0000-0000-0000ED1C0000}"/>
    <cellStyle name="20% - Accent4 2 4 3 2 4" xfId="15097" xr:uid="{00000000-0005-0000-0000-0000EE1C0000}"/>
    <cellStyle name="20% - Accent4 2 4 3 2 4 2" xfId="19561" xr:uid="{00000000-0005-0000-0000-0000EF1C0000}"/>
    <cellStyle name="20% - Accent4 2 4 3 2 4 2 2" xfId="29929" xr:uid="{00000000-0005-0000-0000-0000F01C0000}"/>
    <cellStyle name="20% - Accent4 2 4 3 2 4 2 2 2" xfId="49118" xr:uid="{00000000-0005-0000-0000-0000F11C0000}"/>
    <cellStyle name="20% - Accent4 2 4 3 2 4 2 3" xfId="39420" xr:uid="{00000000-0005-0000-0000-0000F21C0000}"/>
    <cellStyle name="20% - Accent4 2 4 3 2 4 3" xfId="25474" xr:uid="{00000000-0005-0000-0000-0000F31C0000}"/>
    <cellStyle name="20% - Accent4 2 4 3 2 4 3 2" xfId="44663" xr:uid="{00000000-0005-0000-0000-0000F41C0000}"/>
    <cellStyle name="20% - Accent4 2 4 3 2 4 4" xfId="34965" xr:uid="{00000000-0005-0000-0000-0000F51C0000}"/>
    <cellStyle name="20% - Accent4 2 4 3 2 5" xfId="16767" xr:uid="{00000000-0005-0000-0000-0000F61C0000}"/>
    <cellStyle name="20% - Accent4 2 4 3 2 5 2" xfId="21231" xr:uid="{00000000-0005-0000-0000-0000F71C0000}"/>
    <cellStyle name="20% - Accent4 2 4 3 2 5 2 2" xfId="31599" xr:uid="{00000000-0005-0000-0000-0000F81C0000}"/>
    <cellStyle name="20% - Accent4 2 4 3 2 5 2 2 2" xfId="50788" xr:uid="{00000000-0005-0000-0000-0000F91C0000}"/>
    <cellStyle name="20% - Accent4 2 4 3 2 5 2 3" xfId="41090" xr:uid="{00000000-0005-0000-0000-0000FA1C0000}"/>
    <cellStyle name="20% - Accent4 2 4 3 2 5 3" xfId="27144" xr:uid="{00000000-0005-0000-0000-0000FB1C0000}"/>
    <cellStyle name="20% - Accent4 2 4 3 2 5 3 2" xfId="46333" xr:uid="{00000000-0005-0000-0000-0000FC1C0000}"/>
    <cellStyle name="20% - Accent4 2 4 3 2 5 4" xfId="36635" xr:uid="{00000000-0005-0000-0000-0000FD1C0000}"/>
    <cellStyle name="20% - Accent4 2 4 3 2 6" xfId="17333" xr:uid="{00000000-0005-0000-0000-0000FE1C0000}"/>
    <cellStyle name="20% - Accent4 2 4 3 2 6 2" xfId="21788" xr:uid="{00000000-0005-0000-0000-0000FF1C0000}"/>
    <cellStyle name="20% - Accent4 2 4 3 2 6 2 2" xfId="32156" xr:uid="{00000000-0005-0000-0000-0000001D0000}"/>
    <cellStyle name="20% - Accent4 2 4 3 2 6 2 2 2" xfId="51345" xr:uid="{00000000-0005-0000-0000-0000011D0000}"/>
    <cellStyle name="20% - Accent4 2 4 3 2 6 2 3" xfId="41647" xr:uid="{00000000-0005-0000-0000-0000021D0000}"/>
    <cellStyle name="20% - Accent4 2 4 3 2 6 3" xfId="27701" xr:uid="{00000000-0005-0000-0000-0000031D0000}"/>
    <cellStyle name="20% - Accent4 2 4 3 2 6 3 2" xfId="46890" xr:uid="{00000000-0005-0000-0000-0000041D0000}"/>
    <cellStyle name="20% - Accent4 2 4 3 2 6 4" xfId="37192" xr:uid="{00000000-0005-0000-0000-0000051D0000}"/>
    <cellStyle name="20% - Accent4 2 4 3 2 7" xfId="17890" xr:uid="{00000000-0005-0000-0000-0000061D0000}"/>
    <cellStyle name="20% - Accent4 2 4 3 2 7 2" xfId="28258" xr:uid="{00000000-0005-0000-0000-0000071D0000}"/>
    <cellStyle name="20% - Accent4 2 4 3 2 7 2 2" xfId="47447" xr:uid="{00000000-0005-0000-0000-0000081D0000}"/>
    <cellStyle name="20% - Accent4 2 4 3 2 7 3" xfId="37749" xr:uid="{00000000-0005-0000-0000-0000091D0000}"/>
    <cellStyle name="20% - Accent4 2 4 3 2 8" xfId="23753" xr:uid="{00000000-0005-0000-0000-00000A1D0000}"/>
    <cellStyle name="20% - Accent4 2 4 3 2 8 2" xfId="42992" xr:uid="{00000000-0005-0000-0000-00000B1D0000}"/>
    <cellStyle name="20% - Accent4 2 4 3 2 9" xfId="33294" xr:uid="{00000000-0005-0000-0000-00000C1D0000}"/>
    <cellStyle name="20% - Accent4 2 4 3 3" xfId="12997" xr:uid="{00000000-0005-0000-0000-00000D1D0000}"/>
    <cellStyle name="20% - Accent4 2 4 3 3 2" xfId="13947" xr:uid="{00000000-0005-0000-0000-00000E1D0000}"/>
    <cellStyle name="20% - Accent4 2 4 3 3 2 2" xfId="16211" xr:uid="{00000000-0005-0000-0000-00000F1D0000}"/>
    <cellStyle name="20% - Accent4 2 4 3 3 2 2 2" xfId="20675" xr:uid="{00000000-0005-0000-0000-0000101D0000}"/>
    <cellStyle name="20% - Accent4 2 4 3 3 2 2 2 2" xfId="31043" xr:uid="{00000000-0005-0000-0000-0000111D0000}"/>
    <cellStyle name="20% - Accent4 2 4 3 3 2 2 2 2 2" xfId="50232" xr:uid="{00000000-0005-0000-0000-0000121D0000}"/>
    <cellStyle name="20% - Accent4 2 4 3 3 2 2 2 3" xfId="40534" xr:uid="{00000000-0005-0000-0000-0000131D0000}"/>
    <cellStyle name="20% - Accent4 2 4 3 3 2 2 3" xfId="26588" xr:uid="{00000000-0005-0000-0000-0000141D0000}"/>
    <cellStyle name="20% - Accent4 2 4 3 3 2 2 3 2" xfId="45777" xr:uid="{00000000-0005-0000-0000-0000151D0000}"/>
    <cellStyle name="20% - Accent4 2 4 3 3 2 2 4" xfId="36079" xr:uid="{00000000-0005-0000-0000-0000161D0000}"/>
    <cellStyle name="20% - Accent4 2 4 3 3 2 3" xfId="18447" xr:uid="{00000000-0005-0000-0000-0000171D0000}"/>
    <cellStyle name="20% - Accent4 2 4 3 3 2 3 2" xfId="28815" xr:uid="{00000000-0005-0000-0000-0000181D0000}"/>
    <cellStyle name="20% - Accent4 2 4 3 3 2 3 2 2" xfId="48004" xr:uid="{00000000-0005-0000-0000-0000191D0000}"/>
    <cellStyle name="20% - Accent4 2 4 3 3 2 3 3" xfId="38306" xr:uid="{00000000-0005-0000-0000-00001A1D0000}"/>
    <cellStyle name="20% - Accent4 2 4 3 3 2 4" xfId="24355" xr:uid="{00000000-0005-0000-0000-00001B1D0000}"/>
    <cellStyle name="20% - Accent4 2 4 3 3 2 4 2" xfId="43549" xr:uid="{00000000-0005-0000-0000-00001C1D0000}"/>
    <cellStyle name="20% - Accent4 2 4 3 3 2 5" xfId="33851" xr:uid="{00000000-0005-0000-0000-00001D1D0000}"/>
    <cellStyle name="20% - Accent4 2 4 3 3 3" xfId="14526" xr:uid="{00000000-0005-0000-0000-00001E1D0000}"/>
    <cellStyle name="20% - Accent4 2 4 3 3 3 2" xfId="15655" xr:uid="{00000000-0005-0000-0000-00001F1D0000}"/>
    <cellStyle name="20% - Accent4 2 4 3 3 3 2 2" xfId="20119" xr:uid="{00000000-0005-0000-0000-0000201D0000}"/>
    <cellStyle name="20% - Accent4 2 4 3 3 3 2 2 2" xfId="30487" xr:uid="{00000000-0005-0000-0000-0000211D0000}"/>
    <cellStyle name="20% - Accent4 2 4 3 3 3 2 2 2 2" xfId="49676" xr:uid="{00000000-0005-0000-0000-0000221D0000}"/>
    <cellStyle name="20% - Accent4 2 4 3 3 3 2 2 3" xfId="39978" xr:uid="{00000000-0005-0000-0000-0000231D0000}"/>
    <cellStyle name="20% - Accent4 2 4 3 3 3 2 3" xfId="26032" xr:uid="{00000000-0005-0000-0000-0000241D0000}"/>
    <cellStyle name="20% - Accent4 2 4 3 3 3 2 3 2" xfId="45221" xr:uid="{00000000-0005-0000-0000-0000251D0000}"/>
    <cellStyle name="20% - Accent4 2 4 3 3 3 2 4" xfId="35523" xr:uid="{00000000-0005-0000-0000-0000261D0000}"/>
    <cellStyle name="20% - Accent4 2 4 3 3 3 3" xfId="19004" xr:uid="{00000000-0005-0000-0000-0000271D0000}"/>
    <cellStyle name="20% - Accent4 2 4 3 3 3 3 2" xfId="29372" xr:uid="{00000000-0005-0000-0000-0000281D0000}"/>
    <cellStyle name="20% - Accent4 2 4 3 3 3 3 2 2" xfId="48561" xr:uid="{00000000-0005-0000-0000-0000291D0000}"/>
    <cellStyle name="20% - Accent4 2 4 3 3 3 3 3" xfId="38863" xr:uid="{00000000-0005-0000-0000-00002A1D0000}"/>
    <cellStyle name="20% - Accent4 2 4 3 3 3 4" xfId="24917" xr:uid="{00000000-0005-0000-0000-00002B1D0000}"/>
    <cellStyle name="20% - Accent4 2 4 3 3 3 4 2" xfId="44106" xr:uid="{00000000-0005-0000-0000-00002C1D0000}"/>
    <cellStyle name="20% - Accent4 2 4 3 3 3 5" xfId="34408" xr:uid="{00000000-0005-0000-0000-00002D1D0000}"/>
    <cellStyle name="20% - Accent4 2 4 3 3 4" xfId="15098" xr:uid="{00000000-0005-0000-0000-00002E1D0000}"/>
    <cellStyle name="20% - Accent4 2 4 3 3 4 2" xfId="19562" xr:uid="{00000000-0005-0000-0000-00002F1D0000}"/>
    <cellStyle name="20% - Accent4 2 4 3 3 4 2 2" xfId="29930" xr:uid="{00000000-0005-0000-0000-0000301D0000}"/>
    <cellStyle name="20% - Accent4 2 4 3 3 4 2 2 2" xfId="49119" xr:uid="{00000000-0005-0000-0000-0000311D0000}"/>
    <cellStyle name="20% - Accent4 2 4 3 3 4 2 3" xfId="39421" xr:uid="{00000000-0005-0000-0000-0000321D0000}"/>
    <cellStyle name="20% - Accent4 2 4 3 3 4 3" xfId="25475" xr:uid="{00000000-0005-0000-0000-0000331D0000}"/>
    <cellStyle name="20% - Accent4 2 4 3 3 4 3 2" xfId="44664" xr:uid="{00000000-0005-0000-0000-0000341D0000}"/>
    <cellStyle name="20% - Accent4 2 4 3 3 4 4" xfId="34966" xr:uid="{00000000-0005-0000-0000-0000351D0000}"/>
    <cellStyle name="20% - Accent4 2 4 3 3 5" xfId="16768" xr:uid="{00000000-0005-0000-0000-0000361D0000}"/>
    <cellStyle name="20% - Accent4 2 4 3 3 5 2" xfId="21232" xr:uid="{00000000-0005-0000-0000-0000371D0000}"/>
    <cellStyle name="20% - Accent4 2 4 3 3 5 2 2" xfId="31600" xr:uid="{00000000-0005-0000-0000-0000381D0000}"/>
    <cellStyle name="20% - Accent4 2 4 3 3 5 2 2 2" xfId="50789" xr:uid="{00000000-0005-0000-0000-0000391D0000}"/>
    <cellStyle name="20% - Accent4 2 4 3 3 5 2 3" xfId="41091" xr:uid="{00000000-0005-0000-0000-00003A1D0000}"/>
    <cellStyle name="20% - Accent4 2 4 3 3 5 3" xfId="27145" xr:uid="{00000000-0005-0000-0000-00003B1D0000}"/>
    <cellStyle name="20% - Accent4 2 4 3 3 5 3 2" xfId="46334" xr:uid="{00000000-0005-0000-0000-00003C1D0000}"/>
    <cellStyle name="20% - Accent4 2 4 3 3 5 4" xfId="36636" xr:uid="{00000000-0005-0000-0000-00003D1D0000}"/>
    <cellStyle name="20% - Accent4 2 4 3 3 6" xfId="17334" xr:uid="{00000000-0005-0000-0000-00003E1D0000}"/>
    <cellStyle name="20% - Accent4 2 4 3 3 6 2" xfId="21789" xr:uid="{00000000-0005-0000-0000-00003F1D0000}"/>
    <cellStyle name="20% - Accent4 2 4 3 3 6 2 2" xfId="32157" xr:uid="{00000000-0005-0000-0000-0000401D0000}"/>
    <cellStyle name="20% - Accent4 2 4 3 3 6 2 2 2" xfId="51346" xr:uid="{00000000-0005-0000-0000-0000411D0000}"/>
    <cellStyle name="20% - Accent4 2 4 3 3 6 2 3" xfId="41648" xr:uid="{00000000-0005-0000-0000-0000421D0000}"/>
    <cellStyle name="20% - Accent4 2 4 3 3 6 3" xfId="27702" xr:uid="{00000000-0005-0000-0000-0000431D0000}"/>
    <cellStyle name="20% - Accent4 2 4 3 3 6 3 2" xfId="46891" xr:uid="{00000000-0005-0000-0000-0000441D0000}"/>
    <cellStyle name="20% - Accent4 2 4 3 3 6 4" xfId="37193" xr:uid="{00000000-0005-0000-0000-0000451D0000}"/>
    <cellStyle name="20% - Accent4 2 4 3 3 7" xfId="17891" xr:uid="{00000000-0005-0000-0000-0000461D0000}"/>
    <cellStyle name="20% - Accent4 2 4 3 3 7 2" xfId="28259" xr:uid="{00000000-0005-0000-0000-0000471D0000}"/>
    <cellStyle name="20% - Accent4 2 4 3 3 7 2 2" xfId="47448" xr:uid="{00000000-0005-0000-0000-0000481D0000}"/>
    <cellStyle name="20% - Accent4 2 4 3 3 7 3" xfId="37750" xr:uid="{00000000-0005-0000-0000-0000491D0000}"/>
    <cellStyle name="20% - Accent4 2 4 3 3 8" xfId="23754" xr:uid="{00000000-0005-0000-0000-00004A1D0000}"/>
    <cellStyle name="20% - Accent4 2 4 3 3 8 2" xfId="42993" xr:uid="{00000000-0005-0000-0000-00004B1D0000}"/>
    <cellStyle name="20% - Accent4 2 4 3 3 9" xfId="33295" xr:uid="{00000000-0005-0000-0000-00004C1D0000}"/>
    <cellStyle name="20% - Accent4 2 4 3 4" xfId="13945" xr:uid="{00000000-0005-0000-0000-00004D1D0000}"/>
    <cellStyle name="20% - Accent4 2 4 3 4 2" xfId="16209" xr:uid="{00000000-0005-0000-0000-00004E1D0000}"/>
    <cellStyle name="20% - Accent4 2 4 3 4 2 2" xfId="20673" xr:uid="{00000000-0005-0000-0000-00004F1D0000}"/>
    <cellStyle name="20% - Accent4 2 4 3 4 2 2 2" xfId="31041" xr:uid="{00000000-0005-0000-0000-0000501D0000}"/>
    <cellStyle name="20% - Accent4 2 4 3 4 2 2 2 2" xfId="50230" xr:uid="{00000000-0005-0000-0000-0000511D0000}"/>
    <cellStyle name="20% - Accent4 2 4 3 4 2 2 3" xfId="40532" xr:uid="{00000000-0005-0000-0000-0000521D0000}"/>
    <cellStyle name="20% - Accent4 2 4 3 4 2 3" xfId="26586" xr:uid="{00000000-0005-0000-0000-0000531D0000}"/>
    <cellStyle name="20% - Accent4 2 4 3 4 2 3 2" xfId="45775" xr:uid="{00000000-0005-0000-0000-0000541D0000}"/>
    <cellStyle name="20% - Accent4 2 4 3 4 2 4" xfId="36077" xr:uid="{00000000-0005-0000-0000-0000551D0000}"/>
    <cellStyle name="20% - Accent4 2 4 3 4 3" xfId="18445" xr:uid="{00000000-0005-0000-0000-0000561D0000}"/>
    <cellStyle name="20% - Accent4 2 4 3 4 3 2" xfId="28813" xr:uid="{00000000-0005-0000-0000-0000571D0000}"/>
    <cellStyle name="20% - Accent4 2 4 3 4 3 2 2" xfId="48002" xr:uid="{00000000-0005-0000-0000-0000581D0000}"/>
    <cellStyle name="20% - Accent4 2 4 3 4 3 3" xfId="38304" xr:uid="{00000000-0005-0000-0000-0000591D0000}"/>
    <cellStyle name="20% - Accent4 2 4 3 4 4" xfId="24353" xr:uid="{00000000-0005-0000-0000-00005A1D0000}"/>
    <cellStyle name="20% - Accent4 2 4 3 4 4 2" xfId="43547" xr:uid="{00000000-0005-0000-0000-00005B1D0000}"/>
    <cellStyle name="20% - Accent4 2 4 3 4 5" xfId="33849" xr:uid="{00000000-0005-0000-0000-00005C1D0000}"/>
    <cellStyle name="20% - Accent4 2 4 3 5" xfId="14524" xr:uid="{00000000-0005-0000-0000-00005D1D0000}"/>
    <cellStyle name="20% - Accent4 2 4 3 5 2" xfId="15653" xr:uid="{00000000-0005-0000-0000-00005E1D0000}"/>
    <cellStyle name="20% - Accent4 2 4 3 5 2 2" xfId="20117" xr:uid="{00000000-0005-0000-0000-00005F1D0000}"/>
    <cellStyle name="20% - Accent4 2 4 3 5 2 2 2" xfId="30485" xr:uid="{00000000-0005-0000-0000-0000601D0000}"/>
    <cellStyle name="20% - Accent4 2 4 3 5 2 2 2 2" xfId="49674" xr:uid="{00000000-0005-0000-0000-0000611D0000}"/>
    <cellStyle name="20% - Accent4 2 4 3 5 2 2 3" xfId="39976" xr:uid="{00000000-0005-0000-0000-0000621D0000}"/>
    <cellStyle name="20% - Accent4 2 4 3 5 2 3" xfId="26030" xr:uid="{00000000-0005-0000-0000-0000631D0000}"/>
    <cellStyle name="20% - Accent4 2 4 3 5 2 3 2" xfId="45219" xr:uid="{00000000-0005-0000-0000-0000641D0000}"/>
    <cellStyle name="20% - Accent4 2 4 3 5 2 4" xfId="35521" xr:uid="{00000000-0005-0000-0000-0000651D0000}"/>
    <cellStyle name="20% - Accent4 2 4 3 5 3" xfId="19002" xr:uid="{00000000-0005-0000-0000-0000661D0000}"/>
    <cellStyle name="20% - Accent4 2 4 3 5 3 2" xfId="29370" xr:uid="{00000000-0005-0000-0000-0000671D0000}"/>
    <cellStyle name="20% - Accent4 2 4 3 5 3 2 2" xfId="48559" xr:uid="{00000000-0005-0000-0000-0000681D0000}"/>
    <cellStyle name="20% - Accent4 2 4 3 5 3 3" xfId="38861" xr:uid="{00000000-0005-0000-0000-0000691D0000}"/>
    <cellStyle name="20% - Accent4 2 4 3 5 4" xfId="24915" xr:uid="{00000000-0005-0000-0000-00006A1D0000}"/>
    <cellStyle name="20% - Accent4 2 4 3 5 4 2" xfId="44104" xr:uid="{00000000-0005-0000-0000-00006B1D0000}"/>
    <cellStyle name="20% - Accent4 2 4 3 5 5" xfId="34406" xr:uid="{00000000-0005-0000-0000-00006C1D0000}"/>
    <cellStyle name="20% - Accent4 2 4 3 6" xfId="15096" xr:uid="{00000000-0005-0000-0000-00006D1D0000}"/>
    <cellStyle name="20% - Accent4 2 4 3 6 2" xfId="19560" xr:uid="{00000000-0005-0000-0000-00006E1D0000}"/>
    <cellStyle name="20% - Accent4 2 4 3 6 2 2" xfId="29928" xr:uid="{00000000-0005-0000-0000-00006F1D0000}"/>
    <cellStyle name="20% - Accent4 2 4 3 6 2 2 2" xfId="49117" xr:uid="{00000000-0005-0000-0000-0000701D0000}"/>
    <cellStyle name="20% - Accent4 2 4 3 6 2 3" xfId="39419" xr:uid="{00000000-0005-0000-0000-0000711D0000}"/>
    <cellStyle name="20% - Accent4 2 4 3 6 3" xfId="25473" xr:uid="{00000000-0005-0000-0000-0000721D0000}"/>
    <cellStyle name="20% - Accent4 2 4 3 6 3 2" xfId="44662" xr:uid="{00000000-0005-0000-0000-0000731D0000}"/>
    <cellStyle name="20% - Accent4 2 4 3 6 4" xfId="34964" xr:uid="{00000000-0005-0000-0000-0000741D0000}"/>
    <cellStyle name="20% - Accent4 2 4 3 7" xfId="16766" xr:uid="{00000000-0005-0000-0000-0000751D0000}"/>
    <cellStyle name="20% - Accent4 2 4 3 7 2" xfId="21230" xr:uid="{00000000-0005-0000-0000-0000761D0000}"/>
    <cellStyle name="20% - Accent4 2 4 3 7 2 2" xfId="31598" xr:uid="{00000000-0005-0000-0000-0000771D0000}"/>
    <cellStyle name="20% - Accent4 2 4 3 7 2 2 2" xfId="50787" xr:uid="{00000000-0005-0000-0000-0000781D0000}"/>
    <cellStyle name="20% - Accent4 2 4 3 7 2 3" xfId="41089" xr:uid="{00000000-0005-0000-0000-0000791D0000}"/>
    <cellStyle name="20% - Accent4 2 4 3 7 3" xfId="27143" xr:uid="{00000000-0005-0000-0000-00007A1D0000}"/>
    <cellStyle name="20% - Accent4 2 4 3 7 3 2" xfId="46332" xr:uid="{00000000-0005-0000-0000-00007B1D0000}"/>
    <cellStyle name="20% - Accent4 2 4 3 7 4" xfId="36634" xr:uid="{00000000-0005-0000-0000-00007C1D0000}"/>
    <cellStyle name="20% - Accent4 2 4 3 8" xfId="17332" xr:uid="{00000000-0005-0000-0000-00007D1D0000}"/>
    <cellStyle name="20% - Accent4 2 4 3 8 2" xfId="21787" xr:uid="{00000000-0005-0000-0000-00007E1D0000}"/>
    <cellStyle name="20% - Accent4 2 4 3 8 2 2" xfId="32155" xr:uid="{00000000-0005-0000-0000-00007F1D0000}"/>
    <cellStyle name="20% - Accent4 2 4 3 8 2 2 2" xfId="51344" xr:uid="{00000000-0005-0000-0000-0000801D0000}"/>
    <cellStyle name="20% - Accent4 2 4 3 8 2 3" xfId="41646" xr:uid="{00000000-0005-0000-0000-0000811D0000}"/>
    <cellStyle name="20% - Accent4 2 4 3 8 3" xfId="27700" xr:uid="{00000000-0005-0000-0000-0000821D0000}"/>
    <cellStyle name="20% - Accent4 2 4 3 8 3 2" xfId="46889" xr:uid="{00000000-0005-0000-0000-0000831D0000}"/>
    <cellStyle name="20% - Accent4 2 4 3 8 4" xfId="37191" xr:uid="{00000000-0005-0000-0000-0000841D0000}"/>
    <cellStyle name="20% - Accent4 2 4 3 9" xfId="17889" xr:uid="{00000000-0005-0000-0000-0000851D0000}"/>
    <cellStyle name="20% - Accent4 2 4 3 9 2" xfId="28257" xr:uid="{00000000-0005-0000-0000-0000861D0000}"/>
    <cellStyle name="20% - Accent4 2 4 3 9 2 2" xfId="47446" xr:uid="{00000000-0005-0000-0000-0000871D0000}"/>
    <cellStyle name="20% - Accent4 2 4 3 9 3" xfId="37748" xr:uid="{00000000-0005-0000-0000-0000881D0000}"/>
    <cellStyle name="20% - Accent4 2 4 4" xfId="12998" xr:uid="{00000000-0005-0000-0000-0000891D0000}"/>
    <cellStyle name="20% - Accent4 2 4 4 10" xfId="53456" xr:uid="{00000000-0005-0000-0000-00008A1D0000}"/>
    <cellStyle name="20% - Accent4 2 4 4 2" xfId="13948" xr:uid="{00000000-0005-0000-0000-00008B1D0000}"/>
    <cellStyle name="20% - Accent4 2 4 4 2 2" xfId="16212" xr:uid="{00000000-0005-0000-0000-00008C1D0000}"/>
    <cellStyle name="20% - Accent4 2 4 4 2 2 2" xfId="20676" xr:uid="{00000000-0005-0000-0000-00008D1D0000}"/>
    <cellStyle name="20% - Accent4 2 4 4 2 2 2 2" xfId="31044" xr:uid="{00000000-0005-0000-0000-00008E1D0000}"/>
    <cellStyle name="20% - Accent4 2 4 4 2 2 2 2 2" xfId="50233" xr:uid="{00000000-0005-0000-0000-00008F1D0000}"/>
    <cellStyle name="20% - Accent4 2 4 4 2 2 2 3" xfId="40535" xr:uid="{00000000-0005-0000-0000-0000901D0000}"/>
    <cellStyle name="20% - Accent4 2 4 4 2 2 3" xfId="26589" xr:uid="{00000000-0005-0000-0000-0000911D0000}"/>
    <cellStyle name="20% - Accent4 2 4 4 2 2 3 2" xfId="45778" xr:uid="{00000000-0005-0000-0000-0000921D0000}"/>
    <cellStyle name="20% - Accent4 2 4 4 2 2 4" xfId="36080" xr:uid="{00000000-0005-0000-0000-0000931D0000}"/>
    <cellStyle name="20% - Accent4 2 4 4 2 3" xfId="18448" xr:uid="{00000000-0005-0000-0000-0000941D0000}"/>
    <cellStyle name="20% - Accent4 2 4 4 2 3 2" xfId="28816" xr:uid="{00000000-0005-0000-0000-0000951D0000}"/>
    <cellStyle name="20% - Accent4 2 4 4 2 3 2 2" xfId="48005" xr:uid="{00000000-0005-0000-0000-0000961D0000}"/>
    <cellStyle name="20% - Accent4 2 4 4 2 3 3" xfId="38307" xr:uid="{00000000-0005-0000-0000-0000971D0000}"/>
    <cellStyle name="20% - Accent4 2 4 4 2 4" xfId="24356" xr:uid="{00000000-0005-0000-0000-0000981D0000}"/>
    <cellStyle name="20% - Accent4 2 4 4 2 4 2" xfId="43550" xr:uid="{00000000-0005-0000-0000-0000991D0000}"/>
    <cellStyle name="20% - Accent4 2 4 4 2 5" xfId="33852" xr:uid="{00000000-0005-0000-0000-00009A1D0000}"/>
    <cellStyle name="20% - Accent4 2 4 4 3" xfId="14527" xr:uid="{00000000-0005-0000-0000-00009B1D0000}"/>
    <cellStyle name="20% - Accent4 2 4 4 3 2" xfId="15656" xr:uid="{00000000-0005-0000-0000-00009C1D0000}"/>
    <cellStyle name="20% - Accent4 2 4 4 3 2 2" xfId="20120" xr:uid="{00000000-0005-0000-0000-00009D1D0000}"/>
    <cellStyle name="20% - Accent4 2 4 4 3 2 2 2" xfId="30488" xr:uid="{00000000-0005-0000-0000-00009E1D0000}"/>
    <cellStyle name="20% - Accent4 2 4 4 3 2 2 2 2" xfId="49677" xr:uid="{00000000-0005-0000-0000-00009F1D0000}"/>
    <cellStyle name="20% - Accent4 2 4 4 3 2 2 3" xfId="39979" xr:uid="{00000000-0005-0000-0000-0000A01D0000}"/>
    <cellStyle name="20% - Accent4 2 4 4 3 2 3" xfId="26033" xr:uid="{00000000-0005-0000-0000-0000A11D0000}"/>
    <cellStyle name="20% - Accent4 2 4 4 3 2 3 2" xfId="45222" xr:uid="{00000000-0005-0000-0000-0000A21D0000}"/>
    <cellStyle name="20% - Accent4 2 4 4 3 2 4" xfId="35524" xr:uid="{00000000-0005-0000-0000-0000A31D0000}"/>
    <cellStyle name="20% - Accent4 2 4 4 3 3" xfId="19005" xr:uid="{00000000-0005-0000-0000-0000A41D0000}"/>
    <cellStyle name="20% - Accent4 2 4 4 3 3 2" xfId="29373" xr:uid="{00000000-0005-0000-0000-0000A51D0000}"/>
    <cellStyle name="20% - Accent4 2 4 4 3 3 2 2" xfId="48562" xr:uid="{00000000-0005-0000-0000-0000A61D0000}"/>
    <cellStyle name="20% - Accent4 2 4 4 3 3 3" xfId="38864" xr:uid="{00000000-0005-0000-0000-0000A71D0000}"/>
    <cellStyle name="20% - Accent4 2 4 4 3 4" xfId="24918" xr:uid="{00000000-0005-0000-0000-0000A81D0000}"/>
    <cellStyle name="20% - Accent4 2 4 4 3 4 2" xfId="44107" xr:uid="{00000000-0005-0000-0000-0000A91D0000}"/>
    <cellStyle name="20% - Accent4 2 4 4 3 5" xfId="34409" xr:uid="{00000000-0005-0000-0000-0000AA1D0000}"/>
    <cellStyle name="20% - Accent4 2 4 4 4" xfId="15099" xr:uid="{00000000-0005-0000-0000-0000AB1D0000}"/>
    <cellStyle name="20% - Accent4 2 4 4 4 2" xfId="19563" xr:uid="{00000000-0005-0000-0000-0000AC1D0000}"/>
    <cellStyle name="20% - Accent4 2 4 4 4 2 2" xfId="29931" xr:uid="{00000000-0005-0000-0000-0000AD1D0000}"/>
    <cellStyle name="20% - Accent4 2 4 4 4 2 2 2" xfId="49120" xr:uid="{00000000-0005-0000-0000-0000AE1D0000}"/>
    <cellStyle name="20% - Accent4 2 4 4 4 2 3" xfId="39422" xr:uid="{00000000-0005-0000-0000-0000AF1D0000}"/>
    <cellStyle name="20% - Accent4 2 4 4 4 3" xfId="25476" xr:uid="{00000000-0005-0000-0000-0000B01D0000}"/>
    <cellStyle name="20% - Accent4 2 4 4 4 3 2" xfId="44665" xr:uid="{00000000-0005-0000-0000-0000B11D0000}"/>
    <cellStyle name="20% - Accent4 2 4 4 4 4" xfId="34967" xr:uid="{00000000-0005-0000-0000-0000B21D0000}"/>
    <cellStyle name="20% - Accent4 2 4 4 5" xfId="16769" xr:uid="{00000000-0005-0000-0000-0000B31D0000}"/>
    <cellStyle name="20% - Accent4 2 4 4 5 2" xfId="21233" xr:uid="{00000000-0005-0000-0000-0000B41D0000}"/>
    <cellStyle name="20% - Accent4 2 4 4 5 2 2" xfId="31601" xr:uid="{00000000-0005-0000-0000-0000B51D0000}"/>
    <cellStyle name="20% - Accent4 2 4 4 5 2 2 2" xfId="50790" xr:uid="{00000000-0005-0000-0000-0000B61D0000}"/>
    <cellStyle name="20% - Accent4 2 4 4 5 2 3" xfId="41092" xr:uid="{00000000-0005-0000-0000-0000B71D0000}"/>
    <cellStyle name="20% - Accent4 2 4 4 5 3" xfId="27146" xr:uid="{00000000-0005-0000-0000-0000B81D0000}"/>
    <cellStyle name="20% - Accent4 2 4 4 5 3 2" xfId="46335" xr:uid="{00000000-0005-0000-0000-0000B91D0000}"/>
    <cellStyle name="20% - Accent4 2 4 4 5 4" xfId="36637" xr:uid="{00000000-0005-0000-0000-0000BA1D0000}"/>
    <cellStyle name="20% - Accent4 2 4 4 6" xfId="17335" xr:uid="{00000000-0005-0000-0000-0000BB1D0000}"/>
    <cellStyle name="20% - Accent4 2 4 4 6 2" xfId="21790" xr:uid="{00000000-0005-0000-0000-0000BC1D0000}"/>
    <cellStyle name="20% - Accent4 2 4 4 6 2 2" xfId="32158" xr:uid="{00000000-0005-0000-0000-0000BD1D0000}"/>
    <cellStyle name="20% - Accent4 2 4 4 6 2 2 2" xfId="51347" xr:uid="{00000000-0005-0000-0000-0000BE1D0000}"/>
    <cellStyle name="20% - Accent4 2 4 4 6 2 3" xfId="41649" xr:uid="{00000000-0005-0000-0000-0000BF1D0000}"/>
    <cellStyle name="20% - Accent4 2 4 4 6 3" xfId="27703" xr:uid="{00000000-0005-0000-0000-0000C01D0000}"/>
    <cellStyle name="20% - Accent4 2 4 4 6 3 2" xfId="46892" xr:uid="{00000000-0005-0000-0000-0000C11D0000}"/>
    <cellStyle name="20% - Accent4 2 4 4 6 4" xfId="37194" xr:uid="{00000000-0005-0000-0000-0000C21D0000}"/>
    <cellStyle name="20% - Accent4 2 4 4 7" xfId="17892" xr:uid="{00000000-0005-0000-0000-0000C31D0000}"/>
    <cellStyle name="20% - Accent4 2 4 4 7 2" xfId="28260" xr:uid="{00000000-0005-0000-0000-0000C41D0000}"/>
    <cellStyle name="20% - Accent4 2 4 4 7 2 2" xfId="47449" xr:uid="{00000000-0005-0000-0000-0000C51D0000}"/>
    <cellStyle name="20% - Accent4 2 4 4 7 3" xfId="37751" xr:uid="{00000000-0005-0000-0000-0000C61D0000}"/>
    <cellStyle name="20% - Accent4 2 4 4 8" xfId="23755" xr:uid="{00000000-0005-0000-0000-0000C71D0000}"/>
    <cellStyle name="20% - Accent4 2 4 4 8 2" xfId="42994" xr:uid="{00000000-0005-0000-0000-0000C81D0000}"/>
    <cellStyle name="20% - Accent4 2 4 4 9" xfId="33296" xr:uid="{00000000-0005-0000-0000-0000C91D0000}"/>
    <cellStyle name="20% - Accent4 2 4 5" xfId="12999" xr:uid="{00000000-0005-0000-0000-0000CA1D0000}"/>
    <cellStyle name="20% - Accent4 2 4 5 2" xfId="13949" xr:uid="{00000000-0005-0000-0000-0000CB1D0000}"/>
    <cellStyle name="20% - Accent4 2 4 5 2 2" xfId="16213" xr:uid="{00000000-0005-0000-0000-0000CC1D0000}"/>
    <cellStyle name="20% - Accent4 2 4 5 2 2 2" xfId="20677" xr:uid="{00000000-0005-0000-0000-0000CD1D0000}"/>
    <cellStyle name="20% - Accent4 2 4 5 2 2 2 2" xfId="31045" xr:uid="{00000000-0005-0000-0000-0000CE1D0000}"/>
    <cellStyle name="20% - Accent4 2 4 5 2 2 2 2 2" xfId="50234" xr:uid="{00000000-0005-0000-0000-0000CF1D0000}"/>
    <cellStyle name="20% - Accent4 2 4 5 2 2 2 3" xfId="40536" xr:uid="{00000000-0005-0000-0000-0000D01D0000}"/>
    <cellStyle name="20% - Accent4 2 4 5 2 2 3" xfId="26590" xr:uid="{00000000-0005-0000-0000-0000D11D0000}"/>
    <cellStyle name="20% - Accent4 2 4 5 2 2 3 2" xfId="45779" xr:uid="{00000000-0005-0000-0000-0000D21D0000}"/>
    <cellStyle name="20% - Accent4 2 4 5 2 2 4" xfId="36081" xr:uid="{00000000-0005-0000-0000-0000D31D0000}"/>
    <cellStyle name="20% - Accent4 2 4 5 2 3" xfId="18449" xr:uid="{00000000-0005-0000-0000-0000D41D0000}"/>
    <cellStyle name="20% - Accent4 2 4 5 2 3 2" xfId="28817" xr:uid="{00000000-0005-0000-0000-0000D51D0000}"/>
    <cellStyle name="20% - Accent4 2 4 5 2 3 2 2" xfId="48006" xr:uid="{00000000-0005-0000-0000-0000D61D0000}"/>
    <cellStyle name="20% - Accent4 2 4 5 2 3 3" xfId="38308" xr:uid="{00000000-0005-0000-0000-0000D71D0000}"/>
    <cellStyle name="20% - Accent4 2 4 5 2 4" xfId="24357" xr:uid="{00000000-0005-0000-0000-0000D81D0000}"/>
    <cellStyle name="20% - Accent4 2 4 5 2 4 2" xfId="43551" xr:uid="{00000000-0005-0000-0000-0000D91D0000}"/>
    <cellStyle name="20% - Accent4 2 4 5 2 5" xfId="33853" xr:uid="{00000000-0005-0000-0000-0000DA1D0000}"/>
    <cellStyle name="20% - Accent4 2 4 5 3" xfId="14528" xr:uid="{00000000-0005-0000-0000-0000DB1D0000}"/>
    <cellStyle name="20% - Accent4 2 4 5 3 2" xfId="15657" xr:uid="{00000000-0005-0000-0000-0000DC1D0000}"/>
    <cellStyle name="20% - Accent4 2 4 5 3 2 2" xfId="20121" xr:uid="{00000000-0005-0000-0000-0000DD1D0000}"/>
    <cellStyle name="20% - Accent4 2 4 5 3 2 2 2" xfId="30489" xr:uid="{00000000-0005-0000-0000-0000DE1D0000}"/>
    <cellStyle name="20% - Accent4 2 4 5 3 2 2 2 2" xfId="49678" xr:uid="{00000000-0005-0000-0000-0000DF1D0000}"/>
    <cellStyle name="20% - Accent4 2 4 5 3 2 2 3" xfId="39980" xr:uid="{00000000-0005-0000-0000-0000E01D0000}"/>
    <cellStyle name="20% - Accent4 2 4 5 3 2 3" xfId="26034" xr:uid="{00000000-0005-0000-0000-0000E11D0000}"/>
    <cellStyle name="20% - Accent4 2 4 5 3 2 3 2" xfId="45223" xr:uid="{00000000-0005-0000-0000-0000E21D0000}"/>
    <cellStyle name="20% - Accent4 2 4 5 3 2 4" xfId="35525" xr:uid="{00000000-0005-0000-0000-0000E31D0000}"/>
    <cellStyle name="20% - Accent4 2 4 5 3 3" xfId="19006" xr:uid="{00000000-0005-0000-0000-0000E41D0000}"/>
    <cellStyle name="20% - Accent4 2 4 5 3 3 2" xfId="29374" xr:uid="{00000000-0005-0000-0000-0000E51D0000}"/>
    <cellStyle name="20% - Accent4 2 4 5 3 3 2 2" xfId="48563" xr:uid="{00000000-0005-0000-0000-0000E61D0000}"/>
    <cellStyle name="20% - Accent4 2 4 5 3 3 3" xfId="38865" xr:uid="{00000000-0005-0000-0000-0000E71D0000}"/>
    <cellStyle name="20% - Accent4 2 4 5 3 4" xfId="24919" xr:uid="{00000000-0005-0000-0000-0000E81D0000}"/>
    <cellStyle name="20% - Accent4 2 4 5 3 4 2" xfId="44108" xr:uid="{00000000-0005-0000-0000-0000E91D0000}"/>
    <cellStyle name="20% - Accent4 2 4 5 3 5" xfId="34410" xr:uid="{00000000-0005-0000-0000-0000EA1D0000}"/>
    <cellStyle name="20% - Accent4 2 4 5 4" xfId="15100" xr:uid="{00000000-0005-0000-0000-0000EB1D0000}"/>
    <cellStyle name="20% - Accent4 2 4 5 4 2" xfId="19564" xr:uid="{00000000-0005-0000-0000-0000EC1D0000}"/>
    <cellStyle name="20% - Accent4 2 4 5 4 2 2" xfId="29932" xr:uid="{00000000-0005-0000-0000-0000ED1D0000}"/>
    <cellStyle name="20% - Accent4 2 4 5 4 2 2 2" xfId="49121" xr:uid="{00000000-0005-0000-0000-0000EE1D0000}"/>
    <cellStyle name="20% - Accent4 2 4 5 4 2 3" xfId="39423" xr:uid="{00000000-0005-0000-0000-0000EF1D0000}"/>
    <cellStyle name="20% - Accent4 2 4 5 4 3" xfId="25477" xr:uid="{00000000-0005-0000-0000-0000F01D0000}"/>
    <cellStyle name="20% - Accent4 2 4 5 4 3 2" xfId="44666" xr:uid="{00000000-0005-0000-0000-0000F11D0000}"/>
    <cellStyle name="20% - Accent4 2 4 5 4 4" xfId="34968" xr:uid="{00000000-0005-0000-0000-0000F21D0000}"/>
    <cellStyle name="20% - Accent4 2 4 5 5" xfId="16770" xr:uid="{00000000-0005-0000-0000-0000F31D0000}"/>
    <cellStyle name="20% - Accent4 2 4 5 5 2" xfId="21234" xr:uid="{00000000-0005-0000-0000-0000F41D0000}"/>
    <cellStyle name="20% - Accent4 2 4 5 5 2 2" xfId="31602" xr:uid="{00000000-0005-0000-0000-0000F51D0000}"/>
    <cellStyle name="20% - Accent4 2 4 5 5 2 2 2" xfId="50791" xr:uid="{00000000-0005-0000-0000-0000F61D0000}"/>
    <cellStyle name="20% - Accent4 2 4 5 5 2 3" xfId="41093" xr:uid="{00000000-0005-0000-0000-0000F71D0000}"/>
    <cellStyle name="20% - Accent4 2 4 5 5 3" xfId="27147" xr:uid="{00000000-0005-0000-0000-0000F81D0000}"/>
    <cellStyle name="20% - Accent4 2 4 5 5 3 2" xfId="46336" xr:uid="{00000000-0005-0000-0000-0000F91D0000}"/>
    <cellStyle name="20% - Accent4 2 4 5 5 4" xfId="36638" xr:uid="{00000000-0005-0000-0000-0000FA1D0000}"/>
    <cellStyle name="20% - Accent4 2 4 5 6" xfId="17336" xr:uid="{00000000-0005-0000-0000-0000FB1D0000}"/>
    <cellStyle name="20% - Accent4 2 4 5 6 2" xfId="21791" xr:uid="{00000000-0005-0000-0000-0000FC1D0000}"/>
    <cellStyle name="20% - Accent4 2 4 5 6 2 2" xfId="32159" xr:uid="{00000000-0005-0000-0000-0000FD1D0000}"/>
    <cellStyle name="20% - Accent4 2 4 5 6 2 2 2" xfId="51348" xr:uid="{00000000-0005-0000-0000-0000FE1D0000}"/>
    <cellStyle name="20% - Accent4 2 4 5 6 2 3" xfId="41650" xr:uid="{00000000-0005-0000-0000-0000FF1D0000}"/>
    <cellStyle name="20% - Accent4 2 4 5 6 3" xfId="27704" xr:uid="{00000000-0005-0000-0000-0000001E0000}"/>
    <cellStyle name="20% - Accent4 2 4 5 6 3 2" xfId="46893" xr:uid="{00000000-0005-0000-0000-0000011E0000}"/>
    <cellStyle name="20% - Accent4 2 4 5 6 4" xfId="37195" xr:uid="{00000000-0005-0000-0000-0000021E0000}"/>
    <cellStyle name="20% - Accent4 2 4 5 7" xfId="17893" xr:uid="{00000000-0005-0000-0000-0000031E0000}"/>
    <cellStyle name="20% - Accent4 2 4 5 7 2" xfId="28261" xr:uid="{00000000-0005-0000-0000-0000041E0000}"/>
    <cellStyle name="20% - Accent4 2 4 5 7 2 2" xfId="47450" xr:uid="{00000000-0005-0000-0000-0000051E0000}"/>
    <cellStyle name="20% - Accent4 2 4 5 7 3" xfId="37752" xr:uid="{00000000-0005-0000-0000-0000061E0000}"/>
    <cellStyle name="20% - Accent4 2 4 5 8" xfId="23756" xr:uid="{00000000-0005-0000-0000-0000071E0000}"/>
    <cellStyle name="20% - Accent4 2 4 5 8 2" xfId="42995" xr:uid="{00000000-0005-0000-0000-0000081E0000}"/>
    <cellStyle name="20% - Accent4 2 4 5 9" xfId="33297" xr:uid="{00000000-0005-0000-0000-0000091E0000}"/>
    <cellStyle name="20% - Accent4 2 4 6" xfId="12135" xr:uid="{00000000-0005-0000-0000-00000A1E0000}"/>
    <cellStyle name="20% - Accent4 2 4 7" xfId="52567" xr:uid="{00000000-0005-0000-0000-00000B1E0000}"/>
    <cellStyle name="20% - Accent4 2 4 8" xfId="12000" xr:uid="{00000000-0005-0000-0000-00000C1E0000}"/>
    <cellStyle name="20% - Accent4 2 5" xfId="1711" xr:uid="{00000000-0005-0000-0000-00000D1E0000}"/>
    <cellStyle name="20% - Accent4 2 5 2" xfId="13000" xr:uid="{00000000-0005-0000-0000-00000E1E0000}"/>
    <cellStyle name="20% - Accent4 2 5 2 10" xfId="23757" xr:uid="{00000000-0005-0000-0000-00000F1E0000}"/>
    <cellStyle name="20% - Accent4 2 5 2 10 2" xfId="42996" xr:uid="{00000000-0005-0000-0000-0000101E0000}"/>
    <cellStyle name="20% - Accent4 2 5 2 11" xfId="33298" xr:uid="{00000000-0005-0000-0000-0000111E0000}"/>
    <cellStyle name="20% - Accent4 2 5 2 12" xfId="52801" xr:uid="{00000000-0005-0000-0000-0000121E0000}"/>
    <cellStyle name="20% - Accent4 2 5 2 2" xfId="13001" xr:uid="{00000000-0005-0000-0000-0000131E0000}"/>
    <cellStyle name="20% - Accent4 2 5 2 2 10" xfId="53229" xr:uid="{00000000-0005-0000-0000-0000141E0000}"/>
    <cellStyle name="20% - Accent4 2 5 2 2 2" xfId="13951" xr:uid="{00000000-0005-0000-0000-0000151E0000}"/>
    <cellStyle name="20% - Accent4 2 5 2 2 2 2" xfId="16215" xr:uid="{00000000-0005-0000-0000-0000161E0000}"/>
    <cellStyle name="20% - Accent4 2 5 2 2 2 2 2" xfId="20679" xr:uid="{00000000-0005-0000-0000-0000171E0000}"/>
    <cellStyle name="20% - Accent4 2 5 2 2 2 2 2 2" xfId="31047" xr:uid="{00000000-0005-0000-0000-0000181E0000}"/>
    <cellStyle name="20% - Accent4 2 5 2 2 2 2 2 2 2" xfId="50236" xr:uid="{00000000-0005-0000-0000-0000191E0000}"/>
    <cellStyle name="20% - Accent4 2 5 2 2 2 2 2 3" xfId="40538" xr:uid="{00000000-0005-0000-0000-00001A1E0000}"/>
    <cellStyle name="20% - Accent4 2 5 2 2 2 2 3" xfId="26592" xr:uid="{00000000-0005-0000-0000-00001B1E0000}"/>
    <cellStyle name="20% - Accent4 2 5 2 2 2 2 3 2" xfId="45781" xr:uid="{00000000-0005-0000-0000-00001C1E0000}"/>
    <cellStyle name="20% - Accent4 2 5 2 2 2 2 4" xfId="36083" xr:uid="{00000000-0005-0000-0000-00001D1E0000}"/>
    <cellStyle name="20% - Accent4 2 5 2 2 2 3" xfId="18451" xr:uid="{00000000-0005-0000-0000-00001E1E0000}"/>
    <cellStyle name="20% - Accent4 2 5 2 2 2 3 2" xfId="28819" xr:uid="{00000000-0005-0000-0000-00001F1E0000}"/>
    <cellStyle name="20% - Accent4 2 5 2 2 2 3 2 2" xfId="48008" xr:uid="{00000000-0005-0000-0000-0000201E0000}"/>
    <cellStyle name="20% - Accent4 2 5 2 2 2 3 3" xfId="38310" xr:uid="{00000000-0005-0000-0000-0000211E0000}"/>
    <cellStyle name="20% - Accent4 2 5 2 2 2 4" xfId="24359" xr:uid="{00000000-0005-0000-0000-0000221E0000}"/>
    <cellStyle name="20% - Accent4 2 5 2 2 2 4 2" xfId="43553" xr:uid="{00000000-0005-0000-0000-0000231E0000}"/>
    <cellStyle name="20% - Accent4 2 5 2 2 2 5" xfId="33855" xr:uid="{00000000-0005-0000-0000-0000241E0000}"/>
    <cellStyle name="20% - Accent4 2 5 2 2 2 6" xfId="54082" xr:uid="{00000000-0005-0000-0000-0000251E0000}"/>
    <cellStyle name="20% - Accent4 2 5 2 2 3" xfId="14530" xr:uid="{00000000-0005-0000-0000-0000261E0000}"/>
    <cellStyle name="20% - Accent4 2 5 2 2 3 2" xfId="15659" xr:uid="{00000000-0005-0000-0000-0000271E0000}"/>
    <cellStyle name="20% - Accent4 2 5 2 2 3 2 2" xfId="20123" xr:uid="{00000000-0005-0000-0000-0000281E0000}"/>
    <cellStyle name="20% - Accent4 2 5 2 2 3 2 2 2" xfId="30491" xr:uid="{00000000-0005-0000-0000-0000291E0000}"/>
    <cellStyle name="20% - Accent4 2 5 2 2 3 2 2 2 2" xfId="49680" xr:uid="{00000000-0005-0000-0000-00002A1E0000}"/>
    <cellStyle name="20% - Accent4 2 5 2 2 3 2 2 3" xfId="39982" xr:uid="{00000000-0005-0000-0000-00002B1E0000}"/>
    <cellStyle name="20% - Accent4 2 5 2 2 3 2 3" xfId="26036" xr:uid="{00000000-0005-0000-0000-00002C1E0000}"/>
    <cellStyle name="20% - Accent4 2 5 2 2 3 2 3 2" xfId="45225" xr:uid="{00000000-0005-0000-0000-00002D1E0000}"/>
    <cellStyle name="20% - Accent4 2 5 2 2 3 2 4" xfId="35527" xr:uid="{00000000-0005-0000-0000-00002E1E0000}"/>
    <cellStyle name="20% - Accent4 2 5 2 2 3 3" xfId="19008" xr:uid="{00000000-0005-0000-0000-00002F1E0000}"/>
    <cellStyle name="20% - Accent4 2 5 2 2 3 3 2" xfId="29376" xr:uid="{00000000-0005-0000-0000-0000301E0000}"/>
    <cellStyle name="20% - Accent4 2 5 2 2 3 3 2 2" xfId="48565" xr:uid="{00000000-0005-0000-0000-0000311E0000}"/>
    <cellStyle name="20% - Accent4 2 5 2 2 3 3 3" xfId="38867" xr:uid="{00000000-0005-0000-0000-0000321E0000}"/>
    <cellStyle name="20% - Accent4 2 5 2 2 3 4" xfId="24921" xr:uid="{00000000-0005-0000-0000-0000331E0000}"/>
    <cellStyle name="20% - Accent4 2 5 2 2 3 4 2" xfId="44110" xr:uid="{00000000-0005-0000-0000-0000341E0000}"/>
    <cellStyle name="20% - Accent4 2 5 2 2 3 5" xfId="34412" xr:uid="{00000000-0005-0000-0000-0000351E0000}"/>
    <cellStyle name="20% - Accent4 2 5 2 2 4" xfId="15102" xr:uid="{00000000-0005-0000-0000-0000361E0000}"/>
    <cellStyle name="20% - Accent4 2 5 2 2 4 2" xfId="19566" xr:uid="{00000000-0005-0000-0000-0000371E0000}"/>
    <cellStyle name="20% - Accent4 2 5 2 2 4 2 2" xfId="29934" xr:uid="{00000000-0005-0000-0000-0000381E0000}"/>
    <cellStyle name="20% - Accent4 2 5 2 2 4 2 2 2" xfId="49123" xr:uid="{00000000-0005-0000-0000-0000391E0000}"/>
    <cellStyle name="20% - Accent4 2 5 2 2 4 2 3" xfId="39425" xr:uid="{00000000-0005-0000-0000-00003A1E0000}"/>
    <cellStyle name="20% - Accent4 2 5 2 2 4 3" xfId="25479" xr:uid="{00000000-0005-0000-0000-00003B1E0000}"/>
    <cellStyle name="20% - Accent4 2 5 2 2 4 3 2" xfId="44668" xr:uid="{00000000-0005-0000-0000-00003C1E0000}"/>
    <cellStyle name="20% - Accent4 2 5 2 2 4 4" xfId="34970" xr:uid="{00000000-0005-0000-0000-00003D1E0000}"/>
    <cellStyle name="20% - Accent4 2 5 2 2 5" xfId="16772" xr:uid="{00000000-0005-0000-0000-00003E1E0000}"/>
    <cellStyle name="20% - Accent4 2 5 2 2 5 2" xfId="21236" xr:uid="{00000000-0005-0000-0000-00003F1E0000}"/>
    <cellStyle name="20% - Accent4 2 5 2 2 5 2 2" xfId="31604" xr:uid="{00000000-0005-0000-0000-0000401E0000}"/>
    <cellStyle name="20% - Accent4 2 5 2 2 5 2 2 2" xfId="50793" xr:uid="{00000000-0005-0000-0000-0000411E0000}"/>
    <cellStyle name="20% - Accent4 2 5 2 2 5 2 3" xfId="41095" xr:uid="{00000000-0005-0000-0000-0000421E0000}"/>
    <cellStyle name="20% - Accent4 2 5 2 2 5 3" xfId="27149" xr:uid="{00000000-0005-0000-0000-0000431E0000}"/>
    <cellStyle name="20% - Accent4 2 5 2 2 5 3 2" xfId="46338" xr:uid="{00000000-0005-0000-0000-0000441E0000}"/>
    <cellStyle name="20% - Accent4 2 5 2 2 5 4" xfId="36640" xr:uid="{00000000-0005-0000-0000-0000451E0000}"/>
    <cellStyle name="20% - Accent4 2 5 2 2 6" xfId="17338" xr:uid="{00000000-0005-0000-0000-0000461E0000}"/>
    <cellStyle name="20% - Accent4 2 5 2 2 6 2" xfId="21793" xr:uid="{00000000-0005-0000-0000-0000471E0000}"/>
    <cellStyle name="20% - Accent4 2 5 2 2 6 2 2" xfId="32161" xr:uid="{00000000-0005-0000-0000-0000481E0000}"/>
    <cellStyle name="20% - Accent4 2 5 2 2 6 2 2 2" xfId="51350" xr:uid="{00000000-0005-0000-0000-0000491E0000}"/>
    <cellStyle name="20% - Accent4 2 5 2 2 6 2 3" xfId="41652" xr:uid="{00000000-0005-0000-0000-00004A1E0000}"/>
    <cellStyle name="20% - Accent4 2 5 2 2 6 3" xfId="27706" xr:uid="{00000000-0005-0000-0000-00004B1E0000}"/>
    <cellStyle name="20% - Accent4 2 5 2 2 6 3 2" xfId="46895" xr:uid="{00000000-0005-0000-0000-00004C1E0000}"/>
    <cellStyle name="20% - Accent4 2 5 2 2 6 4" xfId="37197" xr:uid="{00000000-0005-0000-0000-00004D1E0000}"/>
    <cellStyle name="20% - Accent4 2 5 2 2 7" xfId="17895" xr:uid="{00000000-0005-0000-0000-00004E1E0000}"/>
    <cellStyle name="20% - Accent4 2 5 2 2 7 2" xfId="28263" xr:uid="{00000000-0005-0000-0000-00004F1E0000}"/>
    <cellStyle name="20% - Accent4 2 5 2 2 7 2 2" xfId="47452" xr:uid="{00000000-0005-0000-0000-0000501E0000}"/>
    <cellStyle name="20% - Accent4 2 5 2 2 7 3" xfId="37754" xr:uid="{00000000-0005-0000-0000-0000511E0000}"/>
    <cellStyle name="20% - Accent4 2 5 2 2 8" xfId="23758" xr:uid="{00000000-0005-0000-0000-0000521E0000}"/>
    <cellStyle name="20% - Accent4 2 5 2 2 8 2" xfId="42997" xr:uid="{00000000-0005-0000-0000-0000531E0000}"/>
    <cellStyle name="20% - Accent4 2 5 2 2 9" xfId="33299" xr:uid="{00000000-0005-0000-0000-0000541E0000}"/>
    <cellStyle name="20% - Accent4 2 5 2 3" xfId="13002" xr:uid="{00000000-0005-0000-0000-0000551E0000}"/>
    <cellStyle name="20% - Accent4 2 5 2 3 10" xfId="53686" xr:uid="{00000000-0005-0000-0000-0000561E0000}"/>
    <cellStyle name="20% - Accent4 2 5 2 3 2" xfId="13952" xr:uid="{00000000-0005-0000-0000-0000571E0000}"/>
    <cellStyle name="20% - Accent4 2 5 2 3 2 2" xfId="16216" xr:uid="{00000000-0005-0000-0000-0000581E0000}"/>
    <cellStyle name="20% - Accent4 2 5 2 3 2 2 2" xfId="20680" xr:uid="{00000000-0005-0000-0000-0000591E0000}"/>
    <cellStyle name="20% - Accent4 2 5 2 3 2 2 2 2" xfId="31048" xr:uid="{00000000-0005-0000-0000-00005A1E0000}"/>
    <cellStyle name="20% - Accent4 2 5 2 3 2 2 2 2 2" xfId="50237" xr:uid="{00000000-0005-0000-0000-00005B1E0000}"/>
    <cellStyle name="20% - Accent4 2 5 2 3 2 2 2 3" xfId="40539" xr:uid="{00000000-0005-0000-0000-00005C1E0000}"/>
    <cellStyle name="20% - Accent4 2 5 2 3 2 2 3" xfId="26593" xr:uid="{00000000-0005-0000-0000-00005D1E0000}"/>
    <cellStyle name="20% - Accent4 2 5 2 3 2 2 3 2" xfId="45782" xr:uid="{00000000-0005-0000-0000-00005E1E0000}"/>
    <cellStyle name="20% - Accent4 2 5 2 3 2 2 4" xfId="36084" xr:uid="{00000000-0005-0000-0000-00005F1E0000}"/>
    <cellStyle name="20% - Accent4 2 5 2 3 2 3" xfId="18452" xr:uid="{00000000-0005-0000-0000-0000601E0000}"/>
    <cellStyle name="20% - Accent4 2 5 2 3 2 3 2" xfId="28820" xr:uid="{00000000-0005-0000-0000-0000611E0000}"/>
    <cellStyle name="20% - Accent4 2 5 2 3 2 3 2 2" xfId="48009" xr:uid="{00000000-0005-0000-0000-0000621E0000}"/>
    <cellStyle name="20% - Accent4 2 5 2 3 2 3 3" xfId="38311" xr:uid="{00000000-0005-0000-0000-0000631E0000}"/>
    <cellStyle name="20% - Accent4 2 5 2 3 2 4" xfId="24360" xr:uid="{00000000-0005-0000-0000-0000641E0000}"/>
    <cellStyle name="20% - Accent4 2 5 2 3 2 4 2" xfId="43554" xr:uid="{00000000-0005-0000-0000-0000651E0000}"/>
    <cellStyle name="20% - Accent4 2 5 2 3 2 5" xfId="33856" xr:uid="{00000000-0005-0000-0000-0000661E0000}"/>
    <cellStyle name="20% - Accent4 2 5 2 3 3" xfId="14531" xr:uid="{00000000-0005-0000-0000-0000671E0000}"/>
    <cellStyle name="20% - Accent4 2 5 2 3 3 2" xfId="15660" xr:uid="{00000000-0005-0000-0000-0000681E0000}"/>
    <cellStyle name="20% - Accent4 2 5 2 3 3 2 2" xfId="20124" xr:uid="{00000000-0005-0000-0000-0000691E0000}"/>
    <cellStyle name="20% - Accent4 2 5 2 3 3 2 2 2" xfId="30492" xr:uid="{00000000-0005-0000-0000-00006A1E0000}"/>
    <cellStyle name="20% - Accent4 2 5 2 3 3 2 2 2 2" xfId="49681" xr:uid="{00000000-0005-0000-0000-00006B1E0000}"/>
    <cellStyle name="20% - Accent4 2 5 2 3 3 2 2 3" xfId="39983" xr:uid="{00000000-0005-0000-0000-00006C1E0000}"/>
    <cellStyle name="20% - Accent4 2 5 2 3 3 2 3" xfId="26037" xr:uid="{00000000-0005-0000-0000-00006D1E0000}"/>
    <cellStyle name="20% - Accent4 2 5 2 3 3 2 3 2" xfId="45226" xr:uid="{00000000-0005-0000-0000-00006E1E0000}"/>
    <cellStyle name="20% - Accent4 2 5 2 3 3 2 4" xfId="35528" xr:uid="{00000000-0005-0000-0000-00006F1E0000}"/>
    <cellStyle name="20% - Accent4 2 5 2 3 3 3" xfId="19009" xr:uid="{00000000-0005-0000-0000-0000701E0000}"/>
    <cellStyle name="20% - Accent4 2 5 2 3 3 3 2" xfId="29377" xr:uid="{00000000-0005-0000-0000-0000711E0000}"/>
    <cellStyle name="20% - Accent4 2 5 2 3 3 3 2 2" xfId="48566" xr:uid="{00000000-0005-0000-0000-0000721E0000}"/>
    <cellStyle name="20% - Accent4 2 5 2 3 3 3 3" xfId="38868" xr:uid="{00000000-0005-0000-0000-0000731E0000}"/>
    <cellStyle name="20% - Accent4 2 5 2 3 3 4" xfId="24922" xr:uid="{00000000-0005-0000-0000-0000741E0000}"/>
    <cellStyle name="20% - Accent4 2 5 2 3 3 4 2" xfId="44111" xr:uid="{00000000-0005-0000-0000-0000751E0000}"/>
    <cellStyle name="20% - Accent4 2 5 2 3 3 5" xfId="34413" xr:uid="{00000000-0005-0000-0000-0000761E0000}"/>
    <cellStyle name="20% - Accent4 2 5 2 3 4" xfId="15103" xr:uid="{00000000-0005-0000-0000-0000771E0000}"/>
    <cellStyle name="20% - Accent4 2 5 2 3 4 2" xfId="19567" xr:uid="{00000000-0005-0000-0000-0000781E0000}"/>
    <cellStyle name="20% - Accent4 2 5 2 3 4 2 2" xfId="29935" xr:uid="{00000000-0005-0000-0000-0000791E0000}"/>
    <cellStyle name="20% - Accent4 2 5 2 3 4 2 2 2" xfId="49124" xr:uid="{00000000-0005-0000-0000-00007A1E0000}"/>
    <cellStyle name="20% - Accent4 2 5 2 3 4 2 3" xfId="39426" xr:uid="{00000000-0005-0000-0000-00007B1E0000}"/>
    <cellStyle name="20% - Accent4 2 5 2 3 4 3" xfId="25480" xr:uid="{00000000-0005-0000-0000-00007C1E0000}"/>
    <cellStyle name="20% - Accent4 2 5 2 3 4 3 2" xfId="44669" xr:uid="{00000000-0005-0000-0000-00007D1E0000}"/>
    <cellStyle name="20% - Accent4 2 5 2 3 4 4" xfId="34971" xr:uid="{00000000-0005-0000-0000-00007E1E0000}"/>
    <cellStyle name="20% - Accent4 2 5 2 3 5" xfId="16773" xr:uid="{00000000-0005-0000-0000-00007F1E0000}"/>
    <cellStyle name="20% - Accent4 2 5 2 3 5 2" xfId="21237" xr:uid="{00000000-0005-0000-0000-0000801E0000}"/>
    <cellStyle name="20% - Accent4 2 5 2 3 5 2 2" xfId="31605" xr:uid="{00000000-0005-0000-0000-0000811E0000}"/>
    <cellStyle name="20% - Accent4 2 5 2 3 5 2 2 2" xfId="50794" xr:uid="{00000000-0005-0000-0000-0000821E0000}"/>
    <cellStyle name="20% - Accent4 2 5 2 3 5 2 3" xfId="41096" xr:uid="{00000000-0005-0000-0000-0000831E0000}"/>
    <cellStyle name="20% - Accent4 2 5 2 3 5 3" xfId="27150" xr:uid="{00000000-0005-0000-0000-0000841E0000}"/>
    <cellStyle name="20% - Accent4 2 5 2 3 5 3 2" xfId="46339" xr:uid="{00000000-0005-0000-0000-0000851E0000}"/>
    <cellStyle name="20% - Accent4 2 5 2 3 5 4" xfId="36641" xr:uid="{00000000-0005-0000-0000-0000861E0000}"/>
    <cellStyle name="20% - Accent4 2 5 2 3 6" xfId="17339" xr:uid="{00000000-0005-0000-0000-0000871E0000}"/>
    <cellStyle name="20% - Accent4 2 5 2 3 6 2" xfId="21794" xr:uid="{00000000-0005-0000-0000-0000881E0000}"/>
    <cellStyle name="20% - Accent4 2 5 2 3 6 2 2" xfId="32162" xr:uid="{00000000-0005-0000-0000-0000891E0000}"/>
    <cellStyle name="20% - Accent4 2 5 2 3 6 2 2 2" xfId="51351" xr:uid="{00000000-0005-0000-0000-00008A1E0000}"/>
    <cellStyle name="20% - Accent4 2 5 2 3 6 2 3" xfId="41653" xr:uid="{00000000-0005-0000-0000-00008B1E0000}"/>
    <cellStyle name="20% - Accent4 2 5 2 3 6 3" xfId="27707" xr:uid="{00000000-0005-0000-0000-00008C1E0000}"/>
    <cellStyle name="20% - Accent4 2 5 2 3 6 3 2" xfId="46896" xr:uid="{00000000-0005-0000-0000-00008D1E0000}"/>
    <cellStyle name="20% - Accent4 2 5 2 3 6 4" xfId="37198" xr:uid="{00000000-0005-0000-0000-00008E1E0000}"/>
    <cellStyle name="20% - Accent4 2 5 2 3 7" xfId="17896" xr:uid="{00000000-0005-0000-0000-00008F1E0000}"/>
    <cellStyle name="20% - Accent4 2 5 2 3 7 2" xfId="28264" xr:uid="{00000000-0005-0000-0000-0000901E0000}"/>
    <cellStyle name="20% - Accent4 2 5 2 3 7 2 2" xfId="47453" xr:uid="{00000000-0005-0000-0000-0000911E0000}"/>
    <cellStyle name="20% - Accent4 2 5 2 3 7 3" xfId="37755" xr:uid="{00000000-0005-0000-0000-0000921E0000}"/>
    <cellStyle name="20% - Accent4 2 5 2 3 8" xfId="23759" xr:uid="{00000000-0005-0000-0000-0000931E0000}"/>
    <cellStyle name="20% - Accent4 2 5 2 3 8 2" xfId="42998" xr:uid="{00000000-0005-0000-0000-0000941E0000}"/>
    <cellStyle name="20% - Accent4 2 5 2 3 9" xfId="33300" xr:uid="{00000000-0005-0000-0000-0000951E0000}"/>
    <cellStyle name="20% - Accent4 2 5 2 4" xfId="13950" xr:uid="{00000000-0005-0000-0000-0000961E0000}"/>
    <cellStyle name="20% - Accent4 2 5 2 4 2" xfId="16214" xr:uid="{00000000-0005-0000-0000-0000971E0000}"/>
    <cellStyle name="20% - Accent4 2 5 2 4 2 2" xfId="20678" xr:uid="{00000000-0005-0000-0000-0000981E0000}"/>
    <cellStyle name="20% - Accent4 2 5 2 4 2 2 2" xfId="31046" xr:uid="{00000000-0005-0000-0000-0000991E0000}"/>
    <cellStyle name="20% - Accent4 2 5 2 4 2 2 2 2" xfId="50235" xr:uid="{00000000-0005-0000-0000-00009A1E0000}"/>
    <cellStyle name="20% - Accent4 2 5 2 4 2 2 3" xfId="40537" xr:uid="{00000000-0005-0000-0000-00009B1E0000}"/>
    <cellStyle name="20% - Accent4 2 5 2 4 2 3" xfId="26591" xr:uid="{00000000-0005-0000-0000-00009C1E0000}"/>
    <cellStyle name="20% - Accent4 2 5 2 4 2 3 2" xfId="45780" xr:uid="{00000000-0005-0000-0000-00009D1E0000}"/>
    <cellStyle name="20% - Accent4 2 5 2 4 2 4" xfId="36082" xr:uid="{00000000-0005-0000-0000-00009E1E0000}"/>
    <cellStyle name="20% - Accent4 2 5 2 4 3" xfId="18450" xr:uid="{00000000-0005-0000-0000-00009F1E0000}"/>
    <cellStyle name="20% - Accent4 2 5 2 4 3 2" xfId="28818" xr:uid="{00000000-0005-0000-0000-0000A01E0000}"/>
    <cellStyle name="20% - Accent4 2 5 2 4 3 2 2" xfId="48007" xr:uid="{00000000-0005-0000-0000-0000A11E0000}"/>
    <cellStyle name="20% - Accent4 2 5 2 4 3 3" xfId="38309" xr:uid="{00000000-0005-0000-0000-0000A21E0000}"/>
    <cellStyle name="20% - Accent4 2 5 2 4 4" xfId="24358" xr:uid="{00000000-0005-0000-0000-0000A31E0000}"/>
    <cellStyle name="20% - Accent4 2 5 2 4 4 2" xfId="43552" xr:uid="{00000000-0005-0000-0000-0000A41E0000}"/>
    <cellStyle name="20% - Accent4 2 5 2 4 5" xfId="33854" xr:uid="{00000000-0005-0000-0000-0000A51E0000}"/>
    <cellStyle name="20% - Accent4 2 5 2 5" xfId="14529" xr:uid="{00000000-0005-0000-0000-0000A61E0000}"/>
    <cellStyle name="20% - Accent4 2 5 2 5 2" xfId="15658" xr:uid="{00000000-0005-0000-0000-0000A71E0000}"/>
    <cellStyle name="20% - Accent4 2 5 2 5 2 2" xfId="20122" xr:uid="{00000000-0005-0000-0000-0000A81E0000}"/>
    <cellStyle name="20% - Accent4 2 5 2 5 2 2 2" xfId="30490" xr:uid="{00000000-0005-0000-0000-0000A91E0000}"/>
    <cellStyle name="20% - Accent4 2 5 2 5 2 2 2 2" xfId="49679" xr:uid="{00000000-0005-0000-0000-0000AA1E0000}"/>
    <cellStyle name="20% - Accent4 2 5 2 5 2 2 3" xfId="39981" xr:uid="{00000000-0005-0000-0000-0000AB1E0000}"/>
    <cellStyle name="20% - Accent4 2 5 2 5 2 3" xfId="26035" xr:uid="{00000000-0005-0000-0000-0000AC1E0000}"/>
    <cellStyle name="20% - Accent4 2 5 2 5 2 3 2" xfId="45224" xr:uid="{00000000-0005-0000-0000-0000AD1E0000}"/>
    <cellStyle name="20% - Accent4 2 5 2 5 2 4" xfId="35526" xr:uid="{00000000-0005-0000-0000-0000AE1E0000}"/>
    <cellStyle name="20% - Accent4 2 5 2 5 3" xfId="19007" xr:uid="{00000000-0005-0000-0000-0000AF1E0000}"/>
    <cellStyle name="20% - Accent4 2 5 2 5 3 2" xfId="29375" xr:uid="{00000000-0005-0000-0000-0000B01E0000}"/>
    <cellStyle name="20% - Accent4 2 5 2 5 3 2 2" xfId="48564" xr:uid="{00000000-0005-0000-0000-0000B11E0000}"/>
    <cellStyle name="20% - Accent4 2 5 2 5 3 3" xfId="38866" xr:uid="{00000000-0005-0000-0000-0000B21E0000}"/>
    <cellStyle name="20% - Accent4 2 5 2 5 4" xfId="24920" xr:uid="{00000000-0005-0000-0000-0000B31E0000}"/>
    <cellStyle name="20% - Accent4 2 5 2 5 4 2" xfId="44109" xr:uid="{00000000-0005-0000-0000-0000B41E0000}"/>
    <cellStyle name="20% - Accent4 2 5 2 5 5" xfId="34411" xr:uid="{00000000-0005-0000-0000-0000B51E0000}"/>
    <cellStyle name="20% - Accent4 2 5 2 6" xfId="15101" xr:uid="{00000000-0005-0000-0000-0000B61E0000}"/>
    <cellStyle name="20% - Accent4 2 5 2 6 2" xfId="19565" xr:uid="{00000000-0005-0000-0000-0000B71E0000}"/>
    <cellStyle name="20% - Accent4 2 5 2 6 2 2" xfId="29933" xr:uid="{00000000-0005-0000-0000-0000B81E0000}"/>
    <cellStyle name="20% - Accent4 2 5 2 6 2 2 2" xfId="49122" xr:uid="{00000000-0005-0000-0000-0000B91E0000}"/>
    <cellStyle name="20% - Accent4 2 5 2 6 2 3" xfId="39424" xr:uid="{00000000-0005-0000-0000-0000BA1E0000}"/>
    <cellStyle name="20% - Accent4 2 5 2 6 3" xfId="25478" xr:uid="{00000000-0005-0000-0000-0000BB1E0000}"/>
    <cellStyle name="20% - Accent4 2 5 2 6 3 2" xfId="44667" xr:uid="{00000000-0005-0000-0000-0000BC1E0000}"/>
    <cellStyle name="20% - Accent4 2 5 2 6 4" xfId="34969" xr:uid="{00000000-0005-0000-0000-0000BD1E0000}"/>
    <cellStyle name="20% - Accent4 2 5 2 7" xfId="16771" xr:uid="{00000000-0005-0000-0000-0000BE1E0000}"/>
    <cellStyle name="20% - Accent4 2 5 2 7 2" xfId="21235" xr:uid="{00000000-0005-0000-0000-0000BF1E0000}"/>
    <cellStyle name="20% - Accent4 2 5 2 7 2 2" xfId="31603" xr:uid="{00000000-0005-0000-0000-0000C01E0000}"/>
    <cellStyle name="20% - Accent4 2 5 2 7 2 2 2" xfId="50792" xr:uid="{00000000-0005-0000-0000-0000C11E0000}"/>
    <cellStyle name="20% - Accent4 2 5 2 7 2 3" xfId="41094" xr:uid="{00000000-0005-0000-0000-0000C21E0000}"/>
    <cellStyle name="20% - Accent4 2 5 2 7 3" xfId="27148" xr:uid="{00000000-0005-0000-0000-0000C31E0000}"/>
    <cellStyle name="20% - Accent4 2 5 2 7 3 2" xfId="46337" xr:uid="{00000000-0005-0000-0000-0000C41E0000}"/>
    <cellStyle name="20% - Accent4 2 5 2 7 4" xfId="36639" xr:uid="{00000000-0005-0000-0000-0000C51E0000}"/>
    <cellStyle name="20% - Accent4 2 5 2 8" xfId="17337" xr:uid="{00000000-0005-0000-0000-0000C61E0000}"/>
    <cellStyle name="20% - Accent4 2 5 2 8 2" xfId="21792" xr:uid="{00000000-0005-0000-0000-0000C71E0000}"/>
    <cellStyle name="20% - Accent4 2 5 2 8 2 2" xfId="32160" xr:uid="{00000000-0005-0000-0000-0000C81E0000}"/>
    <cellStyle name="20% - Accent4 2 5 2 8 2 2 2" xfId="51349" xr:uid="{00000000-0005-0000-0000-0000C91E0000}"/>
    <cellStyle name="20% - Accent4 2 5 2 8 2 3" xfId="41651" xr:uid="{00000000-0005-0000-0000-0000CA1E0000}"/>
    <cellStyle name="20% - Accent4 2 5 2 8 3" xfId="27705" xr:uid="{00000000-0005-0000-0000-0000CB1E0000}"/>
    <cellStyle name="20% - Accent4 2 5 2 8 3 2" xfId="46894" xr:uid="{00000000-0005-0000-0000-0000CC1E0000}"/>
    <cellStyle name="20% - Accent4 2 5 2 8 4" xfId="37196" xr:uid="{00000000-0005-0000-0000-0000CD1E0000}"/>
    <cellStyle name="20% - Accent4 2 5 2 9" xfId="17894" xr:uid="{00000000-0005-0000-0000-0000CE1E0000}"/>
    <cellStyle name="20% - Accent4 2 5 2 9 2" xfId="28262" xr:uid="{00000000-0005-0000-0000-0000CF1E0000}"/>
    <cellStyle name="20% - Accent4 2 5 2 9 2 2" xfId="47451" xr:uid="{00000000-0005-0000-0000-0000D01E0000}"/>
    <cellStyle name="20% - Accent4 2 5 2 9 3" xfId="37753" xr:uid="{00000000-0005-0000-0000-0000D11E0000}"/>
    <cellStyle name="20% - Accent4 2 5 3" xfId="13003" xr:uid="{00000000-0005-0000-0000-0000D21E0000}"/>
    <cellStyle name="20% - Accent4 2 5 3 10" xfId="53011" xr:uid="{00000000-0005-0000-0000-0000D31E0000}"/>
    <cellStyle name="20% - Accent4 2 5 3 2" xfId="13953" xr:uid="{00000000-0005-0000-0000-0000D41E0000}"/>
    <cellStyle name="20% - Accent4 2 5 3 2 2" xfId="16217" xr:uid="{00000000-0005-0000-0000-0000D51E0000}"/>
    <cellStyle name="20% - Accent4 2 5 3 2 2 2" xfId="20681" xr:uid="{00000000-0005-0000-0000-0000D61E0000}"/>
    <cellStyle name="20% - Accent4 2 5 3 2 2 2 2" xfId="31049" xr:uid="{00000000-0005-0000-0000-0000D71E0000}"/>
    <cellStyle name="20% - Accent4 2 5 3 2 2 2 2 2" xfId="50238" xr:uid="{00000000-0005-0000-0000-0000D81E0000}"/>
    <cellStyle name="20% - Accent4 2 5 3 2 2 2 3" xfId="40540" xr:uid="{00000000-0005-0000-0000-0000D91E0000}"/>
    <cellStyle name="20% - Accent4 2 5 3 2 2 3" xfId="26594" xr:uid="{00000000-0005-0000-0000-0000DA1E0000}"/>
    <cellStyle name="20% - Accent4 2 5 3 2 2 3 2" xfId="45783" xr:uid="{00000000-0005-0000-0000-0000DB1E0000}"/>
    <cellStyle name="20% - Accent4 2 5 3 2 2 4" xfId="36085" xr:uid="{00000000-0005-0000-0000-0000DC1E0000}"/>
    <cellStyle name="20% - Accent4 2 5 3 2 3" xfId="18453" xr:uid="{00000000-0005-0000-0000-0000DD1E0000}"/>
    <cellStyle name="20% - Accent4 2 5 3 2 3 2" xfId="28821" xr:uid="{00000000-0005-0000-0000-0000DE1E0000}"/>
    <cellStyle name="20% - Accent4 2 5 3 2 3 2 2" xfId="48010" xr:uid="{00000000-0005-0000-0000-0000DF1E0000}"/>
    <cellStyle name="20% - Accent4 2 5 3 2 3 3" xfId="38312" xr:uid="{00000000-0005-0000-0000-0000E01E0000}"/>
    <cellStyle name="20% - Accent4 2 5 3 2 4" xfId="24361" xr:uid="{00000000-0005-0000-0000-0000E11E0000}"/>
    <cellStyle name="20% - Accent4 2 5 3 2 4 2" xfId="43555" xr:uid="{00000000-0005-0000-0000-0000E21E0000}"/>
    <cellStyle name="20% - Accent4 2 5 3 2 5" xfId="33857" xr:uid="{00000000-0005-0000-0000-0000E31E0000}"/>
    <cellStyle name="20% - Accent4 2 5 3 2 6" xfId="53886" xr:uid="{00000000-0005-0000-0000-0000E41E0000}"/>
    <cellStyle name="20% - Accent4 2 5 3 3" xfId="14532" xr:uid="{00000000-0005-0000-0000-0000E51E0000}"/>
    <cellStyle name="20% - Accent4 2 5 3 3 2" xfId="15661" xr:uid="{00000000-0005-0000-0000-0000E61E0000}"/>
    <cellStyle name="20% - Accent4 2 5 3 3 2 2" xfId="20125" xr:uid="{00000000-0005-0000-0000-0000E71E0000}"/>
    <cellStyle name="20% - Accent4 2 5 3 3 2 2 2" xfId="30493" xr:uid="{00000000-0005-0000-0000-0000E81E0000}"/>
    <cellStyle name="20% - Accent4 2 5 3 3 2 2 2 2" xfId="49682" xr:uid="{00000000-0005-0000-0000-0000E91E0000}"/>
    <cellStyle name="20% - Accent4 2 5 3 3 2 2 3" xfId="39984" xr:uid="{00000000-0005-0000-0000-0000EA1E0000}"/>
    <cellStyle name="20% - Accent4 2 5 3 3 2 3" xfId="26038" xr:uid="{00000000-0005-0000-0000-0000EB1E0000}"/>
    <cellStyle name="20% - Accent4 2 5 3 3 2 3 2" xfId="45227" xr:uid="{00000000-0005-0000-0000-0000EC1E0000}"/>
    <cellStyle name="20% - Accent4 2 5 3 3 2 4" xfId="35529" xr:uid="{00000000-0005-0000-0000-0000ED1E0000}"/>
    <cellStyle name="20% - Accent4 2 5 3 3 3" xfId="19010" xr:uid="{00000000-0005-0000-0000-0000EE1E0000}"/>
    <cellStyle name="20% - Accent4 2 5 3 3 3 2" xfId="29378" xr:uid="{00000000-0005-0000-0000-0000EF1E0000}"/>
    <cellStyle name="20% - Accent4 2 5 3 3 3 2 2" xfId="48567" xr:uid="{00000000-0005-0000-0000-0000F01E0000}"/>
    <cellStyle name="20% - Accent4 2 5 3 3 3 3" xfId="38869" xr:uid="{00000000-0005-0000-0000-0000F11E0000}"/>
    <cellStyle name="20% - Accent4 2 5 3 3 4" xfId="24923" xr:uid="{00000000-0005-0000-0000-0000F21E0000}"/>
    <cellStyle name="20% - Accent4 2 5 3 3 4 2" xfId="44112" xr:uid="{00000000-0005-0000-0000-0000F31E0000}"/>
    <cellStyle name="20% - Accent4 2 5 3 3 5" xfId="34414" xr:uid="{00000000-0005-0000-0000-0000F41E0000}"/>
    <cellStyle name="20% - Accent4 2 5 3 4" xfId="15104" xr:uid="{00000000-0005-0000-0000-0000F51E0000}"/>
    <cellStyle name="20% - Accent4 2 5 3 4 2" xfId="19568" xr:uid="{00000000-0005-0000-0000-0000F61E0000}"/>
    <cellStyle name="20% - Accent4 2 5 3 4 2 2" xfId="29936" xr:uid="{00000000-0005-0000-0000-0000F71E0000}"/>
    <cellStyle name="20% - Accent4 2 5 3 4 2 2 2" xfId="49125" xr:uid="{00000000-0005-0000-0000-0000F81E0000}"/>
    <cellStyle name="20% - Accent4 2 5 3 4 2 3" xfId="39427" xr:uid="{00000000-0005-0000-0000-0000F91E0000}"/>
    <cellStyle name="20% - Accent4 2 5 3 4 3" xfId="25481" xr:uid="{00000000-0005-0000-0000-0000FA1E0000}"/>
    <cellStyle name="20% - Accent4 2 5 3 4 3 2" xfId="44670" xr:uid="{00000000-0005-0000-0000-0000FB1E0000}"/>
    <cellStyle name="20% - Accent4 2 5 3 4 4" xfId="34972" xr:uid="{00000000-0005-0000-0000-0000FC1E0000}"/>
    <cellStyle name="20% - Accent4 2 5 3 5" xfId="16774" xr:uid="{00000000-0005-0000-0000-0000FD1E0000}"/>
    <cellStyle name="20% - Accent4 2 5 3 5 2" xfId="21238" xr:uid="{00000000-0005-0000-0000-0000FE1E0000}"/>
    <cellStyle name="20% - Accent4 2 5 3 5 2 2" xfId="31606" xr:uid="{00000000-0005-0000-0000-0000FF1E0000}"/>
    <cellStyle name="20% - Accent4 2 5 3 5 2 2 2" xfId="50795" xr:uid="{00000000-0005-0000-0000-0000001F0000}"/>
    <cellStyle name="20% - Accent4 2 5 3 5 2 3" xfId="41097" xr:uid="{00000000-0005-0000-0000-0000011F0000}"/>
    <cellStyle name="20% - Accent4 2 5 3 5 3" xfId="27151" xr:uid="{00000000-0005-0000-0000-0000021F0000}"/>
    <cellStyle name="20% - Accent4 2 5 3 5 3 2" xfId="46340" xr:uid="{00000000-0005-0000-0000-0000031F0000}"/>
    <cellStyle name="20% - Accent4 2 5 3 5 4" xfId="36642" xr:uid="{00000000-0005-0000-0000-0000041F0000}"/>
    <cellStyle name="20% - Accent4 2 5 3 6" xfId="17340" xr:uid="{00000000-0005-0000-0000-0000051F0000}"/>
    <cellStyle name="20% - Accent4 2 5 3 6 2" xfId="21795" xr:uid="{00000000-0005-0000-0000-0000061F0000}"/>
    <cellStyle name="20% - Accent4 2 5 3 6 2 2" xfId="32163" xr:uid="{00000000-0005-0000-0000-0000071F0000}"/>
    <cellStyle name="20% - Accent4 2 5 3 6 2 2 2" xfId="51352" xr:uid="{00000000-0005-0000-0000-0000081F0000}"/>
    <cellStyle name="20% - Accent4 2 5 3 6 2 3" xfId="41654" xr:uid="{00000000-0005-0000-0000-0000091F0000}"/>
    <cellStyle name="20% - Accent4 2 5 3 6 3" xfId="27708" xr:uid="{00000000-0005-0000-0000-00000A1F0000}"/>
    <cellStyle name="20% - Accent4 2 5 3 6 3 2" xfId="46897" xr:uid="{00000000-0005-0000-0000-00000B1F0000}"/>
    <cellStyle name="20% - Accent4 2 5 3 6 4" xfId="37199" xr:uid="{00000000-0005-0000-0000-00000C1F0000}"/>
    <cellStyle name="20% - Accent4 2 5 3 7" xfId="17897" xr:uid="{00000000-0005-0000-0000-00000D1F0000}"/>
    <cellStyle name="20% - Accent4 2 5 3 7 2" xfId="28265" xr:uid="{00000000-0005-0000-0000-00000E1F0000}"/>
    <cellStyle name="20% - Accent4 2 5 3 7 2 2" xfId="47454" xr:uid="{00000000-0005-0000-0000-00000F1F0000}"/>
    <cellStyle name="20% - Accent4 2 5 3 7 3" xfId="37756" xr:uid="{00000000-0005-0000-0000-0000101F0000}"/>
    <cellStyle name="20% - Accent4 2 5 3 8" xfId="23760" xr:uid="{00000000-0005-0000-0000-0000111F0000}"/>
    <cellStyle name="20% - Accent4 2 5 3 8 2" xfId="42999" xr:uid="{00000000-0005-0000-0000-0000121F0000}"/>
    <cellStyle name="20% - Accent4 2 5 3 9" xfId="33301" xr:uid="{00000000-0005-0000-0000-0000131F0000}"/>
    <cellStyle name="20% - Accent4 2 5 4" xfId="13004" xr:uid="{00000000-0005-0000-0000-0000141F0000}"/>
    <cellStyle name="20% - Accent4 2 5 4 10" xfId="53490" xr:uid="{00000000-0005-0000-0000-0000151F0000}"/>
    <cellStyle name="20% - Accent4 2 5 4 2" xfId="13954" xr:uid="{00000000-0005-0000-0000-0000161F0000}"/>
    <cellStyle name="20% - Accent4 2 5 4 2 2" xfId="16218" xr:uid="{00000000-0005-0000-0000-0000171F0000}"/>
    <cellStyle name="20% - Accent4 2 5 4 2 2 2" xfId="20682" xr:uid="{00000000-0005-0000-0000-0000181F0000}"/>
    <cellStyle name="20% - Accent4 2 5 4 2 2 2 2" xfId="31050" xr:uid="{00000000-0005-0000-0000-0000191F0000}"/>
    <cellStyle name="20% - Accent4 2 5 4 2 2 2 2 2" xfId="50239" xr:uid="{00000000-0005-0000-0000-00001A1F0000}"/>
    <cellStyle name="20% - Accent4 2 5 4 2 2 2 3" xfId="40541" xr:uid="{00000000-0005-0000-0000-00001B1F0000}"/>
    <cellStyle name="20% - Accent4 2 5 4 2 2 3" xfId="26595" xr:uid="{00000000-0005-0000-0000-00001C1F0000}"/>
    <cellStyle name="20% - Accent4 2 5 4 2 2 3 2" xfId="45784" xr:uid="{00000000-0005-0000-0000-00001D1F0000}"/>
    <cellStyle name="20% - Accent4 2 5 4 2 2 4" xfId="36086" xr:uid="{00000000-0005-0000-0000-00001E1F0000}"/>
    <cellStyle name="20% - Accent4 2 5 4 2 3" xfId="18454" xr:uid="{00000000-0005-0000-0000-00001F1F0000}"/>
    <cellStyle name="20% - Accent4 2 5 4 2 3 2" xfId="28822" xr:uid="{00000000-0005-0000-0000-0000201F0000}"/>
    <cellStyle name="20% - Accent4 2 5 4 2 3 2 2" xfId="48011" xr:uid="{00000000-0005-0000-0000-0000211F0000}"/>
    <cellStyle name="20% - Accent4 2 5 4 2 3 3" xfId="38313" xr:uid="{00000000-0005-0000-0000-0000221F0000}"/>
    <cellStyle name="20% - Accent4 2 5 4 2 4" xfId="24362" xr:uid="{00000000-0005-0000-0000-0000231F0000}"/>
    <cellStyle name="20% - Accent4 2 5 4 2 4 2" xfId="43556" xr:uid="{00000000-0005-0000-0000-0000241F0000}"/>
    <cellStyle name="20% - Accent4 2 5 4 2 5" xfId="33858" xr:uid="{00000000-0005-0000-0000-0000251F0000}"/>
    <cellStyle name="20% - Accent4 2 5 4 3" xfId="14533" xr:uid="{00000000-0005-0000-0000-0000261F0000}"/>
    <cellStyle name="20% - Accent4 2 5 4 3 2" xfId="15662" xr:uid="{00000000-0005-0000-0000-0000271F0000}"/>
    <cellStyle name="20% - Accent4 2 5 4 3 2 2" xfId="20126" xr:uid="{00000000-0005-0000-0000-0000281F0000}"/>
    <cellStyle name="20% - Accent4 2 5 4 3 2 2 2" xfId="30494" xr:uid="{00000000-0005-0000-0000-0000291F0000}"/>
    <cellStyle name="20% - Accent4 2 5 4 3 2 2 2 2" xfId="49683" xr:uid="{00000000-0005-0000-0000-00002A1F0000}"/>
    <cellStyle name="20% - Accent4 2 5 4 3 2 2 3" xfId="39985" xr:uid="{00000000-0005-0000-0000-00002B1F0000}"/>
    <cellStyle name="20% - Accent4 2 5 4 3 2 3" xfId="26039" xr:uid="{00000000-0005-0000-0000-00002C1F0000}"/>
    <cellStyle name="20% - Accent4 2 5 4 3 2 3 2" xfId="45228" xr:uid="{00000000-0005-0000-0000-00002D1F0000}"/>
    <cellStyle name="20% - Accent4 2 5 4 3 2 4" xfId="35530" xr:uid="{00000000-0005-0000-0000-00002E1F0000}"/>
    <cellStyle name="20% - Accent4 2 5 4 3 3" xfId="19011" xr:uid="{00000000-0005-0000-0000-00002F1F0000}"/>
    <cellStyle name="20% - Accent4 2 5 4 3 3 2" xfId="29379" xr:uid="{00000000-0005-0000-0000-0000301F0000}"/>
    <cellStyle name="20% - Accent4 2 5 4 3 3 2 2" xfId="48568" xr:uid="{00000000-0005-0000-0000-0000311F0000}"/>
    <cellStyle name="20% - Accent4 2 5 4 3 3 3" xfId="38870" xr:uid="{00000000-0005-0000-0000-0000321F0000}"/>
    <cellStyle name="20% - Accent4 2 5 4 3 4" xfId="24924" xr:uid="{00000000-0005-0000-0000-0000331F0000}"/>
    <cellStyle name="20% - Accent4 2 5 4 3 4 2" xfId="44113" xr:uid="{00000000-0005-0000-0000-0000341F0000}"/>
    <cellStyle name="20% - Accent4 2 5 4 3 5" xfId="34415" xr:uid="{00000000-0005-0000-0000-0000351F0000}"/>
    <cellStyle name="20% - Accent4 2 5 4 4" xfId="15105" xr:uid="{00000000-0005-0000-0000-0000361F0000}"/>
    <cellStyle name="20% - Accent4 2 5 4 4 2" xfId="19569" xr:uid="{00000000-0005-0000-0000-0000371F0000}"/>
    <cellStyle name="20% - Accent4 2 5 4 4 2 2" xfId="29937" xr:uid="{00000000-0005-0000-0000-0000381F0000}"/>
    <cellStyle name="20% - Accent4 2 5 4 4 2 2 2" xfId="49126" xr:uid="{00000000-0005-0000-0000-0000391F0000}"/>
    <cellStyle name="20% - Accent4 2 5 4 4 2 3" xfId="39428" xr:uid="{00000000-0005-0000-0000-00003A1F0000}"/>
    <cellStyle name="20% - Accent4 2 5 4 4 3" xfId="25482" xr:uid="{00000000-0005-0000-0000-00003B1F0000}"/>
    <cellStyle name="20% - Accent4 2 5 4 4 3 2" xfId="44671" xr:uid="{00000000-0005-0000-0000-00003C1F0000}"/>
    <cellStyle name="20% - Accent4 2 5 4 4 4" xfId="34973" xr:uid="{00000000-0005-0000-0000-00003D1F0000}"/>
    <cellStyle name="20% - Accent4 2 5 4 5" xfId="16775" xr:uid="{00000000-0005-0000-0000-00003E1F0000}"/>
    <cellStyle name="20% - Accent4 2 5 4 5 2" xfId="21239" xr:uid="{00000000-0005-0000-0000-00003F1F0000}"/>
    <cellStyle name="20% - Accent4 2 5 4 5 2 2" xfId="31607" xr:uid="{00000000-0005-0000-0000-0000401F0000}"/>
    <cellStyle name="20% - Accent4 2 5 4 5 2 2 2" xfId="50796" xr:uid="{00000000-0005-0000-0000-0000411F0000}"/>
    <cellStyle name="20% - Accent4 2 5 4 5 2 3" xfId="41098" xr:uid="{00000000-0005-0000-0000-0000421F0000}"/>
    <cellStyle name="20% - Accent4 2 5 4 5 3" xfId="27152" xr:uid="{00000000-0005-0000-0000-0000431F0000}"/>
    <cellStyle name="20% - Accent4 2 5 4 5 3 2" xfId="46341" xr:uid="{00000000-0005-0000-0000-0000441F0000}"/>
    <cellStyle name="20% - Accent4 2 5 4 5 4" xfId="36643" xr:uid="{00000000-0005-0000-0000-0000451F0000}"/>
    <cellStyle name="20% - Accent4 2 5 4 6" xfId="17341" xr:uid="{00000000-0005-0000-0000-0000461F0000}"/>
    <cellStyle name="20% - Accent4 2 5 4 6 2" xfId="21796" xr:uid="{00000000-0005-0000-0000-0000471F0000}"/>
    <cellStyle name="20% - Accent4 2 5 4 6 2 2" xfId="32164" xr:uid="{00000000-0005-0000-0000-0000481F0000}"/>
    <cellStyle name="20% - Accent4 2 5 4 6 2 2 2" xfId="51353" xr:uid="{00000000-0005-0000-0000-0000491F0000}"/>
    <cellStyle name="20% - Accent4 2 5 4 6 2 3" xfId="41655" xr:uid="{00000000-0005-0000-0000-00004A1F0000}"/>
    <cellStyle name="20% - Accent4 2 5 4 6 3" xfId="27709" xr:uid="{00000000-0005-0000-0000-00004B1F0000}"/>
    <cellStyle name="20% - Accent4 2 5 4 6 3 2" xfId="46898" xr:uid="{00000000-0005-0000-0000-00004C1F0000}"/>
    <cellStyle name="20% - Accent4 2 5 4 6 4" xfId="37200" xr:uid="{00000000-0005-0000-0000-00004D1F0000}"/>
    <cellStyle name="20% - Accent4 2 5 4 7" xfId="17898" xr:uid="{00000000-0005-0000-0000-00004E1F0000}"/>
    <cellStyle name="20% - Accent4 2 5 4 7 2" xfId="28266" xr:uid="{00000000-0005-0000-0000-00004F1F0000}"/>
    <cellStyle name="20% - Accent4 2 5 4 7 2 2" xfId="47455" xr:uid="{00000000-0005-0000-0000-0000501F0000}"/>
    <cellStyle name="20% - Accent4 2 5 4 7 3" xfId="37757" xr:uid="{00000000-0005-0000-0000-0000511F0000}"/>
    <cellStyle name="20% - Accent4 2 5 4 8" xfId="23761" xr:uid="{00000000-0005-0000-0000-0000521F0000}"/>
    <cellStyle name="20% - Accent4 2 5 4 8 2" xfId="43000" xr:uid="{00000000-0005-0000-0000-0000531F0000}"/>
    <cellStyle name="20% - Accent4 2 5 4 9" xfId="33302" xr:uid="{00000000-0005-0000-0000-0000541F0000}"/>
    <cellStyle name="20% - Accent4 2 5 5" xfId="12137" xr:uid="{00000000-0005-0000-0000-0000551F0000}"/>
    <cellStyle name="20% - Accent4 2 5 6" xfId="52601" xr:uid="{00000000-0005-0000-0000-0000561F0000}"/>
    <cellStyle name="20% - Accent4 2 5 7" xfId="11997" xr:uid="{00000000-0005-0000-0000-0000571F0000}"/>
    <cellStyle name="20% - Accent4 2 6" xfId="1712" xr:uid="{00000000-0005-0000-0000-0000581F0000}"/>
    <cellStyle name="20% - Accent4 2 6 2" xfId="13005" xr:uid="{00000000-0005-0000-0000-0000591F0000}"/>
    <cellStyle name="20% - Accent4 2 6 2 10" xfId="52834" xr:uid="{00000000-0005-0000-0000-00005A1F0000}"/>
    <cellStyle name="20% - Accent4 2 6 2 2" xfId="13955" xr:uid="{00000000-0005-0000-0000-00005B1F0000}"/>
    <cellStyle name="20% - Accent4 2 6 2 2 2" xfId="16219" xr:uid="{00000000-0005-0000-0000-00005C1F0000}"/>
    <cellStyle name="20% - Accent4 2 6 2 2 2 2" xfId="20683" xr:uid="{00000000-0005-0000-0000-00005D1F0000}"/>
    <cellStyle name="20% - Accent4 2 6 2 2 2 2 2" xfId="31051" xr:uid="{00000000-0005-0000-0000-00005E1F0000}"/>
    <cellStyle name="20% - Accent4 2 6 2 2 2 2 2 2" xfId="50240" xr:uid="{00000000-0005-0000-0000-00005F1F0000}"/>
    <cellStyle name="20% - Accent4 2 6 2 2 2 2 3" xfId="40542" xr:uid="{00000000-0005-0000-0000-0000601F0000}"/>
    <cellStyle name="20% - Accent4 2 6 2 2 2 3" xfId="26596" xr:uid="{00000000-0005-0000-0000-0000611F0000}"/>
    <cellStyle name="20% - Accent4 2 6 2 2 2 3 2" xfId="45785" xr:uid="{00000000-0005-0000-0000-0000621F0000}"/>
    <cellStyle name="20% - Accent4 2 6 2 2 2 4" xfId="36087" xr:uid="{00000000-0005-0000-0000-0000631F0000}"/>
    <cellStyle name="20% - Accent4 2 6 2 2 2 5" xfId="54115" xr:uid="{00000000-0005-0000-0000-0000641F0000}"/>
    <cellStyle name="20% - Accent4 2 6 2 2 3" xfId="18455" xr:uid="{00000000-0005-0000-0000-0000651F0000}"/>
    <cellStyle name="20% - Accent4 2 6 2 2 3 2" xfId="28823" xr:uid="{00000000-0005-0000-0000-0000661F0000}"/>
    <cellStyle name="20% - Accent4 2 6 2 2 3 2 2" xfId="48012" xr:uid="{00000000-0005-0000-0000-0000671F0000}"/>
    <cellStyle name="20% - Accent4 2 6 2 2 3 3" xfId="38314" xr:uid="{00000000-0005-0000-0000-0000681F0000}"/>
    <cellStyle name="20% - Accent4 2 6 2 2 4" xfId="24363" xr:uid="{00000000-0005-0000-0000-0000691F0000}"/>
    <cellStyle name="20% - Accent4 2 6 2 2 4 2" xfId="43557" xr:uid="{00000000-0005-0000-0000-00006A1F0000}"/>
    <cellStyle name="20% - Accent4 2 6 2 2 5" xfId="33859" xr:uid="{00000000-0005-0000-0000-00006B1F0000}"/>
    <cellStyle name="20% - Accent4 2 6 2 2 6" xfId="53262" xr:uid="{00000000-0005-0000-0000-00006C1F0000}"/>
    <cellStyle name="20% - Accent4 2 6 2 3" xfId="14534" xr:uid="{00000000-0005-0000-0000-00006D1F0000}"/>
    <cellStyle name="20% - Accent4 2 6 2 3 2" xfId="15663" xr:uid="{00000000-0005-0000-0000-00006E1F0000}"/>
    <cellStyle name="20% - Accent4 2 6 2 3 2 2" xfId="20127" xr:uid="{00000000-0005-0000-0000-00006F1F0000}"/>
    <cellStyle name="20% - Accent4 2 6 2 3 2 2 2" xfId="30495" xr:uid="{00000000-0005-0000-0000-0000701F0000}"/>
    <cellStyle name="20% - Accent4 2 6 2 3 2 2 2 2" xfId="49684" xr:uid="{00000000-0005-0000-0000-0000711F0000}"/>
    <cellStyle name="20% - Accent4 2 6 2 3 2 2 3" xfId="39986" xr:uid="{00000000-0005-0000-0000-0000721F0000}"/>
    <cellStyle name="20% - Accent4 2 6 2 3 2 3" xfId="26040" xr:uid="{00000000-0005-0000-0000-0000731F0000}"/>
    <cellStyle name="20% - Accent4 2 6 2 3 2 3 2" xfId="45229" xr:uid="{00000000-0005-0000-0000-0000741F0000}"/>
    <cellStyle name="20% - Accent4 2 6 2 3 2 4" xfId="35531" xr:uid="{00000000-0005-0000-0000-0000751F0000}"/>
    <cellStyle name="20% - Accent4 2 6 2 3 3" xfId="19012" xr:uid="{00000000-0005-0000-0000-0000761F0000}"/>
    <cellStyle name="20% - Accent4 2 6 2 3 3 2" xfId="29380" xr:uid="{00000000-0005-0000-0000-0000771F0000}"/>
    <cellStyle name="20% - Accent4 2 6 2 3 3 2 2" xfId="48569" xr:uid="{00000000-0005-0000-0000-0000781F0000}"/>
    <cellStyle name="20% - Accent4 2 6 2 3 3 3" xfId="38871" xr:uid="{00000000-0005-0000-0000-0000791F0000}"/>
    <cellStyle name="20% - Accent4 2 6 2 3 4" xfId="24925" xr:uid="{00000000-0005-0000-0000-00007A1F0000}"/>
    <cellStyle name="20% - Accent4 2 6 2 3 4 2" xfId="44114" xr:uid="{00000000-0005-0000-0000-00007B1F0000}"/>
    <cellStyle name="20% - Accent4 2 6 2 3 5" xfId="34416" xr:uid="{00000000-0005-0000-0000-00007C1F0000}"/>
    <cellStyle name="20% - Accent4 2 6 2 3 6" xfId="53719" xr:uid="{00000000-0005-0000-0000-00007D1F0000}"/>
    <cellStyle name="20% - Accent4 2 6 2 4" xfId="15106" xr:uid="{00000000-0005-0000-0000-00007E1F0000}"/>
    <cellStyle name="20% - Accent4 2 6 2 4 2" xfId="19570" xr:uid="{00000000-0005-0000-0000-00007F1F0000}"/>
    <cellStyle name="20% - Accent4 2 6 2 4 2 2" xfId="29938" xr:uid="{00000000-0005-0000-0000-0000801F0000}"/>
    <cellStyle name="20% - Accent4 2 6 2 4 2 2 2" xfId="49127" xr:uid="{00000000-0005-0000-0000-0000811F0000}"/>
    <cellStyle name="20% - Accent4 2 6 2 4 2 3" xfId="39429" xr:uid="{00000000-0005-0000-0000-0000821F0000}"/>
    <cellStyle name="20% - Accent4 2 6 2 4 3" xfId="25483" xr:uid="{00000000-0005-0000-0000-0000831F0000}"/>
    <cellStyle name="20% - Accent4 2 6 2 4 3 2" xfId="44672" xr:uid="{00000000-0005-0000-0000-0000841F0000}"/>
    <cellStyle name="20% - Accent4 2 6 2 4 4" xfId="34974" xr:uid="{00000000-0005-0000-0000-0000851F0000}"/>
    <cellStyle name="20% - Accent4 2 6 2 5" xfId="16776" xr:uid="{00000000-0005-0000-0000-0000861F0000}"/>
    <cellStyle name="20% - Accent4 2 6 2 5 2" xfId="21240" xr:uid="{00000000-0005-0000-0000-0000871F0000}"/>
    <cellStyle name="20% - Accent4 2 6 2 5 2 2" xfId="31608" xr:uid="{00000000-0005-0000-0000-0000881F0000}"/>
    <cellStyle name="20% - Accent4 2 6 2 5 2 2 2" xfId="50797" xr:uid="{00000000-0005-0000-0000-0000891F0000}"/>
    <cellStyle name="20% - Accent4 2 6 2 5 2 3" xfId="41099" xr:uid="{00000000-0005-0000-0000-00008A1F0000}"/>
    <cellStyle name="20% - Accent4 2 6 2 5 3" xfId="27153" xr:uid="{00000000-0005-0000-0000-00008B1F0000}"/>
    <cellStyle name="20% - Accent4 2 6 2 5 3 2" xfId="46342" xr:uid="{00000000-0005-0000-0000-00008C1F0000}"/>
    <cellStyle name="20% - Accent4 2 6 2 5 4" xfId="36644" xr:uid="{00000000-0005-0000-0000-00008D1F0000}"/>
    <cellStyle name="20% - Accent4 2 6 2 6" xfId="17342" xr:uid="{00000000-0005-0000-0000-00008E1F0000}"/>
    <cellStyle name="20% - Accent4 2 6 2 6 2" xfId="21797" xr:uid="{00000000-0005-0000-0000-00008F1F0000}"/>
    <cellStyle name="20% - Accent4 2 6 2 6 2 2" xfId="32165" xr:uid="{00000000-0005-0000-0000-0000901F0000}"/>
    <cellStyle name="20% - Accent4 2 6 2 6 2 2 2" xfId="51354" xr:uid="{00000000-0005-0000-0000-0000911F0000}"/>
    <cellStyle name="20% - Accent4 2 6 2 6 2 3" xfId="41656" xr:uid="{00000000-0005-0000-0000-0000921F0000}"/>
    <cellStyle name="20% - Accent4 2 6 2 6 3" xfId="27710" xr:uid="{00000000-0005-0000-0000-0000931F0000}"/>
    <cellStyle name="20% - Accent4 2 6 2 6 3 2" xfId="46899" xr:uid="{00000000-0005-0000-0000-0000941F0000}"/>
    <cellStyle name="20% - Accent4 2 6 2 6 4" xfId="37201" xr:uid="{00000000-0005-0000-0000-0000951F0000}"/>
    <cellStyle name="20% - Accent4 2 6 2 7" xfId="17899" xr:uid="{00000000-0005-0000-0000-0000961F0000}"/>
    <cellStyle name="20% - Accent4 2 6 2 7 2" xfId="28267" xr:uid="{00000000-0005-0000-0000-0000971F0000}"/>
    <cellStyle name="20% - Accent4 2 6 2 7 2 2" xfId="47456" xr:uid="{00000000-0005-0000-0000-0000981F0000}"/>
    <cellStyle name="20% - Accent4 2 6 2 7 3" xfId="37758" xr:uid="{00000000-0005-0000-0000-0000991F0000}"/>
    <cellStyle name="20% - Accent4 2 6 2 8" xfId="23762" xr:uid="{00000000-0005-0000-0000-00009A1F0000}"/>
    <cellStyle name="20% - Accent4 2 6 2 8 2" xfId="43001" xr:uid="{00000000-0005-0000-0000-00009B1F0000}"/>
    <cellStyle name="20% - Accent4 2 6 2 9" xfId="33303" xr:uid="{00000000-0005-0000-0000-00009C1F0000}"/>
    <cellStyle name="20% - Accent4 2 6 3" xfId="13006" xr:uid="{00000000-0005-0000-0000-00009D1F0000}"/>
    <cellStyle name="20% - Accent4 2 6 3 10" xfId="53044" xr:uid="{00000000-0005-0000-0000-00009E1F0000}"/>
    <cellStyle name="20% - Accent4 2 6 3 2" xfId="13956" xr:uid="{00000000-0005-0000-0000-00009F1F0000}"/>
    <cellStyle name="20% - Accent4 2 6 3 2 2" xfId="16220" xr:uid="{00000000-0005-0000-0000-0000A01F0000}"/>
    <cellStyle name="20% - Accent4 2 6 3 2 2 2" xfId="20684" xr:uid="{00000000-0005-0000-0000-0000A11F0000}"/>
    <cellStyle name="20% - Accent4 2 6 3 2 2 2 2" xfId="31052" xr:uid="{00000000-0005-0000-0000-0000A21F0000}"/>
    <cellStyle name="20% - Accent4 2 6 3 2 2 2 2 2" xfId="50241" xr:uid="{00000000-0005-0000-0000-0000A31F0000}"/>
    <cellStyle name="20% - Accent4 2 6 3 2 2 2 3" xfId="40543" xr:uid="{00000000-0005-0000-0000-0000A41F0000}"/>
    <cellStyle name="20% - Accent4 2 6 3 2 2 3" xfId="26597" xr:uid="{00000000-0005-0000-0000-0000A51F0000}"/>
    <cellStyle name="20% - Accent4 2 6 3 2 2 3 2" xfId="45786" xr:uid="{00000000-0005-0000-0000-0000A61F0000}"/>
    <cellStyle name="20% - Accent4 2 6 3 2 2 4" xfId="36088" xr:uid="{00000000-0005-0000-0000-0000A71F0000}"/>
    <cellStyle name="20% - Accent4 2 6 3 2 3" xfId="18456" xr:uid="{00000000-0005-0000-0000-0000A81F0000}"/>
    <cellStyle name="20% - Accent4 2 6 3 2 3 2" xfId="28824" xr:uid="{00000000-0005-0000-0000-0000A91F0000}"/>
    <cellStyle name="20% - Accent4 2 6 3 2 3 2 2" xfId="48013" xr:uid="{00000000-0005-0000-0000-0000AA1F0000}"/>
    <cellStyle name="20% - Accent4 2 6 3 2 3 3" xfId="38315" xr:uid="{00000000-0005-0000-0000-0000AB1F0000}"/>
    <cellStyle name="20% - Accent4 2 6 3 2 4" xfId="24364" xr:uid="{00000000-0005-0000-0000-0000AC1F0000}"/>
    <cellStyle name="20% - Accent4 2 6 3 2 4 2" xfId="43558" xr:uid="{00000000-0005-0000-0000-0000AD1F0000}"/>
    <cellStyle name="20% - Accent4 2 6 3 2 5" xfId="33860" xr:uid="{00000000-0005-0000-0000-0000AE1F0000}"/>
    <cellStyle name="20% - Accent4 2 6 3 2 6" xfId="53919" xr:uid="{00000000-0005-0000-0000-0000AF1F0000}"/>
    <cellStyle name="20% - Accent4 2 6 3 3" xfId="14535" xr:uid="{00000000-0005-0000-0000-0000B01F0000}"/>
    <cellStyle name="20% - Accent4 2 6 3 3 2" xfId="15664" xr:uid="{00000000-0005-0000-0000-0000B11F0000}"/>
    <cellStyle name="20% - Accent4 2 6 3 3 2 2" xfId="20128" xr:uid="{00000000-0005-0000-0000-0000B21F0000}"/>
    <cellStyle name="20% - Accent4 2 6 3 3 2 2 2" xfId="30496" xr:uid="{00000000-0005-0000-0000-0000B31F0000}"/>
    <cellStyle name="20% - Accent4 2 6 3 3 2 2 2 2" xfId="49685" xr:uid="{00000000-0005-0000-0000-0000B41F0000}"/>
    <cellStyle name="20% - Accent4 2 6 3 3 2 2 3" xfId="39987" xr:uid="{00000000-0005-0000-0000-0000B51F0000}"/>
    <cellStyle name="20% - Accent4 2 6 3 3 2 3" xfId="26041" xr:uid="{00000000-0005-0000-0000-0000B61F0000}"/>
    <cellStyle name="20% - Accent4 2 6 3 3 2 3 2" xfId="45230" xr:uid="{00000000-0005-0000-0000-0000B71F0000}"/>
    <cellStyle name="20% - Accent4 2 6 3 3 2 4" xfId="35532" xr:uid="{00000000-0005-0000-0000-0000B81F0000}"/>
    <cellStyle name="20% - Accent4 2 6 3 3 3" xfId="19013" xr:uid="{00000000-0005-0000-0000-0000B91F0000}"/>
    <cellStyle name="20% - Accent4 2 6 3 3 3 2" xfId="29381" xr:uid="{00000000-0005-0000-0000-0000BA1F0000}"/>
    <cellStyle name="20% - Accent4 2 6 3 3 3 2 2" xfId="48570" xr:uid="{00000000-0005-0000-0000-0000BB1F0000}"/>
    <cellStyle name="20% - Accent4 2 6 3 3 3 3" xfId="38872" xr:uid="{00000000-0005-0000-0000-0000BC1F0000}"/>
    <cellStyle name="20% - Accent4 2 6 3 3 4" xfId="24926" xr:uid="{00000000-0005-0000-0000-0000BD1F0000}"/>
    <cellStyle name="20% - Accent4 2 6 3 3 4 2" xfId="44115" xr:uid="{00000000-0005-0000-0000-0000BE1F0000}"/>
    <cellStyle name="20% - Accent4 2 6 3 3 5" xfId="34417" xr:uid="{00000000-0005-0000-0000-0000BF1F0000}"/>
    <cellStyle name="20% - Accent4 2 6 3 4" xfId="15107" xr:uid="{00000000-0005-0000-0000-0000C01F0000}"/>
    <cellStyle name="20% - Accent4 2 6 3 4 2" xfId="19571" xr:uid="{00000000-0005-0000-0000-0000C11F0000}"/>
    <cellStyle name="20% - Accent4 2 6 3 4 2 2" xfId="29939" xr:uid="{00000000-0005-0000-0000-0000C21F0000}"/>
    <cellStyle name="20% - Accent4 2 6 3 4 2 2 2" xfId="49128" xr:uid="{00000000-0005-0000-0000-0000C31F0000}"/>
    <cellStyle name="20% - Accent4 2 6 3 4 2 3" xfId="39430" xr:uid="{00000000-0005-0000-0000-0000C41F0000}"/>
    <cellStyle name="20% - Accent4 2 6 3 4 3" xfId="25484" xr:uid="{00000000-0005-0000-0000-0000C51F0000}"/>
    <cellStyle name="20% - Accent4 2 6 3 4 3 2" xfId="44673" xr:uid="{00000000-0005-0000-0000-0000C61F0000}"/>
    <cellStyle name="20% - Accent4 2 6 3 4 4" xfId="34975" xr:uid="{00000000-0005-0000-0000-0000C71F0000}"/>
    <cellStyle name="20% - Accent4 2 6 3 5" xfId="16777" xr:uid="{00000000-0005-0000-0000-0000C81F0000}"/>
    <cellStyle name="20% - Accent4 2 6 3 5 2" xfId="21241" xr:uid="{00000000-0005-0000-0000-0000C91F0000}"/>
    <cellStyle name="20% - Accent4 2 6 3 5 2 2" xfId="31609" xr:uid="{00000000-0005-0000-0000-0000CA1F0000}"/>
    <cellStyle name="20% - Accent4 2 6 3 5 2 2 2" xfId="50798" xr:uid="{00000000-0005-0000-0000-0000CB1F0000}"/>
    <cellStyle name="20% - Accent4 2 6 3 5 2 3" xfId="41100" xr:uid="{00000000-0005-0000-0000-0000CC1F0000}"/>
    <cellStyle name="20% - Accent4 2 6 3 5 3" xfId="27154" xr:uid="{00000000-0005-0000-0000-0000CD1F0000}"/>
    <cellStyle name="20% - Accent4 2 6 3 5 3 2" xfId="46343" xr:uid="{00000000-0005-0000-0000-0000CE1F0000}"/>
    <cellStyle name="20% - Accent4 2 6 3 5 4" xfId="36645" xr:uid="{00000000-0005-0000-0000-0000CF1F0000}"/>
    <cellStyle name="20% - Accent4 2 6 3 6" xfId="17343" xr:uid="{00000000-0005-0000-0000-0000D01F0000}"/>
    <cellStyle name="20% - Accent4 2 6 3 6 2" xfId="21798" xr:uid="{00000000-0005-0000-0000-0000D11F0000}"/>
    <cellStyle name="20% - Accent4 2 6 3 6 2 2" xfId="32166" xr:uid="{00000000-0005-0000-0000-0000D21F0000}"/>
    <cellStyle name="20% - Accent4 2 6 3 6 2 2 2" xfId="51355" xr:uid="{00000000-0005-0000-0000-0000D31F0000}"/>
    <cellStyle name="20% - Accent4 2 6 3 6 2 3" xfId="41657" xr:uid="{00000000-0005-0000-0000-0000D41F0000}"/>
    <cellStyle name="20% - Accent4 2 6 3 6 3" xfId="27711" xr:uid="{00000000-0005-0000-0000-0000D51F0000}"/>
    <cellStyle name="20% - Accent4 2 6 3 6 3 2" xfId="46900" xr:uid="{00000000-0005-0000-0000-0000D61F0000}"/>
    <cellStyle name="20% - Accent4 2 6 3 6 4" xfId="37202" xr:uid="{00000000-0005-0000-0000-0000D71F0000}"/>
    <cellStyle name="20% - Accent4 2 6 3 7" xfId="17900" xr:uid="{00000000-0005-0000-0000-0000D81F0000}"/>
    <cellStyle name="20% - Accent4 2 6 3 7 2" xfId="28268" xr:uid="{00000000-0005-0000-0000-0000D91F0000}"/>
    <cellStyle name="20% - Accent4 2 6 3 7 2 2" xfId="47457" xr:uid="{00000000-0005-0000-0000-0000DA1F0000}"/>
    <cellStyle name="20% - Accent4 2 6 3 7 3" xfId="37759" xr:uid="{00000000-0005-0000-0000-0000DB1F0000}"/>
    <cellStyle name="20% - Accent4 2 6 3 8" xfId="23763" xr:uid="{00000000-0005-0000-0000-0000DC1F0000}"/>
    <cellStyle name="20% - Accent4 2 6 3 8 2" xfId="43002" xr:uid="{00000000-0005-0000-0000-0000DD1F0000}"/>
    <cellStyle name="20% - Accent4 2 6 3 9" xfId="33304" xr:uid="{00000000-0005-0000-0000-0000DE1F0000}"/>
    <cellStyle name="20% - Accent4 2 6 4" xfId="53523" xr:uid="{00000000-0005-0000-0000-0000DF1F0000}"/>
    <cellStyle name="20% - Accent4 2 6 5" xfId="52638" xr:uid="{00000000-0005-0000-0000-0000E01F0000}"/>
    <cellStyle name="20% - Accent4 2 6 6" xfId="12139" xr:uid="{00000000-0005-0000-0000-0000E11F0000}"/>
    <cellStyle name="20% - Accent4 2 7" xfId="1713" xr:uid="{00000000-0005-0000-0000-0000E21F0000}"/>
    <cellStyle name="20% - Accent4 2 7 10" xfId="52665" xr:uid="{00000000-0005-0000-0000-0000E31F0000}"/>
    <cellStyle name="20% - Accent4 2 7 11" xfId="12694" xr:uid="{00000000-0005-0000-0000-0000E41F0000}"/>
    <cellStyle name="20% - Accent4 2 7 2" xfId="13809" xr:uid="{00000000-0005-0000-0000-0000E51F0000}"/>
    <cellStyle name="20% - Accent4 2 7 2 2" xfId="16073" xr:uid="{00000000-0005-0000-0000-0000E61F0000}"/>
    <cellStyle name="20% - Accent4 2 7 2 2 2" xfId="20537" xr:uid="{00000000-0005-0000-0000-0000E71F0000}"/>
    <cellStyle name="20% - Accent4 2 7 2 2 2 2" xfId="30905" xr:uid="{00000000-0005-0000-0000-0000E81F0000}"/>
    <cellStyle name="20% - Accent4 2 7 2 2 2 2 2" xfId="50094" xr:uid="{00000000-0005-0000-0000-0000E91F0000}"/>
    <cellStyle name="20% - Accent4 2 7 2 2 2 3" xfId="40396" xr:uid="{00000000-0005-0000-0000-0000EA1F0000}"/>
    <cellStyle name="20% - Accent4 2 7 2 2 3" xfId="26450" xr:uid="{00000000-0005-0000-0000-0000EB1F0000}"/>
    <cellStyle name="20% - Accent4 2 7 2 2 3 2" xfId="45639" xr:uid="{00000000-0005-0000-0000-0000EC1F0000}"/>
    <cellStyle name="20% - Accent4 2 7 2 2 4" xfId="35941" xr:uid="{00000000-0005-0000-0000-0000ED1F0000}"/>
    <cellStyle name="20% - Accent4 2 7 2 2 5" xfId="53946" xr:uid="{00000000-0005-0000-0000-0000EE1F0000}"/>
    <cellStyle name="20% - Accent4 2 7 2 3" xfId="18309" xr:uid="{00000000-0005-0000-0000-0000EF1F0000}"/>
    <cellStyle name="20% - Accent4 2 7 2 3 2" xfId="28677" xr:uid="{00000000-0005-0000-0000-0000F01F0000}"/>
    <cellStyle name="20% - Accent4 2 7 2 3 2 2" xfId="47866" xr:uid="{00000000-0005-0000-0000-0000F11F0000}"/>
    <cellStyle name="20% - Accent4 2 7 2 3 3" xfId="38168" xr:uid="{00000000-0005-0000-0000-0000F21F0000}"/>
    <cellStyle name="20% - Accent4 2 7 2 4" xfId="24217" xr:uid="{00000000-0005-0000-0000-0000F31F0000}"/>
    <cellStyle name="20% - Accent4 2 7 2 4 2" xfId="43411" xr:uid="{00000000-0005-0000-0000-0000F41F0000}"/>
    <cellStyle name="20% - Accent4 2 7 2 5" xfId="33713" xr:uid="{00000000-0005-0000-0000-0000F51F0000}"/>
    <cellStyle name="20% - Accent4 2 7 2 6" xfId="53093" xr:uid="{00000000-0005-0000-0000-0000F61F0000}"/>
    <cellStyle name="20% - Accent4 2 7 3" xfId="14388" xr:uid="{00000000-0005-0000-0000-0000F71F0000}"/>
    <cellStyle name="20% - Accent4 2 7 3 2" xfId="15517" xr:uid="{00000000-0005-0000-0000-0000F81F0000}"/>
    <cellStyle name="20% - Accent4 2 7 3 2 2" xfId="19981" xr:uid="{00000000-0005-0000-0000-0000F91F0000}"/>
    <cellStyle name="20% - Accent4 2 7 3 2 2 2" xfId="30349" xr:uid="{00000000-0005-0000-0000-0000FA1F0000}"/>
    <cellStyle name="20% - Accent4 2 7 3 2 2 2 2" xfId="49538" xr:uid="{00000000-0005-0000-0000-0000FB1F0000}"/>
    <cellStyle name="20% - Accent4 2 7 3 2 2 3" xfId="39840" xr:uid="{00000000-0005-0000-0000-0000FC1F0000}"/>
    <cellStyle name="20% - Accent4 2 7 3 2 3" xfId="25894" xr:uid="{00000000-0005-0000-0000-0000FD1F0000}"/>
    <cellStyle name="20% - Accent4 2 7 3 2 3 2" xfId="45083" xr:uid="{00000000-0005-0000-0000-0000FE1F0000}"/>
    <cellStyle name="20% - Accent4 2 7 3 2 4" xfId="35385" xr:uid="{00000000-0005-0000-0000-0000FF1F0000}"/>
    <cellStyle name="20% - Accent4 2 7 3 3" xfId="18866" xr:uid="{00000000-0005-0000-0000-000000200000}"/>
    <cellStyle name="20% - Accent4 2 7 3 3 2" xfId="29234" xr:uid="{00000000-0005-0000-0000-000001200000}"/>
    <cellStyle name="20% - Accent4 2 7 3 3 2 2" xfId="48423" xr:uid="{00000000-0005-0000-0000-000002200000}"/>
    <cellStyle name="20% - Accent4 2 7 3 3 3" xfId="38725" xr:uid="{00000000-0005-0000-0000-000003200000}"/>
    <cellStyle name="20% - Accent4 2 7 3 4" xfId="24779" xr:uid="{00000000-0005-0000-0000-000004200000}"/>
    <cellStyle name="20% - Accent4 2 7 3 4 2" xfId="43968" xr:uid="{00000000-0005-0000-0000-000005200000}"/>
    <cellStyle name="20% - Accent4 2 7 3 5" xfId="34270" xr:uid="{00000000-0005-0000-0000-000006200000}"/>
    <cellStyle name="20% - Accent4 2 7 3 6" xfId="53550" xr:uid="{00000000-0005-0000-0000-000007200000}"/>
    <cellStyle name="20% - Accent4 2 7 4" xfId="14960" xr:uid="{00000000-0005-0000-0000-000008200000}"/>
    <cellStyle name="20% - Accent4 2 7 4 2" xfId="19424" xr:uid="{00000000-0005-0000-0000-000009200000}"/>
    <cellStyle name="20% - Accent4 2 7 4 2 2" xfId="29792" xr:uid="{00000000-0005-0000-0000-00000A200000}"/>
    <cellStyle name="20% - Accent4 2 7 4 2 2 2" xfId="48981" xr:uid="{00000000-0005-0000-0000-00000B200000}"/>
    <cellStyle name="20% - Accent4 2 7 4 2 3" xfId="39283" xr:uid="{00000000-0005-0000-0000-00000C200000}"/>
    <cellStyle name="20% - Accent4 2 7 4 3" xfId="25337" xr:uid="{00000000-0005-0000-0000-00000D200000}"/>
    <cellStyle name="20% - Accent4 2 7 4 3 2" xfId="44526" xr:uid="{00000000-0005-0000-0000-00000E200000}"/>
    <cellStyle name="20% - Accent4 2 7 4 4" xfId="34828" xr:uid="{00000000-0005-0000-0000-00000F200000}"/>
    <cellStyle name="20% - Accent4 2 7 5" xfId="16630" xr:uid="{00000000-0005-0000-0000-000010200000}"/>
    <cellStyle name="20% - Accent4 2 7 5 2" xfId="21094" xr:uid="{00000000-0005-0000-0000-000011200000}"/>
    <cellStyle name="20% - Accent4 2 7 5 2 2" xfId="31462" xr:uid="{00000000-0005-0000-0000-000012200000}"/>
    <cellStyle name="20% - Accent4 2 7 5 2 2 2" xfId="50651" xr:uid="{00000000-0005-0000-0000-000013200000}"/>
    <cellStyle name="20% - Accent4 2 7 5 2 3" xfId="40953" xr:uid="{00000000-0005-0000-0000-000014200000}"/>
    <cellStyle name="20% - Accent4 2 7 5 3" xfId="27007" xr:uid="{00000000-0005-0000-0000-000015200000}"/>
    <cellStyle name="20% - Accent4 2 7 5 3 2" xfId="46196" xr:uid="{00000000-0005-0000-0000-000016200000}"/>
    <cellStyle name="20% - Accent4 2 7 5 4" xfId="36498" xr:uid="{00000000-0005-0000-0000-000017200000}"/>
    <cellStyle name="20% - Accent4 2 7 6" xfId="17196" xr:uid="{00000000-0005-0000-0000-000018200000}"/>
    <cellStyle name="20% - Accent4 2 7 6 2" xfId="21651" xr:uid="{00000000-0005-0000-0000-000019200000}"/>
    <cellStyle name="20% - Accent4 2 7 6 2 2" xfId="32019" xr:uid="{00000000-0005-0000-0000-00001A200000}"/>
    <cellStyle name="20% - Accent4 2 7 6 2 2 2" xfId="51208" xr:uid="{00000000-0005-0000-0000-00001B200000}"/>
    <cellStyle name="20% - Accent4 2 7 6 2 3" xfId="41510" xr:uid="{00000000-0005-0000-0000-00001C200000}"/>
    <cellStyle name="20% - Accent4 2 7 6 3" xfId="27564" xr:uid="{00000000-0005-0000-0000-00001D200000}"/>
    <cellStyle name="20% - Accent4 2 7 6 3 2" xfId="46753" xr:uid="{00000000-0005-0000-0000-00001E200000}"/>
    <cellStyle name="20% - Accent4 2 7 6 4" xfId="37055" xr:uid="{00000000-0005-0000-0000-00001F200000}"/>
    <cellStyle name="20% - Accent4 2 7 7" xfId="17753" xr:uid="{00000000-0005-0000-0000-000020200000}"/>
    <cellStyle name="20% - Accent4 2 7 7 2" xfId="28121" xr:uid="{00000000-0005-0000-0000-000021200000}"/>
    <cellStyle name="20% - Accent4 2 7 7 2 2" xfId="47310" xr:uid="{00000000-0005-0000-0000-000022200000}"/>
    <cellStyle name="20% - Accent4 2 7 7 3" xfId="37612" xr:uid="{00000000-0005-0000-0000-000023200000}"/>
    <cellStyle name="20% - Accent4 2 7 8" xfId="23568" xr:uid="{00000000-0005-0000-0000-000024200000}"/>
    <cellStyle name="20% - Accent4 2 7 8 2" xfId="42855" xr:uid="{00000000-0005-0000-0000-000025200000}"/>
    <cellStyle name="20% - Accent4 2 7 9" xfId="33157" xr:uid="{00000000-0005-0000-0000-000026200000}"/>
    <cellStyle name="20% - Accent4 2 8" xfId="1714" xr:uid="{00000000-0005-0000-0000-000027200000}"/>
    <cellStyle name="20% - Accent4 2 8 10" xfId="52865" xr:uid="{00000000-0005-0000-0000-000028200000}"/>
    <cellStyle name="20% - Accent4 2 8 11" xfId="12788" xr:uid="{00000000-0005-0000-0000-000029200000}"/>
    <cellStyle name="20% - Accent4 2 8 2" xfId="13820" xr:uid="{00000000-0005-0000-0000-00002A200000}"/>
    <cellStyle name="20% - Accent4 2 8 2 2" xfId="16084" xr:uid="{00000000-0005-0000-0000-00002B200000}"/>
    <cellStyle name="20% - Accent4 2 8 2 2 2" xfId="20548" xr:uid="{00000000-0005-0000-0000-00002C200000}"/>
    <cellStyle name="20% - Accent4 2 8 2 2 2 2" xfId="30916" xr:uid="{00000000-0005-0000-0000-00002D200000}"/>
    <cellStyle name="20% - Accent4 2 8 2 2 2 2 2" xfId="50105" xr:uid="{00000000-0005-0000-0000-00002E200000}"/>
    <cellStyle name="20% - Accent4 2 8 2 2 2 3" xfId="40407" xr:uid="{00000000-0005-0000-0000-00002F200000}"/>
    <cellStyle name="20% - Accent4 2 8 2 2 3" xfId="26461" xr:uid="{00000000-0005-0000-0000-000030200000}"/>
    <cellStyle name="20% - Accent4 2 8 2 2 3 2" xfId="45650" xr:uid="{00000000-0005-0000-0000-000031200000}"/>
    <cellStyle name="20% - Accent4 2 8 2 2 4" xfId="35952" xr:uid="{00000000-0005-0000-0000-000032200000}"/>
    <cellStyle name="20% - Accent4 2 8 2 3" xfId="18320" xr:uid="{00000000-0005-0000-0000-000033200000}"/>
    <cellStyle name="20% - Accent4 2 8 2 3 2" xfId="28688" xr:uid="{00000000-0005-0000-0000-000034200000}"/>
    <cellStyle name="20% - Accent4 2 8 2 3 2 2" xfId="47877" xr:uid="{00000000-0005-0000-0000-000035200000}"/>
    <cellStyle name="20% - Accent4 2 8 2 3 3" xfId="38179" xr:uid="{00000000-0005-0000-0000-000036200000}"/>
    <cellStyle name="20% - Accent4 2 8 2 4" xfId="24228" xr:uid="{00000000-0005-0000-0000-000037200000}"/>
    <cellStyle name="20% - Accent4 2 8 2 4 2" xfId="43422" xr:uid="{00000000-0005-0000-0000-000038200000}"/>
    <cellStyle name="20% - Accent4 2 8 2 5" xfId="33724" xr:uid="{00000000-0005-0000-0000-000039200000}"/>
    <cellStyle name="20% - Accent4 2 8 2 6" xfId="53749" xr:uid="{00000000-0005-0000-0000-00003A200000}"/>
    <cellStyle name="20% - Accent4 2 8 3" xfId="14399" xr:uid="{00000000-0005-0000-0000-00003B200000}"/>
    <cellStyle name="20% - Accent4 2 8 3 2" xfId="15528" xr:uid="{00000000-0005-0000-0000-00003C200000}"/>
    <cellStyle name="20% - Accent4 2 8 3 2 2" xfId="19992" xr:uid="{00000000-0005-0000-0000-00003D200000}"/>
    <cellStyle name="20% - Accent4 2 8 3 2 2 2" xfId="30360" xr:uid="{00000000-0005-0000-0000-00003E200000}"/>
    <cellStyle name="20% - Accent4 2 8 3 2 2 2 2" xfId="49549" xr:uid="{00000000-0005-0000-0000-00003F200000}"/>
    <cellStyle name="20% - Accent4 2 8 3 2 2 3" xfId="39851" xr:uid="{00000000-0005-0000-0000-000040200000}"/>
    <cellStyle name="20% - Accent4 2 8 3 2 3" xfId="25905" xr:uid="{00000000-0005-0000-0000-000041200000}"/>
    <cellStyle name="20% - Accent4 2 8 3 2 3 2" xfId="45094" xr:uid="{00000000-0005-0000-0000-000042200000}"/>
    <cellStyle name="20% - Accent4 2 8 3 2 4" xfId="35396" xr:uid="{00000000-0005-0000-0000-000043200000}"/>
    <cellStyle name="20% - Accent4 2 8 3 3" xfId="18877" xr:uid="{00000000-0005-0000-0000-000044200000}"/>
    <cellStyle name="20% - Accent4 2 8 3 3 2" xfId="29245" xr:uid="{00000000-0005-0000-0000-000045200000}"/>
    <cellStyle name="20% - Accent4 2 8 3 3 2 2" xfId="48434" xr:uid="{00000000-0005-0000-0000-000046200000}"/>
    <cellStyle name="20% - Accent4 2 8 3 3 3" xfId="38736" xr:uid="{00000000-0005-0000-0000-000047200000}"/>
    <cellStyle name="20% - Accent4 2 8 3 4" xfId="24790" xr:uid="{00000000-0005-0000-0000-000048200000}"/>
    <cellStyle name="20% - Accent4 2 8 3 4 2" xfId="43979" xr:uid="{00000000-0005-0000-0000-000049200000}"/>
    <cellStyle name="20% - Accent4 2 8 3 5" xfId="34281" xr:uid="{00000000-0005-0000-0000-00004A200000}"/>
    <cellStyle name="20% - Accent4 2 8 4" xfId="14971" xr:uid="{00000000-0005-0000-0000-00004B200000}"/>
    <cellStyle name="20% - Accent4 2 8 4 2" xfId="19435" xr:uid="{00000000-0005-0000-0000-00004C200000}"/>
    <cellStyle name="20% - Accent4 2 8 4 2 2" xfId="29803" xr:uid="{00000000-0005-0000-0000-00004D200000}"/>
    <cellStyle name="20% - Accent4 2 8 4 2 2 2" xfId="48992" xr:uid="{00000000-0005-0000-0000-00004E200000}"/>
    <cellStyle name="20% - Accent4 2 8 4 2 3" xfId="39294" xr:uid="{00000000-0005-0000-0000-00004F200000}"/>
    <cellStyle name="20% - Accent4 2 8 4 3" xfId="25348" xr:uid="{00000000-0005-0000-0000-000050200000}"/>
    <cellStyle name="20% - Accent4 2 8 4 3 2" xfId="44537" xr:uid="{00000000-0005-0000-0000-000051200000}"/>
    <cellStyle name="20% - Accent4 2 8 4 4" xfId="34839" xr:uid="{00000000-0005-0000-0000-000052200000}"/>
    <cellStyle name="20% - Accent4 2 8 5" xfId="16641" xr:uid="{00000000-0005-0000-0000-000053200000}"/>
    <cellStyle name="20% - Accent4 2 8 5 2" xfId="21105" xr:uid="{00000000-0005-0000-0000-000054200000}"/>
    <cellStyle name="20% - Accent4 2 8 5 2 2" xfId="31473" xr:uid="{00000000-0005-0000-0000-000055200000}"/>
    <cellStyle name="20% - Accent4 2 8 5 2 2 2" xfId="50662" xr:uid="{00000000-0005-0000-0000-000056200000}"/>
    <cellStyle name="20% - Accent4 2 8 5 2 3" xfId="40964" xr:uid="{00000000-0005-0000-0000-000057200000}"/>
    <cellStyle name="20% - Accent4 2 8 5 3" xfId="27018" xr:uid="{00000000-0005-0000-0000-000058200000}"/>
    <cellStyle name="20% - Accent4 2 8 5 3 2" xfId="46207" xr:uid="{00000000-0005-0000-0000-000059200000}"/>
    <cellStyle name="20% - Accent4 2 8 5 4" xfId="36509" xr:uid="{00000000-0005-0000-0000-00005A200000}"/>
    <cellStyle name="20% - Accent4 2 8 6" xfId="17207" xr:uid="{00000000-0005-0000-0000-00005B200000}"/>
    <cellStyle name="20% - Accent4 2 8 6 2" xfId="21662" xr:uid="{00000000-0005-0000-0000-00005C200000}"/>
    <cellStyle name="20% - Accent4 2 8 6 2 2" xfId="32030" xr:uid="{00000000-0005-0000-0000-00005D200000}"/>
    <cellStyle name="20% - Accent4 2 8 6 2 2 2" xfId="51219" xr:uid="{00000000-0005-0000-0000-00005E200000}"/>
    <cellStyle name="20% - Accent4 2 8 6 2 3" xfId="41521" xr:uid="{00000000-0005-0000-0000-00005F200000}"/>
    <cellStyle name="20% - Accent4 2 8 6 3" xfId="27575" xr:uid="{00000000-0005-0000-0000-000060200000}"/>
    <cellStyle name="20% - Accent4 2 8 6 3 2" xfId="46764" xr:uid="{00000000-0005-0000-0000-000061200000}"/>
    <cellStyle name="20% - Accent4 2 8 6 4" xfId="37066" xr:uid="{00000000-0005-0000-0000-000062200000}"/>
    <cellStyle name="20% - Accent4 2 8 7" xfId="17764" xr:uid="{00000000-0005-0000-0000-000063200000}"/>
    <cellStyle name="20% - Accent4 2 8 7 2" xfId="28132" xr:uid="{00000000-0005-0000-0000-000064200000}"/>
    <cellStyle name="20% - Accent4 2 8 7 2 2" xfId="47321" xr:uid="{00000000-0005-0000-0000-000065200000}"/>
    <cellStyle name="20% - Accent4 2 8 7 3" xfId="37623" xr:uid="{00000000-0005-0000-0000-000066200000}"/>
    <cellStyle name="20% - Accent4 2 8 8" xfId="23591" xr:uid="{00000000-0005-0000-0000-000067200000}"/>
    <cellStyle name="20% - Accent4 2 8 8 2" xfId="42866" xr:uid="{00000000-0005-0000-0000-000068200000}"/>
    <cellStyle name="20% - Accent4 2 8 9" xfId="33168" xr:uid="{00000000-0005-0000-0000-000069200000}"/>
    <cellStyle name="20% - Accent4 2 9" xfId="1715" xr:uid="{00000000-0005-0000-0000-00006A200000}"/>
    <cellStyle name="20% - Accent4 2 9 2" xfId="54146" xr:uid="{00000000-0005-0000-0000-00006B200000}"/>
    <cellStyle name="20% - Accent4 2 9 3" xfId="53294" xr:uid="{00000000-0005-0000-0000-00006C200000}"/>
    <cellStyle name="20% - Accent4 2 9 4" xfId="13007" xr:uid="{00000000-0005-0000-0000-00006D200000}"/>
    <cellStyle name="20% - Accent4 20" xfId="22856" xr:uid="{00000000-0005-0000-0000-00006E200000}"/>
    <cellStyle name="20% - Accent4 20 2" xfId="32940" xr:uid="{00000000-0005-0000-0000-00006F200000}"/>
    <cellStyle name="20% - Accent4 20 2 2" xfId="52126" xr:uid="{00000000-0005-0000-0000-000070200000}"/>
    <cellStyle name="20% - Accent4 20 3" xfId="23213" xr:uid="{00000000-0005-0000-0000-000071200000}"/>
    <cellStyle name="20% - Accent4 20 3 2" xfId="42781" xr:uid="{00000000-0005-0000-0000-000072200000}"/>
    <cellStyle name="20% - Accent4 20 4" xfId="42428" xr:uid="{00000000-0005-0000-0000-000073200000}"/>
    <cellStyle name="20% - Accent4 21" xfId="22739" xr:uid="{00000000-0005-0000-0000-000074200000}"/>
    <cellStyle name="20% - Accent4 21 2" xfId="32823" xr:uid="{00000000-0005-0000-0000-000075200000}"/>
    <cellStyle name="20% - Accent4 21 2 2" xfId="52009" xr:uid="{00000000-0005-0000-0000-000076200000}"/>
    <cellStyle name="20% - Accent4 21 3" xfId="42311" xr:uid="{00000000-0005-0000-0000-000077200000}"/>
    <cellStyle name="20% - Accent4 22" xfId="23096" xr:uid="{00000000-0005-0000-0000-000078200000}"/>
    <cellStyle name="20% - Accent4 22 2" xfId="42664" xr:uid="{00000000-0005-0000-0000-000079200000}"/>
    <cellStyle name="20% - Accent4 23" xfId="33118" xr:uid="{00000000-0005-0000-0000-00007A200000}"/>
    <cellStyle name="20% - Accent4 3" xfId="90" xr:uid="{00000000-0005-0000-0000-00007B200000}"/>
    <cellStyle name="20% - Accent4 3 2" xfId="1717" xr:uid="{00000000-0005-0000-0000-00007C200000}"/>
    <cellStyle name="20% - Accent4 3 2 2" xfId="1718" xr:uid="{00000000-0005-0000-0000-00007D200000}"/>
    <cellStyle name="20% - Accent4 3 2 2 2" xfId="1719" xr:uid="{00000000-0005-0000-0000-00007E200000}"/>
    <cellStyle name="20% - Accent4 3 2 2 2 2" xfId="1720" xr:uid="{00000000-0005-0000-0000-00007F200000}"/>
    <cellStyle name="20% - Accent4 3 2 2 3" xfId="1721" xr:uid="{00000000-0005-0000-0000-000080200000}"/>
    <cellStyle name="20% - Accent4 3 2 3" xfId="1722" xr:uid="{00000000-0005-0000-0000-000081200000}"/>
    <cellStyle name="20% - Accent4 3 2 3 2" xfId="1723" xr:uid="{00000000-0005-0000-0000-000082200000}"/>
    <cellStyle name="20% - Accent4 3 2 4" xfId="1724" xr:uid="{00000000-0005-0000-0000-000083200000}"/>
    <cellStyle name="20% - Accent4 3 2 5" xfId="13008" xr:uid="{00000000-0005-0000-0000-000084200000}"/>
    <cellStyle name="20% - Accent4 3 3" xfId="1725" xr:uid="{00000000-0005-0000-0000-000085200000}"/>
    <cellStyle name="20% - Accent4 3 3 2" xfId="1726" xr:uid="{00000000-0005-0000-0000-000086200000}"/>
    <cellStyle name="20% - Accent4 3 3 2 2" xfId="1727" xr:uid="{00000000-0005-0000-0000-000087200000}"/>
    <cellStyle name="20% - Accent4 3 3 2 2 2" xfId="1728" xr:uid="{00000000-0005-0000-0000-000088200000}"/>
    <cellStyle name="20% - Accent4 3 3 2 3" xfId="1729" xr:uid="{00000000-0005-0000-0000-000089200000}"/>
    <cellStyle name="20% - Accent4 3 3 3" xfId="1730" xr:uid="{00000000-0005-0000-0000-00008A200000}"/>
    <cellStyle name="20% - Accent4 3 3 3 2" xfId="1731" xr:uid="{00000000-0005-0000-0000-00008B200000}"/>
    <cellStyle name="20% - Accent4 3 3 4" xfId="1732" xr:uid="{00000000-0005-0000-0000-00008C200000}"/>
    <cellStyle name="20% - Accent4 3 3 5" xfId="13525" xr:uid="{00000000-0005-0000-0000-00008D200000}"/>
    <cellStyle name="20% - Accent4 3 4" xfId="1733" xr:uid="{00000000-0005-0000-0000-00008E200000}"/>
    <cellStyle name="20% - Accent4 3 4 2" xfId="1734" xr:uid="{00000000-0005-0000-0000-00008F200000}"/>
    <cellStyle name="20% - Accent4 3 4 2 2" xfId="1735" xr:uid="{00000000-0005-0000-0000-000090200000}"/>
    <cellStyle name="20% - Accent4 3 4 3" xfId="1736" xr:uid="{00000000-0005-0000-0000-000091200000}"/>
    <cellStyle name="20% - Accent4 3 4 4" xfId="22280" xr:uid="{00000000-0005-0000-0000-000092200000}"/>
    <cellStyle name="20% - Accent4 3 5" xfId="1737" xr:uid="{00000000-0005-0000-0000-000093200000}"/>
    <cellStyle name="20% - Accent4 3 5 2" xfId="1738" xr:uid="{00000000-0005-0000-0000-000094200000}"/>
    <cellStyle name="20% - Accent4 3 5 3" xfId="23286" xr:uid="{00000000-0005-0000-0000-000095200000}"/>
    <cellStyle name="20% - Accent4 3 6" xfId="1739" xr:uid="{00000000-0005-0000-0000-000096200000}"/>
    <cellStyle name="20% - Accent4 3 7" xfId="1716" xr:uid="{00000000-0005-0000-0000-000097200000}"/>
    <cellStyle name="20% - Accent4 3 8" xfId="12141" xr:uid="{00000000-0005-0000-0000-000098200000}"/>
    <cellStyle name="20% - Accent4 4" xfId="91" xr:uid="{00000000-0005-0000-0000-000099200000}"/>
    <cellStyle name="20% - Accent4 4 2" xfId="1740" xr:uid="{00000000-0005-0000-0000-00009A200000}"/>
    <cellStyle name="20% - Accent4 4 2 2" xfId="13688" xr:uid="{00000000-0005-0000-0000-00009B200000}"/>
    <cellStyle name="20% - Accent4 4 3" xfId="22281" xr:uid="{00000000-0005-0000-0000-00009C200000}"/>
    <cellStyle name="20% - Accent4 4 4" xfId="23288" xr:uid="{00000000-0005-0000-0000-00009D200000}"/>
    <cellStyle name="20% - Accent4 4 5" xfId="12143" xr:uid="{00000000-0005-0000-0000-00009E200000}"/>
    <cellStyle name="20% - Accent4 5" xfId="92" xr:uid="{00000000-0005-0000-0000-00009F200000}"/>
    <cellStyle name="20% - Accent4 5 2" xfId="1741" xr:uid="{00000000-0005-0000-0000-0000A0200000}"/>
    <cellStyle name="20% - Accent4 5 2 2" xfId="22282" xr:uid="{00000000-0005-0000-0000-0000A1200000}"/>
    <cellStyle name="20% - Accent4 5 3" xfId="23525" xr:uid="{00000000-0005-0000-0000-0000A2200000}"/>
    <cellStyle name="20% - Accent4 5 4" xfId="12627" xr:uid="{00000000-0005-0000-0000-0000A3200000}"/>
    <cellStyle name="20% - Accent4 6" xfId="93" xr:uid="{00000000-0005-0000-0000-0000A4200000}"/>
    <cellStyle name="20% - Accent4 6 2" xfId="1742" xr:uid="{00000000-0005-0000-0000-0000A5200000}"/>
    <cellStyle name="20% - Accent4 6 2 2" xfId="22283" xr:uid="{00000000-0005-0000-0000-0000A6200000}"/>
    <cellStyle name="20% - Accent4 6 3" xfId="23590" xr:uid="{00000000-0005-0000-0000-0000A7200000}"/>
    <cellStyle name="20% - Accent4 6 4" xfId="12787" xr:uid="{00000000-0005-0000-0000-0000A8200000}"/>
    <cellStyle name="20% - Accent4 7" xfId="94" xr:uid="{00000000-0005-0000-0000-0000A9200000}"/>
    <cellStyle name="20% - Accent4 7 2" xfId="1743" xr:uid="{00000000-0005-0000-0000-0000AA200000}"/>
    <cellStyle name="20% - Accent4 8" xfId="95" xr:uid="{00000000-0005-0000-0000-0000AB200000}"/>
    <cellStyle name="20% - Accent4 8 2" xfId="1744" xr:uid="{00000000-0005-0000-0000-0000AC200000}"/>
    <cellStyle name="20% - Accent4 9" xfId="96" xr:uid="{00000000-0005-0000-0000-0000AD200000}"/>
    <cellStyle name="20% - Accent5 10" xfId="97" xr:uid="{00000000-0005-0000-0000-0000AE200000}"/>
    <cellStyle name="20% - Accent5 11" xfId="98" xr:uid="{00000000-0005-0000-0000-0000AF200000}"/>
    <cellStyle name="20% - Accent5 12" xfId="99" xr:uid="{00000000-0005-0000-0000-0000B0200000}"/>
    <cellStyle name="20% - Accent5 13" xfId="100" xr:uid="{00000000-0005-0000-0000-0000B1200000}"/>
    <cellStyle name="20% - Accent5 14" xfId="101" xr:uid="{00000000-0005-0000-0000-0000B2200000}"/>
    <cellStyle name="20% - Accent5 15" xfId="102" xr:uid="{00000000-0005-0000-0000-0000B3200000}"/>
    <cellStyle name="20% - Accent5 16" xfId="103" xr:uid="{00000000-0005-0000-0000-0000B4200000}"/>
    <cellStyle name="20% - Accent5 17" xfId="22768" xr:uid="{00000000-0005-0000-0000-0000B5200000}"/>
    <cellStyle name="20% - Accent5 17 2" xfId="32852" xr:uid="{00000000-0005-0000-0000-0000B6200000}"/>
    <cellStyle name="20% - Accent5 17 2 2" xfId="52038" xr:uid="{00000000-0005-0000-0000-0000B7200000}"/>
    <cellStyle name="20% - Accent5 17 3" xfId="23125" xr:uid="{00000000-0005-0000-0000-0000B8200000}"/>
    <cellStyle name="20% - Accent5 17 3 2" xfId="42693" xr:uid="{00000000-0005-0000-0000-0000B9200000}"/>
    <cellStyle name="20% - Accent5 17 4" xfId="42340" xr:uid="{00000000-0005-0000-0000-0000BA200000}"/>
    <cellStyle name="20% - Accent5 18" xfId="22798" xr:uid="{00000000-0005-0000-0000-0000BB200000}"/>
    <cellStyle name="20% - Accent5 18 2" xfId="32882" xr:uid="{00000000-0005-0000-0000-0000BC200000}"/>
    <cellStyle name="20% - Accent5 18 2 2" xfId="52068" xr:uid="{00000000-0005-0000-0000-0000BD200000}"/>
    <cellStyle name="20% - Accent5 18 3" xfId="23155" xr:uid="{00000000-0005-0000-0000-0000BE200000}"/>
    <cellStyle name="20% - Accent5 18 3 2" xfId="42723" xr:uid="{00000000-0005-0000-0000-0000BF200000}"/>
    <cellStyle name="20% - Accent5 18 4" xfId="42370" xr:uid="{00000000-0005-0000-0000-0000C0200000}"/>
    <cellStyle name="20% - Accent5 19" xfId="22843" xr:uid="{00000000-0005-0000-0000-0000C1200000}"/>
    <cellStyle name="20% - Accent5 19 2" xfId="32927" xr:uid="{00000000-0005-0000-0000-0000C2200000}"/>
    <cellStyle name="20% - Accent5 19 2 2" xfId="52113" xr:uid="{00000000-0005-0000-0000-0000C3200000}"/>
    <cellStyle name="20% - Accent5 19 3" xfId="23200" xr:uid="{00000000-0005-0000-0000-0000C4200000}"/>
    <cellStyle name="20% - Accent5 19 3 2" xfId="42768" xr:uid="{00000000-0005-0000-0000-0000C5200000}"/>
    <cellStyle name="20% - Accent5 19 4" xfId="42415" xr:uid="{00000000-0005-0000-0000-0000C6200000}"/>
    <cellStyle name="20% - Accent5 2" xfId="104" xr:uid="{00000000-0005-0000-0000-0000C7200000}"/>
    <cellStyle name="20% - Accent5 2 10" xfId="1746" xr:uid="{00000000-0005-0000-0000-0000C8200000}"/>
    <cellStyle name="20% - Accent5 2 10 10" xfId="53329" xr:uid="{00000000-0005-0000-0000-0000C9200000}"/>
    <cellStyle name="20% - Accent5 2 10 11" xfId="13009" xr:uid="{00000000-0005-0000-0000-0000CA200000}"/>
    <cellStyle name="20% - Accent5 2 10 2" xfId="13957" xr:uid="{00000000-0005-0000-0000-0000CB200000}"/>
    <cellStyle name="20% - Accent5 2 10 2 2" xfId="16221" xr:uid="{00000000-0005-0000-0000-0000CC200000}"/>
    <cellStyle name="20% - Accent5 2 10 2 2 2" xfId="20685" xr:uid="{00000000-0005-0000-0000-0000CD200000}"/>
    <cellStyle name="20% - Accent5 2 10 2 2 2 2" xfId="31053" xr:uid="{00000000-0005-0000-0000-0000CE200000}"/>
    <cellStyle name="20% - Accent5 2 10 2 2 2 2 2" xfId="50242" xr:uid="{00000000-0005-0000-0000-0000CF200000}"/>
    <cellStyle name="20% - Accent5 2 10 2 2 2 3" xfId="40544" xr:uid="{00000000-0005-0000-0000-0000D0200000}"/>
    <cellStyle name="20% - Accent5 2 10 2 2 3" xfId="26598" xr:uid="{00000000-0005-0000-0000-0000D1200000}"/>
    <cellStyle name="20% - Accent5 2 10 2 2 3 2" xfId="45787" xr:uid="{00000000-0005-0000-0000-0000D2200000}"/>
    <cellStyle name="20% - Accent5 2 10 2 2 4" xfId="36089" xr:uid="{00000000-0005-0000-0000-0000D3200000}"/>
    <cellStyle name="20% - Accent5 2 10 2 3" xfId="18457" xr:uid="{00000000-0005-0000-0000-0000D4200000}"/>
    <cellStyle name="20% - Accent5 2 10 2 3 2" xfId="28825" xr:uid="{00000000-0005-0000-0000-0000D5200000}"/>
    <cellStyle name="20% - Accent5 2 10 2 3 2 2" xfId="48014" xr:uid="{00000000-0005-0000-0000-0000D6200000}"/>
    <cellStyle name="20% - Accent5 2 10 2 3 3" xfId="38316" xr:uid="{00000000-0005-0000-0000-0000D7200000}"/>
    <cellStyle name="20% - Accent5 2 10 2 4" xfId="24365" xr:uid="{00000000-0005-0000-0000-0000D8200000}"/>
    <cellStyle name="20% - Accent5 2 10 2 4 2" xfId="43559" xr:uid="{00000000-0005-0000-0000-0000D9200000}"/>
    <cellStyle name="20% - Accent5 2 10 2 5" xfId="33861" xr:uid="{00000000-0005-0000-0000-0000DA200000}"/>
    <cellStyle name="20% - Accent5 2 10 2 6" xfId="54181" xr:uid="{00000000-0005-0000-0000-0000DB200000}"/>
    <cellStyle name="20% - Accent5 2 10 3" xfId="14536" xr:uid="{00000000-0005-0000-0000-0000DC200000}"/>
    <cellStyle name="20% - Accent5 2 10 3 2" xfId="15665" xr:uid="{00000000-0005-0000-0000-0000DD200000}"/>
    <cellStyle name="20% - Accent5 2 10 3 2 2" xfId="20129" xr:uid="{00000000-0005-0000-0000-0000DE200000}"/>
    <cellStyle name="20% - Accent5 2 10 3 2 2 2" xfId="30497" xr:uid="{00000000-0005-0000-0000-0000DF200000}"/>
    <cellStyle name="20% - Accent5 2 10 3 2 2 2 2" xfId="49686" xr:uid="{00000000-0005-0000-0000-0000E0200000}"/>
    <cellStyle name="20% - Accent5 2 10 3 2 2 3" xfId="39988" xr:uid="{00000000-0005-0000-0000-0000E1200000}"/>
    <cellStyle name="20% - Accent5 2 10 3 2 3" xfId="26042" xr:uid="{00000000-0005-0000-0000-0000E2200000}"/>
    <cellStyle name="20% - Accent5 2 10 3 2 3 2" xfId="45231" xr:uid="{00000000-0005-0000-0000-0000E3200000}"/>
    <cellStyle name="20% - Accent5 2 10 3 2 4" xfId="35533" xr:uid="{00000000-0005-0000-0000-0000E4200000}"/>
    <cellStyle name="20% - Accent5 2 10 3 3" xfId="19014" xr:uid="{00000000-0005-0000-0000-0000E5200000}"/>
    <cellStyle name="20% - Accent5 2 10 3 3 2" xfId="29382" xr:uid="{00000000-0005-0000-0000-0000E6200000}"/>
    <cellStyle name="20% - Accent5 2 10 3 3 2 2" xfId="48571" xr:uid="{00000000-0005-0000-0000-0000E7200000}"/>
    <cellStyle name="20% - Accent5 2 10 3 3 3" xfId="38873" xr:uid="{00000000-0005-0000-0000-0000E8200000}"/>
    <cellStyle name="20% - Accent5 2 10 3 4" xfId="24927" xr:uid="{00000000-0005-0000-0000-0000E9200000}"/>
    <cellStyle name="20% - Accent5 2 10 3 4 2" xfId="44116" xr:uid="{00000000-0005-0000-0000-0000EA200000}"/>
    <cellStyle name="20% - Accent5 2 10 3 5" xfId="34418" xr:uid="{00000000-0005-0000-0000-0000EB200000}"/>
    <cellStyle name="20% - Accent5 2 10 4" xfId="15108" xr:uid="{00000000-0005-0000-0000-0000EC200000}"/>
    <cellStyle name="20% - Accent5 2 10 4 2" xfId="19572" xr:uid="{00000000-0005-0000-0000-0000ED200000}"/>
    <cellStyle name="20% - Accent5 2 10 4 2 2" xfId="29940" xr:uid="{00000000-0005-0000-0000-0000EE200000}"/>
    <cellStyle name="20% - Accent5 2 10 4 2 2 2" xfId="49129" xr:uid="{00000000-0005-0000-0000-0000EF200000}"/>
    <cellStyle name="20% - Accent5 2 10 4 2 3" xfId="39431" xr:uid="{00000000-0005-0000-0000-0000F0200000}"/>
    <cellStyle name="20% - Accent5 2 10 4 3" xfId="25485" xr:uid="{00000000-0005-0000-0000-0000F1200000}"/>
    <cellStyle name="20% - Accent5 2 10 4 3 2" xfId="44674" xr:uid="{00000000-0005-0000-0000-0000F2200000}"/>
    <cellStyle name="20% - Accent5 2 10 4 4" xfId="34976" xr:uid="{00000000-0005-0000-0000-0000F3200000}"/>
    <cellStyle name="20% - Accent5 2 10 5" xfId="16778" xr:uid="{00000000-0005-0000-0000-0000F4200000}"/>
    <cellStyle name="20% - Accent5 2 10 5 2" xfId="21242" xr:uid="{00000000-0005-0000-0000-0000F5200000}"/>
    <cellStyle name="20% - Accent5 2 10 5 2 2" xfId="31610" xr:uid="{00000000-0005-0000-0000-0000F6200000}"/>
    <cellStyle name="20% - Accent5 2 10 5 2 2 2" xfId="50799" xr:uid="{00000000-0005-0000-0000-0000F7200000}"/>
    <cellStyle name="20% - Accent5 2 10 5 2 3" xfId="41101" xr:uid="{00000000-0005-0000-0000-0000F8200000}"/>
    <cellStyle name="20% - Accent5 2 10 5 3" xfId="27155" xr:uid="{00000000-0005-0000-0000-0000F9200000}"/>
    <cellStyle name="20% - Accent5 2 10 5 3 2" xfId="46344" xr:uid="{00000000-0005-0000-0000-0000FA200000}"/>
    <cellStyle name="20% - Accent5 2 10 5 4" xfId="36646" xr:uid="{00000000-0005-0000-0000-0000FB200000}"/>
    <cellStyle name="20% - Accent5 2 10 6" xfId="17344" xr:uid="{00000000-0005-0000-0000-0000FC200000}"/>
    <cellStyle name="20% - Accent5 2 10 6 2" xfId="21799" xr:uid="{00000000-0005-0000-0000-0000FD200000}"/>
    <cellStyle name="20% - Accent5 2 10 6 2 2" xfId="32167" xr:uid="{00000000-0005-0000-0000-0000FE200000}"/>
    <cellStyle name="20% - Accent5 2 10 6 2 2 2" xfId="51356" xr:uid="{00000000-0005-0000-0000-0000FF200000}"/>
    <cellStyle name="20% - Accent5 2 10 6 2 3" xfId="41658" xr:uid="{00000000-0005-0000-0000-000000210000}"/>
    <cellStyle name="20% - Accent5 2 10 6 3" xfId="27712" xr:uid="{00000000-0005-0000-0000-000001210000}"/>
    <cellStyle name="20% - Accent5 2 10 6 3 2" xfId="46901" xr:uid="{00000000-0005-0000-0000-000002210000}"/>
    <cellStyle name="20% - Accent5 2 10 6 4" xfId="37203" xr:uid="{00000000-0005-0000-0000-000003210000}"/>
    <cellStyle name="20% - Accent5 2 10 7" xfId="17901" xr:uid="{00000000-0005-0000-0000-000004210000}"/>
    <cellStyle name="20% - Accent5 2 10 7 2" xfId="28269" xr:uid="{00000000-0005-0000-0000-000005210000}"/>
    <cellStyle name="20% - Accent5 2 10 7 2 2" xfId="47458" xr:uid="{00000000-0005-0000-0000-000006210000}"/>
    <cellStyle name="20% - Accent5 2 10 7 3" xfId="37760" xr:uid="{00000000-0005-0000-0000-000007210000}"/>
    <cellStyle name="20% - Accent5 2 10 8" xfId="23764" xr:uid="{00000000-0005-0000-0000-000008210000}"/>
    <cellStyle name="20% - Accent5 2 10 8 2" xfId="43003" xr:uid="{00000000-0005-0000-0000-000009210000}"/>
    <cellStyle name="20% - Accent5 2 10 9" xfId="33305" xr:uid="{00000000-0005-0000-0000-00000A210000}"/>
    <cellStyle name="20% - Accent5 2 11" xfId="1745" xr:uid="{00000000-0005-0000-0000-00000B210000}"/>
    <cellStyle name="20% - Accent5 2 11 2" xfId="53356" xr:uid="{00000000-0005-0000-0000-00000C210000}"/>
    <cellStyle name="20% - Accent5 2 11 3" xfId="13497" xr:uid="{00000000-0005-0000-0000-00000D210000}"/>
    <cellStyle name="20% - Accent5 2 12" xfId="22216" xr:uid="{00000000-0005-0000-0000-00000E210000}"/>
    <cellStyle name="20% - Accent5 2 12 2" xfId="32575" xr:uid="{00000000-0005-0000-0000-00000F210000}"/>
    <cellStyle name="20% - Accent5 2 12 2 2" xfId="51763" xr:uid="{00000000-0005-0000-0000-000010210000}"/>
    <cellStyle name="20% - Accent5 2 12 3" xfId="42065" xr:uid="{00000000-0005-0000-0000-000011210000}"/>
    <cellStyle name="20% - Accent5 2 13" xfId="22244" xr:uid="{00000000-0005-0000-0000-000012210000}"/>
    <cellStyle name="20% - Accent5 2 13 2" xfId="32601" xr:uid="{00000000-0005-0000-0000-000013210000}"/>
    <cellStyle name="20% - Accent5 2 13 2 2" xfId="51789" xr:uid="{00000000-0005-0000-0000-000014210000}"/>
    <cellStyle name="20% - Accent5 2 13 3" xfId="42091" xr:uid="{00000000-0005-0000-0000-000015210000}"/>
    <cellStyle name="20% - Accent5 2 14" xfId="12145" xr:uid="{00000000-0005-0000-0000-000016210000}"/>
    <cellStyle name="20% - Accent5 2 15" xfId="23258" xr:uid="{00000000-0005-0000-0000-000017210000}"/>
    <cellStyle name="20% - Accent5 2 15 2" xfId="42824" xr:uid="{00000000-0005-0000-0000-000018210000}"/>
    <cellStyle name="20% - Accent5 2 16" xfId="32995" xr:uid="{00000000-0005-0000-0000-000019210000}"/>
    <cellStyle name="20% - Accent5 2 16 2" xfId="52181" xr:uid="{00000000-0005-0000-0000-00001A210000}"/>
    <cellStyle name="20% - Accent5 2 17" xfId="33089" xr:uid="{00000000-0005-0000-0000-00001B210000}"/>
    <cellStyle name="20% - Accent5 2 18" xfId="52275" xr:uid="{00000000-0005-0000-0000-00001C210000}"/>
    <cellStyle name="20% - Accent5 2 19" xfId="52332" xr:uid="{00000000-0005-0000-0000-00001D210000}"/>
    <cellStyle name="20% - Accent5 2 2" xfId="105" xr:uid="{00000000-0005-0000-0000-00001E210000}"/>
    <cellStyle name="20% - Accent5 2 2 2" xfId="1748" xr:uid="{00000000-0005-0000-0000-00001F210000}"/>
    <cellStyle name="20% - Accent5 2 2 2 2" xfId="8330" xr:uid="{00000000-0005-0000-0000-000020210000}"/>
    <cellStyle name="20% - Accent5 2 2 2 2 2" xfId="11227" xr:uid="{00000000-0005-0000-0000-000021210000}"/>
    <cellStyle name="20% - Accent5 2 2 2 2 2 2" xfId="53981" xr:uid="{00000000-0005-0000-0000-000022210000}"/>
    <cellStyle name="20% - Accent5 2 2 2 2 3" xfId="53128" xr:uid="{00000000-0005-0000-0000-000023210000}"/>
    <cellStyle name="20% - Accent5 2 2 2 3" xfId="9787" xr:uid="{00000000-0005-0000-0000-000024210000}"/>
    <cellStyle name="20% - Accent5 2 2 2 3 2" xfId="53585" xr:uid="{00000000-0005-0000-0000-000025210000}"/>
    <cellStyle name="20% - Accent5 2 2 2 4" xfId="6851" xr:uid="{00000000-0005-0000-0000-000026210000}"/>
    <cellStyle name="20% - Accent5 2 2 2 4 2" xfId="52700" xr:uid="{00000000-0005-0000-0000-000027210000}"/>
    <cellStyle name="20% - Accent5 2 2 2 5" xfId="12709" xr:uid="{00000000-0005-0000-0000-000028210000}"/>
    <cellStyle name="20% - Accent5 2 2 3" xfId="1749" xr:uid="{00000000-0005-0000-0000-000029210000}"/>
    <cellStyle name="20% - Accent5 2 2 3 2" xfId="10569" xr:uid="{00000000-0005-0000-0000-00002A210000}"/>
    <cellStyle name="20% - Accent5 2 2 3 2 2" xfId="53785" xr:uid="{00000000-0005-0000-0000-00002B210000}"/>
    <cellStyle name="20% - Accent5 2 2 3 3" xfId="7669" xr:uid="{00000000-0005-0000-0000-00002C210000}"/>
    <cellStyle name="20% - Accent5 2 2 3 3 2" xfId="52910" xr:uid="{00000000-0005-0000-0000-00002D210000}"/>
    <cellStyle name="20% - Accent5 2 2 3 4" xfId="12147" xr:uid="{00000000-0005-0000-0000-00002E210000}"/>
    <cellStyle name="20% - Accent5 2 2 4" xfId="1747" xr:uid="{00000000-0005-0000-0000-00002F210000}"/>
    <cellStyle name="20% - Accent5 2 2 4 2" xfId="9129" xr:uid="{00000000-0005-0000-0000-000030210000}"/>
    <cellStyle name="20% - Accent5 2 2 4 2 2" xfId="51872" xr:uid="{00000000-0005-0000-0000-000031210000}"/>
    <cellStyle name="20% - Accent5 2 2 4 2 3" xfId="32685" xr:uid="{00000000-0005-0000-0000-000032210000}"/>
    <cellStyle name="20% - Accent5 2 2 4 3" xfId="42174" xr:uid="{00000000-0005-0000-0000-000033210000}"/>
    <cellStyle name="20% - Accent5 2 2 4 4" xfId="53389" xr:uid="{00000000-0005-0000-0000-000034210000}"/>
    <cellStyle name="20% - Accent5 2 2 4 5" xfId="22587" xr:uid="{00000000-0005-0000-0000-000035210000}"/>
    <cellStyle name="20% - Accent5 2 2 5" xfId="6143" xr:uid="{00000000-0005-0000-0000-000036210000}"/>
    <cellStyle name="20% - Accent5 2 2 5 2" xfId="23283" xr:uid="{00000000-0005-0000-0000-000037210000}"/>
    <cellStyle name="20% - Accent5 2 2 6" xfId="22958" xr:uid="{00000000-0005-0000-0000-000038210000}"/>
    <cellStyle name="20% - Accent5 2 2 6 2" xfId="42527" xr:uid="{00000000-0005-0000-0000-000039210000}"/>
    <cellStyle name="20% - Accent5 2 2 7" xfId="12136" xr:uid="{00000000-0005-0000-0000-00003A210000}"/>
    <cellStyle name="20% - Accent5 2 2 8" xfId="52496" xr:uid="{00000000-0005-0000-0000-00003B210000}"/>
    <cellStyle name="20% - Accent5 2 2 9" xfId="12002" xr:uid="{00000000-0005-0000-0000-00003C210000}"/>
    <cellStyle name="20% - Accent5 2 20" xfId="52381" xr:uid="{00000000-0005-0000-0000-00003D210000}"/>
    <cellStyle name="20% - Accent5 2 21" xfId="12108" xr:uid="{00000000-0005-0000-0000-00003E210000}"/>
    <cellStyle name="20% - Accent5 2 22" xfId="52423" xr:uid="{00000000-0005-0000-0000-00003F210000}"/>
    <cellStyle name="20% - Accent5 2 23" xfId="52454" xr:uid="{00000000-0005-0000-0000-000040210000}"/>
    <cellStyle name="20% - Accent5 2 24" xfId="11965" xr:uid="{00000000-0005-0000-0000-000041210000}"/>
    <cellStyle name="20% - Accent5 2 3" xfId="106" xr:uid="{00000000-0005-0000-0000-000042210000}"/>
    <cellStyle name="20% - Accent5 2 3 10" xfId="52537" xr:uid="{00000000-0005-0000-0000-000043210000}"/>
    <cellStyle name="20% - Accent5 2 3 11" xfId="12003" xr:uid="{00000000-0005-0000-0000-000044210000}"/>
    <cellStyle name="20% - Accent5 2 3 2" xfId="1751" xr:uid="{00000000-0005-0000-0000-000045210000}"/>
    <cellStyle name="20% - Accent5 2 3 2 10" xfId="17902" xr:uid="{00000000-0005-0000-0000-000046210000}"/>
    <cellStyle name="20% - Accent5 2 3 2 10 2" xfId="28270" xr:uid="{00000000-0005-0000-0000-000047210000}"/>
    <cellStyle name="20% - Accent5 2 3 2 10 2 2" xfId="47459" xr:uid="{00000000-0005-0000-0000-000048210000}"/>
    <cellStyle name="20% - Accent5 2 3 2 10 3" xfId="37761" xr:uid="{00000000-0005-0000-0000-000049210000}"/>
    <cellStyle name="20% - Accent5 2 3 2 11" xfId="23765" xr:uid="{00000000-0005-0000-0000-00004A210000}"/>
    <cellStyle name="20% - Accent5 2 3 2 11 2" xfId="43004" xr:uid="{00000000-0005-0000-0000-00004B210000}"/>
    <cellStyle name="20% - Accent5 2 3 2 12" xfId="33306" xr:uid="{00000000-0005-0000-0000-00004C210000}"/>
    <cellStyle name="20% - Accent5 2 3 2 13" xfId="52738" xr:uid="{00000000-0005-0000-0000-00004D210000}"/>
    <cellStyle name="20% - Accent5 2 3 2 14" xfId="13010" xr:uid="{00000000-0005-0000-0000-00004E210000}"/>
    <cellStyle name="20% - Accent5 2 3 2 2" xfId="13011" xr:uid="{00000000-0005-0000-0000-00004F210000}"/>
    <cellStyle name="20% - Accent5 2 3 2 2 10" xfId="23766" xr:uid="{00000000-0005-0000-0000-000050210000}"/>
    <cellStyle name="20% - Accent5 2 3 2 2 10 2" xfId="43005" xr:uid="{00000000-0005-0000-0000-000051210000}"/>
    <cellStyle name="20% - Accent5 2 3 2 2 11" xfId="33307" xr:uid="{00000000-0005-0000-0000-000052210000}"/>
    <cellStyle name="20% - Accent5 2 3 2 2 12" xfId="53166" xr:uid="{00000000-0005-0000-0000-000053210000}"/>
    <cellStyle name="20% - Accent5 2 3 2 2 2" xfId="13012" xr:uid="{00000000-0005-0000-0000-000054210000}"/>
    <cellStyle name="20% - Accent5 2 3 2 2 2 10" xfId="54019" xr:uid="{00000000-0005-0000-0000-000055210000}"/>
    <cellStyle name="20% - Accent5 2 3 2 2 2 2" xfId="13960" xr:uid="{00000000-0005-0000-0000-000056210000}"/>
    <cellStyle name="20% - Accent5 2 3 2 2 2 2 2" xfId="16224" xr:uid="{00000000-0005-0000-0000-000057210000}"/>
    <cellStyle name="20% - Accent5 2 3 2 2 2 2 2 2" xfId="20688" xr:uid="{00000000-0005-0000-0000-000058210000}"/>
    <cellStyle name="20% - Accent5 2 3 2 2 2 2 2 2 2" xfId="31056" xr:uid="{00000000-0005-0000-0000-000059210000}"/>
    <cellStyle name="20% - Accent5 2 3 2 2 2 2 2 2 2 2" xfId="50245" xr:uid="{00000000-0005-0000-0000-00005A210000}"/>
    <cellStyle name="20% - Accent5 2 3 2 2 2 2 2 2 3" xfId="40547" xr:uid="{00000000-0005-0000-0000-00005B210000}"/>
    <cellStyle name="20% - Accent5 2 3 2 2 2 2 2 3" xfId="26601" xr:uid="{00000000-0005-0000-0000-00005C210000}"/>
    <cellStyle name="20% - Accent5 2 3 2 2 2 2 2 3 2" xfId="45790" xr:uid="{00000000-0005-0000-0000-00005D210000}"/>
    <cellStyle name="20% - Accent5 2 3 2 2 2 2 2 4" xfId="36092" xr:uid="{00000000-0005-0000-0000-00005E210000}"/>
    <cellStyle name="20% - Accent5 2 3 2 2 2 2 3" xfId="18460" xr:uid="{00000000-0005-0000-0000-00005F210000}"/>
    <cellStyle name="20% - Accent5 2 3 2 2 2 2 3 2" xfId="28828" xr:uid="{00000000-0005-0000-0000-000060210000}"/>
    <cellStyle name="20% - Accent5 2 3 2 2 2 2 3 2 2" xfId="48017" xr:uid="{00000000-0005-0000-0000-000061210000}"/>
    <cellStyle name="20% - Accent5 2 3 2 2 2 2 3 3" xfId="38319" xr:uid="{00000000-0005-0000-0000-000062210000}"/>
    <cellStyle name="20% - Accent5 2 3 2 2 2 2 4" xfId="24368" xr:uid="{00000000-0005-0000-0000-000063210000}"/>
    <cellStyle name="20% - Accent5 2 3 2 2 2 2 4 2" xfId="43562" xr:uid="{00000000-0005-0000-0000-000064210000}"/>
    <cellStyle name="20% - Accent5 2 3 2 2 2 2 5" xfId="33864" xr:uid="{00000000-0005-0000-0000-000065210000}"/>
    <cellStyle name="20% - Accent5 2 3 2 2 2 3" xfId="14539" xr:uid="{00000000-0005-0000-0000-000066210000}"/>
    <cellStyle name="20% - Accent5 2 3 2 2 2 3 2" xfId="15668" xr:uid="{00000000-0005-0000-0000-000067210000}"/>
    <cellStyle name="20% - Accent5 2 3 2 2 2 3 2 2" xfId="20132" xr:uid="{00000000-0005-0000-0000-000068210000}"/>
    <cellStyle name="20% - Accent5 2 3 2 2 2 3 2 2 2" xfId="30500" xr:uid="{00000000-0005-0000-0000-000069210000}"/>
    <cellStyle name="20% - Accent5 2 3 2 2 2 3 2 2 2 2" xfId="49689" xr:uid="{00000000-0005-0000-0000-00006A210000}"/>
    <cellStyle name="20% - Accent5 2 3 2 2 2 3 2 2 3" xfId="39991" xr:uid="{00000000-0005-0000-0000-00006B210000}"/>
    <cellStyle name="20% - Accent5 2 3 2 2 2 3 2 3" xfId="26045" xr:uid="{00000000-0005-0000-0000-00006C210000}"/>
    <cellStyle name="20% - Accent5 2 3 2 2 2 3 2 3 2" xfId="45234" xr:uid="{00000000-0005-0000-0000-00006D210000}"/>
    <cellStyle name="20% - Accent5 2 3 2 2 2 3 2 4" xfId="35536" xr:uid="{00000000-0005-0000-0000-00006E210000}"/>
    <cellStyle name="20% - Accent5 2 3 2 2 2 3 3" xfId="19017" xr:uid="{00000000-0005-0000-0000-00006F210000}"/>
    <cellStyle name="20% - Accent5 2 3 2 2 2 3 3 2" xfId="29385" xr:uid="{00000000-0005-0000-0000-000070210000}"/>
    <cellStyle name="20% - Accent5 2 3 2 2 2 3 3 2 2" xfId="48574" xr:uid="{00000000-0005-0000-0000-000071210000}"/>
    <cellStyle name="20% - Accent5 2 3 2 2 2 3 3 3" xfId="38876" xr:uid="{00000000-0005-0000-0000-000072210000}"/>
    <cellStyle name="20% - Accent5 2 3 2 2 2 3 4" xfId="24930" xr:uid="{00000000-0005-0000-0000-000073210000}"/>
    <cellStyle name="20% - Accent5 2 3 2 2 2 3 4 2" xfId="44119" xr:uid="{00000000-0005-0000-0000-000074210000}"/>
    <cellStyle name="20% - Accent5 2 3 2 2 2 3 5" xfId="34421" xr:uid="{00000000-0005-0000-0000-000075210000}"/>
    <cellStyle name="20% - Accent5 2 3 2 2 2 4" xfId="15111" xr:uid="{00000000-0005-0000-0000-000076210000}"/>
    <cellStyle name="20% - Accent5 2 3 2 2 2 4 2" xfId="19575" xr:uid="{00000000-0005-0000-0000-000077210000}"/>
    <cellStyle name="20% - Accent5 2 3 2 2 2 4 2 2" xfId="29943" xr:uid="{00000000-0005-0000-0000-000078210000}"/>
    <cellStyle name="20% - Accent5 2 3 2 2 2 4 2 2 2" xfId="49132" xr:uid="{00000000-0005-0000-0000-000079210000}"/>
    <cellStyle name="20% - Accent5 2 3 2 2 2 4 2 3" xfId="39434" xr:uid="{00000000-0005-0000-0000-00007A210000}"/>
    <cellStyle name="20% - Accent5 2 3 2 2 2 4 3" xfId="25488" xr:uid="{00000000-0005-0000-0000-00007B210000}"/>
    <cellStyle name="20% - Accent5 2 3 2 2 2 4 3 2" xfId="44677" xr:uid="{00000000-0005-0000-0000-00007C210000}"/>
    <cellStyle name="20% - Accent5 2 3 2 2 2 4 4" xfId="34979" xr:uid="{00000000-0005-0000-0000-00007D210000}"/>
    <cellStyle name="20% - Accent5 2 3 2 2 2 5" xfId="16781" xr:uid="{00000000-0005-0000-0000-00007E210000}"/>
    <cellStyle name="20% - Accent5 2 3 2 2 2 5 2" xfId="21245" xr:uid="{00000000-0005-0000-0000-00007F210000}"/>
    <cellStyle name="20% - Accent5 2 3 2 2 2 5 2 2" xfId="31613" xr:uid="{00000000-0005-0000-0000-000080210000}"/>
    <cellStyle name="20% - Accent5 2 3 2 2 2 5 2 2 2" xfId="50802" xr:uid="{00000000-0005-0000-0000-000081210000}"/>
    <cellStyle name="20% - Accent5 2 3 2 2 2 5 2 3" xfId="41104" xr:uid="{00000000-0005-0000-0000-000082210000}"/>
    <cellStyle name="20% - Accent5 2 3 2 2 2 5 3" xfId="27158" xr:uid="{00000000-0005-0000-0000-000083210000}"/>
    <cellStyle name="20% - Accent5 2 3 2 2 2 5 3 2" xfId="46347" xr:uid="{00000000-0005-0000-0000-000084210000}"/>
    <cellStyle name="20% - Accent5 2 3 2 2 2 5 4" xfId="36649" xr:uid="{00000000-0005-0000-0000-000085210000}"/>
    <cellStyle name="20% - Accent5 2 3 2 2 2 6" xfId="17347" xr:uid="{00000000-0005-0000-0000-000086210000}"/>
    <cellStyle name="20% - Accent5 2 3 2 2 2 6 2" xfId="21802" xr:uid="{00000000-0005-0000-0000-000087210000}"/>
    <cellStyle name="20% - Accent5 2 3 2 2 2 6 2 2" xfId="32170" xr:uid="{00000000-0005-0000-0000-000088210000}"/>
    <cellStyle name="20% - Accent5 2 3 2 2 2 6 2 2 2" xfId="51359" xr:uid="{00000000-0005-0000-0000-000089210000}"/>
    <cellStyle name="20% - Accent5 2 3 2 2 2 6 2 3" xfId="41661" xr:uid="{00000000-0005-0000-0000-00008A210000}"/>
    <cellStyle name="20% - Accent5 2 3 2 2 2 6 3" xfId="27715" xr:uid="{00000000-0005-0000-0000-00008B210000}"/>
    <cellStyle name="20% - Accent5 2 3 2 2 2 6 3 2" xfId="46904" xr:uid="{00000000-0005-0000-0000-00008C210000}"/>
    <cellStyle name="20% - Accent5 2 3 2 2 2 6 4" xfId="37206" xr:uid="{00000000-0005-0000-0000-00008D210000}"/>
    <cellStyle name="20% - Accent5 2 3 2 2 2 7" xfId="17904" xr:uid="{00000000-0005-0000-0000-00008E210000}"/>
    <cellStyle name="20% - Accent5 2 3 2 2 2 7 2" xfId="28272" xr:uid="{00000000-0005-0000-0000-00008F210000}"/>
    <cellStyle name="20% - Accent5 2 3 2 2 2 7 2 2" xfId="47461" xr:uid="{00000000-0005-0000-0000-000090210000}"/>
    <cellStyle name="20% - Accent5 2 3 2 2 2 7 3" xfId="37763" xr:uid="{00000000-0005-0000-0000-000091210000}"/>
    <cellStyle name="20% - Accent5 2 3 2 2 2 8" xfId="23767" xr:uid="{00000000-0005-0000-0000-000092210000}"/>
    <cellStyle name="20% - Accent5 2 3 2 2 2 8 2" xfId="43006" xr:uid="{00000000-0005-0000-0000-000093210000}"/>
    <cellStyle name="20% - Accent5 2 3 2 2 2 9" xfId="33308" xr:uid="{00000000-0005-0000-0000-000094210000}"/>
    <cellStyle name="20% - Accent5 2 3 2 2 3" xfId="13013" xr:uid="{00000000-0005-0000-0000-000095210000}"/>
    <cellStyle name="20% - Accent5 2 3 2 2 3 2" xfId="13961" xr:uid="{00000000-0005-0000-0000-000096210000}"/>
    <cellStyle name="20% - Accent5 2 3 2 2 3 2 2" xfId="16225" xr:uid="{00000000-0005-0000-0000-000097210000}"/>
    <cellStyle name="20% - Accent5 2 3 2 2 3 2 2 2" xfId="20689" xr:uid="{00000000-0005-0000-0000-000098210000}"/>
    <cellStyle name="20% - Accent5 2 3 2 2 3 2 2 2 2" xfId="31057" xr:uid="{00000000-0005-0000-0000-000099210000}"/>
    <cellStyle name="20% - Accent5 2 3 2 2 3 2 2 2 2 2" xfId="50246" xr:uid="{00000000-0005-0000-0000-00009A210000}"/>
    <cellStyle name="20% - Accent5 2 3 2 2 3 2 2 2 3" xfId="40548" xr:uid="{00000000-0005-0000-0000-00009B210000}"/>
    <cellStyle name="20% - Accent5 2 3 2 2 3 2 2 3" xfId="26602" xr:uid="{00000000-0005-0000-0000-00009C210000}"/>
    <cellStyle name="20% - Accent5 2 3 2 2 3 2 2 3 2" xfId="45791" xr:uid="{00000000-0005-0000-0000-00009D210000}"/>
    <cellStyle name="20% - Accent5 2 3 2 2 3 2 2 4" xfId="36093" xr:uid="{00000000-0005-0000-0000-00009E210000}"/>
    <cellStyle name="20% - Accent5 2 3 2 2 3 2 3" xfId="18461" xr:uid="{00000000-0005-0000-0000-00009F210000}"/>
    <cellStyle name="20% - Accent5 2 3 2 2 3 2 3 2" xfId="28829" xr:uid="{00000000-0005-0000-0000-0000A0210000}"/>
    <cellStyle name="20% - Accent5 2 3 2 2 3 2 3 2 2" xfId="48018" xr:uid="{00000000-0005-0000-0000-0000A1210000}"/>
    <cellStyle name="20% - Accent5 2 3 2 2 3 2 3 3" xfId="38320" xr:uid="{00000000-0005-0000-0000-0000A2210000}"/>
    <cellStyle name="20% - Accent5 2 3 2 2 3 2 4" xfId="24369" xr:uid="{00000000-0005-0000-0000-0000A3210000}"/>
    <cellStyle name="20% - Accent5 2 3 2 2 3 2 4 2" xfId="43563" xr:uid="{00000000-0005-0000-0000-0000A4210000}"/>
    <cellStyle name="20% - Accent5 2 3 2 2 3 2 5" xfId="33865" xr:uid="{00000000-0005-0000-0000-0000A5210000}"/>
    <cellStyle name="20% - Accent5 2 3 2 2 3 3" xfId="14540" xr:uid="{00000000-0005-0000-0000-0000A6210000}"/>
    <cellStyle name="20% - Accent5 2 3 2 2 3 3 2" xfId="15669" xr:uid="{00000000-0005-0000-0000-0000A7210000}"/>
    <cellStyle name="20% - Accent5 2 3 2 2 3 3 2 2" xfId="20133" xr:uid="{00000000-0005-0000-0000-0000A8210000}"/>
    <cellStyle name="20% - Accent5 2 3 2 2 3 3 2 2 2" xfId="30501" xr:uid="{00000000-0005-0000-0000-0000A9210000}"/>
    <cellStyle name="20% - Accent5 2 3 2 2 3 3 2 2 2 2" xfId="49690" xr:uid="{00000000-0005-0000-0000-0000AA210000}"/>
    <cellStyle name="20% - Accent5 2 3 2 2 3 3 2 2 3" xfId="39992" xr:uid="{00000000-0005-0000-0000-0000AB210000}"/>
    <cellStyle name="20% - Accent5 2 3 2 2 3 3 2 3" xfId="26046" xr:uid="{00000000-0005-0000-0000-0000AC210000}"/>
    <cellStyle name="20% - Accent5 2 3 2 2 3 3 2 3 2" xfId="45235" xr:uid="{00000000-0005-0000-0000-0000AD210000}"/>
    <cellStyle name="20% - Accent5 2 3 2 2 3 3 2 4" xfId="35537" xr:uid="{00000000-0005-0000-0000-0000AE210000}"/>
    <cellStyle name="20% - Accent5 2 3 2 2 3 3 3" xfId="19018" xr:uid="{00000000-0005-0000-0000-0000AF210000}"/>
    <cellStyle name="20% - Accent5 2 3 2 2 3 3 3 2" xfId="29386" xr:uid="{00000000-0005-0000-0000-0000B0210000}"/>
    <cellStyle name="20% - Accent5 2 3 2 2 3 3 3 2 2" xfId="48575" xr:uid="{00000000-0005-0000-0000-0000B1210000}"/>
    <cellStyle name="20% - Accent5 2 3 2 2 3 3 3 3" xfId="38877" xr:uid="{00000000-0005-0000-0000-0000B2210000}"/>
    <cellStyle name="20% - Accent5 2 3 2 2 3 3 4" xfId="24931" xr:uid="{00000000-0005-0000-0000-0000B3210000}"/>
    <cellStyle name="20% - Accent5 2 3 2 2 3 3 4 2" xfId="44120" xr:uid="{00000000-0005-0000-0000-0000B4210000}"/>
    <cellStyle name="20% - Accent5 2 3 2 2 3 3 5" xfId="34422" xr:uid="{00000000-0005-0000-0000-0000B5210000}"/>
    <cellStyle name="20% - Accent5 2 3 2 2 3 4" xfId="15112" xr:uid="{00000000-0005-0000-0000-0000B6210000}"/>
    <cellStyle name="20% - Accent5 2 3 2 2 3 4 2" xfId="19576" xr:uid="{00000000-0005-0000-0000-0000B7210000}"/>
    <cellStyle name="20% - Accent5 2 3 2 2 3 4 2 2" xfId="29944" xr:uid="{00000000-0005-0000-0000-0000B8210000}"/>
    <cellStyle name="20% - Accent5 2 3 2 2 3 4 2 2 2" xfId="49133" xr:uid="{00000000-0005-0000-0000-0000B9210000}"/>
    <cellStyle name="20% - Accent5 2 3 2 2 3 4 2 3" xfId="39435" xr:uid="{00000000-0005-0000-0000-0000BA210000}"/>
    <cellStyle name="20% - Accent5 2 3 2 2 3 4 3" xfId="25489" xr:uid="{00000000-0005-0000-0000-0000BB210000}"/>
    <cellStyle name="20% - Accent5 2 3 2 2 3 4 3 2" xfId="44678" xr:uid="{00000000-0005-0000-0000-0000BC210000}"/>
    <cellStyle name="20% - Accent5 2 3 2 2 3 4 4" xfId="34980" xr:uid="{00000000-0005-0000-0000-0000BD210000}"/>
    <cellStyle name="20% - Accent5 2 3 2 2 3 5" xfId="16782" xr:uid="{00000000-0005-0000-0000-0000BE210000}"/>
    <cellStyle name="20% - Accent5 2 3 2 2 3 5 2" xfId="21246" xr:uid="{00000000-0005-0000-0000-0000BF210000}"/>
    <cellStyle name="20% - Accent5 2 3 2 2 3 5 2 2" xfId="31614" xr:uid="{00000000-0005-0000-0000-0000C0210000}"/>
    <cellStyle name="20% - Accent5 2 3 2 2 3 5 2 2 2" xfId="50803" xr:uid="{00000000-0005-0000-0000-0000C1210000}"/>
    <cellStyle name="20% - Accent5 2 3 2 2 3 5 2 3" xfId="41105" xr:uid="{00000000-0005-0000-0000-0000C2210000}"/>
    <cellStyle name="20% - Accent5 2 3 2 2 3 5 3" xfId="27159" xr:uid="{00000000-0005-0000-0000-0000C3210000}"/>
    <cellStyle name="20% - Accent5 2 3 2 2 3 5 3 2" xfId="46348" xr:uid="{00000000-0005-0000-0000-0000C4210000}"/>
    <cellStyle name="20% - Accent5 2 3 2 2 3 5 4" xfId="36650" xr:uid="{00000000-0005-0000-0000-0000C5210000}"/>
    <cellStyle name="20% - Accent5 2 3 2 2 3 6" xfId="17348" xr:uid="{00000000-0005-0000-0000-0000C6210000}"/>
    <cellStyle name="20% - Accent5 2 3 2 2 3 6 2" xfId="21803" xr:uid="{00000000-0005-0000-0000-0000C7210000}"/>
    <cellStyle name="20% - Accent5 2 3 2 2 3 6 2 2" xfId="32171" xr:uid="{00000000-0005-0000-0000-0000C8210000}"/>
    <cellStyle name="20% - Accent5 2 3 2 2 3 6 2 2 2" xfId="51360" xr:uid="{00000000-0005-0000-0000-0000C9210000}"/>
    <cellStyle name="20% - Accent5 2 3 2 2 3 6 2 3" xfId="41662" xr:uid="{00000000-0005-0000-0000-0000CA210000}"/>
    <cellStyle name="20% - Accent5 2 3 2 2 3 6 3" xfId="27716" xr:uid="{00000000-0005-0000-0000-0000CB210000}"/>
    <cellStyle name="20% - Accent5 2 3 2 2 3 6 3 2" xfId="46905" xr:uid="{00000000-0005-0000-0000-0000CC210000}"/>
    <cellStyle name="20% - Accent5 2 3 2 2 3 6 4" xfId="37207" xr:uid="{00000000-0005-0000-0000-0000CD210000}"/>
    <cellStyle name="20% - Accent5 2 3 2 2 3 7" xfId="17905" xr:uid="{00000000-0005-0000-0000-0000CE210000}"/>
    <cellStyle name="20% - Accent5 2 3 2 2 3 7 2" xfId="28273" xr:uid="{00000000-0005-0000-0000-0000CF210000}"/>
    <cellStyle name="20% - Accent5 2 3 2 2 3 7 2 2" xfId="47462" xr:uid="{00000000-0005-0000-0000-0000D0210000}"/>
    <cellStyle name="20% - Accent5 2 3 2 2 3 7 3" xfId="37764" xr:uid="{00000000-0005-0000-0000-0000D1210000}"/>
    <cellStyle name="20% - Accent5 2 3 2 2 3 8" xfId="23768" xr:uid="{00000000-0005-0000-0000-0000D2210000}"/>
    <cellStyle name="20% - Accent5 2 3 2 2 3 8 2" xfId="43007" xr:uid="{00000000-0005-0000-0000-0000D3210000}"/>
    <cellStyle name="20% - Accent5 2 3 2 2 3 9" xfId="33309" xr:uid="{00000000-0005-0000-0000-0000D4210000}"/>
    <cellStyle name="20% - Accent5 2 3 2 2 4" xfId="13959" xr:uid="{00000000-0005-0000-0000-0000D5210000}"/>
    <cellStyle name="20% - Accent5 2 3 2 2 4 2" xfId="16223" xr:uid="{00000000-0005-0000-0000-0000D6210000}"/>
    <cellStyle name="20% - Accent5 2 3 2 2 4 2 2" xfId="20687" xr:uid="{00000000-0005-0000-0000-0000D7210000}"/>
    <cellStyle name="20% - Accent5 2 3 2 2 4 2 2 2" xfId="31055" xr:uid="{00000000-0005-0000-0000-0000D8210000}"/>
    <cellStyle name="20% - Accent5 2 3 2 2 4 2 2 2 2" xfId="50244" xr:uid="{00000000-0005-0000-0000-0000D9210000}"/>
    <cellStyle name="20% - Accent5 2 3 2 2 4 2 2 3" xfId="40546" xr:uid="{00000000-0005-0000-0000-0000DA210000}"/>
    <cellStyle name="20% - Accent5 2 3 2 2 4 2 3" xfId="26600" xr:uid="{00000000-0005-0000-0000-0000DB210000}"/>
    <cellStyle name="20% - Accent5 2 3 2 2 4 2 3 2" xfId="45789" xr:uid="{00000000-0005-0000-0000-0000DC210000}"/>
    <cellStyle name="20% - Accent5 2 3 2 2 4 2 4" xfId="36091" xr:uid="{00000000-0005-0000-0000-0000DD210000}"/>
    <cellStyle name="20% - Accent5 2 3 2 2 4 3" xfId="18459" xr:uid="{00000000-0005-0000-0000-0000DE210000}"/>
    <cellStyle name="20% - Accent5 2 3 2 2 4 3 2" xfId="28827" xr:uid="{00000000-0005-0000-0000-0000DF210000}"/>
    <cellStyle name="20% - Accent5 2 3 2 2 4 3 2 2" xfId="48016" xr:uid="{00000000-0005-0000-0000-0000E0210000}"/>
    <cellStyle name="20% - Accent5 2 3 2 2 4 3 3" xfId="38318" xr:uid="{00000000-0005-0000-0000-0000E1210000}"/>
    <cellStyle name="20% - Accent5 2 3 2 2 4 4" xfId="24367" xr:uid="{00000000-0005-0000-0000-0000E2210000}"/>
    <cellStyle name="20% - Accent5 2 3 2 2 4 4 2" xfId="43561" xr:uid="{00000000-0005-0000-0000-0000E3210000}"/>
    <cellStyle name="20% - Accent5 2 3 2 2 4 5" xfId="33863" xr:uid="{00000000-0005-0000-0000-0000E4210000}"/>
    <cellStyle name="20% - Accent5 2 3 2 2 5" xfId="14538" xr:uid="{00000000-0005-0000-0000-0000E5210000}"/>
    <cellStyle name="20% - Accent5 2 3 2 2 5 2" xfId="15667" xr:uid="{00000000-0005-0000-0000-0000E6210000}"/>
    <cellStyle name="20% - Accent5 2 3 2 2 5 2 2" xfId="20131" xr:uid="{00000000-0005-0000-0000-0000E7210000}"/>
    <cellStyle name="20% - Accent5 2 3 2 2 5 2 2 2" xfId="30499" xr:uid="{00000000-0005-0000-0000-0000E8210000}"/>
    <cellStyle name="20% - Accent5 2 3 2 2 5 2 2 2 2" xfId="49688" xr:uid="{00000000-0005-0000-0000-0000E9210000}"/>
    <cellStyle name="20% - Accent5 2 3 2 2 5 2 2 3" xfId="39990" xr:uid="{00000000-0005-0000-0000-0000EA210000}"/>
    <cellStyle name="20% - Accent5 2 3 2 2 5 2 3" xfId="26044" xr:uid="{00000000-0005-0000-0000-0000EB210000}"/>
    <cellStyle name="20% - Accent5 2 3 2 2 5 2 3 2" xfId="45233" xr:uid="{00000000-0005-0000-0000-0000EC210000}"/>
    <cellStyle name="20% - Accent5 2 3 2 2 5 2 4" xfId="35535" xr:uid="{00000000-0005-0000-0000-0000ED210000}"/>
    <cellStyle name="20% - Accent5 2 3 2 2 5 3" xfId="19016" xr:uid="{00000000-0005-0000-0000-0000EE210000}"/>
    <cellStyle name="20% - Accent5 2 3 2 2 5 3 2" xfId="29384" xr:uid="{00000000-0005-0000-0000-0000EF210000}"/>
    <cellStyle name="20% - Accent5 2 3 2 2 5 3 2 2" xfId="48573" xr:uid="{00000000-0005-0000-0000-0000F0210000}"/>
    <cellStyle name="20% - Accent5 2 3 2 2 5 3 3" xfId="38875" xr:uid="{00000000-0005-0000-0000-0000F1210000}"/>
    <cellStyle name="20% - Accent5 2 3 2 2 5 4" xfId="24929" xr:uid="{00000000-0005-0000-0000-0000F2210000}"/>
    <cellStyle name="20% - Accent5 2 3 2 2 5 4 2" xfId="44118" xr:uid="{00000000-0005-0000-0000-0000F3210000}"/>
    <cellStyle name="20% - Accent5 2 3 2 2 5 5" xfId="34420" xr:uid="{00000000-0005-0000-0000-0000F4210000}"/>
    <cellStyle name="20% - Accent5 2 3 2 2 6" xfId="15110" xr:uid="{00000000-0005-0000-0000-0000F5210000}"/>
    <cellStyle name="20% - Accent5 2 3 2 2 6 2" xfId="19574" xr:uid="{00000000-0005-0000-0000-0000F6210000}"/>
    <cellStyle name="20% - Accent5 2 3 2 2 6 2 2" xfId="29942" xr:uid="{00000000-0005-0000-0000-0000F7210000}"/>
    <cellStyle name="20% - Accent5 2 3 2 2 6 2 2 2" xfId="49131" xr:uid="{00000000-0005-0000-0000-0000F8210000}"/>
    <cellStyle name="20% - Accent5 2 3 2 2 6 2 3" xfId="39433" xr:uid="{00000000-0005-0000-0000-0000F9210000}"/>
    <cellStyle name="20% - Accent5 2 3 2 2 6 3" xfId="25487" xr:uid="{00000000-0005-0000-0000-0000FA210000}"/>
    <cellStyle name="20% - Accent5 2 3 2 2 6 3 2" xfId="44676" xr:uid="{00000000-0005-0000-0000-0000FB210000}"/>
    <cellStyle name="20% - Accent5 2 3 2 2 6 4" xfId="34978" xr:uid="{00000000-0005-0000-0000-0000FC210000}"/>
    <cellStyle name="20% - Accent5 2 3 2 2 7" xfId="16780" xr:uid="{00000000-0005-0000-0000-0000FD210000}"/>
    <cellStyle name="20% - Accent5 2 3 2 2 7 2" xfId="21244" xr:uid="{00000000-0005-0000-0000-0000FE210000}"/>
    <cellStyle name="20% - Accent5 2 3 2 2 7 2 2" xfId="31612" xr:uid="{00000000-0005-0000-0000-0000FF210000}"/>
    <cellStyle name="20% - Accent5 2 3 2 2 7 2 2 2" xfId="50801" xr:uid="{00000000-0005-0000-0000-000000220000}"/>
    <cellStyle name="20% - Accent5 2 3 2 2 7 2 3" xfId="41103" xr:uid="{00000000-0005-0000-0000-000001220000}"/>
    <cellStyle name="20% - Accent5 2 3 2 2 7 3" xfId="27157" xr:uid="{00000000-0005-0000-0000-000002220000}"/>
    <cellStyle name="20% - Accent5 2 3 2 2 7 3 2" xfId="46346" xr:uid="{00000000-0005-0000-0000-000003220000}"/>
    <cellStyle name="20% - Accent5 2 3 2 2 7 4" xfId="36648" xr:uid="{00000000-0005-0000-0000-000004220000}"/>
    <cellStyle name="20% - Accent5 2 3 2 2 8" xfId="17346" xr:uid="{00000000-0005-0000-0000-000005220000}"/>
    <cellStyle name="20% - Accent5 2 3 2 2 8 2" xfId="21801" xr:uid="{00000000-0005-0000-0000-000006220000}"/>
    <cellStyle name="20% - Accent5 2 3 2 2 8 2 2" xfId="32169" xr:uid="{00000000-0005-0000-0000-000007220000}"/>
    <cellStyle name="20% - Accent5 2 3 2 2 8 2 2 2" xfId="51358" xr:uid="{00000000-0005-0000-0000-000008220000}"/>
    <cellStyle name="20% - Accent5 2 3 2 2 8 2 3" xfId="41660" xr:uid="{00000000-0005-0000-0000-000009220000}"/>
    <cellStyle name="20% - Accent5 2 3 2 2 8 3" xfId="27714" xr:uid="{00000000-0005-0000-0000-00000A220000}"/>
    <cellStyle name="20% - Accent5 2 3 2 2 8 3 2" xfId="46903" xr:uid="{00000000-0005-0000-0000-00000B220000}"/>
    <cellStyle name="20% - Accent5 2 3 2 2 8 4" xfId="37205" xr:uid="{00000000-0005-0000-0000-00000C220000}"/>
    <cellStyle name="20% - Accent5 2 3 2 2 9" xfId="17903" xr:uid="{00000000-0005-0000-0000-00000D220000}"/>
    <cellStyle name="20% - Accent5 2 3 2 2 9 2" xfId="28271" xr:uid="{00000000-0005-0000-0000-00000E220000}"/>
    <cellStyle name="20% - Accent5 2 3 2 2 9 2 2" xfId="47460" xr:uid="{00000000-0005-0000-0000-00000F220000}"/>
    <cellStyle name="20% - Accent5 2 3 2 2 9 3" xfId="37762" xr:uid="{00000000-0005-0000-0000-000010220000}"/>
    <cellStyle name="20% - Accent5 2 3 2 3" xfId="13014" xr:uid="{00000000-0005-0000-0000-000011220000}"/>
    <cellStyle name="20% - Accent5 2 3 2 3 10" xfId="53623" xr:uid="{00000000-0005-0000-0000-000012220000}"/>
    <cellStyle name="20% - Accent5 2 3 2 3 2" xfId="13962" xr:uid="{00000000-0005-0000-0000-000013220000}"/>
    <cellStyle name="20% - Accent5 2 3 2 3 2 2" xfId="16226" xr:uid="{00000000-0005-0000-0000-000014220000}"/>
    <cellStyle name="20% - Accent5 2 3 2 3 2 2 2" xfId="20690" xr:uid="{00000000-0005-0000-0000-000015220000}"/>
    <cellStyle name="20% - Accent5 2 3 2 3 2 2 2 2" xfId="31058" xr:uid="{00000000-0005-0000-0000-000016220000}"/>
    <cellStyle name="20% - Accent5 2 3 2 3 2 2 2 2 2" xfId="50247" xr:uid="{00000000-0005-0000-0000-000017220000}"/>
    <cellStyle name="20% - Accent5 2 3 2 3 2 2 2 3" xfId="40549" xr:uid="{00000000-0005-0000-0000-000018220000}"/>
    <cellStyle name="20% - Accent5 2 3 2 3 2 2 3" xfId="26603" xr:uid="{00000000-0005-0000-0000-000019220000}"/>
    <cellStyle name="20% - Accent5 2 3 2 3 2 2 3 2" xfId="45792" xr:uid="{00000000-0005-0000-0000-00001A220000}"/>
    <cellStyle name="20% - Accent5 2 3 2 3 2 2 4" xfId="36094" xr:uid="{00000000-0005-0000-0000-00001B220000}"/>
    <cellStyle name="20% - Accent5 2 3 2 3 2 3" xfId="18462" xr:uid="{00000000-0005-0000-0000-00001C220000}"/>
    <cellStyle name="20% - Accent5 2 3 2 3 2 3 2" xfId="28830" xr:uid="{00000000-0005-0000-0000-00001D220000}"/>
    <cellStyle name="20% - Accent5 2 3 2 3 2 3 2 2" xfId="48019" xr:uid="{00000000-0005-0000-0000-00001E220000}"/>
    <cellStyle name="20% - Accent5 2 3 2 3 2 3 3" xfId="38321" xr:uid="{00000000-0005-0000-0000-00001F220000}"/>
    <cellStyle name="20% - Accent5 2 3 2 3 2 4" xfId="24370" xr:uid="{00000000-0005-0000-0000-000020220000}"/>
    <cellStyle name="20% - Accent5 2 3 2 3 2 4 2" xfId="43564" xr:uid="{00000000-0005-0000-0000-000021220000}"/>
    <cellStyle name="20% - Accent5 2 3 2 3 2 5" xfId="33866" xr:uid="{00000000-0005-0000-0000-000022220000}"/>
    <cellStyle name="20% - Accent5 2 3 2 3 3" xfId="14541" xr:uid="{00000000-0005-0000-0000-000023220000}"/>
    <cellStyle name="20% - Accent5 2 3 2 3 3 2" xfId="15670" xr:uid="{00000000-0005-0000-0000-000024220000}"/>
    <cellStyle name="20% - Accent5 2 3 2 3 3 2 2" xfId="20134" xr:uid="{00000000-0005-0000-0000-000025220000}"/>
    <cellStyle name="20% - Accent5 2 3 2 3 3 2 2 2" xfId="30502" xr:uid="{00000000-0005-0000-0000-000026220000}"/>
    <cellStyle name="20% - Accent5 2 3 2 3 3 2 2 2 2" xfId="49691" xr:uid="{00000000-0005-0000-0000-000027220000}"/>
    <cellStyle name="20% - Accent5 2 3 2 3 3 2 2 3" xfId="39993" xr:uid="{00000000-0005-0000-0000-000028220000}"/>
    <cellStyle name="20% - Accent5 2 3 2 3 3 2 3" xfId="26047" xr:uid="{00000000-0005-0000-0000-000029220000}"/>
    <cellStyle name="20% - Accent5 2 3 2 3 3 2 3 2" xfId="45236" xr:uid="{00000000-0005-0000-0000-00002A220000}"/>
    <cellStyle name="20% - Accent5 2 3 2 3 3 2 4" xfId="35538" xr:uid="{00000000-0005-0000-0000-00002B220000}"/>
    <cellStyle name="20% - Accent5 2 3 2 3 3 3" xfId="19019" xr:uid="{00000000-0005-0000-0000-00002C220000}"/>
    <cellStyle name="20% - Accent5 2 3 2 3 3 3 2" xfId="29387" xr:uid="{00000000-0005-0000-0000-00002D220000}"/>
    <cellStyle name="20% - Accent5 2 3 2 3 3 3 2 2" xfId="48576" xr:uid="{00000000-0005-0000-0000-00002E220000}"/>
    <cellStyle name="20% - Accent5 2 3 2 3 3 3 3" xfId="38878" xr:uid="{00000000-0005-0000-0000-00002F220000}"/>
    <cellStyle name="20% - Accent5 2 3 2 3 3 4" xfId="24932" xr:uid="{00000000-0005-0000-0000-000030220000}"/>
    <cellStyle name="20% - Accent5 2 3 2 3 3 4 2" xfId="44121" xr:uid="{00000000-0005-0000-0000-000031220000}"/>
    <cellStyle name="20% - Accent5 2 3 2 3 3 5" xfId="34423" xr:uid="{00000000-0005-0000-0000-000032220000}"/>
    <cellStyle name="20% - Accent5 2 3 2 3 4" xfId="15113" xr:uid="{00000000-0005-0000-0000-000033220000}"/>
    <cellStyle name="20% - Accent5 2 3 2 3 4 2" xfId="19577" xr:uid="{00000000-0005-0000-0000-000034220000}"/>
    <cellStyle name="20% - Accent5 2 3 2 3 4 2 2" xfId="29945" xr:uid="{00000000-0005-0000-0000-000035220000}"/>
    <cellStyle name="20% - Accent5 2 3 2 3 4 2 2 2" xfId="49134" xr:uid="{00000000-0005-0000-0000-000036220000}"/>
    <cellStyle name="20% - Accent5 2 3 2 3 4 2 3" xfId="39436" xr:uid="{00000000-0005-0000-0000-000037220000}"/>
    <cellStyle name="20% - Accent5 2 3 2 3 4 3" xfId="25490" xr:uid="{00000000-0005-0000-0000-000038220000}"/>
    <cellStyle name="20% - Accent5 2 3 2 3 4 3 2" xfId="44679" xr:uid="{00000000-0005-0000-0000-000039220000}"/>
    <cellStyle name="20% - Accent5 2 3 2 3 4 4" xfId="34981" xr:uid="{00000000-0005-0000-0000-00003A220000}"/>
    <cellStyle name="20% - Accent5 2 3 2 3 5" xfId="16783" xr:uid="{00000000-0005-0000-0000-00003B220000}"/>
    <cellStyle name="20% - Accent5 2 3 2 3 5 2" xfId="21247" xr:uid="{00000000-0005-0000-0000-00003C220000}"/>
    <cellStyle name="20% - Accent5 2 3 2 3 5 2 2" xfId="31615" xr:uid="{00000000-0005-0000-0000-00003D220000}"/>
    <cellStyle name="20% - Accent5 2 3 2 3 5 2 2 2" xfId="50804" xr:uid="{00000000-0005-0000-0000-00003E220000}"/>
    <cellStyle name="20% - Accent5 2 3 2 3 5 2 3" xfId="41106" xr:uid="{00000000-0005-0000-0000-00003F220000}"/>
    <cellStyle name="20% - Accent5 2 3 2 3 5 3" xfId="27160" xr:uid="{00000000-0005-0000-0000-000040220000}"/>
    <cellStyle name="20% - Accent5 2 3 2 3 5 3 2" xfId="46349" xr:uid="{00000000-0005-0000-0000-000041220000}"/>
    <cellStyle name="20% - Accent5 2 3 2 3 5 4" xfId="36651" xr:uid="{00000000-0005-0000-0000-000042220000}"/>
    <cellStyle name="20% - Accent5 2 3 2 3 6" xfId="17349" xr:uid="{00000000-0005-0000-0000-000043220000}"/>
    <cellStyle name="20% - Accent5 2 3 2 3 6 2" xfId="21804" xr:uid="{00000000-0005-0000-0000-000044220000}"/>
    <cellStyle name="20% - Accent5 2 3 2 3 6 2 2" xfId="32172" xr:uid="{00000000-0005-0000-0000-000045220000}"/>
    <cellStyle name="20% - Accent5 2 3 2 3 6 2 2 2" xfId="51361" xr:uid="{00000000-0005-0000-0000-000046220000}"/>
    <cellStyle name="20% - Accent5 2 3 2 3 6 2 3" xfId="41663" xr:uid="{00000000-0005-0000-0000-000047220000}"/>
    <cellStyle name="20% - Accent5 2 3 2 3 6 3" xfId="27717" xr:uid="{00000000-0005-0000-0000-000048220000}"/>
    <cellStyle name="20% - Accent5 2 3 2 3 6 3 2" xfId="46906" xr:uid="{00000000-0005-0000-0000-000049220000}"/>
    <cellStyle name="20% - Accent5 2 3 2 3 6 4" xfId="37208" xr:uid="{00000000-0005-0000-0000-00004A220000}"/>
    <cellStyle name="20% - Accent5 2 3 2 3 7" xfId="17906" xr:uid="{00000000-0005-0000-0000-00004B220000}"/>
    <cellStyle name="20% - Accent5 2 3 2 3 7 2" xfId="28274" xr:uid="{00000000-0005-0000-0000-00004C220000}"/>
    <cellStyle name="20% - Accent5 2 3 2 3 7 2 2" xfId="47463" xr:uid="{00000000-0005-0000-0000-00004D220000}"/>
    <cellStyle name="20% - Accent5 2 3 2 3 7 3" xfId="37765" xr:uid="{00000000-0005-0000-0000-00004E220000}"/>
    <cellStyle name="20% - Accent5 2 3 2 3 8" xfId="23769" xr:uid="{00000000-0005-0000-0000-00004F220000}"/>
    <cellStyle name="20% - Accent5 2 3 2 3 8 2" xfId="43008" xr:uid="{00000000-0005-0000-0000-000050220000}"/>
    <cellStyle name="20% - Accent5 2 3 2 3 9" xfId="33310" xr:uid="{00000000-0005-0000-0000-000051220000}"/>
    <cellStyle name="20% - Accent5 2 3 2 4" xfId="13015" xr:uid="{00000000-0005-0000-0000-000052220000}"/>
    <cellStyle name="20% - Accent5 2 3 2 4 2" xfId="13963" xr:uid="{00000000-0005-0000-0000-000053220000}"/>
    <cellStyle name="20% - Accent5 2 3 2 4 2 2" xfId="16227" xr:uid="{00000000-0005-0000-0000-000054220000}"/>
    <cellStyle name="20% - Accent5 2 3 2 4 2 2 2" xfId="20691" xr:uid="{00000000-0005-0000-0000-000055220000}"/>
    <cellStyle name="20% - Accent5 2 3 2 4 2 2 2 2" xfId="31059" xr:uid="{00000000-0005-0000-0000-000056220000}"/>
    <cellStyle name="20% - Accent5 2 3 2 4 2 2 2 2 2" xfId="50248" xr:uid="{00000000-0005-0000-0000-000057220000}"/>
    <cellStyle name="20% - Accent5 2 3 2 4 2 2 2 3" xfId="40550" xr:uid="{00000000-0005-0000-0000-000058220000}"/>
    <cellStyle name="20% - Accent5 2 3 2 4 2 2 3" xfId="26604" xr:uid="{00000000-0005-0000-0000-000059220000}"/>
    <cellStyle name="20% - Accent5 2 3 2 4 2 2 3 2" xfId="45793" xr:uid="{00000000-0005-0000-0000-00005A220000}"/>
    <cellStyle name="20% - Accent5 2 3 2 4 2 2 4" xfId="36095" xr:uid="{00000000-0005-0000-0000-00005B220000}"/>
    <cellStyle name="20% - Accent5 2 3 2 4 2 3" xfId="18463" xr:uid="{00000000-0005-0000-0000-00005C220000}"/>
    <cellStyle name="20% - Accent5 2 3 2 4 2 3 2" xfId="28831" xr:uid="{00000000-0005-0000-0000-00005D220000}"/>
    <cellStyle name="20% - Accent5 2 3 2 4 2 3 2 2" xfId="48020" xr:uid="{00000000-0005-0000-0000-00005E220000}"/>
    <cellStyle name="20% - Accent5 2 3 2 4 2 3 3" xfId="38322" xr:uid="{00000000-0005-0000-0000-00005F220000}"/>
    <cellStyle name="20% - Accent5 2 3 2 4 2 4" xfId="24371" xr:uid="{00000000-0005-0000-0000-000060220000}"/>
    <cellStyle name="20% - Accent5 2 3 2 4 2 4 2" xfId="43565" xr:uid="{00000000-0005-0000-0000-000061220000}"/>
    <cellStyle name="20% - Accent5 2 3 2 4 2 5" xfId="33867" xr:uid="{00000000-0005-0000-0000-000062220000}"/>
    <cellStyle name="20% - Accent5 2 3 2 4 3" xfId="14542" xr:uid="{00000000-0005-0000-0000-000063220000}"/>
    <cellStyle name="20% - Accent5 2 3 2 4 3 2" xfId="15671" xr:uid="{00000000-0005-0000-0000-000064220000}"/>
    <cellStyle name="20% - Accent5 2 3 2 4 3 2 2" xfId="20135" xr:uid="{00000000-0005-0000-0000-000065220000}"/>
    <cellStyle name="20% - Accent5 2 3 2 4 3 2 2 2" xfId="30503" xr:uid="{00000000-0005-0000-0000-000066220000}"/>
    <cellStyle name="20% - Accent5 2 3 2 4 3 2 2 2 2" xfId="49692" xr:uid="{00000000-0005-0000-0000-000067220000}"/>
    <cellStyle name="20% - Accent5 2 3 2 4 3 2 2 3" xfId="39994" xr:uid="{00000000-0005-0000-0000-000068220000}"/>
    <cellStyle name="20% - Accent5 2 3 2 4 3 2 3" xfId="26048" xr:uid="{00000000-0005-0000-0000-000069220000}"/>
    <cellStyle name="20% - Accent5 2 3 2 4 3 2 3 2" xfId="45237" xr:uid="{00000000-0005-0000-0000-00006A220000}"/>
    <cellStyle name="20% - Accent5 2 3 2 4 3 2 4" xfId="35539" xr:uid="{00000000-0005-0000-0000-00006B220000}"/>
    <cellStyle name="20% - Accent5 2 3 2 4 3 3" xfId="19020" xr:uid="{00000000-0005-0000-0000-00006C220000}"/>
    <cellStyle name="20% - Accent5 2 3 2 4 3 3 2" xfId="29388" xr:uid="{00000000-0005-0000-0000-00006D220000}"/>
    <cellStyle name="20% - Accent5 2 3 2 4 3 3 2 2" xfId="48577" xr:uid="{00000000-0005-0000-0000-00006E220000}"/>
    <cellStyle name="20% - Accent5 2 3 2 4 3 3 3" xfId="38879" xr:uid="{00000000-0005-0000-0000-00006F220000}"/>
    <cellStyle name="20% - Accent5 2 3 2 4 3 4" xfId="24933" xr:uid="{00000000-0005-0000-0000-000070220000}"/>
    <cellStyle name="20% - Accent5 2 3 2 4 3 4 2" xfId="44122" xr:uid="{00000000-0005-0000-0000-000071220000}"/>
    <cellStyle name="20% - Accent5 2 3 2 4 3 5" xfId="34424" xr:uid="{00000000-0005-0000-0000-000072220000}"/>
    <cellStyle name="20% - Accent5 2 3 2 4 4" xfId="15114" xr:uid="{00000000-0005-0000-0000-000073220000}"/>
    <cellStyle name="20% - Accent5 2 3 2 4 4 2" xfId="19578" xr:uid="{00000000-0005-0000-0000-000074220000}"/>
    <cellStyle name="20% - Accent5 2 3 2 4 4 2 2" xfId="29946" xr:uid="{00000000-0005-0000-0000-000075220000}"/>
    <cellStyle name="20% - Accent5 2 3 2 4 4 2 2 2" xfId="49135" xr:uid="{00000000-0005-0000-0000-000076220000}"/>
    <cellStyle name="20% - Accent5 2 3 2 4 4 2 3" xfId="39437" xr:uid="{00000000-0005-0000-0000-000077220000}"/>
    <cellStyle name="20% - Accent5 2 3 2 4 4 3" xfId="25491" xr:uid="{00000000-0005-0000-0000-000078220000}"/>
    <cellStyle name="20% - Accent5 2 3 2 4 4 3 2" xfId="44680" xr:uid="{00000000-0005-0000-0000-000079220000}"/>
    <cellStyle name="20% - Accent5 2 3 2 4 4 4" xfId="34982" xr:uid="{00000000-0005-0000-0000-00007A220000}"/>
    <cellStyle name="20% - Accent5 2 3 2 4 5" xfId="16784" xr:uid="{00000000-0005-0000-0000-00007B220000}"/>
    <cellStyle name="20% - Accent5 2 3 2 4 5 2" xfId="21248" xr:uid="{00000000-0005-0000-0000-00007C220000}"/>
    <cellStyle name="20% - Accent5 2 3 2 4 5 2 2" xfId="31616" xr:uid="{00000000-0005-0000-0000-00007D220000}"/>
    <cellStyle name="20% - Accent5 2 3 2 4 5 2 2 2" xfId="50805" xr:uid="{00000000-0005-0000-0000-00007E220000}"/>
    <cellStyle name="20% - Accent5 2 3 2 4 5 2 3" xfId="41107" xr:uid="{00000000-0005-0000-0000-00007F220000}"/>
    <cellStyle name="20% - Accent5 2 3 2 4 5 3" xfId="27161" xr:uid="{00000000-0005-0000-0000-000080220000}"/>
    <cellStyle name="20% - Accent5 2 3 2 4 5 3 2" xfId="46350" xr:uid="{00000000-0005-0000-0000-000081220000}"/>
    <cellStyle name="20% - Accent5 2 3 2 4 5 4" xfId="36652" xr:uid="{00000000-0005-0000-0000-000082220000}"/>
    <cellStyle name="20% - Accent5 2 3 2 4 6" xfId="17350" xr:uid="{00000000-0005-0000-0000-000083220000}"/>
    <cellStyle name="20% - Accent5 2 3 2 4 6 2" xfId="21805" xr:uid="{00000000-0005-0000-0000-000084220000}"/>
    <cellStyle name="20% - Accent5 2 3 2 4 6 2 2" xfId="32173" xr:uid="{00000000-0005-0000-0000-000085220000}"/>
    <cellStyle name="20% - Accent5 2 3 2 4 6 2 2 2" xfId="51362" xr:uid="{00000000-0005-0000-0000-000086220000}"/>
    <cellStyle name="20% - Accent5 2 3 2 4 6 2 3" xfId="41664" xr:uid="{00000000-0005-0000-0000-000087220000}"/>
    <cellStyle name="20% - Accent5 2 3 2 4 6 3" xfId="27718" xr:uid="{00000000-0005-0000-0000-000088220000}"/>
    <cellStyle name="20% - Accent5 2 3 2 4 6 3 2" xfId="46907" xr:uid="{00000000-0005-0000-0000-000089220000}"/>
    <cellStyle name="20% - Accent5 2 3 2 4 6 4" xfId="37209" xr:uid="{00000000-0005-0000-0000-00008A220000}"/>
    <cellStyle name="20% - Accent5 2 3 2 4 7" xfId="17907" xr:uid="{00000000-0005-0000-0000-00008B220000}"/>
    <cellStyle name="20% - Accent5 2 3 2 4 7 2" xfId="28275" xr:uid="{00000000-0005-0000-0000-00008C220000}"/>
    <cellStyle name="20% - Accent5 2 3 2 4 7 2 2" xfId="47464" xr:uid="{00000000-0005-0000-0000-00008D220000}"/>
    <cellStyle name="20% - Accent5 2 3 2 4 7 3" xfId="37766" xr:uid="{00000000-0005-0000-0000-00008E220000}"/>
    <cellStyle name="20% - Accent5 2 3 2 4 8" xfId="23770" xr:uid="{00000000-0005-0000-0000-00008F220000}"/>
    <cellStyle name="20% - Accent5 2 3 2 4 8 2" xfId="43009" xr:uid="{00000000-0005-0000-0000-000090220000}"/>
    <cellStyle name="20% - Accent5 2 3 2 4 9" xfId="33311" xr:uid="{00000000-0005-0000-0000-000091220000}"/>
    <cellStyle name="20% - Accent5 2 3 2 5" xfId="13958" xr:uid="{00000000-0005-0000-0000-000092220000}"/>
    <cellStyle name="20% - Accent5 2 3 2 5 2" xfId="16222" xr:uid="{00000000-0005-0000-0000-000093220000}"/>
    <cellStyle name="20% - Accent5 2 3 2 5 2 2" xfId="20686" xr:uid="{00000000-0005-0000-0000-000094220000}"/>
    <cellStyle name="20% - Accent5 2 3 2 5 2 2 2" xfId="31054" xr:uid="{00000000-0005-0000-0000-000095220000}"/>
    <cellStyle name="20% - Accent5 2 3 2 5 2 2 2 2" xfId="50243" xr:uid="{00000000-0005-0000-0000-000096220000}"/>
    <cellStyle name="20% - Accent5 2 3 2 5 2 2 3" xfId="40545" xr:uid="{00000000-0005-0000-0000-000097220000}"/>
    <cellStyle name="20% - Accent5 2 3 2 5 2 3" xfId="26599" xr:uid="{00000000-0005-0000-0000-000098220000}"/>
    <cellStyle name="20% - Accent5 2 3 2 5 2 3 2" xfId="45788" xr:uid="{00000000-0005-0000-0000-000099220000}"/>
    <cellStyle name="20% - Accent5 2 3 2 5 2 4" xfId="36090" xr:uid="{00000000-0005-0000-0000-00009A220000}"/>
    <cellStyle name="20% - Accent5 2 3 2 5 3" xfId="18458" xr:uid="{00000000-0005-0000-0000-00009B220000}"/>
    <cellStyle name="20% - Accent5 2 3 2 5 3 2" xfId="28826" xr:uid="{00000000-0005-0000-0000-00009C220000}"/>
    <cellStyle name="20% - Accent5 2 3 2 5 3 2 2" xfId="48015" xr:uid="{00000000-0005-0000-0000-00009D220000}"/>
    <cellStyle name="20% - Accent5 2 3 2 5 3 3" xfId="38317" xr:uid="{00000000-0005-0000-0000-00009E220000}"/>
    <cellStyle name="20% - Accent5 2 3 2 5 4" xfId="24366" xr:uid="{00000000-0005-0000-0000-00009F220000}"/>
    <cellStyle name="20% - Accent5 2 3 2 5 4 2" xfId="43560" xr:uid="{00000000-0005-0000-0000-0000A0220000}"/>
    <cellStyle name="20% - Accent5 2 3 2 5 5" xfId="33862" xr:uid="{00000000-0005-0000-0000-0000A1220000}"/>
    <cellStyle name="20% - Accent5 2 3 2 6" xfId="14537" xr:uid="{00000000-0005-0000-0000-0000A2220000}"/>
    <cellStyle name="20% - Accent5 2 3 2 6 2" xfId="15666" xr:uid="{00000000-0005-0000-0000-0000A3220000}"/>
    <cellStyle name="20% - Accent5 2 3 2 6 2 2" xfId="20130" xr:uid="{00000000-0005-0000-0000-0000A4220000}"/>
    <cellStyle name="20% - Accent5 2 3 2 6 2 2 2" xfId="30498" xr:uid="{00000000-0005-0000-0000-0000A5220000}"/>
    <cellStyle name="20% - Accent5 2 3 2 6 2 2 2 2" xfId="49687" xr:uid="{00000000-0005-0000-0000-0000A6220000}"/>
    <cellStyle name="20% - Accent5 2 3 2 6 2 2 3" xfId="39989" xr:uid="{00000000-0005-0000-0000-0000A7220000}"/>
    <cellStyle name="20% - Accent5 2 3 2 6 2 3" xfId="26043" xr:uid="{00000000-0005-0000-0000-0000A8220000}"/>
    <cellStyle name="20% - Accent5 2 3 2 6 2 3 2" xfId="45232" xr:uid="{00000000-0005-0000-0000-0000A9220000}"/>
    <cellStyle name="20% - Accent5 2 3 2 6 2 4" xfId="35534" xr:uid="{00000000-0005-0000-0000-0000AA220000}"/>
    <cellStyle name="20% - Accent5 2 3 2 6 3" xfId="19015" xr:uid="{00000000-0005-0000-0000-0000AB220000}"/>
    <cellStyle name="20% - Accent5 2 3 2 6 3 2" xfId="29383" xr:uid="{00000000-0005-0000-0000-0000AC220000}"/>
    <cellStyle name="20% - Accent5 2 3 2 6 3 2 2" xfId="48572" xr:uid="{00000000-0005-0000-0000-0000AD220000}"/>
    <cellStyle name="20% - Accent5 2 3 2 6 3 3" xfId="38874" xr:uid="{00000000-0005-0000-0000-0000AE220000}"/>
    <cellStyle name="20% - Accent5 2 3 2 6 4" xfId="24928" xr:uid="{00000000-0005-0000-0000-0000AF220000}"/>
    <cellStyle name="20% - Accent5 2 3 2 6 4 2" xfId="44117" xr:uid="{00000000-0005-0000-0000-0000B0220000}"/>
    <cellStyle name="20% - Accent5 2 3 2 6 5" xfId="34419" xr:uid="{00000000-0005-0000-0000-0000B1220000}"/>
    <cellStyle name="20% - Accent5 2 3 2 7" xfId="15109" xr:uid="{00000000-0005-0000-0000-0000B2220000}"/>
    <cellStyle name="20% - Accent5 2 3 2 7 2" xfId="19573" xr:uid="{00000000-0005-0000-0000-0000B3220000}"/>
    <cellStyle name="20% - Accent5 2 3 2 7 2 2" xfId="29941" xr:uid="{00000000-0005-0000-0000-0000B4220000}"/>
    <cellStyle name="20% - Accent5 2 3 2 7 2 2 2" xfId="49130" xr:uid="{00000000-0005-0000-0000-0000B5220000}"/>
    <cellStyle name="20% - Accent5 2 3 2 7 2 3" xfId="39432" xr:uid="{00000000-0005-0000-0000-0000B6220000}"/>
    <cellStyle name="20% - Accent5 2 3 2 7 3" xfId="25486" xr:uid="{00000000-0005-0000-0000-0000B7220000}"/>
    <cellStyle name="20% - Accent5 2 3 2 7 3 2" xfId="44675" xr:uid="{00000000-0005-0000-0000-0000B8220000}"/>
    <cellStyle name="20% - Accent5 2 3 2 7 4" xfId="34977" xr:uid="{00000000-0005-0000-0000-0000B9220000}"/>
    <cellStyle name="20% - Accent5 2 3 2 8" xfId="16779" xr:uid="{00000000-0005-0000-0000-0000BA220000}"/>
    <cellStyle name="20% - Accent5 2 3 2 8 2" xfId="21243" xr:uid="{00000000-0005-0000-0000-0000BB220000}"/>
    <cellStyle name="20% - Accent5 2 3 2 8 2 2" xfId="31611" xr:uid="{00000000-0005-0000-0000-0000BC220000}"/>
    <cellStyle name="20% - Accent5 2 3 2 8 2 2 2" xfId="50800" xr:uid="{00000000-0005-0000-0000-0000BD220000}"/>
    <cellStyle name="20% - Accent5 2 3 2 8 2 3" xfId="41102" xr:uid="{00000000-0005-0000-0000-0000BE220000}"/>
    <cellStyle name="20% - Accent5 2 3 2 8 3" xfId="27156" xr:uid="{00000000-0005-0000-0000-0000BF220000}"/>
    <cellStyle name="20% - Accent5 2 3 2 8 3 2" xfId="46345" xr:uid="{00000000-0005-0000-0000-0000C0220000}"/>
    <cellStyle name="20% - Accent5 2 3 2 8 4" xfId="36647" xr:uid="{00000000-0005-0000-0000-0000C1220000}"/>
    <cellStyle name="20% - Accent5 2 3 2 9" xfId="17345" xr:uid="{00000000-0005-0000-0000-0000C2220000}"/>
    <cellStyle name="20% - Accent5 2 3 2 9 2" xfId="21800" xr:uid="{00000000-0005-0000-0000-0000C3220000}"/>
    <cellStyle name="20% - Accent5 2 3 2 9 2 2" xfId="32168" xr:uid="{00000000-0005-0000-0000-0000C4220000}"/>
    <cellStyle name="20% - Accent5 2 3 2 9 2 2 2" xfId="51357" xr:uid="{00000000-0005-0000-0000-0000C5220000}"/>
    <cellStyle name="20% - Accent5 2 3 2 9 2 3" xfId="41659" xr:uid="{00000000-0005-0000-0000-0000C6220000}"/>
    <cellStyle name="20% - Accent5 2 3 2 9 3" xfId="27713" xr:uid="{00000000-0005-0000-0000-0000C7220000}"/>
    <cellStyle name="20% - Accent5 2 3 2 9 3 2" xfId="46902" xr:uid="{00000000-0005-0000-0000-0000C8220000}"/>
    <cellStyle name="20% - Accent5 2 3 2 9 4" xfId="37204" xr:uid="{00000000-0005-0000-0000-0000C9220000}"/>
    <cellStyle name="20% - Accent5 2 3 3" xfId="1750" xr:uid="{00000000-0005-0000-0000-0000CA220000}"/>
    <cellStyle name="20% - Accent5 2 3 3 10" xfId="23771" xr:uid="{00000000-0005-0000-0000-0000CB220000}"/>
    <cellStyle name="20% - Accent5 2 3 3 10 2" xfId="43010" xr:uid="{00000000-0005-0000-0000-0000CC220000}"/>
    <cellStyle name="20% - Accent5 2 3 3 11" xfId="33312" xr:uid="{00000000-0005-0000-0000-0000CD220000}"/>
    <cellStyle name="20% - Accent5 2 3 3 12" xfId="52948" xr:uid="{00000000-0005-0000-0000-0000CE220000}"/>
    <cellStyle name="20% - Accent5 2 3 3 13" xfId="13016" xr:uid="{00000000-0005-0000-0000-0000CF220000}"/>
    <cellStyle name="20% - Accent5 2 3 3 2" xfId="13017" xr:uid="{00000000-0005-0000-0000-0000D0220000}"/>
    <cellStyle name="20% - Accent5 2 3 3 2 10" xfId="53823" xr:uid="{00000000-0005-0000-0000-0000D1220000}"/>
    <cellStyle name="20% - Accent5 2 3 3 2 2" xfId="13965" xr:uid="{00000000-0005-0000-0000-0000D2220000}"/>
    <cellStyle name="20% - Accent5 2 3 3 2 2 2" xfId="16229" xr:uid="{00000000-0005-0000-0000-0000D3220000}"/>
    <cellStyle name="20% - Accent5 2 3 3 2 2 2 2" xfId="20693" xr:uid="{00000000-0005-0000-0000-0000D4220000}"/>
    <cellStyle name="20% - Accent5 2 3 3 2 2 2 2 2" xfId="31061" xr:uid="{00000000-0005-0000-0000-0000D5220000}"/>
    <cellStyle name="20% - Accent5 2 3 3 2 2 2 2 2 2" xfId="50250" xr:uid="{00000000-0005-0000-0000-0000D6220000}"/>
    <cellStyle name="20% - Accent5 2 3 3 2 2 2 2 3" xfId="40552" xr:uid="{00000000-0005-0000-0000-0000D7220000}"/>
    <cellStyle name="20% - Accent5 2 3 3 2 2 2 3" xfId="26606" xr:uid="{00000000-0005-0000-0000-0000D8220000}"/>
    <cellStyle name="20% - Accent5 2 3 3 2 2 2 3 2" xfId="45795" xr:uid="{00000000-0005-0000-0000-0000D9220000}"/>
    <cellStyle name="20% - Accent5 2 3 3 2 2 2 4" xfId="36097" xr:uid="{00000000-0005-0000-0000-0000DA220000}"/>
    <cellStyle name="20% - Accent5 2 3 3 2 2 3" xfId="18465" xr:uid="{00000000-0005-0000-0000-0000DB220000}"/>
    <cellStyle name="20% - Accent5 2 3 3 2 2 3 2" xfId="28833" xr:uid="{00000000-0005-0000-0000-0000DC220000}"/>
    <cellStyle name="20% - Accent5 2 3 3 2 2 3 2 2" xfId="48022" xr:uid="{00000000-0005-0000-0000-0000DD220000}"/>
    <cellStyle name="20% - Accent5 2 3 3 2 2 3 3" xfId="38324" xr:uid="{00000000-0005-0000-0000-0000DE220000}"/>
    <cellStyle name="20% - Accent5 2 3 3 2 2 4" xfId="24373" xr:uid="{00000000-0005-0000-0000-0000DF220000}"/>
    <cellStyle name="20% - Accent5 2 3 3 2 2 4 2" xfId="43567" xr:uid="{00000000-0005-0000-0000-0000E0220000}"/>
    <cellStyle name="20% - Accent5 2 3 3 2 2 5" xfId="33869" xr:uid="{00000000-0005-0000-0000-0000E1220000}"/>
    <cellStyle name="20% - Accent5 2 3 3 2 3" xfId="14544" xr:uid="{00000000-0005-0000-0000-0000E2220000}"/>
    <cellStyle name="20% - Accent5 2 3 3 2 3 2" xfId="15673" xr:uid="{00000000-0005-0000-0000-0000E3220000}"/>
    <cellStyle name="20% - Accent5 2 3 3 2 3 2 2" xfId="20137" xr:uid="{00000000-0005-0000-0000-0000E4220000}"/>
    <cellStyle name="20% - Accent5 2 3 3 2 3 2 2 2" xfId="30505" xr:uid="{00000000-0005-0000-0000-0000E5220000}"/>
    <cellStyle name="20% - Accent5 2 3 3 2 3 2 2 2 2" xfId="49694" xr:uid="{00000000-0005-0000-0000-0000E6220000}"/>
    <cellStyle name="20% - Accent5 2 3 3 2 3 2 2 3" xfId="39996" xr:uid="{00000000-0005-0000-0000-0000E7220000}"/>
    <cellStyle name="20% - Accent5 2 3 3 2 3 2 3" xfId="26050" xr:uid="{00000000-0005-0000-0000-0000E8220000}"/>
    <cellStyle name="20% - Accent5 2 3 3 2 3 2 3 2" xfId="45239" xr:uid="{00000000-0005-0000-0000-0000E9220000}"/>
    <cellStyle name="20% - Accent5 2 3 3 2 3 2 4" xfId="35541" xr:uid="{00000000-0005-0000-0000-0000EA220000}"/>
    <cellStyle name="20% - Accent5 2 3 3 2 3 3" xfId="19022" xr:uid="{00000000-0005-0000-0000-0000EB220000}"/>
    <cellStyle name="20% - Accent5 2 3 3 2 3 3 2" xfId="29390" xr:uid="{00000000-0005-0000-0000-0000EC220000}"/>
    <cellStyle name="20% - Accent5 2 3 3 2 3 3 2 2" xfId="48579" xr:uid="{00000000-0005-0000-0000-0000ED220000}"/>
    <cellStyle name="20% - Accent5 2 3 3 2 3 3 3" xfId="38881" xr:uid="{00000000-0005-0000-0000-0000EE220000}"/>
    <cellStyle name="20% - Accent5 2 3 3 2 3 4" xfId="24935" xr:uid="{00000000-0005-0000-0000-0000EF220000}"/>
    <cellStyle name="20% - Accent5 2 3 3 2 3 4 2" xfId="44124" xr:uid="{00000000-0005-0000-0000-0000F0220000}"/>
    <cellStyle name="20% - Accent5 2 3 3 2 3 5" xfId="34426" xr:uid="{00000000-0005-0000-0000-0000F1220000}"/>
    <cellStyle name="20% - Accent5 2 3 3 2 4" xfId="15116" xr:uid="{00000000-0005-0000-0000-0000F2220000}"/>
    <cellStyle name="20% - Accent5 2 3 3 2 4 2" xfId="19580" xr:uid="{00000000-0005-0000-0000-0000F3220000}"/>
    <cellStyle name="20% - Accent5 2 3 3 2 4 2 2" xfId="29948" xr:uid="{00000000-0005-0000-0000-0000F4220000}"/>
    <cellStyle name="20% - Accent5 2 3 3 2 4 2 2 2" xfId="49137" xr:uid="{00000000-0005-0000-0000-0000F5220000}"/>
    <cellStyle name="20% - Accent5 2 3 3 2 4 2 3" xfId="39439" xr:uid="{00000000-0005-0000-0000-0000F6220000}"/>
    <cellStyle name="20% - Accent5 2 3 3 2 4 3" xfId="25493" xr:uid="{00000000-0005-0000-0000-0000F7220000}"/>
    <cellStyle name="20% - Accent5 2 3 3 2 4 3 2" xfId="44682" xr:uid="{00000000-0005-0000-0000-0000F8220000}"/>
    <cellStyle name="20% - Accent5 2 3 3 2 4 4" xfId="34984" xr:uid="{00000000-0005-0000-0000-0000F9220000}"/>
    <cellStyle name="20% - Accent5 2 3 3 2 5" xfId="16786" xr:uid="{00000000-0005-0000-0000-0000FA220000}"/>
    <cellStyle name="20% - Accent5 2 3 3 2 5 2" xfId="21250" xr:uid="{00000000-0005-0000-0000-0000FB220000}"/>
    <cellStyle name="20% - Accent5 2 3 3 2 5 2 2" xfId="31618" xr:uid="{00000000-0005-0000-0000-0000FC220000}"/>
    <cellStyle name="20% - Accent5 2 3 3 2 5 2 2 2" xfId="50807" xr:uid="{00000000-0005-0000-0000-0000FD220000}"/>
    <cellStyle name="20% - Accent5 2 3 3 2 5 2 3" xfId="41109" xr:uid="{00000000-0005-0000-0000-0000FE220000}"/>
    <cellStyle name="20% - Accent5 2 3 3 2 5 3" xfId="27163" xr:uid="{00000000-0005-0000-0000-0000FF220000}"/>
    <cellStyle name="20% - Accent5 2 3 3 2 5 3 2" xfId="46352" xr:uid="{00000000-0005-0000-0000-000000230000}"/>
    <cellStyle name="20% - Accent5 2 3 3 2 5 4" xfId="36654" xr:uid="{00000000-0005-0000-0000-000001230000}"/>
    <cellStyle name="20% - Accent5 2 3 3 2 6" xfId="17352" xr:uid="{00000000-0005-0000-0000-000002230000}"/>
    <cellStyle name="20% - Accent5 2 3 3 2 6 2" xfId="21807" xr:uid="{00000000-0005-0000-0000-000003230000}"/>
    <cellStyle name="20% - Accent5 2 3 3 2 6 2 2" xfId="32175" xr:uid="{00000000-0005-0000-0000-000004230000}"/>
    <cellStyle name="20% - Accent5 2 3 3 2 6 2 2 2" xfId="51364" xr:uid="{00000000-0005-0000-0000-000005230000}"/>
    <cellStyle name="20% - Accent5 2 3 3 2 6 2 3" xfId="41666" xr:uid="{00000000-0005-0000-0000-000006230000}"/>
    <cellStyle name="20% - Accent5 2 3 3 2 6 3" xfId="27720" xr:uid="{00000000-0005-0000-0000-000007230000}"/>
    <cellStyle name="20% - Accent5 2 3 3 2 6 3 2" xfId="46909" xr:uid="{00000000-0005-0000-0000-000008230000}"/>
    <cellStyle name="20% - Accent5 2 3 3 2 6 4" xfId="37211" xr:uid="{00000000-0005-0000-0000-000009230000}"/>
    <cellStyle name="20% - Accent5 2 3 3 2 7" xfId="17909" xr:uid="{00000000-0005-0000-0000-00000A230000}"/>
    <cellStyle name="20% - Accent5 2 3 3 2 7 2" xfId="28277" xr:uid="{00000000-0005-0000-0000-00000B230000}"/>
    <cellStyle name="20% - Accent5 2 3 3 2 7 2 2" xfId="47466" xr:uid="{00000000-0005-0000-0000-00000C230000}"/>
    <cellStyle name="20% - Accent5 2 3 3 2 7 3" xfId="37768" xr:uid="{00000000-0005-0000-0000-00000D230000}"/>
    <cellStyle name="20% - Accent5 2 3 3 2 8" xfId="23772" xr:uid="{00000000-0005-0000-0000-00000E230000}"/>
    <cellStyle name="20% - Accent5 2 3 3 2 8 2" xfId="43011" xr:uid="{00000000-0005-0000-0000-00000F230000}"/>
    <cellStyle name="20% - Accent5 2 3 3 2 9" xfId="33313" xr:uid="{00000000-0005-0000-0000-000010230000}"/>
    <cellStyle name="20% - Accent5 2 3 3 3" xfId="13018" xr:uid="{00000000-0005-0000-0000-000011230000}"/>
    <cellStyle name="20% - Accent5 2 3 3 3 2" xfId="13966" xr:uid="{00000000-0005-0000-0000-000012230000}"/>
    <cellStyle name="20% - Accent5 2 3 3 3 2 2" xfId="16230" xr:uid="{00000000-0005-0000-0000-000013230000}"/>
    <cellStyle name="20% - Accent5 2 3 3 3 2 2 2" xfId="20694" xr:uid="{00000000-0005-0000-0000-000014230000}"/>
    <cellStyle name="20% - Accent5 2 3 3 3 2 2 2 2" xfId="31062" xr:uid="{00000000-0005-0000-0000-000015230000}"/>
    <cellStyle name="20% - Accent5 2 3 3 3 2 2 2 2 2" xfId="50251" xr:uid="{00000000-0005-0000-0000-000016230000}"/>
    <cellStyle name="20% - Accent5 2 3 3 3 2 2 2 3" xfId="40553" xr:uid="{00000000-0005-0000-0000-000017230000}"/>
    <cellStyle name="20% - Accent5 2 3 3 3 2 2 3" xfId="26607" xr:uid="{00000000-0005-0000-0000-000018230000}"/>
    <cellStyle name="20% - Accent5 2 3 3 3 2 2 3 2" xfId="45796" xr:uid="{00000000-0005-0000-0000-000019230000}"/>
    <cellStyle name="20% - Accent5 2 3 3 3 2 2 4" xfId="36098" xr:uid="{00000000-0005-0000-0000-00001A230000}"/>
    <cellStyle name="20% - Accent5 2 3 3 3 2 3" xfId="18466" xr:uid="{00000000-0005-0000-0000-00001B230000}"/>
    <cellStyle name="20% - Accent5 2 3 3 3 2 3 2" xfId="28834" xr:uid="{00000000-0005-0000-0000-00001C230000}"/>
    <cellStyle name="20% - Accent5 2 3 3 3 2 3 2 2" xfId="48023" xr:uid="{00000000-0005-0000-0000-00001D230000}"/>
    <cellStyle name="20% - Accent5 2 3 3 3 2 3 3" xfId="38325" xr:uid="{00000000-0005-0000-0000-00001E230000}"/>
    <cellStyle name="20% - Accent5 2 3 3 3 2 4" xfId="24374" xr:uid="{00000000-0005-0000-0000-00001F230000}"/>
    <cellStyle name="20% - Accent5 2 3 3 3 2 4 2" xfId="43568" xr:uid="{00000000-0005-0000-0000-000020230000}"/>
    <cellStyle name="20% - Accent5 2 3 3 3 2 5" xfId="33870" xr:uid="{00000000-0005-0000-0000-000021230000}"/>
    <cellStyle name="20% - Accent5 2 3 3 3 3" xfId="14545" xr:uid="{00000000-0005-0000-0000-000022230000}"/>
    <cellStyle name="20% - Accent5 2 3 3 3 3 2" xfId="15674" xr:uid="{00000000-0005-0000-0000-000023230000}"/>
    <cellStyle name="20% - Accent5 2 3 3 3 3 2 2" xfId="20138" xr:uid="{00000000-0005-0000-0000-000024230000}"/>
    <cellStyle name="20% - Accent5 2 3 3 3 3 2 2 2" xfId="30506" xr:uid="{00000000-0005-0000-0000-000025230000}"/>
    <cellStyle name="20% - Accent5 2 3 3 3 3 2 2 2 2" xfId="49695" xr:uid="{00000000-0005-0000-0000-000026230000}"/>
    <cellStyle name="20% - Accent5 2 3 3 3 3 2 2 3" xfId="39997" xr:uid="{00000000-0005-0000-0000-000027230000}"/>
    <cellStyle name="20% - Accent5 2 3 3 3 3 2 3" xfId="26051" xr:uid="{00000000-0005-0000-0000-000028230000}"/>
    <cellStyle name="20% - Accent5 2 3 3 3 3 2 3 2" xfId="45240" xr:uid="{00000000-0005-0000-0000-000029230000}"/>
    <cellStyle name="20% - Accent5 2 3 3 3 3 2 4" xfId="35542" xr:uid="{00000000-0005-0000-0000-00002A230000}"/>
    <cellStyle name="20% - Accent5 2 3 3 3 3 3" xfId="19023" xr:uid="{00000000-0005-0000-0000-00002B230000}"/>
    <cellStyle name="20% - Accent5 2 3 3 3 3 3 2" xfId="29391" xr:uid="{00000000-0005-0000-0000-00002C230000}"/>
    <cellStyle name="20% - Accent5 2 3 3 3 3 3 2 2" xfId="48580" xr:uid="{00000000-0005-0000-0000-00002D230000}"/>
    <cellStyle name="20% - Accent5 2 3 3 3 3 3 3" xfId="38882" xr:uid="{00000000-0005-0000-0000-00002E230000}"/>
    <cellStyle name="20% - Accent5 2 3 3 3 3 4" xfId="24936" xr:uid="{00000000-0005-0000-0000-00002F230000}"/>
    <cellStyle name="20% - Accent5 2 3 3 3 3 4 2" xfId="44125" xr:uid="{00000000-0005-0000-0000-000030230000}"/>
    <cellStyle name="20% - Accent5 2 3 3 3 3 5" xfId="34427" xr:uid="{00000000-0005-0000-0000-000031230000}"/>
    <cellStyle name="20% - Accent5 2 3 3 3 4" xfId="15117" xr:uid="{00000000-0005-0000-0000-000032230000}"/>
    <cellStyle name="20% - Accent5 2 3 3 3 4 2" xfId="19581" xr:uid="{00000000-0005-0000-0000-000033230000}"/>
    <cellStyle name="20% - Accent5 2 3 3 3 4 2 2" xfId="29949" xr:uid="{00000000-0005-0000-0000-000034230000}"/>
    <cellStyle name="20% - Accent5 2 3 3 3 4 2 2 2" xfId="49138" xr:uid="{00000000-0005-0000-0000-000035230000}"/>
    <cellStyle name="20% - Accent5 2 3 3 3 4 2 3" xfId="39440" xr:uid="{00000000-0005-0000-0000-000036230000}"/>
    <cellStyle name="20% - Accent5 2 3 3 3 4 3" xfId="25494" xr:uid="{00000000-0005-0000-0000-000037230000}"/>
    <cellStyle name="20% - Accent5 2 3 3 3 4 3 2" xfId="44683" xr:uid="{00000000-0005-0000-0000-000038230000}"/>
    <cellStyle name="20% - Accent5 2 3 3 3 4 4" xfId="34985" xr:uid="{00000000-0005-0000-0000-000039230000}"/>
    <cellStyle name="20% - Accent5 2 3 3 3 5" xfId="16787" xr:uid="{00000000-0005-0000-0000-00003A230000}"/>
    <cellStyle name="20% - Accent5 2 3 3 3 5 2" xfId="21251" xr:uid="{00000000-0005-0000-0000-00003B230000}"/>
    <cellStyle name="20% - Accent5 2 3 3 3 5 2 2" xfId="31619" xr:uid="{00000000-0005-0000-0000-00003C230000}"/>
    <cellStyle name="20% - Accent5 2 3 3 3 5 2 2 2" xfId="50808" xr:uid="{00000000-0005-0000-0000-00003D230000}"/>
    <cellStyle name="20% - Accent5 2 3 3 3 5 2 3" xfId="41110" xr:uid="{00000000-0005-0000-0000-00003E230000}"/>
    <cellStyle name="20% - Accent5 2 3 3 3 5 3" xfId="27164" xr:uid="{00000000-0005-0000-0000-00003F230000}"/>
    <cellStyle name="20% - Accent5 2 3 3 3 5 3 2" xfId="46353" xr:uid="{00000000-0005-0000-0000-000040230000}"/>
    <cellStyle name="20% - Accent5 2 3 3 3 5 4" xfId="36655" xr:uid="{00000000-0005-0000-0000-000041230000}"/>
    <cellStyle name="20% - Accent5 2 3 3 3 6" xfId="17353" xr:uid="{00000000-0005-0000-0000-000042230000}"/>
    <cellStyle name="20% - Accent5 2 3 3 3 6 2" xfId="21808" xr:uid="{00000000-0005-0000-0000-000043230000}"/>
    <cellStyle name="20% - Accent5 2 3 3 3 6 2 2" xfId="32176" xr:uid="{00000000-0005-0000-0000-000044230000}"/>
    <cellStyle name="20% - Accent5 2 3 3 3 6 2 2 2" xfId="51365" xr:uid="{00000000-0005-0000-0000-000045230000}"/>
    <cellStyle name="20% - Accent5 2 3 3 3 6 2 3" xfId="41667" xr:uid="{00000000-0005-0000-0000-000046230000}"/>
    <cellStyle name="20% - Accent5 2 3 3 3 6 3" xfId="27721" xr:uid="{00000000-0005-0000-0000-000047230000}"/>
    <cellStyle name="20% - Accent5 2 3 3 3 6 3 2" xfId="46910" xr:uid="{00000000-0005-0000-0000-000048230000}"/>
    <cellStyle name="20% - Accent5 2 3 3 3 6 4" xfId="37212" xr:uid="{00000000-0005-0000-0000-000049230000}"/>
    <cellStyle name="20% - Accent5 2 3 3 3 7" xfId="17910" xr:uid="{00000000-0005-0000-0000-00004A230000}"/>
    <cellStyle name="20% - Accent5 2 3 3 3 7 2" xfId="28278" xr:uid="{00000000-0005-0000-0000-00004B230000}"/>
    <cellStyle name="20% - Accent5 2 3 3 3 7 2 2" xfId="47467" xr:uid="{00000000-0005-0000-0000-00004C230000}"/>
    <cellStyle name="20% - Accent5 2 3 3 3 7 3" xfId="37769" xr:uid="{00000000-0005-0000-0000-00004D230000}"/>
    <cellStyle name="20% - Accent5 2 3 3 3 8" xfId="23773" xr:uid="{00000000-0005-0000-0000-00004E230000}"/>
    <cellStyle name="20% - Accent5 2 3 3 3 8 2" xfId="43012" xr:uid="{00000000-0005-0000-0000-00004F230000}"/>
    <cellStyle name="20% - Accent5 2 3 3 3 9" xfId="33314" xr:uid="{00000000-0005-0000-0000-000050230000}"/>
    <cellStyle name="20% - Accent5 2 3 3 4" xfId="13964" xr:uid="{00000000-0005-0000-0000-000051230000}"/>
    <cellStyle name="20% - Accent5 2 3 3 4 2" xfId="16228" xr:uid="{00000000-0005-0000-0000-000052230000}"/>
    <cellStyle name="20% - Accent5 2 3 3 4 2 2" xfId="20692" xr:uid="{00000000-0005-0000-0000-000053230000}"/>
    <cellStyle name="20% - Accent5 2 3 3 4 2 2 2" xfId="31060" xr:uid="{00000000-0005-0000-0000-000054230000}"/>
    <cellStyle name="20% - Accent5 2 3 3 4 2 2 2 2" xfId="50249" xr:uid="{00000000-0005-0000-0000-000055230000}"/>
    <cellStyle name="20% - Accent5 2 3 3 4 2 2 3" xfId="40551" xr:uid="{00000000-0005-0000-0000-000056230000}"/>
    <cellStyle name="20% - Accent5 2 3 3 4 2 3" xfId="26605" xr:uid="{00000000-0005-0000-0000-000057230000}"/>
    <cellStyle name="20% - Accent5 2 3 3 4 2 3 2" xfId="45794" xr:uid="{00000000-0005-0000-0000-000058230000}"/>
    <cellStyle name="20% - Accent5 2 3 3 4 2 4" xfId="36096" xr:uid="{00000000-0005-0000-0000-000059230000}"/>
    <cellStyle name="20% - Accent5 2 3 3 4 3" xfId="18464" xr:uid="{00000000-0005-0000-0000-00005A230000}"/>
    <cellStyle name="20% - Accent5 2 3 3 4 3 2" xfId="28832" xr:uid="{00000000-0005-0000-0000-00005B230000}"/>
    <cellStyle name="20% - Accent5 2 3 3 4 3 2 2" xfId="48021" xr:uid="{00000000-0005-0000-0000-00005C230000}"/>
    <cellStyle name="20% - Accent5 2 3 3 4 3 3" xfId="38323" xr:uid="{00000000-0005-0000-0000-00005D230000}"/>
    <cellStyle name="20% - Accent5 2 3 3 4 4" xfId="24372" xr:uid="{00000000-0005-0000-0000-00005E230000}"/>
    <cellStyle name="20% - Accent5 2 3 3 4 4 2" xfId="43566" xr:uid="{00000000-0005-0000-0000-00005F230000}"/>
    <cellStyle name="20% - Accent5 2 3 3 4 5" xfId="33868" xr:uid="{00000000-0005-0000-0000-000060230000}"/>
    <cellStyle name="20% - Accent5 2 3 3 5" xfId="14543" xr:uid="{00000000-0005-0000-0000-000061230000}"/>
    <cellStyle name="20% - Accent5 2 3 3 5 2" xfId="15672" xr:uid="{00000000-0005-0000-0000-000062230000}"/>
    <cellStyle name="20% - Accent5 2 3 3 5 2 2" xfId="20136" xr:uid="{00000000-0005-0000-0000-000063230000}"/>
    <cellStyle name="20% - Accent5 2 3 3 5 2 2 2" xfId="30504" xr:uid="{00000000-0005-0000-0000-000064230000}"/>
    <cellStyle name="20% - Accent5 2 3 3 5 2 2 2 2" xfId="49693" xr:uid="{00000000-0005-0000-0000-000065230000}"/>
    <cellStyle name="20% - Accent5 2 3 3 5 2 2 3" xfId="39995" xr:uid="{00000000-0005-0000-0000-000066230000}"/>
    <cellStyle name="20% - Accent5 2 3 3 5 2 3" xfId="26049" xr:uid="{00000000-0005-0000-0000-000067230000}"/>
    <cellStyle name="20% - Accent5 2 3 3 5 2 3 2" xfId="45238" xr:uid="{00000000-0005-0000-0000-000068230000}"/>
    <cellStyle name="20% - Accent5 2 3 3 5 2 4" xfId="35540" xr:uid="{00000000-0005-0000-0000-000069230000}"/>
    <cellStyle name="20% - Accent5 2 3 3 5 3" xfId="19021" xr:uid="{00000000-0005-0000-0000-00006A230000}"/>
    <cellStyle name="20% - Accent5 2 3 3 5 3 2" xfId="29389" xr:uid="{00000000-0005-0000-0000-00006B230000}"/>
    <cellStyle name="20% - Accent5 2 3 3 5 3 2 2" xfId="48578" xr:uid="{00000000-0005-0000-0000-00006C230000}"/>
    <cellStyle name="20% - Accent5 2 3 3 5 3 3" xfId="38880" xr:uid="{00000000-0005-0000-0000-00006D230000}"/>
    <cellStyle name="20% - Accent5 2 3 3 5 4" xfId="24934" xr:uid="{00000000-0005-0000-0000-00006E230000}"/>
    <cellStyle name="20% - Accent5 2 3 3 5 4 2" xfId="44123" xr:uid="{00000000-0005-0000-0000-00006F230000}"/>
    <cellStyle name="20% - Accent5 2 3 3 5 5" xfId="34425" xr:uid="{00000000-0005-0000-0000-000070230000}"/>
    <cellStyle name="20% - Accent5 2 3 3 6" xfId="15115" xr:uid="{00000000-0005-0000-0000-000071230000}"/>
    <cellStyle name="20% - Accent5 2 3 3 6 2" xfId="19579" xr:uid="{00000000-0005-0000-0000-000072230000}"/>
    <cellStyle name="20% - Accent5 2 3 3 6 2 2" xfId="29947" xr:uid="{00000000-0005-0000-0000-000073230000}"/>
    <cellStyle name="20% - Accent5 2 3 3 6 2 2 2" xfId="49136" xr:uid="{00000000-0005-0000-0000-000074230000}"/>
    <cellStyle name="20% - Accent5 2 3 3 6 2 3" xfId="39438" xr:uid="{00000000-0005-0000-0000-000075230000}"/>
    <cellStyle name="20% - Accent5 2 3 3 6 3" xfId="25492" xr:uid="{00000000-0005-0000-0000-000076230000}"/>
    <cellStyle name="20% - Accent5 2 3 3 6 3 2" xfId="44681" xr:uid="{00000000-0005-0000-0000-000077230000}"/>
    <cellStyle name="20% - Accent5 2 3 3 6 4" xfId="34983" xr:uid="{00000000-0005-0000-0000-000078230000}"/>
    <cellStyle name="20% - Accent5 2 3 3 7" xfId="16785" xr:uid="{00000000-0005-0000-0000-000079230000}"/>
    <cellStyle name="20% - Accent5 2 3 3 7 2" xfId="21249" xr:uid="{00000000-0005-0000-0000-00007A230000}"/>
    <cellStyle name="20% - Accent5 2 3 3 7 2 2" xfId="31617" xr:uid="{00000000-0005-0000-0000-00007B230000}"/>
    <cellStyle name="20% - Accent5 2 3 3 7 2 2 2" xfId="50806" xr:uid="{00000000-0005-0000-0000-00007C230000}"/>
    <cellStyle name="20% - Accent5 2 3 3 7 2 3" xfId="41108" xr:uid="{00000000-0005-0000-0000-00007D230000}"/>
    <cellStyle name="20% - Accent5 2 3 3 7 3" xfId="27162" xr:uid="{00000000-0005-0000-0000-00007E230000}"/>
    <cellStyle name="20% - Accent5 2 3 3 7 3 2" xfId="46351" xr:uid="{00000000-0005-0000-0000-00007F230000}"/>
    <cellStyle name="20% - Accent5 2 3 3 7 4" xfId="36653" xr:uid="{00000000-0005-0000-0000-000080230000}"/>
    <cellStyle name="20% - Accent5 2 3 3 8" xfId="17351" xr:uid="{00000000-0005-0000-0000-000081230000}"/>
    <cellStyle name="20% - Accent5 2 3 3 8 2" xfId="21806" xr:uid="{00000000-0005-0000-0000-000082230000}"/>
    <cellStyle name="20% - Accent5 2 3 3 8 2 2" xfId="32174" xr:uid="{00000000-0005-0000-0000-000083230000}"/>
    <cellStyle name="20% - Accent5 2 3 3 8 2 2 2" xfId="51363" xr:uid="{00000000-0005-0000-0000-000084230000}"/>
    <cellStyle name="20% - Accent5 2 3 3 8 2 3" xfId="41665" xr:uid="{00000000-0005-0000-0000-000085230000}"/>
    <cellStyle name="20% - Accent5 2 3 3 8 3" xfId="27719" xr:uid="{00000000-0005-0000-0000-000086230000}"/>
    <cellStyle name="20% - Accent5 2 3 3 8 3 2" xfId="46908" xr:uid="{00000000-0005-0000-0000-000087230000}"/>
    <cellStyle name="20% - Accent5 2 3 3 8 4" xfId="37210" xr:uid="{00000000-0005-0000-0000-000088230000}"/>
    <cellStyle name="20% - Accent5 2 3 3 9" xfId="17908" xr:uid="{00000000-0005-0000-0000-000089230000}"/>
    <cellStyle name="20% - Accent5 2 3 3 9 2" xfId="28276" xr:uid="{00000000-0005-0000-0000-00008A230000}"/>
    <cellStyle name="20% - Accent5 2 3 3 9 2 2" xfId="47465" xr:uid="{00000000-0005-0000-0000-00008B230000}"/>
    <cellStyle name="20% - Accent5 2 3 3 9 3" xfId="37767" xr:uid="{00000000-0005-0000-0000-00008C230000}"/>
    <cellStyle name="20% - Accent5 2 3 4" xfId="13019" xr:uid="{00000000-0005-0000-0000-00008D230000}"/>
    <cellStyle name="20% - Accent5 2 3 4 10" xfId="53427" xr:uid="{00000000-0005-0000-0000-00008E230000}"/>
    <cellStyle name="20% - Accent5 2 3 4 2" xfId="13967" xr:uid="{00000000-0005-0000-0000-00008F230000}"/>
    <cellStyle name="20% - Accent5 2 3 4 2 2" xfId="16231" xr:uid="{00000000-0005-0000-0000-000090230000}"/>
    <cellStyle name="20% - Accent5 2 3 4 2 2 2" xfId="20695" xr:uid="{00000000-0005-0000-0000-000091230000}"/>
    <cellStyle name="20% - Accent5 2 3 4 2 2 2 2" xfId="31063" xr:uid="{00000000-0005-0000-0000-000092230000}"/>
    <cellStyle name="20% - Accent5 2 3 4 2 2 2 2 2" xfId="50252" xr:uid="{00000000-0005-0000-0000-000093230000}"/>
    <cellStyle name="20% - Accent5 2 3 4 2 2 2 3" xfId="40554" xr:uid="{00000000-0005-0000-0000-000094230000}"/>
    <cellStyle name="20% - Accent5 2 3 4 2 2 3" xfId="26608" xr:uid="{00000000-0005-0000-0000-000095230000}"/>
    <cellStyle name="20% - Accent5 2 3 4 2 2 3 2" xfId="45797" xr:uid="{00000000-0005-0000-0000-000096230000}"/>
    <cellStyle name="20% - Accent5 2 3 4 2 2 4" xfId="36099" xr:uid="{00000000-0005-0000-0000-000097230000}"/>
    <cellStyle name="20% - Accent5 2 3 4 2 3" xfId="18467" xr:uid="{00000000-0005-0000-0000-000098230000}"/>
    <cellStyle name="20% - Accent5 2 3 4 2 3 2" xfId="28835" xr:uid="{00000000-0005-0000-0000-000099230000}"/>
    <cellStyle name="20% - Accent5 2 3 4 2 3 2 2" xfId="48024" xr:uid="{00000000-0005-0000-0000-00009A230000}"/>
    <cellStyle name="20% - Accent5 2 3 4 2 3 3" xfId="38326" xr:uid="{00000000-0005-0000-0000-00009B230000}"/>
    <cellStyle name="20% - Accent5 2 3 4 2 4" xfId="24375" xr:uid="{00000000-0005-0000-0000-00009C230000}"/>
    <cellStyle name="20% - Accent5 2 3 4 2 4 2" xfId="43569" xr:uid="{00000000-0005-0000-0000-00009D230000}"/>
    <cellStyle name="20% - Accent5 2 3 4 2 5" xfId="33871" xr:uid="{00000000-0005-0000-0000-00009E230000}"/>
    <cellStyle name="20% - Accent5 2 3 4 3" xfId="14546" xr:uid="{00000000-0005-0000-0000-00009F230000}"/>
    <cellStyle name="20% - Accent5 2 3 4 3 2" xfId="15675" xr:uid="{00000000-0005-0000-0000-0000A0230000}"/>
    <cellStyle name="20% - Accent5 2 3 4 3 2 2" xfId="20139" xr:uid="{00000000-0005-0000-0000-0000A1230000}"/>
    <cellStyle name="20% - Accent5 2 3 4 3 2 2 2" xfId="30507" xr:uid="{00000000-0005-0000-0000-0000A2230000}"/>
    <cellStyle name="20% - Accent5 2 3 4 3 2 2 2 2" xfId="49696" xr:uid="{00000000-0005-0000-0000-0000A3230000}"/>
    <cellStyle name="20% - Accent5 2 3 4 3 2 2 3" xfId="39998" xr:uid="{00000000-0005-0000-0000-0000A4230000}"/>
    <cellStyle name="20% - Accent5 2 3 4 3 2 3" xfId="26052" xr:uid="{00000000-0005-0000-0000-0000A5230000}"/>
    <cellStyle name="20% - Accent5 2 3 4 3 2 3 2" xfId="45241" xr:uid="{00000000-0005-0000-0000-0000A6230000}"/>
    <cellStyle name="20% - Accent5 2 3 4 3 2 4" xfId="35543" xr:uid="{00000000-0005-0000-0000-0000A7230000}"/>
    <cellStyle name="20% - Accent5 2 3 4 3 3" xfId="19024" xr:uid="{00000000-0005-0000-0000-0000A8230000}"/>
    <cellStyle name="20% - Accent5 2 3 4 3 3 2" xfId="29392" xr:uid="{00000000-0005-0000-0000-0000A9230000}"/>
    <cellStyle name="20% - Accent5 2 3 4 3 3 2 2" xfId="48581" xr:uid="{00000000-0005-0000-0000-0000AA230000}"/>
    <cellStyle name="20% - Accent5 2 3 4 3 3 3" xfId="38883" xr:uid="{00000000-0005-0000-0000-0000AB230000}"/>
    <cellStyle name="20% - Accent5 2 3 4 3 4" xfId="24937" xr:uid="{00000000-0005-0000-0000-0000AC230000}"/>
    <cellStyle name="20% - Accent5 2 3 4 3 4 2" xfId="44126" xr:uid="{00000000-0005-0000-0000-0000AD230000}"/>
    <cellStyle name="20% - Accent5 2 3 4 3 5" xfId="34428" xr:uid="{00000000-0005-0000-0000-0000AE230000}"/>
    <cellStyle name="20% - Accent5 2 3 4 4" xfId="15118" xr:uid="{00000000-0005-0000-0000-0000AF230000}"/>
    <cellStyle name="20% - Accent5 2 3 4 4 2" xfId="19582" xr:uid="{00000000-0005-0000-0000-0000B0230000}"/>
    <cellStyle name="20% - Accent5 2 3 4 4 2 2" xfId="29950" xr:uid="{00000000-0005-0000-0000-0000B1230000}"/>
    <cellStyle name="20% - Accent5 2 3 4 4 2 2 2" xfId="49139" xr:uid="{00000000-0005-0000-0000-0000B2230000}"/>
    <cellStyle name="20% - Accent5 2 3 4 4 2 3" xfId="39441" xr:uid="{00000000-0005-0000-0000-0000B3230000}"/>
    <cellStyle name="20% - Accent5 2 3 4 4 3" xfId="25495" xr:uid="{00000000-0005-0000-0000-0000B4230000}"/>
    <cellStyle name="20% - Accent5 2 3 4 4 3 2" xfId="44684" xr:uid="{00000000-0005-0000-0000-0000B5230000}"/>
    <cellStyle name="20% - Accent5 2 3 4 4 4" xfId="34986" xr:uid="{00000000-0005-0000-0000-0000B6230000}"/>
    <cellStyle name="20% - Accent5 2 3 4 5" xfId="16788" xr:uid="{00000000-0005-0000-0000-0000B7230000}"/>
    <cellStyle name="20% - Accent5 2 3 4 5 2" xfId="21252" xr:uid="{00000000-0005-0000-0000-0000B8230000}"/>
    <cellStyle name="20% - Accent5 2 3 4 5 2 2" xfId="31620" xr:uid="{00000000-0005-0000-0000-0000B9230000}"/>
    <cellStyle name="20% - Accent5 2 3 4 5 2 2 2" xfId="50809" xr:uid="{00000000-0005-0000-0000-0000BA230000}"/>
    <cellStyle name="20% - Accent5 2 3 4 5 2 3" xfId="41111" xr:uid="{00000000-0005-0000-0000-0000BB230000}"/>
    <cellStyle name="20% - Accent5 2 3 4 5 3" xfId="27165" xr:uid="{00000000-0005-0000-0000-0000BC230000}"/>
    <cellStyle name="20% - Accent5 2 3 4 5 3 2" xfId="46354" xr:uid="{00000000-0005-0000-0000-0000BD230000}"/>
    <cellStyle name="20% - Accent5 2 3 4 5 4" xfId="36656" xr:uid="{00000000-0005-0000-0000-0000BE230000}"/>
    <cellStyle name="20% - Accent5 2 3 4 6" xfId="17354" xr:uid="{00000000-0005-0000-0000-0000BF230000}"/>
    <cellStyle name="20% - Accent5 2 3 4 6 2" xfId="21809" xr:uid="{00000000-0005-0000-0000-0000C0230000}"/>
    <cellStyle name="20% - Accent5 2 3 4 6 2 2" xfId="32177" xr:uid="{00000000-0005-0000-0000-0000C1230000}"/>
    <cellStyle name="20% - Accent5 2 3 4 6 2 2 2" xfId="51366" xr:uid="{00000000-0005-0000-0000-0000C2230000}"/>
    <cellStyle name="20% - Accent5 2 3 4 6 2 3" xfId="41668" xr:uid="{00000000-0005-0000-0000-0000C3230000}"/>
    <cellStyle name="20% - Accent5 2 3 4 6 3" xfId="27722" xr:uid="{00000000-0005-0000-0000-0000C4230000}"/>
    <cellStyle name="20% - Accent5 2 3 4 6 3 2" xfId="46911" xr:uid="{00000000-0005-0000-0000-0000C5230000}"/>
    <cellStyle name="20% - Accent5 2 3 4 6 4" xfId="37213" xr:uid="{00000000-0005-0000-0000-0000C6230000}"/>
    <cellStyle name="20% - Accent5 2 3 4 7" xfId="17911" xr:uid="{00000000-0005-0000-0000-0000C7230000}"/>
    <cellStyle name="20% - Accent5 2 3 4 7 2" xfId="28279" xr:uid="{00000000-0005-0000-0000-0000C8230000}"/>
    <cellStyle name="20% - Accent5 2 3 4 7 2 2" xfId="47468" xr:uid="{00000000-0005-0000-0000-0000C9230000}"/>
    <cellStyle name="20% - Accent5 2 3 4 7 3" xfId="37770" xr:uid="{00000000-0005-0000-0000-0000CA230000}"/>
    <cellStyle name="20% - Accent5 2 3 4 8" xfId="23774" xr:uid="{00000000-0005-0000-0000-0000CB230000}"/>
    <cellStyle name="20% - Accent5 2 3 4 8 2" xfId="43013" xr:uid="{00000000-0005-0000-0000-0000CC230000}"/>
    <cellStyle name="20% - Accent5 2 3 4 9" xfId="33315" xr:uid="{00000000-0005-0000-0000-0000CD230000}"/>
    <cellStyle name="20% - Accent5 2 3 5" xfId="13020" xr:uid="{00000000-0005-0000-0000-0000CE230000}"/>
    <cellStyle name="20% - Accent5 2 3 5 2" xfId="13968" xr:uid="{00000000-0005-0000-0000-0000CF230000}"/>
    <cellStyle name="20% - Accent5 2 3 5 2 2" xfId="16232" xr:uid="{00000000-0005-0000-0000-0000D0230000}"/>
    <cellStyle name="20% - Accent5 2 3 5 2 2 2" xfId="20696" xr:uid="{00000000-0005-0000-0000-0000D1230000}"/>
    <cellStyle name="20% - Accent5 2 3 5 2 2 2 2" xfId="31064" xr:uid="{00000000-0005-0000-0000-0000D2230000}"/>
    <cellStyle name="20% - Accent5 2 3 5 2 2 2 2 2" xfId="50253" xr:uid="{00000000-0005-0000-0000-0000D3230000}"/>
    <cellStyle name="20% - Accent5 2 3 5 2 2 2 3" xfId="40555" xr:uid="{00000000-0005-0000-0000-0000D4230000}"/>
    <cellStyle name="20% - Accent5 2 3 5 2 2 3" xfId="26609" xr:uid="{00000000-0005-0000-0000-0000D5230000}"/>
    <cellStyle name="20% - Accent5 2 3 5 2 2 3 2" xfId="45798" xr:uid="{00000000-0005-0000-0000-0000D6230000}"/>
    <cellStyle name="20% - Accent5 2 3 5 2 2 4" xfId="36100" xr:uid="{00000000-0005-0000-0000-0000D7230000}"/>
    <cellStyle name="20% - Accent5 2 3 5 2 3" xfId="18468" xr:uid="{00000000-0005-0000-0000-0000D8230000}"/>
    <cellStyle name="20% - Accent5 2 3 5 2 3 2" xfId="28836" xr:uid="{00000000-0005-0000-0000-0000D9230000}"/>
    <cellStyle name="20% - Accent5 2 3 5 2 3 2 2" xfId="48025" xr:uid="{00000000-0005-0000-0000-0000DA230000}"/>
    <cellStyle name="20% - Accent5 2 3 5 2 3 3" xfId="38327" xr:uid="{00000000-0005-0000-0000-0000DB230000}"/>
    <cellStyle name="20% - Accent5 2 3 5 2 4" xfId="24376" xr:uid="{00000000-0005-0000-0000-0000DC230000}"/>
    <cellStyle name="20% - Accent5 2 3 5 2 4 2" xfId="43570" xr:uid="{00000000-0005-0000-0000-0000DD230000}"/>
    <cellStyle name="20% - Accent5 2 3 5 2 5" xfId="33872" xr:uid="{00000000-0005-0000-0000-0000DE230000}"/>
    <cellStyle name="20% - Accent5 2 3 5 3" xfId="14547" xr:uid="{00000000-0005-0000-0000-0000DF230000}"/>
    <cellStyle name="20% - Accent5 2 3 5 3 2" xfId="15676" xr:uid="{00000000-0005-0000-0000-0000E0230000}"/>
    <cellStyle name="20% - Accent5 2 3 5 3 2 2" xfId="20140" xr:uid="{00000000-0005-0000-0000-0000E1230000}"/>
    <cellStyle name="20% - Accent5 2 3 5 3 2 2 2" xfId="30508" xr:uid="{00000000-0005-0000-0000-0000E2230000}"/>
    <cellStyle name="20% - Accent5 2 3 5 3 2 2 2 2" xfId="49697" xr:uid="{00000000-0005-0000-0000-0000E3230000}"/>
    <cellStyle name="20% - Accent5 2 3 5 3 2 2 3" xfId="39999" xr:uid="{00000000-0005-0000-0000-0000E4230000}"/>
    <cellStyle name="20% - Accent5 2 3 5 3 2 3" xfId="26053" xr:uid="{00000000-0005-0000-0000-0000E5230000}"/>
    <cellStyle name="20% - Accent5 2 3 5 3 2 3 2" xfId="45242" xr:uid="{00000000-0005-0000-0000-0000E6230000}"/>
    <cellStyle name="20% - Accent5 2 3 5 3 2 4" xfId="35544" xr:uid="{00000000-0005-0000-0000-0000E7230000}"/>
    <cellStyle name="20% - Accent5 2 3 5 3 3" xfId="19025" xr:uid="{00000000-0005-0000-0000-0000E8230000}"/>
    <cellStyle name="20% - Accent5 2 3 5 3 3 2" xfId="29393" xr:uid="{00000000-0005-0000-0000-0000E9230000}"/>
    <cellStyle name="20% - Accent5 2 3 5 3 3 2 2" xfId="48582" xr:uid="{00000000-0005-0000-0000-0000EA230000}"/>
    <cellStyle name="20% - Accent5 2 3 5 3 3 3" xfId="38884" xr:uid="{00000000-0005-0000-0000-0000EB230000}"/>
    <cellStyle name="20% - Accent5 2 3 5 3 4" xfId="24938" xr:uid="{00000000-0005-0000-0000-0000EC230000}"/>
    <cellStyle name="20% - Accent5 2 3 5 3 4 2" xfId="44127" xr:uid="{00000000-0005-0000-0000-0000ED230000}"/>
    <cellStyle name="20% - Accent5 2 3 5 3 5" xfId="34429" xr:uid="{00000000-0005-0000-0000-0000EE230000}"/>
    <cellStyle name="20% - Accent5 2 3 5 4" xfId="15119" xr:uid="{00000000-0005-0000-0000-0000EF230000}"/>
    <cellStyle name="20% - Accent5 2 3 5 4 2" xfId="19583" xr:uid="{00000000-0005-0000-0000-0000F0230000}"/>
    <cellStyle name="20% - Accent5 2 3 5 4 2 2" xfId="29951" xr:uid="{00000000-0005-0000-0000-0000F1230000}"/>
    <cellStyle name="20% - Accent5 2 3 5 4 2 2 2" xfId="49140" xr:uid="{00000000-0005-0000-0000-0000F2230000}"/>
    <cellStyle name="20% - Accent5 2 3 5 4 2 3" xfId="39442" xr:uid="{00000000-0005-0000-0000-0000F3230000}"/>
    <cellStyle name="20% - Accent5 2 3 5 4 3" xfId="25496" xr:uid="{00000000-0005-0000-0000-0000F4230000}"/>
    <cellStyle name="20% - Accent5 2 3 5 4 3 2" xfId="44685" xr:uid="{00000000-0005-0000-0000-0000F5230000}"/>
    <cellStyle name="20% - Accent5 2 3 5 4 4" xfId="34987" xr:uid="{00000000-0005-0000-0000-0000F6230000}"/>
    <cellStyle name="20% - Accent5 2 3 5 5" xfId="16789" xr:uid="{00000000-0005-0000-0000-0000F7230000}"/>
    <cellStyle name="20% - Accent5 2 3 5 5 2" xfId="21253" xr:uid="{00000000-0005-0000-0000-0000F8230000}"/>
    <cellStyle name="20% - Accent5 2 3 5 5 2 2" xfId="31621" xr:uid="{00000000-0005-0000-0000-0000F9230000}"/>
    <cellStyle name="20% - Accent5 2 3 5 5 2 2 2" xfId="50810" xr:uid="{00000000-0005-0000-0000-0000FA230000}"/>
    <cellStyle name="20% - Accent5 2 3 5 5 2 3" xfId="41112" xr:uid="{00000000-0005-0000-0000-0000FB230000}"/>
    <cellStyle name="20% - Accent5 2 3 5 5 3" xfId="27166" xr:uid="{00000000-0005-0000-0000-0000FC230000}"/>
    <cellStyle name="20% - Accent5 2 3 5 5 3 2" xfId="46355" xr:uid="{00000000-0005-0000-0000-0000FD230000}"/>
    <cellStyle name="20% - Accent5 2 3 5 5 4" xfId="36657" xr:uid="{00000000-0005-0000-0000-0000FE230000}"/>
    <cellStyle name="20% - Accent5 2 3 5 6" xfId="17355" xr:uid="{00000000-0005-0000-0000-0000FF230000}"/>
    <cellStyle name="20% - Accent5 2 3 5 6 2" xfId="21810" xr:uid="{00000000-0005-0000-0000-000000240000}"/>
    <cellStyle name="20% - Accent5 2 3 5 6 2 2" xfId="32178" xr:uid="{00000000-0005-0000-0000-000001240000}"/>
    <cellStyle name="20% - Accent5 2 3 5 6 2 2 2" xfId="51367" xr:uid="{00000000-0005-0000-0000-000002240000}"/>
    <cellStyle name="20% - Accent5 2 3 5 6 2 3" xfId="41669" xr:uid="{00000000-0005-0000-0000-000003240000}"/>
    <cellStyle name="20% - Accent5 2 3 5 6 3" xfId="27723" xr:uid="{00000000-0005-0000-0000-000004240000}"/>
    <cellStyle name="20% - Accent5 2 3 5 6 3 2" xfId="46912" xr:uid="{00000000-0005-0000-0000-000005240000}"/>
    <cellStyle name="20% - Accent5 2 3 5 6 4" xfId="37214" xr:uid="{00000000-0005-0000-0000-000006240000}"/>
    <cellStyle name="20% - Accent5 2 3 5 7" xfId="17912" xr:uid="{00000000-0005-0000-0000-000007240000}"/>
    <cellStyle name="20% - Accent5 2 3 5 7 2" xfId="28280" xr:uid="{00000000-0005-0000-0000-000008240000}"/>
    <cellStyle name="20% - Accent5 2 3 5 7 2 2" xfId="47469" xr:uid="{00000000-0005-0000-0000-000009240000}"/>
    <cellStyle name="20% - Accent5 2 3 5 7 3" xfId="37771" xr:uid="{00000000-0005-0000-0000-00000A240000}"/>
    <cellStyle name="20% - Accent5 2 3 5 8" xfId="23775" xr:uid="{00000000-0005-0000-0000-00000B240000}"/>
    <cellStyle name="20% - Accent5 2 3 5 8 2" xfId="43014" xr:uid="{00000000-0005-0000-0000-00000C240000}"/>
    <cellStyle name="20% - Accent5 2 3 5 9" xfId="33316" xr:uid="{00000000-0005-0000-0000-00000D240000}"/>
    <cellStyle name="20% - Accent5 2 3 6" xfId="22872" xr:uid="{00000000-0005-0000-0000-00000E240000}"/>
    <cellStyle name="20% - Accent5 2 3 6 2" xfId="32956" xr:uid="{00000000-0005-0000-0000-00000F240000}"/>
    <cellStyle name="20% - Accent5 2 3 6 2 2" xfId="52142" xr:uid="{00000000-0005-0000-0000-000010240000}"/>
    <cellStyle name="20% - Accent5 2 3 6 3" xfId="42444" xr:uid="{00000000-0005-0000-0000-000011240000}"/>
    <cellStyle name="20% - Accent5 2 3 7" xfId="23292" xr:uid="{00000000-0005-0000-0000-000012240000}"/>
    <cellStyle name="20% - Accent5 2 3 8" xfId="23229" xr:uid="{00000000-0005-0000-0000-000013240000}"/>
    <cellStyle name="20% - Accent5 2 3 8 2" xfId="42797" xr:uid="{00000000-0005-0000-0000-000014240000}"/>
    <cellStyle name="20% - Accent5 2 3 9" xfId="12149" xr:uid="{00000000-0005-0000-0000-000015240000}"/>
    <cellStyle name="20% - Accent5 2 4" xfId="1752" xr:uid="{00000000-0005-0000-0000-000016240000}"/>
    <cellStyle name="20% - Accent5 2 4 2" xfId="13021" xr:uid="{00000000-0005-0000-0000-000017240000}"/>
    <cellStyle name="20% - Accent5 2 4 2 10" xfId="23776" xr:uid="{00000000-0005-0000-0000-000018240000}"/>
    <cellStyle name="20% - Accent5 2 4 2 10 2" xfId="43015" xr:uid="{00000000-0005-0000-0000-000019240000}"/>
    <cellStyle name="20% - Accent5 2 4 2 11" xfId="33317" xr:uid="{00000000-0005-0000-0000-00001A240000}"/>
    <cellStyle name="20% - Accent5 2 4 2 12" xfId="52769" xr:uid="{00000000-0005-0000-0000-00001B240000}"/>
    <cellStyle name="20% - Accent5 2 4 2 2" xfId="13022" xr:uid="{00000000-0005-0000-0000-00001C240000}"/>
    <cellStyle name="20% - Accent5 2 4 2 2 10" xfId="53197" xr:uid="{00000000-0005-0000-0000-00001D240000}"/>
    <cellStyle name="20% - Accent5 2 4 2 2 2" xfId="13970" xr:uid="{00000000-0005-0000-0000-00001E240000}"/>
    <cellStyle name="20% - Accent5 2 4 2 2 2 2" xfId="16234" xr:uid="{00000000-0005-0000-0000-00001F240000}"/>
    <cellStyle name="20% - Accent5 2 4 2 2 2 2 2" xfId="20698" xr:uid="{00000000-0005-0000-0000-000020240000}"/>
    <cellStyle name="20% - Accent5 2 4 2 2 2 2 2 2" xfId="31066" xr:uid="{00000000-0005-0000-0000-000021240000}"/>
    <cellStyle name="20% - Accent5 2 4 2 2 2 2 2 2 2" xfId="50255" xr:uid="{00000000-0005-0000-0000-000022240000}"/>
    <cellStyle name="20% - Accent5 2 4 2 2 2 2 2 3" xfId="40557" xr:uid="{00000000-0005-0000-0000-000023240000}"/>
    <cellStyle name="20% - Accent5 2 4 2 2 2 2 3" xfId="26611" xr:uid="{00000000-0005-0000-0000-000024240000}"/>
    <cellStyle name="20% - Accent5 2 4 2 2 2 2 3 2" xfId="45800" xr:uid="{00000000-0005-0000-0000-000025240000}"/>
    <cellStyle name="20% - Accent5 2 4 2 2 2 2 4" xfId="36102" xr:uid="{00000000-0005-0000-0000-000026240000}"/>
    <cellStyle name="20% - Accent5 2 4 2 2 2 3" xfId="18470" xr:uid="{00000000-0005-0000-0000-000027240000}"/>
    <cellStyle name="20% - Accent5 2 4 2 2 2 3 2" xfId="28838" xr:uid="{00000000-0005-0000-0000-000028240000}"/>
    <cellStyle name="20% - Accent5 2 4 2 2 2 3 2 2" xfId="48027" xr:uid="{00000000-0005-0000-0000-000029240000}"/>
    <cellStyle name="20% - Accent5 2 4 2 2 2 3 3" xfId="38329" xr:uid="{00000000-0005-0000-0000-00002A240000}"/>
    <cellStyle name="20% - Accent5 2 4 2 2 2 4" xfId="24378" xr:uid="{00000000-0005-0000-0000-00002B240000}"/>
    <cellStyle name="20% - Accent5 2 4 2 2 2 4 2" xfId="43572" xr:uid="{00000000-0005-0000-0000-00002C240000}"/>
    <cellStyle name="20% - Accent5 2 4 2 2 2 5" xfId="33874" xr:uid="{00000000-0005-0000-0000-00002D240000}"/>
    <cellStyle name="20% - Accent5 2 4 2 2 2 6" xfId="54050" xr:uid="{00000000-0005-0000-0000-00002E240000}"/>
    <cellStyle name="20% - Accent5 2 4 2 2 3" xfId="14549" xr:uid="{00000000-0005-0000-0000-00002F240000}"/>
    <cellStyle name="20% - Accent5 2 4 2 2 3 2" xfId="15678" xr:uid="{00000000-0005-0000-0000-000030240000}"/>
    <cellStyle name="20% - Accent5 2 4 2 2 3 2 2" xfId="20142" xr:uid="{00000000-0005-0000-0000-000031240000}"/>
    <cellStyle name="20% - Accent5 2 4 2 2 3 2 2 2" xfId="30510" xr:uid="{00000000-0005-0000-0000-000032240000}"/>
    <cellStyle name="20% - Accent5 2 4 2 2 3 2 2 2 2" xfId="49699" xr:uid="{00000000-0005-0000-0000-000033240000}"/>
    <cellStyle name="20% - Accent5 2 4 2 2 3 2 2 3" xfId="40001" xr:uid="{00000000-0005-0000-0000-000034240000}"/>
    <cellStyle name="20% - Accent5 2 4 2 2 3 2 3" xfId="26055" xr:uid="{00000000-0005-0000-0000-000035240000}"/>
    <cellStyle name="20% - Accent5 2 4 2 2 3 2 3 2" xfId="45244" xr:uid="{00000000-0005-0000-0000-000036240000}"/>
    <cellStyle name="20% - Accent5 2 4 2 2 3 2 4" xfId="35546" xr:uid="{00000000-0005-0000-0000-000037240000}"/>
    <cellStyle name="20% - Accent5 2 4 2 2 3 3" xfId="19027" xr:uid="{00000000-0005-0000-0000-000038240000}"/>
    <cellStyle name="20% - Accent5 2 4 2 2 3 3 2" xfId="29395" xr:uid="{00000000-0005-0000-0000-000039240000}"/>
    <cellStyle name="20% - Accent5 2 4 2 2 3 3 2 2" xfId="48584" xr:uid="{00000000-0005-0000-0000-00003A240000}"/>
    <cellStyle name="20% - Accent5 2 4 2 2 3 3 3" xfId="38886" xr:uid="{00000000-0005-0000-0000-00003B240000}"/>
    <cellStyle name="20% - Accent5 2 4 2 2 3 4" xfId="24940" xr:uid="{00000000-0005-0000-0000-00003C240000}"/>
    <cellStyle name="20% - Accent5 2 4 2 2 3 4 2" xfId="44129" xr:uid="{00000000-0005-0000-0000-00003D240000}"/>
    <cellStyle name="20% - Accent5 2 4 2 2 3 5" xfId="34431" xr:uid="{00000000-0005-0000-0000-00003E240000}"/>
    <cellStyle name="20% - Accent5 2 4 2 2 4" xfId="15121" xr:uid="{00000000-0005-0000-0000-00003F240000}"/>
    <cellStyle name="20% - Accent5 2 4 2 2 4 2" xfId="19585" xr:uid="{00000000-0005-0000-0000-000040240000}"/>
    <cellStyle name="20% - Accent5 2 4 2 2 4 2 2" xfId="29953" xr:uid="{00000000-0005-0000-0000-000041240000}"/>
    <cellStyle name="20% - Accent5 2 4 2 2 4 2 2 2" xfId="49142" xr:uid="{00000000-0005-0000-0000-000042240000}"/>
    <cellStyle name="20% - Accent5 2 4 2 2 4 2 3" xfId="39444" xr:uid="{00000000-0005-0000-0000-000043240000}"/>
    <cellStyle name="20% - Accent5 2 4 2 2 4 3" xfId="25498" xr:uid="{00000000-0005-0000-0000-000044240000}"/>
    <cellStyle name="20% - Accent5 2 4 2 2 4 3 2" xfId="44687" xr:uid="{00000000-0005-0000-0000-000045240000}"/>
    <cellStyle name="20% - Accent5 2 4 2 2 4 4" xfId="34989" xr:uid="{00000000-0005-0000-0000-000046240000}"/>
    <cellStyle name="20% - Accent5 2 4 2 2 5" xfId="16791" xr:uid="{00000000-0005-0000-0000-000047240000}"/>
    <cellStyle name="20% - Accent5 2 4 2 2 5 2" xfId="21255" xr:uid="{00000000-0005-0000-0000-000048240000}"/>
    <cellStyle name="20% - Accent5 2 4 2 2 5 2 2" xfId="31623" xr:uid="{00000000-0005-0000-0000-000049240000}"/>
    <cellStyle name="20% - Accent5 2 4 2 2 5 2 2 2" xfId="50812" xr:uid="{00000000-0005-0000-0000-00004A240000}"/>
    <cellStyle name="20% - Accent5 2 4 2 2 5 2 3" xfId="41114" xr:uid="{00000000-0005-0000-0000-00004B240000}"/>
    <cellStyle name="20% - Accent5 2 4 2 2 5 3" xfId="27168" xr:uid="{00000000-0005-0000-0000-00004C240000}"/>
    <cellStyle name="20% - Accent5 2 4 2 2 5 3 2" xfId="46357" xr:uid="{00000000-0005-0000-0000-00004D240000}"/>
    <cellStyle name="20% - Accent5 2 4 2 2 5 4" xfId="36659" xr:uid="{00000000-0005-0000-0000-00004E240000}"/>
    <cellStyle name="20% - Accent5 2 4 2 2 6" xfId="17357" xr:uid="{00000000-0005-0000-0000-00004F240000}"/>
    <cellStyle name="20% - Accent5 2 4 2 2 6 2" xfId="21812" xr:uid="{00000000-0005-0000-0000-000050240000}"/>
    <cellStyle name="20% - Accent5 2 4 2 2 6 2 2" xfId="32180" xr:uid="{00000000-0005-0000-0000-000051240000}"/>
    <cellStyle name="20% - Accent5 2 4 2 2 6 2 2 2" xfId="51369" xr:uid="{00000000-0005-0000-0000-000052240000}"/>
    <cellStyle name="20% - Accent5 2 4 2 2 6 2 3" xfId="41671" xr:uid="{00000000-0005-0000-0000-000053240000}"/>
    <cellStyle name="20% - Accent5 2 4 2 2 6 3" xfId="27725" xr:uid="{00000000-0005-0000-0000-000054240000}"/>
    <cellStyle name="20% - Accent5 2 4 2 2 6 3 2" xfId="46914" xr:uid="{00000000-0005-0000-0000-000055240000}"/>
    <cellStyle name="20% - Accent5 2 4 2 2 6 4" xfId="37216" xr:uid="{00000000-0005-0000-0000-000056240000}"/>
    <cellStyle name="20% - Accent5 2 4 2 2 7" xfId="17914" xr:uid="{00000000-0005-0000-0000-000057240000}"/>
    <cellStyle name="20% - Accent5 2 4 2 2 7 2" xfId="28282" xr:uid="{00000000-0005-0000-0000-000058240000}"/>
    <cellStyle name="20% - Accent5 2 4 2 2 7 2 2" xfId="47471" xr:uid="{00000000-0005-0000-0000-000059240000}"/>
    <cellStyle name="20% - Accent5 2 4 2 2 7 3" xfId="37773" xr:uid="{00000000-0005-0000-0000-00005A240000}"/>
    <cellStyle name="20% - Accent5 2 4 2 2 8" xfId="23777" xr:uid="{00000000-0005-0000-0000-00005B240000}"/>
    <cellStyle name="20% - Accent5 2 4 2 2 8 2" xfId="43016" xr:uid="{00000000-0005-0000-0000-00005C240000}"/>
    <cellStyle name="20% - Accent5 2 4 2 2 9" xfId="33318" xr:uid="{00000000-0005-0000-0000-00005D240000}"/>
    <cellStyle name="20% - Accent5 2 4 2 3" xfId="13023" xr:uid="{00000000-0005-0000-0000-00005E240000}"/>
    <cellStyle name="20% - Accent5 2 4 2 3 10" xfId="53654" xr:uid="{00000000-0005-0000-0000-00005F240000}"/>
    <cellStyle name="20% - Accent5 2 4 2 3 2" xfId="13971" xr:uid="{00000000-0005-0000-0000-000060240000}"/>
    <cellStyle name="20% - Accent5 2 4 2 3 2 2" xfId="16235" xr:uid="{00000000-0005-0000-0000-000061240000}"/>
    <cellStyle name="20% - Accent5 2 4 2 3 2 2 2" xfId="20699" xr:uid="{00000000-0005-0000-0000-000062240000}"/>
    <cellStyle name="20% - Accent5 2 4 2 3 2 2 2 2" xfId="31067" xr:uid="{00000000-0005-0000-0000-000063240000}"/>
    <cellStyle name="20% - Accent5 2 4 2 3 2 2 2 2 2" xfId="50256" xr:uid="{00000000-0005-0000-0000-000064240000}"/>
    <cellStyle name="20% - Accent5 2 4 2 3 2 2 2 3" xfId="40558" xr:uid="{00000000-0005-0000-0000-000065240000}"/>
    <cellStyle name="20% - Accent5 2 4 2 3 2 2 3" xfId="26612" xr:uid="{00000000-0005-0000-0000-000066240000}"/>
    <cellStyle name="20% - Accent5 2 4 2 3 2 2 3 2" xfId="45801" xr:uid="{00000000-0005-0000-0000-000067240000}"/>
    <cellStyle name="20% - Accent5 2 4 2 3 2 2 4" xfId="36103" xr:uid="{00000000-0005-0000-0000-000068240000}"/>
    <cellStyle name="20% - Accent5 2 4 2 3 2 3" xfId="18471" xr:uid="{00000000-0005-0000-0000-000069240000}"/>
    <cellStyle name="20% - Accent5 2 4 2 3 2 3 2" xfId="28839" xr:uid="{00000000-0005-0000-0000-00006A240000}"/>
    <cellStyle name="20% - Accent5 2 4 2 3 2 3 2 2" xfId="48028" xr:uid="{00000000-0005-0000-0000-00006B240000}"/>
    <cellStyle name="20% - Accent5 2 4 2 3 2 3 3" xfId="38330" xr:uid="{00000000-0005-0000-0000-00006C240000}"/>
    <cellStyle name="20% - Accent5 2 4 2 3 2 4" xfId="24379" xr:uid="{00000000-0005-0000-0000-00006D240000}"/>
    <cellStyle name="20% - Accent5 2 4 2 3 2 4 2" xfId="43573" xr:uid="{00000000-0005-0000-0000-00006E240000}"/>
    <cellStyle name="20% - Accent5 2 4 2 3 2 5" xfId="33875" xr:uid="{00000000-0005-0000-0000-00006F240000}"/>
    <cellStyle name="20% - Accent5 2 4 2 3 3" xfId="14550" xr:uid="{00000000-0005-0000-0000-000070240000}"/>
    <cellStyle name="20% - Accent5 2 4 2 3 3 2" xfId="15679" xr:uid="{00000000-0005-0000-0000-000071240000}"/>
    <cellStyle name="20% - Accent5 2 4 2 3 3 2 2" xfId="20143" xr:uid="{00000000-0005-0000-0000-000072240000}"/>
    <cellStyle name="20% - Accent5 2 4 2 3 3 2 2 2" xfId="30511" xr:uid="{00000000-0005-0000-0000-000073240000}"/>
    <cellStyle name="20% - Accent5 2 4 2 3 3 2 2 2 2" xfId="49700" xr:uid="{00000000-0005-0000-0000-000074240000}"/>
    <cellStyle name="20% - Accent5 2 4 2 3 3 2 2 3" xfId="40002" xr:uid="{00000000-0005-0000-0000-000075240000}"/>
    <cellStyle name="20% - Accent5 2 4 2 3 3 2 3" xfId="26056" xr:uid="{00000000-0005-0000-0000-000076240000}"/>
    <cellStyle name="20% - Accent5 2 4 2 3 3 2 3 2" xfId="45245" xr:uid="{00000000-0005-0000-0000-000077240000}"/>
    <cellStyle name="20% - Accent5 2 4 2 3 3 2 4" xfId="35547" xr:uid="{00000000-0005-0000-0000-000078240000}"/>
    <cellStyle name="20% - Accent5 2 4 2 3 3 3" xfId="19028" xr:uid="{00000000-0005-0000-0000-000079240000}"/>
    <cellStyle name="20% - Accent5 2 4 2 3 3 3 2" xfId="29396" xr:uid="{00000000-0005-0000-0000-00007A240000}"/>
    <cellStyle name="20% - Accent5 2 4 2 3 3 3 2 2" xfId="48585" xr:uid="{00000000-0005-0000-0000-00007B240000}"/>
    <cellStyle name="20% - Accent5 2 4 2 3 3 3 3" xfId="38887" xr:uid="{00000000-0005-0000-0000-00007C240000}"/>
    <cellStyle name="20% - Accent5 2 4 2 3 3 4" xfId="24941" xr:uid="{00000000-0005-0000-0000-00007D240000}"/>
    <cellStyle name="20% - Accent5 2 4 2 3 3 4 2" xfId="44130" xr:uid="{00000000-0005-0000-0000-00007E240000}"/>
    <cellStyle name="20% - Accent5 2 4 2 3 3 5" xfId="34432" xr:uid="{00000000-0005-0000-0000-00007F240000}"/>
    <cellStyle name="20% - Accent5 2 4 2 3 4" xfId="15122" xr:uid="{00000000-0005-0000-0000-000080240000}"/>
    <cellStyle name="20% - Accent5 2 4 2 3 4 2" xfId="19586" xr:uid="{00000000-0005-0000-0000-000081240000}"/>
    <cellStyle name="20% - Accent5 2 4 2 3 4 2 2" xfId="29954" xr:uid="{00000000-0005-0000-0000-000082240000}"/>
    <cellStyle name="20% - Accent5 2 4 2 3 4 2 2 2" xfId="49143" xr:uid="{00000000-0005-0000-0000-000083240000}"/>
    <cellStyle name="20% - Accent5 2 4 2 3 4 2 3" xfId="39445" xr:uid="{00000000-0005-0000-0000-000084240000}"/>
    <cellStyle name="20% - Accent5 2 4 2 3 4 3" xfId="25499" xr:uid="{00000000-0005-0000-0000-000085240000}"/>
    <cellStyle name="20% - Accent5 2 4 2 3 4 3 2" xfId="44688" xr:uid="{00000000-0005-0000-0000-000086240000}"/>
    <cellStyle name="20% - Accent5 2 4 2 3 4 4" xfId="34990" xr:uid="{00000000-0005-0000-0000-000087240000}"/>
    <cellStyle name="20% - Accent5 2 4 2 3 5" xfId="16792" xr:uid="{00000000-0005-0000-0000-000088240000}"/>
    <cellStyle name="20% - Accent5 2 4 2 3 5 2" xfId="21256" xr:uid="{00000000-0005-0000-0000-000089240000}"/>
    <cellStyle name="20% - Accent5 2 4 2 3 5 2 2" xfId="31624" xr:uid="{00000000-0005-0000-0000-00008A240000}"/>
    <cellStyle name="20% - Accent5 2 4 2 3 5 2 2 2" xfId="50813" xr:uid="{00000000-0005-0000-0000-00008B240000}"/>
    <cellStyle name="20% - Accent5 2 4 2 3 5 2 3" xfId="41115" xr:uid="{00000000-0005-0000-0000-00008C240000}"/>
    <cellStyle name="20% - Accent5 2 4 2 3 5 3" xfId="27169" xr:uid="{00000000-0005-0000-0000-00008D240000}"/>
    <cellStyle name="20% - Accent5 2 4 2 3 5 3 2" xfId="46358" xr:uid="{00000000-0005-0000-0000-00008E240000}"/>
    <cellStyle name="20% - Accent5 2 4 2 3 5 4" xfId="36660" xr:uid="{00000000-0005-0000-0000-00008F240000}"/>
    <cellStyle name="20% - Accent5 2 4 2 3 6" xfId="17358" xr:uid="{00000000-0005-0000-0000-000090240000}"/>
    <cellStyle name="20% - Accent5 2 4 2 3 6 2" xfId="21813" xr:uid="{00000000-0005-0000-0000-000091240000}"/>
    <cellStyle name="20% - Accent5 2 4 2 3 6 2 2" xfId="32181" xr:uid="{00000000-0005-0000-0000-000092240000}"/>
    <cellStyle name="20% - Accent5 2 4 2 3 6 2 2 2" xfId="51370" xr:uid="{00000000-0005-0000-0000-000093240000}"/>
    <cellStyle name="20% - Accent5 2 4 2 3 6 2 3" xfId="41672" xr:uid="{00000000-0005-0000-0000-000094240000}"/>
    <cellStyle name="20% - Accent5 2 4 2 3 6 3" xfId="27726" xr:uid="{00000000-0005-0000-0000-000095240000}"/>
    <cellStyle name="20% - Accent5 2 4 2 3 6 3 2" xfId="46915" xr:uid="{00000000-0005-0000-0000-000096240000}"/>
    <cellStyle name="20% - Accent5 2 4 2 3 6 4" xfId="37217" xr:uid="{00000000-0005-0000-0000-000097240000}"/>
    <cellStyle name="20% - Accent5 2 4 2 3 7" xfId="17915" xr:uid="{00000000-0005-0000-0000-000098240000}"/>
    <cellStyle name="20% - Accent5 2 4 2 3 7 2" xfId="28283" xr:uid="{00000000-0005-0000-0000-000099240000}"/>
    <cellStyle name="20% - Accent5 2 4 2 3 7 2 2" xfId="47472" xr:uid="{00000000-0005-0000-0000-00009A240000}"/>
    <cellStyle name="20% - Accent5 2 4 2 3 7 3" xfId="37774" xr:uid="{00000000-0005-0000-0000-00009B240000}"/>
    <cellStyle name="20% - Accent5 2 4 2 3 8" xfId="23778" xr:uid="{00000000-0005-0000-0000-00009C240000}"/>
    <cellStyle name="20% - Accent5 2 4 2 3 8 2" xfId="43017" xr:uid="{00000000-0005-0000-0000-00009D240000}"/>
    <cellStyle name="20% - Accent5 2 4 2 3 9" xfId="33319" xr:uid="{00000000-0005-0000-0000-00009E240000}"/>
    <cellStyle name="20% - Accent5 2 4 2 4" xfId="13969" xr:uid="{00000000-0005-0000-0000-00009F240000}"/>
    <cellStyle name="20% - Accent5 2 4 2 4 2" xfId="16233" xr:uid="{00000000-0005-0000-0000-0000A0240000}"/>
    <cellStyle name="20% - Accent5 2 4 2 4 2 2" xfId="20697" xr:uid="{00000000-0005-0000-0000-0000A1240000}"/>
    <cellStyle name="20% - Accent5 2 4 2 4 2 2 2" xfId="31065" xr:uid="{00000000-0005-0000-0000-0000A2240000}"/>
    <cellStyle name="20% - Accent5 2 4 2 4 2 2 2 2" xfId="50254" xr:uid="{00000000-0005-0000-0000-0000A3240000}"/>
    <cellStyle name="20% - Accent5 2 4 2 4 2 2 3" xfId="40556" xr:uid="{00000000-0005-0000-0000-0000A4240000}"/>
    <cellStyle name="20% - Accent5 2 4 2 4 2 3" xfId="26610" xr:uid="{00000000-0005-0000-0000-0000A5240000}"/>
    <cellStyle name="20% - Accent5 2 4 2 4 2 3 2" xfId="45799" xr:uid="{00000000-0005-0000-0000-0000A6240000}"/>
    <cellStyle name="20% - Accent5 2 4 2 4 2 4" xfId="36101" xr:uid="{00000000-0005-0000-0000-0000A7240000}"/>
    <cellStyle name="20% - Accent5 2 4 2 4 3" xfId="18469" xr:uid="{00000000-0005-0000-0000-0000A8240000}"/>
    <cellStyle name="20% - Accent5 2 4 2 4 3 2" xfId="28837" xr:uid="{00000000-0005-0000-0000-0000A9240000}"/>
    <cellStyle name="20% - Accent5 2 4 2 4 3 2 2" xfId="48026" xr:uid="{00000000-0005-0000-0000-0000AA240000}"/>
    <cellStyle name="20% - Accent5 2 4 2 4 3 3" xfId="38328" xr:uid="{00000000-0005-0000-0000-0000AB240000}"/>
    <cellStyle name="20% - Accent5 2 4 2 4 4" xfId="24377" xr:uid="{00000000-0005-0000-0000-0000AC240000}"/>
    <cellStyle name="20% - Accent5 2 4 2 4 4 2" xfId="43571" xr:uid="{00000000-0005-0000-0000-0000AD240000}"/>
    <cellStyle name="20% - Accent5 2 4 2 4 5" xfId="33873" xr:uid="{00000000-0005-0000-0000-0000AE240000}"/>
    <cellStyle name="20% - Accent5 2 4 2 5" xfId="14548" xr:uid="{00000000-0005-0000-0000-0000AF240000}"/>
    <cellStyle name="20% - Accent5 2 4 2 5 2" xfId="15677" xr:uid="{00000000-0005-0000-0000-0000B0240000}"/>
    <cellStyle name="20% - Accent5 2 4 2 5 2 2" xfId="20141" xr:uid="{00000000-0005-0000-0000-0000B1240000}"/>
    <cellStyle name="20% - Accent5 2 4 2 5 2 2 2" xfId="30509" xr:uid="{00000000-0005-0000-0000-0000B2240000}"/>
    <cellStyle name="20% - Accent5 2 4 2 5 2 2 2 2" xfId="49698" xr:uid="{00000000-0005-0000-0000-0000B3240000}"/>
    <cellStyle name="20% - Accent5 2 4 2 5 2 2 3" xfId="40000" xr:uid="{00000000-0005-0000-0000-0000B4240000}"/>
    <cellStyle name="20% - Accent5 2 4 2 5 2 3" xfId="26054" xr:uid="{00000000-0005-0000-0000-0000B5240000}"/>
    <cellStyle name="20% - Accent5 2 4 2 5 2 3 2" xfId="45243" xr:uid="{00000000-0005-0000-0000-0000B6240000}"/>
    <cellStyle name="20% - Accent5 2 4 2 5 2 4" xfId="35545" xr:uid="{00000000-0005-0000-0000-0000B7240000}"/>
    <cellStyle name="20% - Accent5 2 4 2 5 3" xfId="19026" xr:uid="{00000000-0005-0000-0000-0000B8240000}"/>
    <cellStyle name="20% - Accent5 2 4 2 5 3 2" xfId="29394" xr:uid="{00000000-0005-0000-0000-0000B9240000}"/>
    <cellStyle name="20% - Accent5 2 4 2 5 3 2 2" xfId="48583" xr:uid="{00000000-0005-0000-0000-0000BA240000}"/>
    <cellStyle name="20% - Accent5 2 4 2 5 3 3" xfId="38885" xr:uid="{00000000-0005-0000-0000-0000BB240000}"/>
    <cellStyle name="20% - Accent5 2 4 2 5 4" xfId="24939" xr:uid="{00000000-0005-0000-0000-0000BC240000}"/>
    <cellStyle name="20% - Accent5 2 4 2 5 4 2" xfId="44128" xr:uid="{00000000-0005-0000-0000-0000BD240000}"/>
    <cellStyle name="20% - Accent5 2 4 2 5 5" xfId="34430" xr:uid="{00000000-0005-0000-0000-0000BE240000}"/>
    <cellStyle name="20% - Accent5 2 4 2 6" xfId="15120" xr:uid="{00000000-0005-0000-0000-0000BF240000}"/>
    <cellStyle name="20% - Accent5 2 4 2 6 2" xfId="19584" xr:uid="{00000000-0005-0000-0000-0000C0240000}"/>
    <cellStyle name="20% - Accent5 2 4 2 6 2 2" xfId="29952" xr:uid="{00000000-0005-0000-0000-0000C1240000}"/>
    <cellStyle name="20% - Accent5 2 4 2 6 2 2 2" xfId="49141" xr:uid="{00000000-0005-0000-0000-0000C2240000}"/>
    <cellStyle name="20% - Accent5 2 4 2 6 2 3" xfId="39443" xr:uid="{00000000-0005-0000-0000-0000C3240000}"/>
    <cellStyle name="20% - Accent5 2 4 2 6 3" xfId="25497" xr:uid="{00000000-0005-0000-0000-0000C4240000}"/>
    <cellStyle name="20% - Accent5 2 4 2 6 3 2" xfId="44686" xr:uid="{00000000-0005-0000-0000-0000C5240000}"/>
    <cellStyle name="20% - Accent5 2 4 2 6 4" xfId="34988" xr:uid="{00000000-0005-0000-0000-0000C6240000}"/>
    <cellStyle name="20% - Accent5 2 4 2 7" xfId="16790" xr:uid="{00000000-0005-0000-0000-0000C7240000}"/>
    <cellStyle name="20% - Accent5 2 4 2 7 2" xfId="21254" xr:uid="{00000000-0005-0000-0000-0000C8240000}"/>
    <cellStyle name="20% - Accent5 2 4 2 7 2 2" xfId="31622" xr:uid="{00000000-0005-0000-0000-0000C9240000}"/>
    <cellStyle name="20% - Accent5 2 4 2 7 2 2 2" xfId="50811" xr:uid="{00000000-0005-0000-0000-0000CA240000}"/>
    <cellStyle name="20% - Accent5 2 4 2 7 2 3" xfId="41113" xr:uid="{00000000-0005-0000-0000-0000CB240000}"/>
    <cellStyle name="20% - Accent5 2 4 2 7 3" xfId="27167" xr:uid="{00000000-0005-0000-0000-0000CC240000}"/>
    <cellStyle name="20% - Accent5 2 4 2 7 3 2" xfId="46356" xr:uid="{00000000-0005-0000-0000-0000CD240000}"/>
    <cellStyle name="20% - Accent5 2 4 2 7 4" xfId="36658" xr:uid="{00000000-0005-0000-0000-0000CE240000}"/>
    <cellStyle name="20% - Accent5 2 4 2 8" xfId="17356" xr:uid="{00000000-0005-0000-0000-0000CF240000}"/>
    <cellStyle name="20% - Accent5 2 4 2 8 2" xfId="21811" xr:uid="{00000000-0005-0000-0000-0000D0240000}"/>
    <cellStyle name="20% - Accent5 2 4 2 8 2 2" xfId="32179" xr:uid="{00000000-0005-0000-0000-0000D1240000}"/>
    <cellStyle name="20% - Accent5 2 4 2 8 2 2 2" xfId="51368" xr:uid="{00000000-0005-0000-0000-0000D2240000}"/>
    <cellStyle name="20% - Accent5 2 4 2 8 2 3" xfId="41670" xr:uid="{00000000-0005-0000-0000-0000D3240000}"/>
    <cellStyle name="20% - Accent5 2 4 2 8 3" xfId="27724" xr:uid="{00000000-0005-0000-0000-0000D4240000}"/>
    <cellStyle name="20% - Accent5 2 4 2 8 3 2" xfId="46913" xr:uid="{00000000-0005-0000-0000-0000D5240000}"/>
    <cellStyle name="20% - Accent5 2 4 2 8 4" xfId="37215" xr:uid="{00000000-0005-0000-0000-0000D6240000}"/>
    <cellStyle name="20% - Accent5 2 4 2 9" xfId="17913" xr:uid="{00000000-0005-0000-0000-0000D7240000}"/>
    <cellStyle name="20% - Accent5 2 4 2 9 2" xfId="28281" xr:uid="{00000000-0005-0000-0000-0000D8240000}"/>
    <cellStyle name="20% - Accent5 2 4 2 9 2 2" xfId="47470" xr:uid="{00000000-0005-0000-0000-0000D9240000}"/>
    <cellStyle name="20% - Accent5 2 4 2 9 3" xfId="37772" xr:uid="{00000000-0005-0000-0000-0000DA240000}"/>
    <cellStyle name="20% - Accent5 2 4 3" xfId="13024" xr:uid="{00000000-0005-0000-0000-0000DB240000}"/>
    <cellStyle name="20% - Accent5 2 4 3 10" xfId="23779" xr:uid="{00000000-0005-0000-0000-0000DC240000}"/>
    <cellStyle name="20% - Accent5 2 4 3 10 2" xfId="43018" xr:uid="{00000000-0005-0000-0000-0000DD240000}"/>
    <cellStyle name="20% - Accent5 2 4 3 11" xfId="33320" xr:uid="{00000000-0005-0000-0000-0000DE240000}"/>
    <cellStyle name="20% - Accent5 2 4 3 12" xfId="52979" xr:uid="{00000000-0005-0000-0000-0000DF240000}"/>
    <cellStyle name="20% - Accent5 2 4 3 2" xfId="13025" xr:uid="{00000000-0005-0000-0000-0000E0240000}"/>
    <cellStyle name="20% - Accent5 2 4 3 2 10" xfId="53854" xr:uid="{00000000-0005-0000-0000-0000E1240000}"/>
    <cellStyle name="20% - Accent5 2 4 3 2 2" xfId="13973" xr:uid="{00000000-0005-0000-0000-0000E2240000}"/>
    <cellStyle name="20% - Accent5 2 4 3 2 2 2" xfId="16237" xr:uid="{00000000-0005-0000-0000-0000E3240000}"/>
    <cellStyle name="20% - Accent5 2 4 3 2 2 2 2" xfId="20701" xr:uid="{00000000-0005-0000-0000-0000E4240000}"/>
    <cellStyle name="20% - Accent5 2 4 3 2 2 2 2 2" xfId="31069" xr:uid="{00000000-0005-0000-0000-0000E5240000}"/>
    <cellStyle name="20% - Accent5 2 4 3 2 2 2 2 2 2" xfId="50258" xr:uid="{00000000-0005-0000-0000-0000E6240000}"/>
    <cellStyle name="20% - Accent5 2 4 3 2 2 2 2 3" xfId="40560" xr:uid="{00000000-0005-0000-0000-0000E7240000}"/>
    <cellStyle name="20% - Accent5 2 4 3 2 2 2 3" xfId="26614" xr:uid="{00000000-0005-0000-0000-0000E8240000}"/>
    <cellStyle name="20% - Accent5 2 4 3 2 2 2 3 2" xfId="45803" xr:uid="{00000000-0005-0000-0000-0000E9240000}"/>
    <cellStyle name="20% - Accent5 2 4 3 2 2 2 4" xfId="36105" xr:uid="{00000000-0005-0000-0000-0000EA240000}"/>
    <cellStyle name="20% - Accent5 2 4 3 2 2 3" xfId="18473" xr:uid="{00000000-0005-0000-0000-0000EB240000}"/>
    <cellStyle name="20% - Accent5 2 4 3 2 2 3 2" xfId="28841" xr:uid="{00000000-0005-0000-0000-0000EC240000}"/>
    <cellStyle name="20% - Accent5 2 4 3 2 2 3 2 2" xfId="48030" xr:uid="{00000000-0005-0000-0000-0000ED240000}"/>
    <cellStyle name="20% - Accent5 2 4 3 2 2 3 3" xfId="38332" xr:uid="{00000000-0005-0000-0000-0000EE240000}"/>
    <cellStyle name="20% - Accent5 2 4 3 2 2 4" xfId="24381" xr:uid="{00000000-0005-0000-0000-0000EF240000}"/>
    <cellStyle name="20% - Accent5 2 4 3 2 2 4 2" xfId="43575" xr:uid="{00000000-0005-0000-0000-0000F0240000}"/>
    <cellStyle name="20% - Accent5 2 4 3 2 2 5" xfId="33877" xr:uid="{00000000-0005-0000-0000-0000F1240000}"/>
    <cellStyle name="20% - Accent5 2 4 3 2 3" xfId="14552" xr:uid="{00000000-0005-0000-0000-0000F2240000}"/>
    <cellStyle name="20% - Accent5 2 4 3 2 3 2" xfId="15681" xr:uid="{00000000-0005-0000-0000-0000F3240000}"/>
    <cellStyle name="20% - Accent5 2 4 3 2 3 2 2" xfId="20145" xr:uid="{00000000-0005-0000-0000-0000F4240000}"/>
    <cellStyle name="20% - Accent5 2 4 3 2 3 2 2 2" xfId="30513" xr:uid="{00000000-0005-0000-0000-0000F5240000}"/>
    <cellStyle name="20% - Accent5 2 4 3 2 3 2 2 2 2" xfId="49702" xr:uid="{00000000-0005-0000-0000-0000F6240000}"/>
    <cellStyle name="20% - Accent5 2 4 3 2 3 2 2 3" xfId="40004" xr:uid="{00000000-0005-0000-0000-0000F7240000}"/>
    <cellStyle name="20% - Accent5 2 4 3 2 3 2 3" xfId="26058" xr:uid="{00000000-0005-0000-0000-0000F8240000}"/>
    <cellStyle name="20% - Accent5 2 4 3 2 3 2 3 2" xfId="45247" xr:uid="{00000000-0005-0000-0000-0000F9240000}"/>
    <cellStyle name="20% - Accent5 2 4 3 2 3 2 4" xfId="35549" xr:uid="{00000000-0005-0000-0000-0000FA240000}"/>
    <cellStyle name="20% - Accent5 2 4 3 2 3 3" xfId="19030" xr:uid="{00000000-0005-0000-0000-0000FB240000}"/>
    <cellStyle name="20% - Accent5 2 4 3 2 3 3 2" xfId="29398" xr:uid="{00000000-0005-0000-0000-0000FC240000}"/>
    <cellStyle name="20% - Accent5 2 4 3 2 3 3 2 2" xfId="48587" xr:uid="{00000000-0005-0000-0000-0000FD240000}"/>
    <cellStyle name="20% - Accent5 2 4 3 2 3 3 3" xfId="38889" xr:uid="{00000000-0005-0000-0000-0000FE240000}"/>
    <cellStyle name="20% - Accent5 2 4 3 2 3 4" xfId="24943" xr:uid="{00000000-0005-0000-0000-0000FF240000}"/>
    <cellStyle name="20% - Accent5 2 4 3 2 3 4 2" xfId="44132" xr:uid="{00000000-0005-0000-0000-000000250000}"/>
    <cellStyle name="20% - Accent5 2 4 3 2 3 5" xfId="34434" xr:uid="{00000000-0005-0000-0000-000001250000}"/>
    <cellStyle name="20% - Accent5 2 4 3 2 4" xfId="15124" xr:uid="{00000000-0005-0000-0000-000002250000}"/>
    <cellStyle name="20% - Accent5 2 4 3 2 4 2" xfId="19588" xr:uid="{00000000-0005-0000-0000-000003250000}"/>
    <cellStyle name="20% - Accent5 2 4 3 2 4 2 2" xfId="29956" xr:uid="{00000000-0005-0000-0000-000004250000}"/>
    <cellStyle name="20% - Accent5 2 4 3 2 4 2 2 2" xfId="49145" xr:uid="{00000000-0005-0000-0000-000005250000}"/>
    <cellStyle name="20% - Accent5 2 4 3 2 4 2 3" xfId="39447" xr:uid="{00000000-0005-0000-0000-000006250000}"/>
    <cellStyle name="20% - Accent5 2 4 3 2 4 3" xfId="25501" xr:uid="{00000000-0005-0000-0000-000007250000}"/>
    <cellStyle name="20% - Accent5 2 4 3 2 4 3 2" xfId="44690" xr:uid="{00000000-0005-0000-0000-000008250000}"/>
    <cellStyle name="20% - Accent5 2 4 3 2 4 4" xfId="34992" xr:uid="{00000000-0005-0000-0000-000009250000}"/>
    <cellStyle name="20% - Accent5 2 4 3 2 5" xfId="16794" xr:uid="{00000000-0005-0000-0000-00000A250000}"/>
    <cellStyle name="20% - Accent5 2 4 3 2 5 2" xfId="21258" xr:uid="{00000000-0005-0000-0000-00000B250000}"/>
    <cellStyle name="20% - Accent5 2 4 3 2 5 2 2" xfId="31626" xr:uid="{00000000-0005-0000-0000-00000C250000}"/>
    <cellStyle name="20% - Accent5 2 4 3 2 5 2 2 2" xfId="50815" xr:uid="{00000000-0005-0000-0000-00000D250000}"/>
    <cellStyle name="20% - Accent5 2 4 3 2 5 2 3" xfId="41117" xr:uid="{00000000-0005-0000-0000-00000E250000}"/>
    <cellStyle name="20% - Accent5 2 4 3 2 5 3" xfId="27171" xr:uid="{00000000-0005-0000-0000-00000F250000}"/>
    <cellStyle name="20% - Accent5 2 4 3 2 5 3 2" xfId="46360" xr:uid="{00000000-0005-0000-0000-000010250000}"/>
    <cellStyle name="20% - Accent5 2 4 3 2 5 4" xfId="36662" xr:uid="{00000000-0005-0000-0000-000011250000}"/>
    <cellStyle name="20% - Accent5 2 4 3 2 6" xfId="17360" xr:uid="{00000000-0005-0000-0000-000012250000}"/>
    <cellStyle name="20% - Accent5 2 4 3 2 6 2" xfId="21815" xr:uid="{00000000-0005-0000-0000-000013250000}"/>
    <cellStyle name="20% - Accent5 2 4 3 2 6 2 2" xfId="32183" xr:uid="{00000000-0005-0000-0000-000014250000}"/>
    <cellStyle name="20% - Accent5 2 4 3 2 6 2 2 2" xfId="51372" xr:uid="{00000000-0005-0000-0000-000015250000}"/>
    <cellStyle name="20% - Accent5 2 4 3 2 6 2 3" xfId="41674" xr:uid="{00000000-0005-0000-0000-000016250000}"/>
    <cellStyle name="20% - Accent5 2 4 3 2 6 3" xfId="27728" xr:uid="{00000000-0005-0000-0000-000017250000}"/>
    <cellStyle name="20% - Accent5 2 4 3 2 6 3 2" xfId="46917" xr:uid="{00000000-0005-0000-0000-000018250000}"/>
    <cellStyle name="20% - Accent5 2 4 3 2 6 4" xfId="37219" xr:uid="{00000000-0005-0000-0000-000019250000}"/>
    <cellStyle name="20% - Accent5 2 4 3 2 7" xfId="17917" xr:uid="{00000000-0005-0000-0000-00001A250000}"/>
    <cellStyle name="20% - Accent5 2 4 3 2 7 2" xfId="28285" xr:uid="{00000000-0005-0000-0000-00001B250000}"/>
    <cellStyle name="20% - Accent5 2 4 3 2 7 2 2" xfId="47474" xr:uid="{00000000-0005-0000-0000-00001C250000}"/>
    <cellStyle name="20% - Accent5 2 4 3 2 7 3" xfId="37776" xr:uid="{00000000-0005-0000-0000-00001D250000}"/>
    <cellStyle name="20% - Accent5 2 4 3 2 8" xfId="23780" xr:uid="{00000000-0005-0000-0000-00001E250000}"/>
    <cellStyle name="20% - Accent5 2 4 3 2 8 2" xfId="43019" xr:uid="{00000000-0005-0000-0000-00001F250000}"/>
    <cellStyle name="20% - Accent5 2 4 3 2 9" xfId="33321" xr:uid="{00000000-0005-0000-0000-000020250000}"/>
    <cellStyle name="20% - Accent5 2 4 3 3" xfId="13026" xr:uid="{00000000-0005-0000-0000-000021250000}"/>
    <cellStyle name="20% - Accent5 2 4 3 3 2" xfId="13974" xr:uid="{00000000-0005-0000-0000-000022250000}"/>
    <cellStyle name="20% - Accent5 2 4 3 3 2 2" xfId="16238" xr:uid="{00000000-0005-0000-0000-000023250000}"/>
    <cellStyle name="20% - Accent5 2 4 3 3 2 2 2" xfId="20702" xr:uid="{00000000-0005-0000-0000-000024250000}"/>
    <cellStyle name="20% - Accent5 2 4 3 3 2 2 2 2" xfId="31070" xr:uid="{00000000-0005-0000-0000-000025250000}"/>
    <cellStyle name="20% - Accent5 2 4 3 3 2 2 2 2 2" xfId="50259" xr:uid="{00000000-0005-0000-0000-000026250000}"/>
    <cellStyle name="20% - Accent5 2 4 3 3 2 2 2 3" xfId="40561" xr:uid="{00000000-0005-0000-0000-000027250000}"/>
    <cellStyle name="20% - Accent5 2 4 3 3 2 2 3" xfId="26615" xr:uid="{00000000-0005-0000-0000-000028250000}"/>
    <cellStyle name="20% - Accent5 2 4 3 3 2 2 3 2" xfId="45804" xr:uid="{00000000-0005-0000-0000-000029250000}"/>
    <cellStyle name="20% - Accent5 2 4 3 3 2 2 4" xfId="36106" xr:uid="{00000000-0005-0000-0000-00002A250000}"/>
    <cellStyle name="20% - Accent5 2 4 3 3 2 3" xfId="18474" xr:uid="{00000000-0005-0000-0000-00002B250000}"/>
    <cellStyle name="20% - Accent5 2 4 3 3 2 3 2" xfId="28842" xr:uid="{00000000-0005-0000-0000-00002C250000}"/>
    <cellStyle name="20% - Accent5 2 4 3 3 2 3 2 2" xfId="48031" xr:uid="{00000000-0005-0000-0000-00002D250000}"/>
    <cellStyle name="20% - Accent5 2 4 3 3 2 3 3" xfId="38333" xr:uid="{00000000-0005-0000-0000-00002E250000}"/>
    <cellStyle name="20% - Accent5 2 4 3 3 2 4" xfId="24382" xr:uid="{00000000-0005-0000-0000-00002F250000}"/>
    <cellStyle name="20% - Accent5 2 4 3 3 2 4 2" xfId="43576" xr:uid="{00000000-0005-0000-0000-000030250000}"/>
    <cellStyle name="20% - Accent5 2 4 3 3 2 5" xfId="33878" xr:uid="{00000000-0005-0000-0000-000031250000}"/>
    <cellStyle name="20% - Accent5 2 4 3 3 3" xfId="14553" xr:uid="{00000000-0005-0000-0000-000032250000}"/>
    <cellStyle name="20% - Accent5 2 4 3 3 3 2" xfId="15682" xr:uid="{00000000-0005-0000-0000-000033250000}"/>
    <cellStyle name="20% - Accent5 2 4 3 3 3 2 2" xfId="20146" xr:uid="{00000000-0005-0000-0000-000034250000}"/>
    <cellStyle name="20% - Accent5 2 4 3 3 3 2 2 2" xfId="30514" xr:uid="{00000000-0005-0000-0000-000035250000}"/>
    <cellStyle name="20% - Accent5 2 4 3 3 3 2 2 2 2" xfId="49703" xr:uid="{00000000-0005-0000-0000-000036250000}"/>
    <cellStyle name="20% - Accent5 2 4 3 3 3 2 2 3" xfId="40005" xr:uid="{00000000-0005-0000-0000-000037250000}"/>
    <cellStyle name="20% - Accent5 2 4 3 3 3 2 3" xfId="26059" xr:uid="{00000000-0005-0000-0000-000038250000}"/>
    <cellStyle name="20% - Accent5 2 4 3 3 3 2 3 2" xfId="45248" xr:uid="{00000000-0005-0000-0000-000039250000}"/>
    <cellStyle name="20% - Accent5 2 4 3 3 3 2 4" xfId="35550" xr:uid="{00000000-0005-0000-0000-00003A250000}"/>
    <cellStyle name="20% - Accent5 2 4 3 3 3 3" xfId="19031" xr:uid="{00000000-0005-0000-0000-00003B250000}"/>
    <cellStyle name="20% - Accent5 2 4 3 3 3 3 2" xfId="29399" xr:uid="{00000000-0005-0000-0000-00003C250000}"/>
    <cellStyle name="20% - Accent5 2 4 3 3 3 3 2 2" xfId="48588" xr:uid="{00000000-0005-0000-0000-00003D250000}"/>
    <cellStyle name="20% - Accent5 2 4 3 3 3 3 3" xfId="38890" xr:uid="{00000000-0005-0000-0000-00003E250000}"/>
    <cellStyle name="20% - Accent5 2 4 3 3 3 4" xfId="24944" xr:uid="{00000000-0005-0000-0000-00003F250000}"/>
    <cellStyle name="20% - Accent5 2 4 3 3 3 4 2" xfId="44133" xr:uid="{00000000-0005-0000-0000-000040250000}"/>
    <cellStyle name="20% - Accent5 2 4 3 3 3 5" xfId="34435" xr:uid="{00000000-0005-0000-0000-000041250000}"/>
    <cellStyle name="20% - Accent5 2 4 3 3 4" xfId="15125" xr:uid="{00000000-0005-0000-0000-000042250000}"/>
    <cellStyle name="20% - Accent5 2 4 3 3 4 2" xfId="19589" xr:uid="{00000000-0005-0000-0000-000043250000}"/>
    <cellStyle name="20% - Accent5 2 4 3 3 4 2 2" xfId="29957" xr:uid="{00000000-0005-0000-0000-000044250000}"/>
    <cellStyle name="20% - Accent5 2 4 3 3 4 2 2 2" xfId="49146" xr:uid="{00000000-0005-0000-0000-000045250000}"/>
    <cellStyle name="20% - Accent5 2 4 3 3 4 2 3" xfId="39448" xr:uid="{00000000-0005-0000-0000-000046250000}"/>
    <cellStyle name="20% - Accent5 2 4 3 3 4 3" xfId="25502" xr:uid="{00000000-0005-0000-0000-000047250000}"/>
    <cellStyle name="20% - Accent5 2 4 3 3 4 3 2" xfId="44691" xr:uid="{00000000-0005-0000-0000-000048250000}"/>
    <cellStyle name="20% - Accent5 2 4 3 3 4 4" xfId="34993" xr:uid="{00000000-0005-0000-0000-000049250000}"/>
    <cellStyle name="20% - Accent5 2 4 3 3 5" xfId="16795" xr:uid="{00000000-0005-0000-0000-00004A250000}"/>
    <cellStyle name="20% - Accent5 2 4 3 3 5 2" xfId="21259" xr:uid="{00000000-0005-0000-0000-00004B250000}"/>
    <cellStyle name="20% - Accent5 2 4 3 3 5 2 2" xfId="31627" xr:uid="{00000000-0005-0000-0000-00004C250000}"/>
    <cellStyle name="20% - Accent5 2 4 3 3 5 2 2 2" xfId="50816" xr:uid="{00000000-0005-0000-0000-00004D250000}"/>
    <cellStyle name="20% - Accent5 2 4 3 3 5 2 3" xfId="41118" xr:uid="{00000000-0005-0000-0000-00004E250000}"/>
    <cellStyle name="20% - Accent5 2 4 3 3 5 3" xfId="27172" xr:uid="{00000000-0005-0000-0000-00004F250000}"/>
    <cellStyle name="20% - Accent5 2 4 3 3 5 3 2" xfId="46361" xr:uid="{00000000-0005-0000-0000-000050250000}"/>
    <cellStyle name="20% - Accent5 2 4 3 3 5 4" xfId="36663" xr:uid="{00000000-0005-0000-0000-000051250000}"/>
    <cellStyle name="20% - Accent5 2 4 3 3 6" xfId="17361" xr:uid="{00000000-0005-0000-0000-000052250000}"/>
    <cellStyle name="20% - Accent5 2 4 3 3 6 2" xfId="21816" xr:uid="{00000000-0005-0000-0000-000053250000}"/>
    <cellStyle name="20% - Accent5 2 4 3 3 6 2 2" xfId="32184" xr:uid="{00000000-0005-0000-0000-000054250000}"/>
    <cellStyle name="20% - Accent5 2 4 3 3 6 2 2 2" xfId="51373" xr:uid="{00000000-0005-0000-0000-000055250000}"/>
    <cellStyle name="20% - Accent5 2 4 3 3 6 2 3" xfId="41675" xr:uid="{00000000-0005-0000-0000-000056250000}"/>
    <cellStyle name="20% - Accent5 2 4 3 3 6 3" xfId="27729" xr:uid="{00000000-0005-0000-0000-000057250000}"/>
    <cellStyle name="20% - Accent5 2 4 3 3 6 3 2" xfId="46918" xr:uid="{00000000-0005-0000-0000-000058250000}"/>
    <cellStyle name="20% - Accent5 2 4 3 3 6 4" xfId="37220" xr:uid="{00000000-0005-0000-0000-000059250000}"/>
    <cellStyle name="20% - Accent5 2 4 3 3 7" xfId="17918" xr:uid="{00000000-0005-0000-0000-00005A250000}"/>
    <cellStyle name="20% - Accent5 2 4 3 3 7 2" xfId="28286" xr:uid="{00000000-0005-0000-0000-00005B250000}"/>
    <cellStyle name="20% - Accent5 2 4 3 3 7 2 2" xfId="47475" xr:uid="{00000000-0005-0000-0000-00005C250000}"/>
    <cellStyle name="20% - Accent5 2 4 3 3 7 3" xfId="37777" xr:uid="{00000000-0005-0000-0000-00005D250000}"/>
    <cellStyle name="20% - Accent5 2 4 3 3 8" xfId="23781" xr:uid="{00000000-0005-0000-0000-00005E250000}"/>
    <cellStyle name="20% - Accent5 2 4 3 3 8 2" xfId="43020" xr:uid="{00000000-0005-0000-0000-00005F250000}"/>
    <cellStyle name="20% - Accent5 2 4 3 3 9" xfId="33322" xr:uid="{00000000-0005-0000-0000-000060250000}"/>
    <cellStyle name="20% - Accent5 2 4 3 4" xfId="13972" xr:uid="{00000000-0005-0000-0000-000061250000}"/>
    <cellStyle name="20% - Accent5 2 4 3 4 2" xfId="16236" xr:uid="{00000000-0005-0000-0000-000062250000}"/>
    <cellStyle name="20% - Accent5 2 4 3 4 2 2" xfId="20700" xr:uid="{00000000-0005-0000-0000-000063250000}"/>
    <cellStyle name="20% - Accent5 2 4 3 4 2 2 2" xfId="31068" xr:uid="{00000000-0005-0000-0000-000064250000}"/>
    <cellStyle name="20% - Accent5 2 4 3 4 2 2 2 2" xfId="50257" xr:uid="{00000000-0005-0000-0000-000065250000}"/>
    <cellStyle name="20% - Accent5 2 4 3 4 2 2 3" xfId="40559" xr:uid="{00000000-0005-0000-0000-000066250000}"/>
    <cellStyle name="20% - Accent5 2 4 3 4 2 3" xfId="26613" xr:uid="{00000000-0005-0000-0000-000067250000}"/>
    <cellStyle name="20% - Accent5 2 4 3 4 2 3 2" xfId="45802" xr:uid="{00000000-0005-0000-0000-000068250000}"/>
    <cellStyle name="20% - Accent5 2 4 3 4 2 4" xfId="36104" xr:uid="{00000000-0005-0000-0000-000069250000}"/>
    <cellStyle name="20% - Accent5 2 4 3 4 3" xfId="18472" xr:uid="{00000000-0005-0000-0000-00006A250000}"/>
    <cellStyle name="20% - Accent5 2 4 3 4 3 2" xfId="28840" xr:uid="{00000000-0005-0000-0000-00006B250000}"/>
    <cellStyle name="20% - Accent5 2 4 3 4 3 2 2" xfId="48029" xr:uid="{00000000-0005-0000-0000-00006C250000}"/>
    <cellStyle name="20% - Accent5 2 4 3 4 3 3" xfId="38331" xr:uid="{00000000-0005-0000-0000-00006D250000}"/>
    <cellStyle name="20% - Accent5 2 4 3 4 4" xfId="24380" xr:uid="{00000000-0005-0000-0000-00006E250000}"/>
    <cellStyle name="20% - Accent5 2 4 3 4 4 2" xfId="43574" xr:uid="{00000000-0005-0000-0000-00006F250000}"/>
    <cellStyle name="20% - Accent5 2 4 3 4 5" xfId="33876" xr:uid="{00000000-0005-0000-0000-000070250000}"/>
    <cellStyle name="20% - Accent5 2 4 3 5" xfId="14551" xr:uid="{00000000-0005-0000-0000-000071250000}"/>
    <cellStyle name="20% - Accent5 2 4 3 5 2" xfId="15680" xr:uid="{00000000-0005-0000-0000-000072250000}"/>
    <cellStyle name="20% - Accent5 2 4 3 5 2 2" xfId="20144" xr:uid="{00000000-0005-0000-0000-000073250000}"/>
    <cellStyle name="20% - Accent5 2 4 3 5 2 2 2" xfId="30512" xr:uid="{00000000-0005-0000-0000-000074250000}"/>
    <cellStyle name="20% - Accent5 2 4 3 5 2 2 2 2" xfId="49701" xr:uid="{00000000-0005-0000-0000-000075250000}"/>
    <cellStyle name="20% - Accent5 2 4 3 5 2 2 3" xfId="40003" xr:uid="{00000000-0005-0000-0000-000076250000}"/>
    <cellStyle name="20% - Accent5 2 4 3 5 2 3" xfId="26057" xr:uid="{00000000-0005-0000-0000-000077250000}"/>
    <cellStyle name="20% - Accent5 2 4 3 5 2 3 2" xfId="45246" xr:uid="{00000000-0005-0000-0000-000078250000}"/>
    <cellStyle name="20% - Accent5 2 4 3 5 2 4" xfId="35548" xr:uid="{00000000-0005-0000-0000-000079250000}"/>
    <cellStyle name="20% - Accent5 2 4 3 5 3" xfId="19029" xr:uid="{00000000-0005-0000-0000-00007A250000}"/>
    <cellStyle name="20% - Accent5 2 4 3 5 3 2" xfId="29397" xr:uid="{00000000-0005-0000-0000-00007B250000}"/>
    <cellStyle name="20% - Accent5 2 4 3 5 3 2 2" xfId="48586" xr:uid="{00000000-0005-0000-0000-00007C250000}"/>
    <cellStyle name="20% - Accent5 2 4 3 5 3 3" xfId="38888" xr:uid="{00000000-0005-0000-0000-00007D250000}"/>
    <cellStyle name="20% - Accent5 2 4 3 5 4" xfId="24942" xr:uid="{00000000-0005-0000-0000-00007E250000}"/>
    <cellStyle name="20% - Accent5 2 4 3 5 4 2" xfId="44131" xr:uid="{00000000-0005-0000-0000-00007F250000}"/>
    <cellStyle name="20% - Accent5 2 4 3 5 5" xfId="34433" xr:uid="{00000000-0005-0000-0000-000080250000}"/>
    <cellStyle name="20% - Accent5 2 4 3 6" xfId="15123" xr:uid="{00000000-0005-0000-0000-000081250000}"/>
    <cellStyle name="20% - Accent5 2 4 3 6 2" xfId="19587" xr:uid="{00000000-0005-0000-0000-000082250000}"/>
    <cellStyle name="20% - Accent5 2 4 3 6 2 2" xfId="29955" xr:uid="{00000000-0005-0000-0000-000083250000}"/>
    <cellStyle name="20% - Accent5 2 4 3 6 2 2 2" xfId="49144" xr:uid="{00000000-0005-0000-0000-000084250000}"/>
    <cellStyle name="20% - Accent5 2 4 3 6 2 3" xfId="39446" xr:uid="{00000000-0005-0000-0000-000085250000}"/>
    <cellStyle name="20% - Accent5 2 4 3 6 3" xfId="25500" xr:uid="{00000000-0005-0000-0000-000086250000}"/>
    <cellStyle name="20% - Accent5 2 4 3 6 3 2" xfId="44689" xr:uid="{00000000-0005-0000-0000-000087250000}"/>
    <cellStyle name="20% - Accent5 2 4 3 6 4" xfId="34991" xr:uid="{00000000-0005-0000-0000-000088250000}"/>
    <cellStyle name="20% - Accent5 2 4 3 7" xfId="16793" xr:uid="{00000000-0005-0000-0000-000089250000}"/>
    <cellStyle name="20% - Accent5 2 4 3 7 2" xfId="21257" xr:uid="{00000000-0005-0000-0000-00008A250000}"/>
    <cellStyle name="20% - Accent5 2 4 3 7 2 2" xfId="31625" xr:uid="{00000000-0005-0000-0000-00008B250000}"/>
    <cellStyle name="20% - Accent5 2 4 3 7 2 2 2" xfId="50814" xr:uid="{00000000-0005-0000-0000-00008C250000}"/>
    <cellStyle name="20% - Accent5 2 4 3 7 2 3" xfId="41116" xr:uid="{00000000-0005-0000-0000-00008D250000}"/>
    <cellStyle name="20% - Accent5 2 4 3 7 3" xfId="27170" xr:uid="{00000000-0005-0000-0000-00008E250000}"/>
    <cellStyle name="20% - Accent5 2 4 3 7 3 2" xfId="46359" xr:uid="{00000000-0005-0000-0000-00008F250000}"/>
    <cellStyle name="20% - Accent5 2 4 3 7 4" xfId="36661" xr:uid="{00000000-0005-0000-0000-000090250000}"/>
    <cellStyle name="20% - Accent5 2 4 3 8" xfId="17359" xr:uid="{00000000-0005-0000-0000-000091250000}"/>
    <cellStyle name="20% - Accent5 2 4 3 8 2" xfId="21814" xr:uid="{00000000-0005-0000-0000-000092250000}"/>
    <cellStyle name="20% - Accent5 2 4 3 8 2 2" xfId="32182" xr:uid="{00000000-0005-0000-0000-000093250000}"/>
    <cellStyle name="20% - Accent5 2 4 3 8 2 2 2" xfId="51371" xr:uid="{00000000-0005-0000-0000-000094250000}"/>
    <cellStyle name="20% - Accent5 2 4 3 8 2 3" xfId="41673" xr:uid="{00000000-0005-0000-0000-000095250000}"/>
    <cellStyle name="20% - Accent5 2 4 3 8 3" xfId="27727" xr:uid="{00000000-0005-0000-0000-000096250000}"/>
    <cellStyle name="20% - Accent5 2 4 3 8 3 2" xfId="46916" xr:uid="{00000000-0005-0000-0000-000097250000}"/>
    <cellStyle name="20% - Accent5 2 4 3 8 4" xfId="37218" xr:uid="{00000000-0005-0000-0000-000098250000}"/>
    <cellStyle name="20% - Accent5 2 4 3 9" xfId="17916" xr:uid="{00000000-0005-0000-0000-000099250000}"/>
    <cellStyle name="20% - Accent5 2 4 3 9 2" xfId="28284" xr:uid="{00000000-0005-0000-0000-00009A250000}"/>
    <cellStyle name="20% - Accent5 2 4 3 9 2 2" xfId="47473" xr:uid="{00000000-0005-0000-0000-00009B250000}"/>
    <cellStyle name="20% - Accent5 2 4 3 9 3" xfId="37775" xr:uid="{00000000-0005-0000-0000-00009C250000}"/>
    <cellStyle name="20% - Accent5 2 4 4" xfId="13027" xr:uid="{00000000-0005-0000-0000-00009D250000}"/>
    <cellStyle name="20% - Accent5 2 4 4 10" xfId="53458" xr:uid="{00000000-0005-0000-0000-00009E250000}"/>
    <cellStyle name="20% - Accent5 2 4 4 2" xfId="13975" xr:uid="{00000000-0005-0000-0000-00009F250000}"/>
    <cellStyle name="20% - Accent5 2 4 4 2 2" xfId="16239" xr:uid="{00000000-0005-0000-0000-0000A0250000}"/>
    <cellStyle name="20% - Accent5 2 4 4 2 2 2" xfId="20703" xr:uid="{00000000-0005-0000-0000-0000A1250000}"/>
    <cellStyle name="20% - Accent5 2 4 4 2 2 2 2" xfId="31071" xr:uid="{00000000-0005-0000-0000-0000A2250000}"/>
    <cellStyle name="20% - Accent5 2 4 4 2 2 2 2 2" xfId="50260" xr:uid="{00000000-0005-0000-0000-0000A3250000}"/>
    <cellStyle name="20% - Accent5 2 4 4 2 2 2 3" xfId="40562" xr:uid="{00000000-0005-0000-0000-0000A4250000}"/>
    <cellStyle name="20% - Accent5 2 4 4 2 2 3" xfId="26616" xr:uid="{00000000-0005-0000-0000-0000A5250000}"/>
    <cellStyle name="20% - Accent5 2 4 4 2 2 3 2" xfId="45805" xr:uid="{00000000-0005-0000-0000-0000A6250000}"/>
    <cellStyle name="20% - Accent5 2 4 4 2 2 4" xfId="36107" xr:uid="{00000000-0005-0000-0000-0000A7250000}"/>
    <cellStyle name="20% - Accent5 2 4 4 2 3" xfId="18475" xr:uid="{00000000-0005-0000-0000-0000A8250000}"/>
    <cellStyle name="20% - Accent5 2 4 4 2 3 2" xfId="28843" xr:uid="{00000000-0005-0000-0000-0000A9250000}"/>
    <cellStyle name="20% - Accent5 2 4 4 2 3 2 2" xfId="48032" xr:uid="{00000000-0005-0000-0000-0000AA250000}"/>
    <cellStyle name="20% - Accent5 2 4 4 2 3 3" xfId="38334" xr:uid="{00000000-0005-0000-0000-0000AB250000}"/>
    <cellStyle name="20% - Accent5 2 4 4 2 4" xfId="24383" xr:uid="{00000000-0005-0000-0000-0000AC250000}"/>
    <cellStyle name="20% - Accent5 2 4 4 2 4 2" xfId="43577" xr:uid="{00000000-0005-0000-0000-0000AD250000}"/>
    <cellStyle name="20% - Accent5 2 4 4 2 5" xfId="33879" xr:uid="{00000000-0005-0000-0000-0000AE250000}"/>
    <cellStyle name="20% - Accent5 2 4 4 3" xfId="14554" xr:uid="{00000000-0005-0000-0000-0000AF250000}"/>
    <cellStyle name="20% - Accent5 2 4 4 3 2" xfId="15683" xr:uid="{00000000-0005-0000-0000-0000B0250000}"/>
    <cellStyle name="20% - Accent5 2 4 4 3 2 2" xfId="20147" xr:uid="{00000000-0005-0000-0000-0000B1250000}"/>
    <cellStyle name="20% - Accent5 2 4 4 3 2 2 2" xfId="30515" xr:uid="{00000000-0005-0000-0000-0000B2250000}"/>
    <cellStyle name="20% - Accent5 2 4 4 3 2 2 2 2" xfId="49704" xr:uid="{00000000-0005-0000-0000-0000B3250000}"/>
    <cellStyle name="20% - Accent5 2 4 4 3 2 2 3" xfId="40006" xr:uid="{00000000-0005-0000-0000-0000B4250000}"/>
    <cellStyle name="20% - Accent5 2 4 4 3 2 3" xfId="26060" xr:uid="{00000000-0005-0000-0000-0000B5250000}"/>
    <cellStyle name="20% - Accent5 2 4 4 3 2 3 2" xfId="45249" xr:uid="{00000000-0005-0000-0000-0000B6250000}"/>
    <cellStyle name="20% - Accent5 2 4 4 3 2 4" xfId="35551" xr:uid="{00000000-0005-0000-0000-0000B7250000}"/>
    <cellStyle name="20% - Accent5 2 4 4 3 3" xfId="19032" xr:uid="{00000000-0005-0000-0000-0000B8250000}"/>
    <cellStyle name="20% - Accent5 2 4 4 3 3 2" xfId="29400" xr:uid="{00000000-0005-0000-0000-0000B9250000}"/>
    <cellStyle name="20% - Accent5 2 4 4 3 3 2 2" xfId="48589" xr:uid="{00000000-0005-0000-0000-0000BA250000}"/>
    <cellStyle name="20% - Accent5 2 4 4 3 3 3" xfId="38891" xr:uid="{00000000-0005-0000-0000-0000BB250000}"/>
    <cellStyle name="20% - Accent5 2 4 4 3 4" xfId="24945" xr:uid="{00000000-0005-0000-0000-0000BC250000}"/>
    <cellStyle name="20% - Accent5 2 4 4 3 4 2" xfId="44134" xr:uid="{00000000-0005-0000-0000-0000BD250000}"/>
    <cellStyle name="20% - Accent5 2 4 4 3 5" xfId="34436" xr:uid="{00000000-0005-0000-0000-0000BE250000}"/>
    <cellStyle name="20% - Accent5 2 4 4 4" xfId="15126" xr:uid="{00000000-0005-0000-0000-0000BF250000}"/>
    <cellStyle name="20% - Accent5 2 4 4 4 2" xfId="19590" xr:uid="{00000000-0005-0000-0000-0000C0250000}"/>
    <cellStyle name="20% - Accent5 2 4 4 4 2 2" xfId="29958" xr:uid="{00000000-0005-0000-0000-0000C1250000}"/>
    <cellStyle name="20% - Accent5 2 4 4 4 2 2 2" xfId="49147" xr:uid="{00000000-0005-0000-0000-0000C2250000}"/>
    <cellStyle name="20% - Accent5 2 4 4 4 2 3" xfId="39449" xr:uid="{00000000-0005-0000-0000-0000C3250000}"/>
    <cellStyle name="20% - Accent5 2 4 4 4 3" xfId="25503" xr:uid="{00000000-0005-0000-0000-0000C4250000}"/>
    <cellStyle name="20% - Accent5 2 4 4 4 3 2" xfId="44692" xr:uid="{00000000-0005-0000-0000-0000C5250000}"/>
    <cellStyle name="20% - Accent5 2 4 4 4 4" xfId="34994" xr:uid="{00000000-0005-0000-0000-0000C6250000}"/>
    <cellStyle name="20% - Accent5 2 4 4 5" xfId="16796" xr:uid="{00000000-0005-0000-0000-0000C7250000}"/>
    <cellStyle name="20% - Accent5 2 4 4 5 2" xfId="21260" xr:uid="{00000000-0005-0000-0000-0000C8250000}"/>
    <cellStyle name="20% - Accent5 2 4 4 5 2 2" xfId="31628" xr:uid="{00000000-0005-0000-0000-0000C9250000}"/>
    <cellStyle name="20% - Accent5 2 4 4 5 2 2 2" xfId="50817" xr:uid="{00000000-0005-0000-0000-0000CA250000}"/>
    <cellStyle name="20% - Accent5 2 4 4 5 2 3" xfId="41119" xr:uid="{00000000-0005-0000-0000-0000CB250000}"/>
    <cellStyle name="20% - Accent5 2 4 4 5 3" xfId="27173" xr:uid="{00000000-0005-0000-0000-0000CC250000}"/>
    <cellStyle name="20% - Accent5 2 4 4 5 3 2" xfId="46362" xr:uid="{00000000-0005-0000-0000-0000CD250000}"/>
    <cellStyle name="20% - Accent5 2 4 4 5 4" xfId="36664" xr:uid="{00000000-0005-0000-0000-0000CE250000}"/>
    <cellStyle name="20% - Accent5 2 4 4 6" xfId="17362" xr:uid="{00000000-0005-0000-0000-0000CF250000}"/>
    <cellStyle name="20% - Accent5 2 4 4 6 2" xfId="21817" xr:uid="{00000000-0005-0000-0000-0000D0250000}"/>
    <cellStyle name="20% - Accent5 2 4 4 6 2 2" xfId="32185" xr:uid="{00000000-0005-0000-0000-0000D1250000}"/>
    <cellStyle name="20% - Accent5 2 4 4 6 2 2 2" xfId="51374" xr:uid="{00000000-0005-0000-0000-0000D2250000}"/>
    <cellStyle name="20% - Accent5 2 4 4 6 2 3" xfId="41676" xr:uid="{00000000-0005-0000-0000-0000D3250000}"/>
    <cellStyle name="20% - Accent5 2 4 4 6 3" xfId="27730" xr:uid="{00000000-0005-0000-0000-0000D4250000}"/>
    <cellStyle name="20% - Accent5 2 4 4 6 3 2" xfId="46919" xr:uid="{00000000-0005-0000-0000-0000D5250000}"/>
    <cellStyle name="20% - Accent5 2 4 4 6 4" xfId="37221" xr:uid="{00000000-0005-0000-0000-0000D6250000}"/>
    <cellStyle name="20% - Accent5 2 4 4 7" xfId="17919" xr:uid="{00000000-0005-0000-0000-0000D7250000}"/>
    <cellStyle name="20% - Accent5 2 4 4 7 2" xfId="28287" xr:uid="{00000000-0005-0000-0000-0000D8250000}"/>
    <cellStyle name="20% - Accent5 2 4 4 7 2 2" xfId="47476" xr:uid="{00000000-0005-0000-0000-0000D9250000}"/>
    <cellStyle name="20% - Accent5 2 4 4 7 3" xfId="37778" xr:uid="{00000000-0005-0000-0000-0000DA250000}"/>
    <cellStyle name="20% - Accent5 2 4 4 8" xfId="23782" xr:uid="{00000000-0005-0000-0000-0000DB250000}"/>
    <cellStyle name="20% - Accent5 2 4 4 8 2" xfId="43021" xr:uid="{00000000-0005-0000-0000-0000DC250000}"/>
    <cellStyle name="20% - Accent5 2 4 4 9" xfId="33323" xr:uid="{00000000-0005-0000-0000-0000DD250000}"/>
    <cellStyle name="20% - Accent5 2 4 5" xfId="13028" xr:uid="{00000000-0005-0000-0000-0000DE250000}"/>
    <cellStyle name="20% - Accent5 2 4 5 2" xfId="13976" xr:uid="{00000000-0005-0000-0000-0000DF250000}"/>
    <cellStyle name="20% - Accent5 2 4 5 2 2" xfId="16240" xr:uid="{00000000-0005-0000-0000-0000E0250000}"/>
    <cellStyle name="20% - Accent5 2 4 5 2 2 2" xfId="20704" xr:uid="{00000000-0005-0000-0000-0000E1250000}"/>
    <cellStyle name="20% - Accent5 2 4 5 2 2 2 2" xfId="31072" xr:uid="{00000000-0005-0000-0000-0000E2250000}"/>
    <cellStyle name="20% - Accent5 2 4 5 2 2 2 2 2" xfId="50261" xr:uid="{00000000-0005-0000-0000-0000E3250000}"/>
    <cellStyle name="20% - Accent5 2 4 5 2 2 2 3" xfId="40563" xr:uid="{00000000-0005-0000-0000-0000E4250000}"/>
    <cellStyle name="20% - Accent5 2 4 5 2 2 3" xfId="26617" xr:uid="{00000000-0005-0000-0000-0000E5250000}"/>
    <cellStyle name="20% - Accent5 2 4 5 2 2 3 2" xfId="45806" xr:uid="{00000000-0005-0000-0000-0000E6250000}"/>
    <cellStyle name="20% - Accent5 2 4 5 2 2 4" xfId="36108" xr:uid="{00000000-0005-0000-0000-0000E7250000}"/>
    <cellStyle name="20% - Accent5 2 4 5 2 3" xfId="18476" xr:uid="{00000000-0005-0000-0000-0000E8250000}"/>
    <cellStyle name="20% - Accent5 2 4 5 2 3 2" xfId="28844" xr:uid="{00000000-0005-0000-0000-0000E9250000}"/>
    <cellStyle name="20% - Accent5 2 4 5 2 3 2 2" xfId="48033" xr:uid="{00000000-0005-0000-0000-0000EA250000}"/>
    <cellStyle name="20% - Accent5 2 4 5 2 3 3" xfId="38335" xr:uid="{00000000-0005-0000-0000-0000EB250000}"/>
    <cellStyle name="20% - Accent5 2 4 5 2 4" xfId="24384" xr:uid="{00000000-0005-0000-0000-0000EC250000}"/>
    <cellStyle name="20% - Accent5 2 4 5 2 4 2" xfId="43578" xr:uid="{00000000-0005-0000-0000-0000ED250000}"/>
    <cellStyle name="20% - Accent5 2 4 5 2 5" xfId="33880" xr:uid="{00000000-0005-0000-0000-0000EE250000}"/>
    <cellStyle name="20% - Accent5 2 4 5 3" xfId="14555" xr:uid="{00000000-0005-0000-0000-0000EF250000}"/>
    <cellStyle name="20% - Accent5 2 4 5 3 2" xfId="15684" xr:uid="{00000000-0005-0000-0000-0000F0250000}"/>
    <cellStyle name="20% - Accent5 2 4 5 3 2 2" xfId="20148" xr:uid="{00000000-0005-0000-0000-0000F1250000}"/>
    <cellStyle name="20% - Accent5 2 4 5 3 2 2 2" xfId="30516" xr:uid="{00000000-0005-0000-0000-0000F2250000}"/>
    <cellStyle name="20% - Accent5 2 4 5 3 2 2 2 2" xfId="49705" xr:uid="{00000000-0005-0000-0000-0000F3250000}"/>
    <cellStyle name="20% - Accent5 2 4 5 3 2 2 3" xfId="40007" xr:uid="{00000000-0005-0000-0000-0000F4250000}"/>
    <cellStyle name="20% - Accent5 2 4 5 3 2 3" xfId="26061" xr:uid="{00000000-0005-0000-0000-0000F5250000}"/>
    <cellStyle name="20% - Accent5 2 4 5 3 2 3 2" xfId="45250" xr:uid="{00000000-0005-0000-0000-0000F6250000}"/>
    <cellStyle name="20% - Accent5 2 4 5 3 2 4" xfId="35552" xr:uid="{00000000-0005-0000-0000-0000F7250000}"/>
    <cellStyle name="20% - Accent5 2 4 5 3 3" xfId="19033" xr:uid="{00000000-0005-0000-0000-0000F8250000}"/>
    <cellStyle name="20% - Accent5 2 4 5 3 3 2" xfId="29401" xr:uid="{00000000-0005-0000-0000-0000F9250000}"/>
    <cellStyle name="20% - Accent5 2 4 5 3 3 2 2" xfId="48590" xr:uid="{00000000-0005-0000-0000-0000FA250000}"/>
    <cellStyle name="20% - Accent5 2 4 5 3 3 3" xfId="38892" xr:uid="{00000000-0005-0000-0000-0000FB250000}"/>
    <cellStyle name="20% - Accent5 2 4 5 3 4" xfId="24946" xr:uid="{00000000-0005-0000-0000-0000FC250000}"/>
    <cellStyle name="20% - Accent5 2 4 5 3 4 2" xfId="44135" xr:uid="{00000000-0005-0000-0000-0000FD250000}"/>
    <cellStyle name="20% - Accent5 2 4 5 3 5" xfId="34437" xr:uid="{00000000-0005-0000-0000-0000FE250000}"/>
    <cellStyle name="20% - Accent5 2 4 5 4" xfId="15127" xr:uid="{00000000-0005-0000-0000-0000FF250000}"/>
    <cellStyle name="20% - Accent5 2 4 5 4 2" xfId="19591" xr:uid="{00000000-0005-0000-0000-000000260000}"/>
    <cellStyle name="20% - Accent5 2 4 5 4 2 2" xfId="29959" xr:uid="{00000000-0005-0000-0000-000001260000}"/>
    <cellStyle name="20% - Accent5 2 4 5 4 2 2 2" xfId="49148" xr:uid="{00000000-0005-0000-0000-000002260000}"/>
    <cellStyle name="20% - Accent5 2 4 5 4 2 3" xfId="39450" xr:uid="{00000000-0005-0000-0000-000003260000}"/>
    <cellStyle name="20% - Accent5 2 4 5 4 3" xfId="25504" xr:uid="{00000000-0005-0000-0000-000004260000}"/>
    <cellStyle name="20% - Accent5 2 4 5 4 3 2" xfId="44693" xr:uid="{00000000-0005-0000-0000-000005260000}"/>
    <cellStyle name="20% - Accent5 2 4 5 4 4" xfId="34995" xr:uid="{00000000-0005-0000-0000-000006260000}"/>
    <cellStyle name="20% - Accent5 2 4 5 5" xfId="16797" xr:uid="{00000000-0005-0000-0000-000007260000}"/>
    <cellStyle name="20% - Accent5 2 4 5 5 2" xfId="21261" xr:uid="{00000000-0005-0000-0000-000008260000}"/>
    <cellStyle name="20% - Accent5 2 4 5 5 2 2" xfId="31629" xr:uid="{00000000-0005-0000-0000-000009260000}"/>
    <cellStyle name="20% - Accent5 2 4 5 5 2 2 2" xfId="50818" xr:uid="{00000000-0005-0000-0000-00000A260000}"/>
    <cellStyle name="20% - Accent5 2 4 5 5 2 3" xfId="41120" xr:uid="{00000000-0005-0000-0000-00000B260000}"/>
    <cellStyle name="20% - Accent5 2 4 5 5 3" xfId="27174" xr:uid="{00000000-0005-0000-0000-00000C260000}"/>
    <cellStyle name="20% - Accent5 2 4 5 5 3 2" xfId="46363" xr:uid="{00000000-0005-0000-0000-00000D260000}"/>
    <cellStyle name="20% - Accent5 2 4 5 5 4" xfId="36665" xr:uid="{00000000-0005-0000-0000-00000E260000}"/>
    <cellStyle name="20% - Accent5 2 4 5 6" xfId="17363" xr:uid="{00000000-0005-0000-0000-00000F260000}"/>
    <cellStyle name="20% - Accent5 2 4 5 6 2" xfId="21818" xr:uid="{00000000-0005-0000-0000-000010260000}"/>
    <cellStyle name="20% - Accent5 2 4 5 6 2 2" xfId="32186" xr:uid="{00000000-0005-0000-0000-000011260000}"/>
    <cellStyle name="20% - Accent5 2 4 5 6 2 2 2" xfId="51375" xr:uid="{00000000-0005-0000-0000-000012260000}"/>
    <cellStyle name="20% - Accent5 2 4 5 6 2 3" xfId="41677" xr:uid="{00000000-0005-0000-0000-000013260000}"/>
    <cellStyle name="20% - Accent5 2 4 5 6 3" xfId="27731" xr:uid="{00000000-0005-0000-0000-000014260000}"/>
    <cellStyle name="20% - Accent5 2 4 5 6 3 2" xfId="46920" xr:uid="{00000000-0005-0000-0000-000015260000}"/>
    <cellStyle name="20% - Accent5 2 4 5 6 4" xfId="37222" xr:uid="{00000000-0005-0000-0000-000016260000}"/>
    <cellStyle name="20% - Accent5 2 4 5 7" xfId="17920" xr:uid="{00000000-0005-0000-0000-000017260000}"/>
    <cellStyle name="20% - Accent5 2 4 5 7 2" xfId="28288" xr:uid="{00000000-0005-0000-0000-000018260000}"/>
    <cellStyle name="20% - Accent5 2 4 5 7 2 2" xfId="47477" xr:uid="{00000000-0005-0000-0000-000019260000}"/>
    <cellStyle name="20% - Accent5 2 4 5 7 3" xfId="37779" xr:uid="{00000000-0005-0000-0000-00001A260000}"/>
    <cellStyle name="20% - Accent5 2 4 5 8" xfId="23783" xr:uid="{00000000-0005-0000-0000-00001B260000}"/>
    <cellStyle name="20% - Accent5 2 4 5 8 2" xfId="43022" xr:uid="{00000000-0005-0000-0000-00001C260000}"/>
    <cellStyle name="20% - Accent5 2 4 5 9" xfId="33324" xr:uid="{00000000-0005-0000-0000-00001D260000}"/>
    <cellStyle name="20% - Accent5 2 4 6" xfId="12151" xr:uid="{00000000-0005-0000-0000-00001E260000}"/>
    <cellStyle name="20% - Accent5 2 4 7" xfId="52569" xr:uid="{00000000-0005-0000-0000-00001F260000}"/>
    <cellStyle name="20% - Accent5 2 4 8" xfId="12004" xr:uid="{00000000-0005-0000-0000-000020260000}"/>
    <cellStyle name="20% - Accent5 2 5" xfId="1753" xr:uid="{00000000-0005-0000-0000-000021260000}"/>
    <cellStyle name="20% - Accent5 2 5 2" xfId="13029" xr:uid="{00000000-0005-0000-0000-000022260000}"/>
    <cellStyle name="20% - Accent5 2 5 2 10" xfId="23784" xr:uid="{00000000-0005-0000-0000-000023260000}"/>
    <cellStyle name="20% - Accent5 2 5 2 10 2" xfId="43023" xr:uid="{00000000-0005-0000-0000-000024260000}"/>
    <cellStyle name="20% - Accent5 2 5 2 11" xfId="33325" xr:uid="{00000000-0005-0000-0000-000025260000}"/>
    <cellStyle name="20% - Accent5 2 5 2 12" xfId="52803" xr:uid="{00000000-0005-0000-0000-000026260000}"/>
    <cellStyle name="20% - Accent5 2 5 2 2" xfId="13030" xr:uid="{00000000-0005-0000-0000-000027260000}"/>
    <cellStyle name="20% - Accent5 2 5 2 2 10" xfId="53231" xr:uid="{00000000-0005-0000-0000-000028260000}"/>
    <cellStyle name="20% - Accent5 2 5 2 2 2" xfId="13978" xr:uid="{00000000-0005-0000-0000-000029260000}"/>
    <cellStyle name="20% - Accent5 2 5 2 2 2 2" xfId="16242" xr:uid="{00000000-0005-0000-0000-00002A260000}"/>
    <cellStyle name="20% - Accent5 2 5 2 2 2 2 2" xfId="20706" xr:uid="{00000000-0005-0000-0000-00002B260000}"/>
    <cellStyle name="20% - Accent5 2 5 2 2 2 2 2 2" xfId="31074" xr:uid="{00000000-0005-0000-0000-00002C260000}"/>
    <cellStyle name="20% - Accent5 2 5 2 2 2 2 2 2 2" xfId="50263" xr:uid="{00000000-0005-0000-0000-00002D260000}"/>
    <cellStyle name="20% - Accent5 2 5 2 2 2 2 2 3" xfId="40565" xr:uid="{00000000-0005-0000-0000-00002E260000}"/>
    <cellStyle name="20% - Accent5 2 5 2 2 2 2 3" xfId="26619" xr:uid="{00000000-0005-0000-0000-00002F260000}"/>
    <cellStyle name="20% - Accent5 2 5 2 2 2 2 3 2" xfId="45808" xr:uid="{00000000-0005-0000-0000-000030260000}"/>
    <cellStyle name="20% - Accent5 2 5 2 2 2 2 4" xfId="36110" xr:uid="{00000000-0005-0000-0000-000031260000}"/>
    <cellStyle name="20% - Accent5 2 5 2 2 2 3" xfId="18478" xr:uid="{00000000-0005-0000-0000-000032260000}"/>
    <cellStyle name="20% - Accent5 2 5 2 2 2 3 2" xfId="28846" xr:uid="{00000000-0005-0000-0000-000033260000}"/>
    <cellStyle name="20% - Accent5 2 5 2 2 2 3 2 2" xfId="48035" xr:uid="{00000000-0005-0000-0000-000034260000}"/>
    <cellStyle name="20% - Accent5 2 5 2 2 2 3 3" xfId="38337" xr:uid="{00000000-0005-0000-0000-000035260000}"/>
    <cellStyle name="20% - Accent5 2 5 2 2 2 4" xfId="24386" xr:uid="{00000000-0005-0000-0000-000036260000}"/>
    <cellStyle name="20% - Accent5 2 5 2 2 2 4 2" xfId="43580" xr:uid="{00000000-0005-0000-0000-000037260000}"/>
    <cellStyle name="20% - Accent5 2 5 2 2 2 5" xfId="33882" xr:uid="{00000000-0005-0000-0000-000038260000}"/>
    <cellStyle name="20% - Accent5 2 5 2 2 2 6" xfId="54084" xr:uid="{00000000-0005-0000-0000-000039260000}"/>
    <cellStyle name="20% - Accent5 2 5 2 2 3" xfId="14557" xr:uid="{00000000-0005-0000-0000-00003A260000}"/>
    <cellStyle name="20% - Accent5 2 5 2 2 3 2" xfId="15686" xr:uid="{00000000-0005-0000-0000-00003B260000}"/>
    <cellStyle name="20% - Accent5 2 5 2 2 3 2 2" xfId="20150" xr:uid="{00000000-0005-0000-0000-00003C260000}"/>
    <cellStyle name="20% - Accent5 2 5 2 2 3 2 2 2" xfId="30518" xr:uid="{00000000-0005-0000-0000-00003D260000}"/>
    <cellStyle name="20% - Accent5 2 5 2 2 3 2 2 2 2" xfId="49707" xr:uid="{00000000-0005-0000-0000-00003E260000}"/>
    <cellStyle name="20% - Accent5 2 5 2 2 3 2 2 3" xfId="40009" xr:uid="{00000000-0005-0000-0000-00003F260000}"/>
    <cellStyle name="20% - Accent5 2 5 2 2 3 2 3" xfId="26063" xr:uid="{00000000-0005-0000-0000-000040260000}"/>
    <cellStyle name="20% - Accent5 2 5 2 2 3 2 3 2" xfId="45252" xr:uid="{00000000-0005-0000-0000-000041260000}"/>
    <cellStyle name="20% - Accent5 2 5 2 2 3 2 4" xfId="35554" xr:uid="{00000000-0005-0000-0000-000042260000}"/>
    <cellStyle name="20% - Accent5 2 5 2 2 3 3" xfId="19035" xr:uid="{00000000-0005-0000-0000-000043260000}"/>
    <cellStyle name="20% - Accent5 2 5 2 2 3 3 2" xfId="29403" xr:uid="{00000000-0005-0000-0000-000044260000}"/>
    <cellStyle name="20% - Accent5 2 5 2 2 3 3 2 2" xfId="48592" xr:uid="{00000000-0005-0000-0000-000045260000}"/>
    <cellStyle name="20% - Accent5 2 5 2 2 3 3 3" xfId="38894" xr:uid="{00000000-0005-0000-0000-000046260000}"/>
    <cellStyle name="20% - Accent5 2 5 2 2 3 4" xfId="24948" xr:uid="{00000000-0005-0000-0000-000047260000}"/>
    <cellStyle name="20% - Accent5 2 5 2 2 3 4 2" xfId="44137" xr:uid="{00000000-0005-0000-0000-000048260000}"/>
    <cellStyle name="20% - Accent5 2 5 2 2 3 5" xfId="34439" xr:uid="{00000000-0005-0000-0000-000049260000}"/>
    <cellStyle name="20% - Accent5 2 5 2 2 4" xfId="15129" xr:uid="{00000000-0005-0000-0000-00004A260000}"/>
    <cellStyle name="20% - Accent5 2 5 2 2 4 2" xfId="19593" xr:uid="{00000000-0005-0000-0000-00004B260000}"/>
    <cellStyle name="20% - Accent5 2 5 2 2 4 2 2" xfId="29961" xr:uid="{00000000-0005-0000-0000-00004C260000}"/>
    <cellStyle name="20% - Accent5 2 5 2 2 4 2 2 2" xfId="49150" xr:uid="{00000000-0005-0000-0000-00004D260000}"/>
    <cellStyle name="20% - Accent5 2 5 2 2 4 2 3" xfId="39452" xr:uid="{00000000-0005-0000-0000-00004E260000}"/>
    <cellStyle name="20% - Accent5 2 5 2 2 4 3" xfId="25506" xr:uid="{00000000-0005-0000-0000-00004F260000}"/>
    <cellStyle name="20% - Accent5 2 5 2 2 4 3 2" xfId="44695" xr:uid="{00000000-0005-0000-0000-000050260000}"/>
    <cellStyle name="20% - Accent5 2 5 2 2 4 4" xfId="34997" xr:uid="{00000000-0005-0000-0000-000051260000}"/>
    <cellStyle name="20% - Accent5 2 5 2 2 5" xfId="16799" xr:uid="{00000000-0005-0000-0000-000052260000}"/>
    <cellStyle name="20% - Accent5 2 5 2 2 5 2" xfId="21263" xr:uid="{00000000-0005-0000-0000-000053260000}"/>
    <cellStyle name="20% - Accent5 2 5 2 2 5 2 2" xfId="31631" xr:uid="{00000000-0005-0000-0000-000054260000}"/>
    <cellStyle name="20% - Accent5 2 5 2 2 5 2 2 2" xfId="50820" xr:uid="{00000000-0005-0000-0000-000055260000}"/>
    <cellStyle name="20% - Accent5 2 5 2 2 5 2 3" xfId="41122" xr:uid="{00000000-0005-0000-0000-000056260000}"/>
    <cellStyle name="20% - Accent5 2 5 2 2 5 3" xfId="27176" xr:uid="{00000000-0005-0000-0000-000057260000}"/>
    <cellStyle name="20% - Accent5 2 5 2 2 5 3 2" xfId="46365" xr:uid="{00000000-0005-0000-0000-000058260000}"/>
    <cellStyle name="20% - Accent5 2 5 2 2 5 4" xfId="36667" xr:uid="{00000000-0005-0000-0000-000059260000}"/>
    <cellStyle name="20% - Accent5 2 5 2 2 6" xfId="17365" xr:uid="{00000000-0005-0000-0000-00005A260000}"/>
    <cellStyle name="20% - Accent5 2 5 2 2 6 2" xfId="21820" xr:uid="{00000000-0005-0000-0000-00005B260000}"/>
    <cellStyle name="20% - Accent5 2 5 2 2 6 2 2" xfId="32188" xr:uid="{00000000-0005-0000-0000-00005C260000}"/>
    <cellStyle name="20% - Accent5 2 5 2 2 6 2 2 2" xfId="51377" xr:uid="{00000000-0005-0000-0000-00005D260000}"/>
    <cellStyle name="20% - Accent5 2 5 2 2 6 2 3" xfId="41679" xr:uid="{00000000-0005-0000-0000-00005E260000}"/>
    <cellStyle name="20% - Accent5 2 5 2 2 6 3" xfId="27733" xr:uid="{00000000-0005-0000-0000-00005F260000}"/>
    <cellStyle name="20% - Accent5 2 5 2 2 6 3 2" xfId="46922" xr:uid="{00000000-0005-0000-0000-000060260000}"/>
    <cellStyle name="20% - Accent5 2 5 2 2 6 4" xfId="37224" xr:uid="{00000000-0005-0000-0000-000061260000}"/>
    <cellStyle name="20% - Accent5 2 5 2 2 7" xfId="17922" xr:uid="{00000000-0005-0000-0000-000062260000}"/>
    <cellStyle name="20% - Accent5 2 5 2 2 7 2" xfId="28290" xr:uid="{00000000-0005-0000-0000-000063260000}"/>
    <cellStyle name="20% - Accent5 2 5 2 2 7 2 2" xfId="47479" xr:uid="{00000000-0005-0000-0000-000064260000}"/>
    <cellStyle name="20% - Accent5 2 5 2 2 7 3" xfId="37781" xr:uid="{00000000-0005-0000-0000-000065260000}"/>
    <cellStyle name="20% - Accent5 2 5 2 2 8" xfId="23785" xr:uid="{00000000-0005-0000-0000-000066260000}"/>
    <cellStyle name="20% - Accent5 2 5 2 2 8 2" xfId="43024" xr:uid="{00000000-0005-0000-0000-000067260000}"/>
    <cellStyle name="20% - Accent5 2 5 2 2 9" xfId="33326" xr:uid="{00000000-0005-0000-0000-000068260000}"/>
    <cellStyle name="20% - Accent5 2 5 2 3" xfId="13031" xr:uid="{00000000-0005-0000-0000-000069260000}"/>
    <cellStyle name="20% - Accent5 2 5 2 3 10" xfId="53688" xr:uid="{00000000-0005-0000-0000-00006A260000}"/>
    <cellStyle name="20% - Accent5 2 5 2 3 2" xfId="13979" xr:uid="{00000000-0005-0000-0000-00006B260000}"/>
    <cellStyle name="20% - Accent5 2 5 2 3 2 2" xfId="16243" xr:uid="{00000000-0005-0000-0000-00006C260000}"/>
    <cellStyle name="20% - Accent5 2 5 2 3 2 2 2" xfId="20707" xr:uid="{00000000-0005-0000-0000-00006D260000}"/>
    <cellStyle name="20% - Accent5 2 5 2 3 2 2 2 2" xfId="31075" xr:uid="{00000000-0005-0000-0000-00006E260000}"/>
    <cellStyle name="20% - Accent5 2 5 2 3 2 2 2 2 2" xfId="50264" xr:uid="{00000000-0005-0000-0000-00006F260000}"/>
    <cellStyle name="20% - Accent5 2 5 2 3 2 2 2 3" xfId="40566" xr:uid="{00000000-0005-0000-0000-000070260000}"/>
    <cellStyle name="20% - Accent5 2 5 2 3 2 2 3" xfId="26620" xr:uid="{00000000-0005-0000-0000-000071260000}"/>
    <cellStyle name="20% - Accent5 2 5 2 3 2 2 3 2" xfId="45809" xr:uid="{00000000-0005-0000-0000-000072260000}"/>
    <cellStyle name="20% - Accent5 2 5 2 3 2 2 4" xfId="36111" xr:uid="{00000000-0005-0000-0000-000073260000}"/>
    <cellStyle name="20% - Accent5 2 5 2 3 2 3" xfId="18479" xr:uid="{00000000-0005-0000-0000-000074260000}"/>
    <cellStyle name="20% - Accent5 2 5 2 3 2 3 2" xfId="28847" xr:uid="{00000000-0005-0000-0000-000075260000}"/>
    <cellStyle name="20% - Accent5 2 5 2 3 2 3 2 2" xfId="48036" xr:uid="{00000000-0005-0000-0000-000076260000}"/>
    <cellStyle name="20% - Accent5 2 5 2 3 2 3 3" xfId="38338" xr:uid="{00000000-0005-0000-0000-000077260000}"/>
    <cellStyle name="20% - Accent5 2 5 2 3 2 4" xfId="24387" xr:uid="{00000000-0005-0000-0000-000078260000}"/>
    <cellStyle name="20% - Accent5 2 5 2 3 2 4 2" xfId="43581" xr:uid="{00000000-0005-0000-0000-000079260000}"/>
    <cellStyle name="20% - Accent5 2 5 2 3 2 5" xfId="33883" xr:uid="{00000000-0005-0000-0000-00007A260000}"/>
    <cellStyle name="20% - Accent5 2 5 2 3 3" xfId="14558" xr:uid="{00000000-0005-0000-0000-00007B260000}"/>
    <cellStyle name="20% - Accent5 2 5 2 3 3 2" xfId="15687" xr:uid="{00000000-0005-0000-0000-00007C260000}"/>
    <cellStyle name="20% - Accent5 2 5 2 3 3 2 2" xfId="20151" xr:uid="{00000000-0005-0000-0000-00007D260000}"/>
    <cellStyle name="20% - Accent5 2 5 2 3 3 2 2 2" xfId="30519" xr:uid="{00000000-0005-0000-0000-00007E260000}"/>
    <cellStyle name="20% - Accent5 2 5 2 3 3 2 2 2 2" xfId="49708" xr:uid="{00000000-0005-0000-0000-00007F260000}"/>
    <cellStyle name="20% - Accent5 2 5 2 3 3 2 2 3" xfId="40010" xr:uid="{00000000-0005-0000-0000-000080260000}"/>
    <cellStyle name="20% - Accent5 2 5 2 3 3 2 3" xfId="26064" xr:uid="{00000000-0005-0000-0000-000081260000}"/>
    <cellStyle name="20% - Accent5 2 5 2 3 3 2 3 2" xfId="45253" xr:uid="{00000000-0005-0000-0000-000082260000}"/>
    <cellStyle name="20% - Accent5 2 5 2 3 3 2 4" xfId="35555" xr:uid="{00000000-0005-0000-0000-000083260000}"/>
    <cellStyle name="20% - Accent5 2 5 2 3 3 3" xfId="19036" xr:uid="{00000000-0005-0000-0000-000084260000}"/>
    <cellStyle name="20% - Accent5 2 5 2 3 3 3 2" xfId="29404" xr:uid="{00000000-0005-0000-0000-000085260000}"/>
    <cellStyle name="20% - Accent5 2 5 2 3 3 3 2 2" xfId="48593" xr:uid="{00000000-0005-0000-0000-000086260000}"/>
    <cellStyle name="20% - Accent5 2 5 2 3 3 3 3" xfId="38895" xr:uid="{00000000-0005-0000-0000-000087260000}"/>
    <cellStyle name="20% - Accent5 2 5 2 3 3 4" xfId="24949" xr:uid="{00000000-0005-0000-0000-000088260000}"/>
    <cellStyle name="20% - Accent5 2 5 2 3 3 4 2" xfId="44138" xr:uid="{00000000-0005-0000-0000-000089260000}"/>
    <cellStyle name="20% - Accent5 2 5 2 3 3 5" xfId="34440" xr:uid="{00000000-0005-0000-0000-00008A260000}"/>
    <cellStyle name="20% - Accent5 2 5 2 3 4" xfId="15130" xr:uid="{00000000-0005-0000-0000-00008B260000}"/>
    <cellStyle name="20% - Accent5 2 5 2 3 4 2" xfId="19594" xr:uid="{00000000-0005-0000-0000-00008C260000}"/>
    <cellStyle name="20% - Accent5 2 5 2 3 4 2 2" xfId="29962" xr:uid="{00000000-0005-0000-0000-00008D260000}"/>
    <cellStyle name="20% - Accent5 2 5 2 3 4 2 2 2" xfId="49151" xr:uid="{00000000-0005-0000-0000-00008E260000}"/>
    <cellStyle name="20% - Accent5 2 5 2 3 4 2 3" xfId="39453" xr:uid="{00000000-0005-0000-0000-00008F260000}"/>
    <cellStyle name="20% - Accent5 2 5 2 3 4 3" xfId="25507" xr:uid="{00000000-0005-0000-0000-000090260000}"/>
    <cellStyle name="20% - Accent5 2 5 2 3 4 3 2" xfId="44696" xr:uid="{00000000-0005-0000-0000-000091260000}"/>
    <cellStyle name="20% - Accent5 2 5 2 3 4 4" xfId="34998" xr:uid="{00000000-0005-0000-0000-000092260000}"/>
    <cellStyle name="20% - Accent5 2 5 2 3 5" xfId="16800" xr:uid="{00000000-0005-0000-0000-000093260000}"/>
    <cellStyle name="20% - Accent5 2 5 2 3 5 2" xfId="21264" xr:uid="{00000000-0005-0000-0000-000094260000}"/>
    <cellStyle name="20% - Accent5 2 5 2 3 5 2 2" xfId="31632" xr:uid="{00000000-0005-0000-0000-000095260000}"/>
    <cellStyle name="20% - Accent5 2 5 2 3 5 2 2 2" xfId="50821" xr:uid="{00000000-0005-0000-0000-000096260000}"/>
    <cellStyle name="20% - Accent5 2 5 2 3 5 2 3" xfId="41123" xr:uid="{00000000-0005-0000-0000-000097260000}"/>
    <cellStyle name="20% - Accent5 2 5 2 3 5 3" xfId="27177" xr:uid="{00000000-0005-0000-0000-000098260000}"/>
    <cellStyle name="20% - Accent5 2 5 2 3 5 3 2" xfId="46366" xr:uid="{00000000-0005-0000-0000-000099260000}"/>
    <cellStyle name="20% - Accent5 2 5 2 3 5 4" xfId="36668" xr:uid="{00000000-0005-0000-0000-00009A260000}"/>
    <cellStyle name="20% - Accent5 2 5 2 3 6" xfId="17366" xr:uid="{00000000-0005-0000-0000-00009B260000}"/>
    <cellStyle name="20% - Accent5 2 5 2 3 6 2" xfId="21821" xr:uid="{00000000-0005-0000-0000-00009C260000}"/>
    <cellStyle name="20% - Accent5 2 5 2 3 6 2 2" xfId="32189" xr:uid="{00000000-0005-0000-0000-00009D260000}"/>
    <cellStyle name="20% - Accent5 2 5 2 3 6 2 2 2" xfId="51378" xr:uid="{00000000-0005-0000-0000-00009E260000}"/>
    <cellStyle name="20% - Accent5 2 5 2 3 6 2 3" xfId="41680" xr:uid="{00000000-0005-0000-0000-00009F260000}"/>
    <cellStyle name="20% - Accent5 2 5 2 3 6 3" xfId="27734" xr:uid="{00000000-0005-0000-0000-0000A0260000}"/>
    <cellStyle name="20% - Accent5 2 5 2 3 6 3 2" xfId="46923" xr:uid="{00000000-0005-0000-0000-0000A1260000}"/>
    <cellStyle name="20% - Accent5 2 5 2 3 6 4" xfId="37225" xr:uid="{00000000-0005-0000-0000-0000A2260000}"/>
    <cellStyle name="20% - Accent5 2 5 2 3 7" xfId="17923" xr:uid="{00000000-0005-0000-0000-0000A3260000}"/>
    <cellStyle name="20% - Accent5 2 5 2 3 7 2" xfId="28291" xr:uid="{00000000-0005-0000-0000-0000A4260000}"/>
    <cellStyle name="20% - Accent5 2 5 2 3 7 2 2" xfId="47480" xr:uid="{00000000-0005-0000-0000-0000A5260000}"/>
    <cellStyle name="20% - Accent5 2 5 2 3 7 3" xfId="37782" xr:uid="{00000000-0005-0000-0000-0000A6260000}"/>
    <cellStyle name="20% - Accent5 2 5 2 3 8" xfId="23786" xr:uid="{00000000-0005-0000-0000-0000A7260000}"/>
    <cellStyle name="20% - Accent5 2 5 2 3 8 2" xfId="43025" xr:uid="{00000000-0005-0000-0000-0000A8260000}"/>
    <cellStyle name="20% - Accent5 2 5 2 3 9" xfId="33327" xr:uid="{00000000-0005-0000-0000-0000A9260000}"/>
    <cellStyle name="20% - Accent5 2 5 2 4" xfId="13977" xr:uid="{00000000-0005-0000-0000-0000AA260000}"/>
    <cellStyle name="20% - Accent5 2 5 2 4 2" xfId="16241" xr:uid="{00000000-0005-0000-0000-0000AB260000}"/>
    <cellStyle name="20% - Accent5 2 5 2 4 2 2" xfId="20705" xr:uid="{00000000-0005-0000-0000-0000AC260000}"/>
    <cellStyle name="20% - Accent5 2 5 2 4 2 2 2" xfId="31073" xr:uid="{00000000-0005-0000-0000-0000AD260000}"/>
    <cellStyle name="20% - Accent5 2 5 2 4 2 2 2 2" xfId="50262" xr:uid="{00000000-0005-0000-0000-0000AE260000}"/>
    <cellStyle name="20% - Accent5 2 5 2 4 2 2 3" xfId="40564" xr:uid="{00000000-0005-0000-0000-0000AF260000}"/>
    <cellStyle name="20% - Accent5 2 5 2 4 2 3" xfId="26618" xr:uid="{00000000-0005-0000-0000-0000B0260000}"/>
    <cellStyle name="20% - Accent5 2 5 2 4 2 3 2" xfId="45807" xr:uid="{00000000-0005-0000-0000-0000B1260000}"/>
    <cellStyle name="20% - Accent5 2 5 2 4 2 4" xfId="36109" xr:uid="{00000000-0005-0000-0000-0000B2260000}"/>
    <cellStyle name="20% - Accent5 2 5 2 4 3" xfId="18477" xr:uid="{00000000-0005-0000-0000-0000B3260000}"/>
    <cellStyle name="20% - Accent5 2 5 2 4 3 2" xfId="28845" xr:uid="{00000000-0005-0000-0000-0000B4260000}"/>
    <cellStyle name="20% - Accent5 2 5 2 4 3 2 2" xfId="48034" xr:uid="{00000000-0005-0000-0000-0000B5260000}"/>
    <cellStyle name="20% - Accent5 2 5 2 4 3 3" xfId="38336" xr:uid="{00000000-0005-0000-0000-0000B6260000}"/>
    <cellStyle name="20% - Accent5 2 5 2 4 4" xfId="24385" xr:uid="{00000000-0005-0000-0000-0000B7260000}"/>
    <cellStyle name="20% - Accent5 2 5 2 4 4 2" xfId="43579" xr:uid="{00000000-0005-0000-0000-0000B8260000}"/>
    <cellStyle name="20% - Accent5 2 5 2 4 5" xfId="33881" xr:uid="{00000000-0005-0000-0000-0000B9260000}"/>
    <cellStyle name="20% - Accent5 2 5 2 5" xfId="14556" xr:uid="{00000000-0005-0000-0000-0000BA260000}"/>
    <cellStyle name="20% - Accent5 2 5 2 5 2" xfId="15685" xr:uid="{00000000-0005-0000-0000-0000BB260000}"/>
    <cellStyle name="20% - Accent5 2 5 2 5 2 2" xfId="20149" xr:uid="{00000000-0005-0000-0000-0000BC260000}"/>
    <cellStyle name="20% - Accent5 2 5 2 5 2 2 2" xfId="30517" xr:uid="{00000000-0005-0000-0000-0000BD260000}"/>
    <cellStyle name="20% - Accent5 2 5 2 5 2 2 2 2" xfId="49706" xr:uid="{00000000-0005-0000-0000-0000BE260000}"/>
    <cellStyle name="20% - Accent5 2 5 2 5 2 2 3" xfId="40008" xr:uid="{00000000-0005-0000-0000-0000BF260000}"/>
    <cellStyle name="20% - Accent5 2 5 2 5 2 3" xfId="26062" xr:uid="{00000000-0005-0000-0000-0000C0260000}"/>
    <cellStyle name="20% - Accent5 2 5 2 5 2 3 2" xfId="45251" xr:uid="{00000000-0005-0000-0000-0000C1260000}"/>
    <cellStyle name="20% - Accent5 2 5 2 5 2 4" xfId="35553" xr:uid="{00000000-0005-0000-0000-0000C2260000}"/>
    <cellStyle name="20% - Accent5 2 5 2 5 3" xfId="19034" xr:uid="{00000000-0005-0000-0000-0000C3260000}"/>
    <cellStyle name="20% - Accent5 2 5 2 5 3 2" xfId="29402" xr:uid="{00000000-0005-0000-0000-0000C4260000}"/>
    <cellStyle name="20% - Accent5 2 5 2 5 3 2 2" xfId="48591" xr:uid="{00000000-0005-0000-0000-0000C5260000}"/>
    <cellStyle name="20% - Accent5 2 5 2 5 3 3" xfId="38893" xr:uid="{00000000-0005-0000-0000-0000C6260000}"/>
    <cellStyle name="20% - Accent5 2 5 2 5 4" xfId="24947" xr:uid="{00000000-0005-0000-0000-0000C7260000}"/>
    <cellStyle name="20% - Accent5 2 5 2 5 4 2" xfId="44136" xr:uid="{00000000-0005-0000-0000-0000C8260000}"/>
    <cellStyle name="20% - Accent5 2 5 2 5 5" xfId="34438" xr:uid="{00000000-0005-0000-0000-0000C9260000}"/>
    <cellStyle name="20% - Accent5 2 5 2 6" xfId="15128" xr:uid="{00000000-0005-0000-0000-0000CA260000}"/>
    <cellStyle name="20% - Accent5 2 5 2 6 2" xfId="19592" xr:uid="{00000000-0005-0000-0000-0000CB260000}"/>
    <cellStyle name="20% - Accent5 2 5 2 6 2 2" xfId="29960" xr:uid="{00000000-0005-0000-0000-0000CC260000}"/>
    <cellStyle name="20% - Accent5 2 5 2 6 2 2 2" xfId="49149" xr:uid="{00000000-0005-0000-0000-0000CD260000}"/>
    <cellStyle name="20% - Accent5 2 5 2 6 2 3" xfId="39451" xr:uid="{00000000-0005-0000-0000-0000CE260000}"/>
    <cellStyle name="20% - Accent5 2 5 2 6 3" xfId="25505" xr:uid="{00000000-0005-0000-0000-0000CF260000}"/>
    <cellStyle name="20% - Accent5 2 5 2 6 3 2" xfId="44694" xr:uid="{00000000-0005-0000-0000-0000D0260000}"/>
    <cellStyle name="20% - Accent5 2 5 2 6 4" xfId="34996" xr:uid="{00000000-0005-0000-0000-0000D1260000}"/>
    <cellStyle name="20% - Accent5 2 5 2 7" xfId="16798" xr:uid="{00000000-0005-0000-0000-0000D2260000}"/>
    <cellStyle name="20% - Accent5 2 5 2 7 2" xfId="21262" xr:uid="{00000000-0005-0000-0000-0000D3260000}"/>
    <cellStyle name="20% - Accent5 2 5 2 7 2 2" xfId="31630" xr:uid="{00000000-0005-0000-0000-0000D4260000}"/>
    <cellStyle name="20% - Accent5 2 5 2 7 2 2 2" xfId="50819" xr:uid="{00000000-0005-0000-0000-0000D5260000}"/>
    <cellStyle name="20% - Accent5 2 5 2 7 2 3" xfId="41121" xr:uid="{00000000-0005-0000-0000-0000D6260000}"/>
    <cellStyle name="20% - Accent5 2 5 2 7 3" xfId="27175" xr:uid="{00000000-0005-0000-0000-0000D7260000}"/>
    <cellStyle name="20% - Accent5 2 5 2 7 3 2" xfId="46364" xr:uid="{00000000-0005-0000-0000-0000D8260000}"/>
    <cellStyle name="20% - Accent5 2 5 2 7 4" xfId="36666" xr:uid="{00000000-0005-0000-0000-0000D9260000}"/>
    <cellStyle name="20% - Accent5 2 5 2 8" xfId="17364" xr:uid="{00000000-0005-0000-0000-0000DA260000}"/>
    <cellStyle name="20% - Accent5 2 5 2 8 2" xfId="21819" xr:uid="{00000000-0005-0000-0000-0000DB260000}"/>
    <cellStyle name="20% - Accent5 2 5 2 8 2 2" xfId="32187" xr:uid="{00000000-0005-0000-0000-0000DC260000}"/>
    <cellStyle name="20% - Accent5 2 5 2 8 2 2 2" xfId="51376" xr:uid="{00000000-0005-0000-0000-0000DD260000}"/>
    <cellStyle name="20% - Accent5 2 5 2 8 2 3" xfId="41678" xr:uid="{00000000-0005-0000-0000-0000DE260000}"/>
    <cellStyle name="20% - Accent5 2 5 2 8 3" xfId="27732" xr:uid="{00000000-0005-0000-0000-0000DF260000}"/>
    <cellStyle name="20% - Accent5 2 5 2 8 3 2" xfId="46921" xr:uid="{00000000-0005-0000-0000-0000E0260000}"/>
    <cellStyle name="20% - Accent5 2 5 2 8 4" xfId="37223" xr:uid="{00000000-0005-0000-0000-0000E1260000}"/>
    <cellStyle name="20% - Accent5 2 5 2 9" xfId="17921" xr:uid="{00000000-0005-0000-0000-0000E2260000}"/>
    <cellStyle name="20% - Accent5 2 5 2 9 2" xfId="28289" xr:uid="{00000000-0005-0000-0000-0000E3260000}"/>
    <cellStyle name="20% - Accent5 2 5 2 9 2 2" xfId="47478" xr:uid="{00000000-0005-0000-0000-0000E4260000}"/>
    <cellStyle name="20% - Accent5 2 5 2 9 3" xfId="37780" xr:uid="{00000000-0005-0000-0000-0000E5260000}"/>
    <cellStyle name="20% - Accent5 2 5 3" xfId="13032" xr:uid="{00000000-0005-0000-0000-0000E6260000}"/>
    <cellStyle name="20% - Accent5 2 5 3 10" xfId="53013" xr:uid="{00000000-0005-0000-0000-0000E7260000}"/>
    <cellStyle name="20% - Accent5 2 5 3 2" xfId="13980" xr:uid="{00000000-0005-0000-0000-0000E8260000}"/>
    <cellStyle name="20% - Accent5 2 5 3 2 2" xfId="16244" xr:uid="{00000000-0005-0000-0000-0000E9260000}"/>
    <cellStyle name="20% - Accent5 2 5 3 2 2 2" xfId="20708" xr:uid="{00000000-0005-0000-0000-0000EA260000}"/>
    <cellStyle name="20% - Accent5 2 5 3 2 2 2 2" xfId="31076" xr:uid="{00000000-0005-0000-0000-0000EB260000}"/>
    <cellStyle name="20% - Accent5 2 5 3 2 2 2 2 2" xfId="50265" xr:uid="{00000000-0005-0000-0000-0000EC260000}"/>
    <cellStyle name="20% - Accent5 2 5 3 2 2 2 3" xfId="40567" xr:uid="{00000000-0005-0000-0000-0000ED260000}"/>
    <cellStyle name="20% - Accent5 2 5 3 2 2 3" xfId="26621" xr:uid="{00000000-0005-0000-0000-0000EE260000}"/>
    <cellStyle name="20% - Accent5 2 5 3 2 2 3 2" xfId="45810" xr:uid="{00000000-0005-0000-0000-0000EF260000}"/>
    <cellStyle name="20% - Accent5 2 5 3 2 2 4" xfId="36112" xr:uid="{00000000-0005-0000-0000-0000F0260000}"/>
    <cellStyle name="20% - Accent5 2 5 3 2 3" xfId="18480" xr:uid="{00000000-0005-0000-0000-0000F1260000}"/>
    <cellStyle name="20% - Accent5 2 5 3 2 3 2" xfId="28848" xr:uid="{00000000-0005-0000-0000-0000F2260000}"/>
    <cellStyle name="20% - Accent5 2 5 3 2 3 2 2" xfId="48037" xr:uid="{00000000-0005-0000-0000-0000F3260000}"/>
    <cellStyle name="20% - Accent5 2 5 3 2 3 3" xfId="38339" xr:uid="{00000000-0005-0000-0000-0000F4260000}"/>
    <cellStyle name="20% - Accent5 2 5 3 2 4" xfId="24388" xr:uid="{00000000-0005-0000-0000-0000F5260000}"/>
    <cellStyle name="20% - Accent5 2 5 3 2 4 2" xfId="43582" xr:uid="{00000000-0005-0000-0000-0000F6260000}"/>
    <cellStyle name="20% - Accent5 2 5 3 2 5" xfId="33884" xr:uid="{00000000-0005-0000-0000-0000F7260000}"/>
    <cellStyle name="20% - Accent5 2 5 3 2 6" xfId="53888" xr:uid="{00000000-0005-0000-0000-0000F8260000}"/>
    <cellStyle name="20% - Accent5 2 5 3 3" xfId="14559" xr:uid="{00000000-0005-0000-0000-0000F9260000}"/>
    <cellStyle name="20% - Accent5 2 5 3 3 2" xfId="15688" xr:uid="{00000000-0005-0000-0000-0000FA260000}"/>
    <cellStyle name="20% - Accent5 2 5 3 3 2 2" xfId="20152" xr:uid="{00000000-0005-0000-0000-0000FB260000}"/>
    <cellStyle name="20% - Accent5 2 5 3 3 2 2 2" xfId="30520" xr:uid="{00000000-0005-0000-0000-0000FC260000}"/>
    <cellStyle name="20% - Accent5 2 5 3 3 2 2 2 2" xfId="49709" xr:uid="{00000000-0005-0000-0000-0000FD260000}"/>
    <cellStyle name="20% - Accent5 2 5 3 3 2 2 3" xfId="40011" xr:uid="{00000000-0005-0000-0000-0000FE260000}"/>
    <cellStyle name="20% - Accent5 2 5 3 3 2 3" xfId="26065" xr:uid="{00000000-0005-0000-0000-0000FF260000}"/>
    <cellStyle name="20% - Accent5 2 5 3 3 2 3 2" xfId="45254" xr:uid="{00000000-0005-0000-0000-000000270000}"/>
    <cellStyle name="20% - Accent5 2 5 3 3 2 4" xfId="35556" xr:uid="{00000000-0005-0000-0000-000001270000}"/>
    <cellStyle name="20% - Accent5 2 5 3 3 3" xfId="19037" xr:uid="{00000000-0005-0000-0000-000002270000}"/>
    <cellStyle name="20% - Accent5 2 5 3 3 3 2" xfId="29405" xr:uid="{00000000-0005-0000-0000-000003270000}"/>
    <cellStyle name="20% - Accent5 2 5 3 3 3 2 2" xfId="48594" xr:uid="{00000000-0005-0000-0000-000004270000}"/>
    <cellStyle name="20% - Accent5 2 5 3 3 3 3" xfId="38896" xr:uid="{00000000-0005-0000-0000-000005270000}"/>
    <cellStyle name="20% - Accent5 2 5 3 3 4" xfId="24950" xr:uid="{00000000-0005-0000-0000-000006270000}"/>
    <cellStyle name="20% - Accent5 2 5 3 3 4 2" xfId="44139" xr:uid="{00000000-0005-0000-0000-000007270000}"/>
    <cellStyle name="20% - Accent5 2 5 3 3 5" xfId="34441" xr:uid="{00000000-0005-0000-0000-000008270000}"/>
    <cellStyle name="20% - Accent5 2 5 3 4" xfId="15131" xr:uid="{00000000-0005-0000-0000-000009270000}"/>
    <cellStyle name="20% - Accent5 2 5 3 4 2" xfId="19595" xr:uid="{00000000-0005-0000-0000-00000A270000}"/>
    <cellStyle name="20% - Accent5 2 5 3 4 2 2" xfId="29963" xr:uid="{00000000-0005-0000-0000-00000B270000}"/>
    <cellStyle name="20% - Accent5 2 5 3 4 2 2 2" xfId="49152" xr:uid="{00000000-0005-0000-0000-00000C270000}"/>
    <cellStyle name="20% - Accent5 2 5 3 4 2 3" xfId="39454" xr:uid="{00000000-0005-0000-0000-00000D270000}"/>
    <cellStyle name="20% - Accent5 2 5 3 4 3" xfId="25508" xr:uid="{00000000-0005-0000-0000-00000E270000}"/>
    <cellStyle name="20% - Accent5 2 5 3 4 3 2" xfId="44697" xr:uid="{00000000-0005-0000-0000-00000F270000}"/>
    <cellStyle name="20% - Accent5 2 5 3 4 4" xfId="34999" xr:uid="{00000000-0005-0000-0000-000010270000}"/>
    <cellStyle name="20% - Accent5 2 5 3 5" xfId="16801" xr:uid="{00000000-0005-0000-0000-000011270000}"/>
    <cellStyle name="20% - Accent5 2 5 3 5 2" xfId="21265" xr:uid="{00000000-0005-0000-0000-000012270000}"/>
    <cellStyle name="20% - Accent5 2 5 3 5 2 2" xfId="31633" xr:uid="{00000000-0005-0000-0000-000013270000}"/>
    <cellStyle name="20% - Accent5 2 5 3 5 2 2 2" xfId="50822" xr:uid="{00000000-0005-0000-0000-000014270000}"/>
    <cellStyle name="20% - Accent5 2 5 3 5 2 3" xfId="41124" xr:uid="{00000000-0005-0000-0000-000015270000}"/>
    <cellStyle name="20% - Accent5 2 5 3 5 3" xfId="27178" xr:uid="{00000000-0005-0000-0000-000016270000}"/>
    <cellStyle name="20% - Accent5 2 5 3 5 3 2" xfId="46367" xr:uid="{00000000-0005-0000-0000-000017270000}"/>
    <cellStyle name="20% - Accent5 2 5 3 5 4" xfId="36669" xr:uid="{00000000-0005-0000-0000-000018270000}"/>
    <cellStyle name="20% - Accent5 2 5 3 6" xfId="17367" xr:uid="{00000000-0005-0000-0000-000019270000}"/>
    <cellStyle name="20% - Accent5 2 5 3 6 2" xfId="21822" xr:uid="{00000000-0005-0000-0000-00001A270000}"/>
    <cellStyle name="20% - Accent5 2 5 3 6 2 2" xfId="32190" xr:uid="{00000000-0005-0000-0000-00001B270000}"/>
    <cellStyle name="20% - Accent5 2 5 3 6 2 2 2" xfId="51379" xr:uid="{00000000-0005-0000-0000-00001C270000}"/>
    <cellStyle name="20% - Accent5 2 5 3 6 2 3" xfId="41681" xr:uid="{00000000-0005-0000-0000-00001D270000}"/>
    <cellStyle name="20% - Accent5 2 5 3 6 3" xfId="27735" xr:uid="{00000000-0005-0000-0000-00001E270000}"/>
    <cellStyle name="20% - Accent5 2 5 3 6 3 2" xfId="46924" xr:uid="{00000000-0005-0000-0000-00001F270000}"/>
    <cellStyle name="20% - Accent5 2 5 3 6 4" xfId="37226" xr:uid="{00000000-0005-0000-0000-000020270000}"/>
    <cellStyle name="20% - Accent5 2 5 3 7" xfId="17924" xr:uid="{00000000-0005-0000-0000-000021270000}"/>
    <cellStyle name="20% - Accent5 2 5 3 7 2" xfId="28292" xr:uid="{00000000-0005-0000-0000-000022270000}"/>
    <cellStyle name="20% - Accent5 2 5 3 7 2 2" xfId="47481" xr:uid="{00000000-0005-0000-0000-000023270000}"/>
    <cellStyle name="20% - Accent5 2 5 3 7 3" xfId="37783" xr:uid="{00000000-0005-0000-0000-000024270000}"/>
    <cellStyle name="20% - Accent5 2 5 3 8" xfId="23787" xr:uid="{00000000-0005-0000-0000-000025270000}"/>
    <cellStyle name="20% - Accent5 2 5 3 8 2" xfId="43026" xr:uid="{00000000-0005-0000-0000-000026270000}"/>
    <cellStyle name="20% - Accent5 2 5 3 9" xfId="33328" xr:uid="{00000000-0005-0000-0000-000027270000}"/>
    <cellStyle name="20% - Accent5 2 5 4" xfId="13033" xr:uid="{00000000-0005-0000-0000-000028270000}"/>
    <cellStyle name="20% - Accent5 2 5 4 10" xfId="53492" xr:uid="{00000000-0005-0000-0000-000029270000}"/>
    <cellStyle name="20% - Accent5 2 5 4 2" xfId="13981" xr:uid="{00000000-0005-0000-0000-00002A270000}"/>
    <cellStyle name="20% - Accent5 2 5 4 2 2" xfId="16245" xr:uid="{00000000-0005-0000-0000-00002B270000}"/>
    <cellStyle name="20% - Accent5 2 5 4 2 2 2" xfId="20709" xr:uid="{00000000-0005-0000-0000-00002C270000}"/>
    <cellStyle name="20% - Accent5 2 5 4 2 2 2 2" xfId="31077" xr:uid="{00000000-0005-0000-0000-00002D270000}"/>
    <cellStyle name="20% - Accent5 2 5 4 2 2 2 2 2" xfId="50266" xr:uid="{00000000-0005-0000-0000-00002E270000}"/>
    <cellStyle name="20% - Accent5 2 5 4 2 2 2 3" xfId="40568" xr:uid="{00000000-0005-0000-0000-00002F270000}"/>
    <cellStyle name="20% - Accent5 2 5 4 2 2 3" xfId="26622" xr:uid="{00000000-0005-0000-0000-000030270000}"/>
    <cellStyle name="20% - Accent5 2 5 4 2 2 3 2" xfId="45811" xr:uid="{00000000-0005-0000-0000-000031270000}"/>
    <cellStyle name="20% - Accent5 2 5 4 2 2 4" xfId="36113" xr:uid="{00000000-0005-0000-0000-000032270000}"/>
    <cellStyle name="20% - Accent5 2 5 4 2 3" xfId="18481" xr:uid="{00000000-0005-0000-0000-000033270000}"/>
    <cellStyle name="20% - Accent5 2 5 4 2 3 2" xfId="28849" xr:uid="{00000000-0005-0000-0000-000034270000}"/>
    <cellStyle name="20% - Accent5 2 5 4 2 3 2 2" xfId="48038" xr:uid="{00000000-0005-0000-0000-000035270000}"/>
    <cellStyle name="20% - Accent5 2 5 4 2 3 3" xfId="38340" xr:uid="{00000000-0005-0000-0000-000036270000}"/>
    <cellStyle name="20% - Accent5 2 5 4 2 4" xfId="24389" xr:uid="{00000000-0005-0000-0000-000037270000}"/>
    <cellStyle name="20% - Accent5 2 5 4 2 4 2" xfId="43583" xr:uid="{00000000-0005-0000-0000-000038270000}"/>
    <cellStyle name="20% - Accent5 2 5 4 2 5" xfId="33885" xr:uid="{00000000-0005-0000-0000-000039270000}"/>
    <cellStyle name="20% - Accent5 2 5 4 3" xfId="14560" xr:uid="{00000000-0005-0000-0000-00003A270000}"/>
    <cellStyle name="20% - Accent5 2 5 4 3 2" xfId="15689" xr:uid="{00000000-0005-0000-0000-00003B270000}"/>
    <cellStyle name="20% - Accent5 2 5 4 3 2 2" xfId="20153" xr:uid="{00000000-0005-0000-0000-00003C270000}"/>
    <cellStyle name="20% - Accent5 2 5 4 3 2 2 2" xfId="30521" xr:uid="{00000000-0005-0000-0000-00003D270000}"/>
    <cellStyle name="20% - Accent5 2 5 4 3 2 2 2 2" xfId="49710" xr:uid="{00000000-0005-0000-0000-00003E270000}"/>
    <cellStyle name="20% - Accent5 2 5 4 3 2 2 3" xfId="40012" xr:uid="{00000000-0005-0000-0000-00003F270000}"/>
    <cellStyle name="20% - Accent5 2 5 4 3 2 3" xfId="26066" xr:uid="{00000000-0005-0000-0000-000040270000}"/>
    <cellStyle name="20% - Accent5 2 5 4 3 2 3 2" xfId="45255" xr:uid="{00000000-0005-0000-0000-000041270000}"/>
    <cellStyle name="20% - Accent5 2 5 4 3 2 4" xfId="35557" xr:uid="{00000000-0005-0000-0000-000042270000}"/>
    <cellStyle name="20% - Accent5 2 5 4 3 3" xfId="19038" xr:uid="{00000000-0005-0000-0000-000043270000}"/>
    <cellStyle name="20% - Accent5 2 5 4 3 3 2" xfId="29406" xr:uid="{00000000-0005-0000-0000-000044270000}"/>
    <cellStyle name="20% - Accent5 2 5 4 3 3 2 2" xfId="48595" xr:uid="{00000000-0005-0000-0000-000045270000}"/>
    <cellStyle name="20% - Accent5 2 5 4 3 3 3" xfId="38897" xr:uid="{00000000-0005-0000-0000-000046270000}"/>
    <cellStyle name="20% - Accent5 2 5 4 3 4" xfId="24951" xr:uid="{00000000-0005-0000-0000-000047270000}"/>
    <cellStyle name="20% - Accent5 2 5 4 3 4 2" xfId="44140" xr:uid="{00000000-0005-0000-0000-000048270000}"/>
    <cellStyle name="20% - Accent5 2 5 4 3 5" xfId="34442" xr:uid="{00000000-0005-0000-0000-000049270000}"/>
    <cellStyle name="20% - Accent5 2 5 4 4" xfId="15132" xr:uid="{00000000-0005-0000-0000-00004A270000}"/>
    <cellStyle name="20% - Accent5 2 5 4 4 2" xfId="19596" xr:uid="{00000000-0005-0000-0000-00004B270000}"/>
    <cellStyle name="20% - Accent5 2 5 4 4 2 2" xfId="29964" xr:uid="{00000000-0005-0000-0000-00004C270000}"/>
    <cellStyle name="20% - Accent5 2 5 4 4 2 2 2" xfId="49153" xr:uid="{00000000-0005-0000-0000-00004D270000}"/>
    <cellStyle name="20% - Accent5 2 5 4 4 2 3" xfId="39455" xr:uid="{00000000-0005-0000-0000-00004E270000}"/>
    <cellStyle name="20% - Accent5 2 5 4 4 3" xfId="25509" xr:uid="{00000000-0005-0000-0000-00004F270000}"/>
    <cellStyle name="20% - Accent5 2 5 4 4 3 2" xfId="44698" xr:uid="{00000000-0005-0000-0000-000050270000}"/>
    <cellStyle name="20% - Accent5 2 5 4 4 4" xfId="35000" xr:uid="{00000000-0005-0000-0000-000051270000}"/>
    <cellStyle name="20% - Accent5 2 5 4 5" xfId="16802" xr:uid="{00000000-0005-0000-0000-000052270000}"/>
    <cellStyle name="20% - Accent5 2 5 4 5 2" xfId="21266" xr:uid="{00000000-0005-0000-0000-000053270000}"/>
    <cellStyle name="20% - Accent5 2 5 4 5 2 2" xfId="31634" xr:uid="{00000000-0005-0000-0000-000054270000}"/>
    <cellStyle name="20% - Accent5 2 5 4 5 2 2 2" xfId="50823" xr:uid="{00000000-0005-0000-0000-000055270000}"/>
    <cellStyle name="20% - Accent5 2 5 4 5 2 3" xfId="41125" xr:uid="{00000000-0005-0000-0000-000056270000}"/>
    <cellStyle name="20% - Accent5 2 5 4 5 3" xfId="27179" xr:uid="{00000000-0005-0000-0000-000057270000}"/>
    <cellStyle name="20% - Accent5 2 5 4 5 3 2" xfId="46368" xr:uid="{00000000-0005-0000-0000-000058270000}"/>
    <cellStyle name="20% - Accent5 2 5 4 5 4" xfId="36670" xr:uid="{00000000-0005-0000-0000-000059270000}"/>
    <cellStyle name="20% - Accent5 2 5 4 6" xfId="17368" xr:uid="{00000000-0005-0000-0000-00005A270000}"/>
    <cellStyle name="20% - Accent5 2 5 4 6 2" xfId="21823" xr:uid="{00000000-0005-0000-0000-00005B270000}"/>
    <cellStyle name="20% - Accent5 2 5 4 6 2 2" xfId="32191" xr:uid="{00000000-0005-0000-0000-00005C270000}"/>
    <cellStyle name="20% - Accent5 2 5 4 6 2 2 2" xfId="51380" xr:uid="{00000000-0005-0000-0000-00005D270000}"/>
    <cellStyle name="20% - Accent5 2 5 4 6 2 3" xfId="41682" xr:uid="{00000000-0005-0000-0000-00005E270000}"/>
    <cellStyle name="20% - Accent5 2 5 4 6 3" xfId="27736" xr:uid="{00000000-0005-0000-0000-00005F270000}"/>
    <cellStyle name="20% - Accent5 2 5 4 6 3 2" xfId="46925" xr:uid="{00000000-0005-0000-0000-000060270000}"/>
    <cellStyle name="20% - Accent5 2 5 4 6 4" xfId="37227" xr:uid="{00000000-0005-0000-0000-000061270000}"/>
    <cellStyle name="20% - Accent5 2 5 4 7" xfId="17925" xr:uid="{00000000-0005-0000-0000-000062270000}"/>
    <cellStyle name="20% - Accent5 2 5 4 7 2" xfId="28293" xr:uid="{00000000-0005-0000-0000-000063270000}"/>
    <cellStyle name="20% - Accent5 2 5 4 7 2 2" xfId="47482" xr:uid="{00000000-0005-0000-0000-000064270000}"/>
    <cellStyle name="20% - Accent5 2 5 4 7 3" xfId="37784" xr:uid="{00000000-0005-0000-0000-000065270000}"/>
    <cellStyle name="20% - Accent5 2 5 4 8" xfId="23788" xr:uid="{00000000-0005-0000-0000-000066270000}"/>
    <cellStyle name="20% - Accent5 2 5 4 8 2" xfId="43027" xr:uid="{00000000-0005-0000-0000-000067270000}"/>
    <cellStyle name="20% - Accent5 2 5 4 9" xfId="33329" xr:uid="{00000000-0005-0000-0000-000068270000}"/>
    <cellStyle name="20% - Accent5 2 5 5" xfId="12153" xr:uid="{00000000-0005-0000-0000-000069270000}"/>
    <cellStyle name="20% - Accent5 2 5 6" xfId="52603" xr:uid="{00000000-0005-0000-0000-00006A270000}"/>
    <cellStyle name="20% - Accent5 2 5 7" xfId="12001" xr:uid="{00000000-0005-0000-0000-00006B270000}"/>
    <cellStyle name="20% - Accent5 2 6" xfId="1754" xr:uid="{00000000-0005-0000-0000-00006C270000}"/>
    <cellStyle name="20% - Accent5 2 6 2" xfId="13034" xr:uid="{00000000-0005-0000-0000-00006D270000}"/>
    <cellStyle name="20% - Accent5 2 6 2 10" xfId="52836" xr:uid="{00000000-0005-0000-0000-00006E270000}"/>
    <cellStyle name="20% - Accent5 2 6 2 2" xfId="13982" xr:uid="{00000000-0005-0000-0000-00006F270000}"/>
    <cellStyle name="20% - Accent5 2 6 2 2 2" xfId="16246" xr:uid="{00000000-0005-0000-0000-000070270000}"/>
    <cellStyle name="20% - Accent5 2 6 2 2 2 2" xfId="20710" xr:uid="{00000000-0005-0000-0000-000071270000}"/>
    <cellStyle name="20% - Accent5 2 6 2 2 2 2 2" xfId="31078" xr:uid="{00000000-0005-0000-0000-000072270000}"/>
    <cellStyle name="20% - Accent5 2 6 2 2 2 2 2 2" xfId="50267" xr:uid="{00000000-0005-0000-0000-000073270000}"/>
    <cellStyle name="20% - Accent5 2 6 2 2 2 2 3" xfId="40569" xr:uid="{00000000-0005-0000-0000-000074270000}"/>
    <cellStyle name="20% - Accent5 2 6 2 2 2 3" xfId="26623" xr:uid="{00000000-0005-0000-0000-000075270000}"/>
    <cellStyle name="20% - Accent5 2 6 2 2 2 3 2" xfId="45812" xr:uid="{00000000-0005-0000-0000-000076270000}"/>
    <cellStyle name="20% - Accent5 2 6 2 2 2 4" xfId="36114" xr:uid="{00000000-0005-0000-0000-000077270000}"/>
    <cellStyle name="20% - Accent5 2 6 2 2 2 5" xfId="54117" xr:uid="{00000000-0005-0000-0000-000078270000}"/>
    <cellStyle name="20% - Accent5 2 6 2 2 3" xfId="18482" xr:uid="{00000000-0005-0000-0000-000079270000}"/>
    <cellStyle name="20% - Accent5 2 6 2 2 3 2" xfId="28850" xr:uid="{00000000-0005-0000-0000-00007A270000}"/>
    <cellStyle name="20% - Accent5 2 6 2 2 3 2 2" xfId="48039" xr:uid="{00000000-0005-0000-0000-00007B270000}"/>
    <cellStyle name="20% - Accent5 2 6 2 2 3 3" xfId="38341" xr:uid="{00000000-0005-0000-0000-00007C270000}"/>
    <cellStyle name="20% - Accent5 2 6 2 2 4" xfId="24390" xr:uid="{00000000-0005-0000-0000-00007D270000}"/>
    <cellStyle name="20% - Accent5 2 6 2 2 4 2" xfId="43584" xr:uid="{00000000-0005-0000-0000-00007E270000}"/>
    <cellStyle name="20% - Accent5 2 6 2 2 5" xfId="33886" xr:uid="{00000000-0005-0000-0000-00007F270000}"/>
    <cellStyle name="20% - Accent5 2 6 2 2 6" xfId="53264" xr:uid="{00000000-0005-0000-0000-000080270000}"/>
    <cellStyle name="20% - Accent5 2 6 2 3" xfId="14561" xr:uid="{00000000-0005-0000-0000-000081270000}"/>
    <cellStyle name="20% - Accent5 2 6 2 3 2" xfId="15690" xr:uid="{00000000-0005-0000-0000-000082270000}"/>
    <cellStyle name="20% - Accent5 2 6 2 3 2 2" xfId="20154" xr:uid="{00000000-0005-0000-0000-000083270000}"/>
    <cellStyle name="20% - Accent5 2 6 2 3 2 2 2" xfId="30522" xr:uid="{00000000-0005-0000-0000-000084270000}"/>
    <cellStyle name="20% - Accent5 2 6 2 3 2 2 2 2" xfId="49711" xr:uid="{00000000-0005-0000-0000-000085270000}"/>
    <cellStyle name="20% - Accent5 2 6 2 3 2 2 3" xfId="40013" xr:uid="{00000000-0005-0000-0000-000086270000}"/>
    <cellStyle name="20% - Accent5 2 6 2 3 2 3" xfId="26067" xr:uid="{00000000-0005-0000-0000-000087270000}"/>
    <cellStyle name="20% - Accent5 2 6 2 3 2 3 2" xfId="45256" xr:uid="{00000000-0005-0000-0000-000088270000}"/>
    <cellStyle name="20% - Accent5 2 6 2 3 2 4" xfId="35558" xr:uid="{00000000-0005-0000-0000-000089270000}"/>
    <cellStyle name="20% - Accent5 2 6 2 3 3" xfId="19039" xr:uid="{00000000-0005-0000-0000-00008A270000}"/>
    <cellStyle name="20% - Accent5 2 6 2 3 3 2" xfId="29407" xr:uid="{00000000-0005-0000-0000-00008B270000}"/>
    <cellStyle name="20% - Accent5 2 6 2 3 3 2 2" xfId="48596" xr:uid="{00000000-0005-0000-0000-00008C270000}"/>
    <cellStyle name="20% - Accent5 2 6 2 3 3 3" xfId="38898" xr:uid="{00000000-0005-0000-0000-00008D270000}"/>
    <cellStyle name="20% - Accent5 2 6 2 3 4" xfId="24952" xr:uid="{00000000-0005-0000-0000-00008E270000}"/>
    <cellStyle name="20% - Accent5 2 6 2 3 4 2" xfId="44141" xr:uid="{00000000-0005-0000-0000-00008F270000}"/>
    <cellStyle name="20% - Accent5 2 6 2 3 5" xfId="34443" xr:uid="{00000000-0005-0000-0000-000090270000}"/>
    <cellStyle name="20% - Accent5 2 6 2 3 6" xfId="53721" xr:uid="{00000000-0005-0000-0000-000091270000}"/>
    <cellStyle name="20% - Accent5 2 6 2 4" xfId="15133" xr:uid="{00000000-0005-0000-0000-000092270000}"/>
    <cellStyle name="20% - Accent5 2 6 2 4 2" xfId="19597" xr:uid="{00000000-0005-0000-0000-000093270000}"/>
    <cellStyle name="20% - Accent5 2 6 2 4 2 2" xfId="29965" xr:uid="{00000000-0005-0000-0000-000094270000}"/>
    <cellStyle name="20% - Accent5 2 6 2 4 2 2 2" xfId="49154" xr:uid="{00000000-0005-0000-0000-000095270000}"/>
    <cellStyle name="20% - Accent5 2 6 2 4 2 3" xfId="39456" xr:uid="{00000000-0005-0000-0000-000096270000}"/>
    <cellStyle name="20% - Accent5 2 6 2 4 3" xfId="25510" xr:uid="{00000000-0005-0000-0000-000097270000}"/>
    <cellStyle name="20% - Accent5 2 6 2 4 3 2" xfId="44699" xr:uid="{00000000-0005-0000-0000-000098270000}"/>
    <cellStyle name="20% - Accent5 2 6 2 4 4" xfId="35001" xr:uid="{00000000-0005-0000-0000-000099270000}"/>
    <cellStyle name="20% - Accent5 2 6 2 5" xfId="16803" xr:uid="{00000000-0005-0000-0000-00009A270000}"/>
    <cellStyle name="20% - Accent5 2 6 2 5 2" xfId="21267" xr:uid="{00000000-0005-0000-0000-00009B270000}"/>
    <cellStyle name="20% - Accent5 2 6 2 5 2 2" xfId="31635" xr:uid="{00000000-0005-0000-0000-00009C270000}"/>
    <cellStyle name="20% - Accent5 2 6 2 5 2 2 2" xfId="50824" xr:uid="{00000000-0005-0000-0000-00009D270000}"/>
    <cellStyle name="20% - Accent5 2 6 2 5 2 3" xfId="41126" xr:uid="{00000000-0005-0000-0000-00009E270000}"/>
    <cellStyle name="20% - Accent5 2 6 2 5 3" xfId="27180" xr:uid="{00000000-0005-0000-0000-00009F270000}"/>
    <cellStyle name="20% - Accent5 2 6 2 5 3 2" xfId="46369" xr:uid="{00000000-0005-0000-0000-0000A0270000}"/>
    <cellStyle name="20% - Accent5 2 6 2 5 4" xfId="36671" xr:uid="{00000000-0005-0000-0000-0000A1270000}"/>
    <cellStyle name="20% - Accent5 2 6 2 6" xfId="17369" xr:uid="{00000000-0005-0000-0000-0000A2270000}"/>
    <cellStyle name="20% - Accent5 2 6 2 6 2" xfId="21824" xr:uid="{00000000-0005-0000-0000-0000A3270000}"/>
    <cellStyle name="20% - Accent5 2 6 2 6 2 2" xfId="32192" xr:uid="{00000000-0005-0000-0000-0000A4270000}"/>
    <cellStyle name="20% - Accent5 2 6 2 6 2 2 2" xfId="51381" xr:uid="{00000000-0005-0000-0000-0000A5270000}"/>
    <cellStyle name="20% - Accent5 2 6 2 6 2 3" xfId="41683" xr:uid="{00000000-0005-0000-0000-0000A6270000}"/>
    <cellStyle name="20% - Accent5 2 6 2 6 3" xfId="27737" xr:uid="{00000000-0005-0000-0000-0000A7270000}"/>
    <cellStyle name="20% - Accent5 2 6 2 6 3 2" xfId="46926" xr:uid="{00000000-0005-0000-0000-0000A8270000}"/>
    <cellStyle name="20% - Accent5 2 6 2 6 4" xfId="37228" xr:uid="{00000000-0005-0000-0000-0000A9270000}"/>
    <cellStyle name="20% - Accent5 2 6 2 7" xfId="17926" xr:uid="{00000000-0005-0000-0000-0000AA270000}"/>
    <cellStyle name="20% - Accent5 2 6 2 7 2" xfId="28294" xr:uid="{00000000-0005-0000-0000-0000AB270000}"/>
    <cellStyle name="20% - Accent5 2 6 2 7 2 2" xfId="47483" xr:uid="{00000000-0005-0000-0000-0000AC270000}"/>
    <cellStyle name="20% - Accent5 2 6 2 7 3" xfId="37785" xr:uid="{00000000-0005-0000-0000-0000AD270000}"/>
    <cellStyle name="20% - Accent5 2 6 2 8" xfId="23789" xr:uid="{00000000-0005-0000-0000-0000AE270000}"/>
    <cellStyle name="20% - Accent5 2 6 2 8 2" xfId="43028" xr:uid="{00000000-0005-0000-0000-0000AF270000}"/>
    <cellStyle name="20% - Accent5 2 6 2 9" xfId="33330" xr:uid="{00000000-0005-0000-0000-0000B0270000}"/>
    <cellStyle name="20% - Accent5 2 6 3" xfId="13035" xr:uid="{00000000-0005-0000-0000-0000B1270000}"/>
    <cellStyle name="20% - Accent5 2 6 3 10" xfId="53046" xr:uid="{00000000-0005-0000-0000-0000B2270000}"/>
    <cellStyle name="20% - Accent5 2 6 3 2" xfId="13983" xr:uid="{00000000-0005-0000-0000-0000B3270000}"/>
    <cellStyle name="20% - Accent5 2 6 3 2 2" xfId="16247" xr:uid="{00000000-0005-0000-0000-0000B4270000}"/>
    <cellStyle name="20% - Accent5 2 6 3 2 2 2" xfId="20711" xr:uid="{00000000-0005-0000-0000-0000B5270000}"/>
    <cellStyle name="20% - Accent5 2 6 3 2 2 2 2" xfId="31079" xr:uid="{00000000-0005-0000-0000-0000B6270000}"/>
    <cellStyle name="20% - Accent5 2 6 3 2 2 2 2 2" xfId="50268" xr:uid="{00000000-0005-0000-0000-0000B7270000}"/>
    <cellStyle name="20% - Accent5 2 6 3 2 2 2 3" xfId="40570" xr:uid="{00000000-0005-0000-0000-0000B8270000}"/>
    <cellStyle name="20% - Accent5 2 6 3 2 2 3" xfId="26624" xr:uid="{00000000-0005-0000-0000-0000B9270000}"/>
    <cellStyle name="20% - Accent5 2 6 3 2 2 3 2" xfId="45813" xr:uid="{00000000-0005-0000-0000-0000BA270000}"/>
    <cellStyle name="20% - Accent5 2 6 3 2 2 4" xfId="36115" xr:uid="{00000000-0005-0000-0000-0000BB270000}"/>
    <cellStyle name="20% - Accent5 2 6 3 2 3" xfId="18483" xr:uid="{00000000-0005-0000-0000-0000BC270000}"/>
    <cellStyle name="20% - Accent5 2 6 3 2 3 2" xfId="28851" xr:uid="{00000000-0005-0000-0000-0000BD270000}"/>
    <cellStyle name="20% - Accent5 2 6 3 2 3 2 2" xfId="48040" xr:uid="{00000000-0005-0000-0000-0000BE270000}"/>
    <cellStyle name="20% - Accent5 2 6 3 2 3 3" xfId="38342" xr:uid="{00000000-0005-0000-0000-0000BF270000}"/>
    <cellStyle name="20% - Accent5 2 6 3 2 4" xfId="24391" xr:uid="{00000000-0005-0000-0000-0000C0270000}"/>
    <cellStyle name="20% - Accent5 2 6 3 2 4 2" xfId="43585" xr:uid="{00000000-0005-0000-0000-0000C1270000}"/>
    <cellStyle name="20% - Accent5 2 6 3 2 5" xfId="33887" xr:uid="{00000000-0005-0000-0000-0000C2270000}"/>
    <cellStyle name="20% - Accent5 2 6 3 2 6" xfId="53921" xr:uid="{00000000-0005-0000-0000-0000C3270000}"/>
    <cellStyle name="20% - Accent5 2 6 3 3" xfId="14562" xr:uid="{00000000-0005-0000-0000-0000C4270000}"/>
    <cellStyle name="20% - Accent5 2 6 3 3 2" xfId="15691" xr:uid="{00000000-0005-0000-0000-0000C5270000}"/>
    <cellStyle name="20% - Accent5 2 6 3 3 2 2" xfId="20155" xr:uid="{00000000-0005-0000-0000-0000C6270000}"/>
    <cellStyle name="20% - Accent5 2 6 3 3 2 2 2" xfId="30523" xr:uid="{00000000-0005-0000-0000-0000C7270000}"/>
    <cellStyle name="20% - Accent5 2 6 3 3 2 2 2 2" xfId="49712" xr:uid="{00000000-0005-0000-0000-0000C8270000}"/>
    <cellStyle name="20% - Accent5 2 6 3 3 2 2 3" xfId="40014" xr:uid="{00000000-0005-0000-0000-0000C9270000}"/>
    <cellStyle name="20% - Accent5 2 6 3 3 2 3" xfId="26068" xr:uid="{00000000-0005-0000-0000-0000CA270000}"/>
    <cellStyle name="20% - Accent5 2 6 3 3 2 3 2" xfId="45257" xr:uid="{00000000-0005-0000-0000-0000CB270000}"/>
    <cellStyle name="20% - Accent5 2 6 3 3 2 4" xfId="35559" xr:uid="{00000000-0005-0000-0000-0000CC270000}"/>
    <cellStyle name="20% - Accent5 2 6 3 3 3" xfId="19040" xr:uid="{00000000-0005-0000-0000-0000CD270000}"/>
    <cellStyle name="20% - Accent5 2 6 3 3 3 2" xfId="29408" xr:uid="{00000000-0005-0000-0000-0000CE270000}"/>
    <cellStyle name="20% - Accent5 2 6 3 3 3 2 2" xfId="48597" xr:uid="{00000000-0005-0000-0000-0000CF270000}"/>
    <cellStyle name="20% - Accent5 2 6 3 3 3 3" xfId="38899" xr:uid="{00000000-0005-0000-0000-0000D0270000}"/>
    <cellStyle name="20% - Accent5 2 6 3 3 4" xfId="24953" xr:uid="{00000000-0005-0000-0000-0000D1270000}"/>
    <cellStyle name="20% - Accent5 2 6 3 3 4 2" xfId="44142" xr:uid="{00000000-0005-0000-0000-0000D2270000}"/>
    <cellStyle name="20% - Accent5 2 6 3 3 5" xfId="34444" xr:uid="{00000000-0005-0000-0000-0000D3270000}"/>
    <cellStyle name="20% - Accent5 2 6 3 4" xfId="15134" xr:uid="{00000000-0005-0000-0000-0000D4270000}"/>
    <cellStyle name="20% - Accent5 2 6 3 4 2" xfId="19598" xr:uid="{00000000-0005-0000-0000-0000D5270000}"/>
    <cellStyle name="20% - Accent5 2 6 3 4 2 2" xfId="29966" xr:uid="{00000000-0005-0000-0000-0000D6270000}"/>
    <cellStyle name="20% - Accent5 2 6 3 4 2 2 2" xfId="49155" xr:uid="{00000000-0005-0000-0000-0000D7270000}"/>
    <cellStyle name="20% - Accent5 2 6 3 4 2 3" xfId="39457" xr:uid="{00000000-0005-0000-0000-0000D8270000}"/>
    <cellStyle name="20% - Accent5 2 6 3 4 3" xfId="25511" xr:uid="{00000000-0005-0000-0000-0000D9270000}"/>
    <cellStyle name="20% - Accent5 2 6 3 4 3 2" xfId="44700" xr:uid="{00000000-0005-0000-0000-0000DA270000}"/>
    <cellStyle name="20% - Accent5 2 6 3 4 4" xfId="35002" xr:uid="{00000000-0005-0000-0000-0000DB270000}"/>
    <cellStyle name="20% - Accent5 2 6 3 5" xfId="16804" xr:uid="{00000000-0005-0000-0000-0000DC270000}"/>
    <cellStyle name="20% - Accent5 2 6 3 5 2" xfId="21268" xr:uid="{00000000-0005-0000-0000-0000DD270000}"/>
    <cellStyle name="20% - Accent5 2 6 3 5 2 2" xfId="31636" xr:uid="{00000000-0005-0000-0000-0000DE270000}"/>
    <cellStyle name="20% - Accent5 2 6 3 5 2 2 2" xfId="50825" xr:uid="{00000000-0005-0000-0000-0000DF270000}"/>
    <cellStyle name="20% - Accent5 2 6 3 5 2 3" xfId="41127" xr:uid="{00000000-0005-0000-0000-0000E0270000}"/>
    <cellStyle name="20% - Accent5 2 6 3 5 3" xfId="27181" xr:uid="{00000000-0005-0000-0000-0000E1270000}"/>
    <cellStyle name="20% - Accent5 2 6 3 5 3 2" xfId="46370" xr:uid="{00000000-0005-0000-0000-0000E2270000}"/>
    <cellStyle name="20% - Accent5 2 6 3 5 4" xfId="36672" xr:uid="{00000000-0005-0000-0000-0000E3270000}"/>
    <cellStyle name="20% - Accent5 2 6 3 6" xfId="17370" xr:uid="{00000000-0005-0000-0000-0000E4270000}"/>
    <cellStyle name="20% - Accent5 2 6 3 6 2" xfId="21825" xr:uid="{00000000-0005-0000-0000-0000E5270000}"/>
    <cellStyle name="20% - Accent5 2 6 3 6 2 2" xfId="32193" xr:uid="{00000000-0005-0000-0000-0000E6270000}"/>
    <cellStyle name="20% - Accent5 2 6 3 6 2 2 2" xfId="51382" xr:uid="{00000000-0005-0000-0000-0000E7270000}"/>
    <cellStyle name="20% - Accent5 2 6 3 6 2 3" xfId="41684" xr:uid="{00000000-0005-0000-0000-0000E8270000}"/>
    <cellStyle name="20% - Accent5 2 6 3 6 3" xfId="27738" xr:uid="{00000000-0005-0000-0000-0000E9270000}"/>
    <cellStyle name="20% - Accent5 2 6 3 6 3 2" xfId="46927" xr:uid="{00000000-0005-0000-0000-0000EA270000}"/>
    <cellStyle name="20% - Accent5 2 6 3 6 4" xfId="37229" xr:uid="{00000000-0005-0000-0000-0000EB270000}"/>
    <cellStyle name="20% - Accent5 2 6 3 7" xfId="17927" xr:uid="{00000000-0005-0000-0000-0000EC270000}"/>
    <cellStyle name="20% - Accent5 2 6 3 7 2" xfId="28295" xr:uid="{00000000-0005-0000-0000-0000ED270000}"/>
    <cellStyle name="20% - Accent5 2 6 3 7 2 2" xfId="47484" xr:uid="{00000000-0005-0000-0000-0000EE270000}"/>
    <cellStyle name="20% - Accent5 2 6 3 7 3" xfId="37786" xr:uid="{00000000-0005-0000-0000-0000EF270000}"/>
    <cellStyle name="20% - Accent5 2 6 3 8" xfId="23790" xr:uid="{00000000-0005-0000-0000-0000F0270000}"/>
    <cellStyle name="20% - Accent5 2 6 3 8 2" xfId="43029" xr:uid="{00000000-0005-0000-0000-0000F1270000}"/>
    <cellStyle name="20% - Accent5 2 6 3 9" xfId="33331" xr:uid="{00000000-0005-0000-0000-0000F2270000}"/>
    <cellStyle name="20% - Accent5 2 6 4" xfId="53525" xr:uid="{00000000-0005-0000-0000-0000F3270000}"/>
    <cellStyle name="20% - Accent5 2 6 5" xfId="52640" xr:uid="{00000000-0005-0000-0000-0000F4270000}"/>
    <cellStyle name="20% - Accent5 2 6 6" xfId="12155" xr:uid="{00000000-0005-0000-0000-0000F5270000}"/>
    <cellStyle name="20% - Accent5 2 7" xfId="1755" xr:uid="{00000000-0005-0000-0000-0000F6270000}"/>
    <cellStyle name="20% - Accent5 2 7 10" xfId="52667" xr:uid="{00000000-0005-0000-0000-0000F7270000}"/>
    <cellStyle name="20% - Accent5 2 7 11" xfId="12698" xr:uid="{00000000-0005-0000-0000-0000F8270000}"/>
    <cellStyle name="20% - Accent5 2 7 2" xfId="13811" xr:uid="{00000000-0005-0000-0000-0000F9270000}"/>
    <cellStyle name="20% - Accent5 2 7 2 2" xfId="16075" xr:uid="{00000000-0005-0000-0000-0000FA270000}"/>
    <cellStyle name="20% - Accent5 2 7 2 2 2" xfId="20539" xr:uid="{00000000-0005-0000-0000-0000FB270000}"/>
    <cellStyle name="20% - Accent5 2 7 2 2 2 2" xfId="30907" xr:uid="{00000000-0005-0000-0000-0000FC270000}"/>
    <cellStyle name="20% - Accent5 2 7 2 2 2 2 2" xfId="50096" xr:uid="{00000000-0005-0000-0000-0000FD270000}"/>
    <cellStyle name="20% - Accent5 2 7 2 2 2 3" xfId="40398" xr:uid="{00000000-0005-0000-0000-0000FE270000}"/>
    <cellStyle name="20% - Accent5 2 7 2 2 3" xfId="26452" xr:uid="{00000000-0005-0000-0000-0000FF270000}"/>
    <cellStyle name="20% - Accent5 2 7 2 2 3 2" xfId="45641" xr:uid="{00000000-0005-0000-0000-000000280000}"/>
    <cellStyle name="20% - Accent5 2 7 2 2 4" xfId="35943" xr:uid="{00000000-0005-0000-0000-000001280000}"/>
    <cellStyle name="20% - Accent5 2 7 2 2 5" xfId="53948" xr:uid="{00000000-0005-0000-0000-000002280000}"/>
    <cellStyle name="20% - Accent5 2 7 2 3" xfId="18311" xr:uid="{00000000-0005-0000-0000-000003280000}"/>
    <cellStyle name="20% - Accent5 2 7 2 3 2" xfId="28679" xr:uid="{00000000-0005-0000-0000-000004280000}"/>
    <cellStyle name="20% - Accent5 2 7 2 3 2 2" xfId="47868" xr:uid="{00000000-0005-0000-0000-000005280000}"/>
    <cellStyle name="20% - Accent5 2 7 2 3 3" xfId="38170" xr:uid="{00000000-0005-0000-0000-000006280000}"/>
    <cellStyle name="20% - Accent5 2 7 2 4" xfId="24219" xr:uid="{00000000-0005-0000-0000-000007280000}"/>
    <cellStyle name="20% - Accent5 2 7 2 4 2" xfId="43413" xr:uid="{00000000-0005-0000-0000-000008280000}"/>
    <cellStyle name="20% - Accent5 2 7 2 5" xfId="33715" xr:uid="{00000000-0005-0000-0000-000009280000}"/>
    <cellStyle name="20% - Accent5 2 7 2 6" xfId="53095" xr:uid="{00000000-0005-0000-0000-00000A280000}"/>
    <cellStyle name="20% - Accent5 2 7 3" xfId="14390" xr:uid="{00000000-0005-0000-0000-00000B280000}"/>
    <cellStyle name="20% - Accent5 2 7 3 2" xfId="15519" xr:uid="{00000000-0005-0000-0000-00000C280000}"/>
    <cellStyle name="20% - Accent5 2 7 3 2 2" xfId="19983" xr:uid="{00000000-0005-0000-0000-00000D280000}"/>
    <cellStyle name="20% - Accent5 2 7 3 2 2 2" xfId="30351" xr:uid="{00000000-0005-0000-0000-00000E280000}"/>
    <cellStyle name="20% - Accent5 2 7 3 2 2 2 2" xfId="49540" xr:uid="{00000000-0005-0000-0000-00000F280000}"/>
    <cellStyle name="20% - Accent5 2 7 3 2 2 3" xfId="39842" xr:uid="{00000000-0005-0000-0000-000010280000}"/>
    <cellStyle name="20% - Accent5 2 7 3 2 3" xfId="25896" xr:uid="{00000000-0005-0000-0000-000011280000}"/>
    <cellStyle name="20% - Accent5 2 7 3 2 3 2" xfId="45085" xr:uid="{00000000-0005-0000-0000-000012280000}"/>
    <cellStyle name="20% - Accent5 2 7 3 2 4" xfId="35387" xr:uid="{00000000-0005-0000-0000-000013280000}"/>
    <cellStyle name="20% - Accent5 2 7 3 3" xfId="18868" xr:uid="{00000000-0005-0000-0000-000014280000}"/>
    <cellStyle name="20% - Accent5 2 7 3 3 2" xfId="29236" xr:uid="{00000000-0005-0000-0000-000015280000}"/>
    <cellStyle name="20% - Accent5 2 7 3 3 2 2" xfId="48425" xr:uid="{00000000-0005-0000-0000-000016280000}"/>
    <cellStyle name="20% - Accent5 2 7 3 3 3" xfId="38727" xr:uid="{00000000-0005-0000-0000-000017280000}"/>
    <cellStyle name="20% - Accent5 2 7 3 4" xfId="24781" xr:uid="{00000000-0005-0000-0000-000018280000}"/>
    <cellStyle name="20% - Accent5 2 7 3 4 2" xfId="43970" xr:uid="{00000000-0005-0000-0000-000019280000}"/>
    <cellStyle name="20% - Accent5 2 7 3 5" xfId="34272" xr:uid="{00000000-0005-0000-0000-00001A280000}"/>
    <cellStyle name="20% - Accent5 2 7 3 6" xfId="53552" xr:uid="{00000000-0005-0000-0000-00001B280000}"/>
    <cellStyle name="20% - Accent5 2 7 4" xfId="14962" xr:uid="{00000000-0005-0000-0000-00001C280000}"/>
    <cellStyle name="20% - Accent5 2 7 4 2" xfId="19426" xr:uid="{00000000-0005-0000-0000-00001D280000}"/>
    <cellStyle name="20% - Accent5 2 7 4 2 2" xfId="29794" xr:uid="{00000000-0005-0000-0000-00001E280000}"/>
    <cellStyle name="20% - Accent5 2 7 4 2 2 2" xfId="48983" xr:uid="{00000000-0005-0000-0000-00001F280000}"/>
    <cellStyle name="20% - Accent5 2 7 4 2 3" xfId="39285" xr:uid="{00000000-0005-0000-0000-000020280000}"/>
    <cellStyle name="20% - Accent5 2 7 4 3" xfId="25339" xr:uid="{00000000-0005-0000-0000-000021280000}"/>
    <cellStyle name="20% - Accent5 2 7 4 3 2" xfId="44528" xr:uid="{00000000-0005-0000-0000-000022280000}"/>
    <cellStyle name="20% - Accent5 2 7 4 4" xfId="34830" xr:uid="{00000000-0005-0000-0000-000023280000}"/>
    <cellStyle name="20% - Accent5 2 7 5" xfId="16632" xr:uid="{00000000-0005-0000-0000-000024280000}"/>
    <cellStyle name="20% - Accent5 2 7 5 2" xfId="21096" xr:uid="{00000000-0005-0000-0000-000025280000}"/>
    <cellStyle name="20% - Accent5 2 7 5 2 2" xfId="31464" xr:uid="{00000000-0005-0000-0000-000026280000}"/>
    <cellStyle name="20% - Accent5 2 7 5 2 2 2" xfId="50653" xr:uid="{00000000-0005-0000-0000-000027280000}"/>
    <cellStyle name="20% - Accent5 2 7 5 2 3" xfId="40955" xr:uid="{00000000-0005-0000-0000-000028280000}"/>
    <cellStyle name="20% - Accent5 2 7 5 3" xfId="27009" xr:uid="{00000000-0005-0000-0000-000029280000}"/>
    <cellStyle name="20% - Accent5 2 7 5 3 2" xfId="46198" xr:uid="{00000000-0005-0000-0000-00002A280000}"/>
    <cellStyle name="20% - Accent5 2 7 5 4" xfId="36500" xr:uid="{00000000-0005-0000-0000-00002B280000}"/>
    <cellStyle name="20% - Accent5 2 7 6" xfId="17198" xr:uid="{00000000-0005-0000-0000-00002C280000}"/>
    <cellStyle name="20% - Accent5 2 7 6 2" xfId="21653" xr:uid="{00000000-0005-0000-0000-00002D280000}"/>
    <cellStyle name="20% - Accent5 2 7 6 2 2" xfId="32021" xr:uid="{00000000-0005-0000-0000-00002E280000}"/>
    <cellStyle name="20% - Accent5 2 7 6 2 2 2" xfId="51210" xr:uid="{00000000-0005-0000-0000-00002F280000}"/>
    <cellStyle name="20% - Accent5 2 7 6 2 3" xfId="41512" xr:uid="{00000000-0005-0000-0000-000030280000}"/>
    <cellStyle name="20% - Accent5 2 7 6 3" xfId="27566" xr:uid="{00000000-0005-0000-0000-000031280000}"/>
    <cellStyle name="20% - Accent5 2 7 6 3 2" xfId="46755" xr:uid="{00000000-0005-0000-0000-000032280000}"/>
    <cellStyle name="20% - Accent5 2 7 6 4" xfId="37057" xr:uid="{00000000-0005-0000-0000-000033280000}"/>
    <cellStyle name="20% - Accent5 2 7 7" xfId="17755" xr:uid="{00000000-0005-0000-0000-000034280000}"/>
    <cellStyle name="20% - Accent5 2 7 7 2" xfId="28123" xr:uid="{00000000-0005-0000-0000-000035280000}"/>
    <cellStyle name="20% - Accent5 2 7 7 2 2" xfId="47312" xr:uid="{00000000-0005-0000-0000-000036280000}"/>
    <cellStyle name="20% - Accent5 2 7 7 3" xfId="37614" xr:uid="{00000000-0005-0000-0000-000037280000}"/>
    <cellStyle name="20% - Accent5 2 7 8" xfId="23570" xr:uid="{00000000-0005-0000-0000-000038280000}"/>
    <cellStyle name="20% - Accent5 2 7 8 2" xfId="42857" xr:uid="{00000000-0005-0000-0000-000039280000}"/>
    <cellStyle name="20% - Accent5 2 7 9" xfId="33159" xr:uid="{00000000-0005-0000-0000-00003A280000}"/>
    <cellStyle name="20% - Accent5 2 8" xfId="1756" xr:uid="{00000000-0005-0000-0000-00003B280000}"/>
    <cellStyle name="20% - Accent5 2 8 10" xfId="52867" xr:uid="{00000000-0005-0000-0000-00003C280000}"/>
    <cellStyle name="20% - Accent5 2 8 11" xfId="12790" xr:uid="{00000000-0005-0000-0000-00003D280000}"/>
    <cellStyle name="20% - Accent5 2 8 2" xfId="13821" xr:uid="{00000000-0005-0000-0000-00003E280000}"/>
    <cellStyle name="20% - Accent5 2 8 2 2" xfId="16085" xr:uid="{00000000-0005-0000-0000-00003F280000}"/>
    <cellStyle name="20% - Accent5 2 8 2 2 2" xfId="20549" xr:uid="{00000000-0005-0000-0000-000040280000}"/>
    <cellStyle name="20% - Accent5 2 8 2 2 2 2" xfId="30917" xr:uid="{00000000-0005-0000-0000-000041280000}"/>
    <cellStyle name="20% - Accent5 2 8 2 2 2 2 2" xfId="50106" xr:uid="{00000000-0005-0000-0000-000042280000}"/>
    <cellStyle name="20% - Accent5 2 8 2 2 2 3" xfId="40408" xr:uid="{00000000-0005-0000-0000-000043280000}"/>
    <cellStyle name="20% - Accent5 2 8 2 2 3" xfId="26462" xr:uid="{00000000-0005-0000-0000-000044280000}"/>
    <cellStyle name="20% - Accent5 2 8 2 2 3 2" xfId="45651" xr:uid="{00000000-0005-0000-0000-000045280000}"/>
    <cellStyle name="20% - Accent5 2 8 2 2 4" xfId="35953" xr:uid="{00000000-0005-0000-0000-000046280000}"/>
    <cellStyle name="20% - Accent5 2 8 2 3" xfId="18321" xr:uid="{00000000-0005-0000-0000-000047280000}"/>
    <cellStyle name="20% - Accent5 2 8 2 3 2" xfId="28689" xr:uid="{00000000-0005-0000-0000-000048280000}"/>
    <cellStyle name="20% - Accent5 2 8 2 3 2 2" xfId="47878" xr:uid="{00000000-0005-0000-0000-000049280000}"/>
    <cellStyle name="20% - Accent5 2 8 2 3 3" xfId="38180" xr:uid="{00000000-0005-0000-0000-00004A280000}"/>
    <cellStyle name="20% - Accent5 2 8 2 4" xfId="24229" xr:uid="{00000000-0005-0000-0000-00004B280000}"/>
    <cellStyle name="20% - Accent5 2 8 2 4 2" xfId="43423" xr:uid="{00000000-0005-0000-0000-00004C280000}"/>
    <cellStyle name="20% - Accent5 2 8 2 5" xfId="33725" xr:uid="{00000000-0005-0000-0000-00004D280000}"/>
    <cellStyle name="20% - Accent5 2 8 2 6" xfId="53751" xr:uid="{00000000-0005-0000-0000-00004E280000}"/>
    <cellStyle name="20% - Accent5 2 8 3" xfId="14400" xr:uid="{00000000-0005-0000-0000-00004F280000}"/>
    <cellStyle name="20% - Accent5 2 8 3 2" xfId="15529" xr:uid="{00000000-0005-0000-0000-000050280000}"/>
    <cellStyle name="20% - Accent5 2 8 3 2 2" xfId="19993" xr:uid="{00000000-0005-0000-0000-000051280000}"/>
    <cellStyle name="20% - Accent5 2 8 3 2 2 2" xfId="30361" xr:uid="{00000000-0005-0000-0000-000052280000}"/>
    <cellStyle name="20% - Accent5 2 8 3 2 2 2 2" xfId="49550" xr:uid="{00000000-0005-0000-0000-000053280000}"/>
    <cellStyle name="20% - Accent5 2 8 3 2 2 3" xfId="39852" xr:uid="{00000000-0005-0000-0000-000054280000}"/>
    <cellStyle name="20% - Accent5 2 8 3 2 3" xfId="25906" xr:uid="{00000000-0005-0000-0000-000055280000}"/>
    <cellStyle name="20% - Accent5 2 8 3 2 3 2" xfId="45095" xr:uid="{00000000-0005-0000-0000-000056280000}"/>
    <cellStyle name="20% - Accent5 2 8 3 2 4" xfId="35397" xr:uid="{00000000-0005-0000-0000-000057280000}"/>
    <cellStyle name="20% - Accent5 2 8 3 3" xfId="18878" xr:uid="{00000000-0005-0000-0000-000058280000}"/>
    <cellStyle name="20% - Accent5 2 8 3 3 2" xfId="29246" xr:uid="{00000000-0005-0000-0000-000059280000}"/>
    <cellStyle name="20% - Accent5 2 8 3 3 2 2" xfId="48435" xr:uid="{00000000-0005-0000-0000-00005A280000}"/>
    <cellStyle name="20% - Accent5 2 8 3 3 3" xfId="38737" xr:uid="{00000000-0005-0000-0000-00005B280000}"/>
    <cellStyle name="20% - Accent5 2 8 3 4" xfId="24791" xr:uid="{00000000-0005-0000-0000-00005C280000}"/>
    <cellStyle name="20% - Accent5 2 8 3 4 2" xfId="43980" xr:uid="{00000000-0005-0000-0000-00005D280000}"/>
    <cellStyle name="20% - Accent5 2 8 3 5" xfId="34282" xr:uid="{00000000-0005-0000-0000-00005E280000}"/>
    <cellStyle name="20% - Accent5 2 8 4" xfId="14972" xr:uid="{00000000-0005-0000-0000-00005F280000}"/>
    <cellStyle name="20% - Accent5 2 8 4 2" xfId="19436" xr:uid="{00000000-0005-0000-0000-000060280000}"/>
    <cellStyle name="20% - Accent5 2 8 4 2 2" xfId="29804" xr:uid="{00000000-0005-0000-0000-000061280000}"/>
    <cellStyle name="20% - Accent5 2 8 4 2 2 2" xfId="48993" xr:uid="{00000000-0005-0000-0000-000062280000}"/>
    <cellStyle name="20% - Accent5 2 8 4 2 3" xfId="39295" xr:uid="{00000000-0005-0000-0000-000063280000}"/>
    <cellStyle name="20% - Accent5 2 8 4 3" xfId="25349" xr:uid="{00000000-0005-0000-0000-000064280000}"/>
    <cellStyle name="20% - Accent5 2 8 4 3 2" xfId="44538" xr:uid="{00000000-0005-0000-0000-000065280000}"/>
    <cellStyle name="20% - Accent5 2 8 4 4" xfId="34840" xr:uid="{00000000-0005-0000-0000-000066280000}"/>
    <cellStyle name="20% - Accent5 2 8 5" xfId="16642" xr:uid="{00000000-0005-0000-0000-000067280000}"/>
    <cellStyle name="20% - Accent5 2 8 5 2" xfId="21106" xr:uid="{00000000-0005-0000-0000-000068280000}"/>
    <cellStyle name="20% - Accent5 2 8 5 2 2" xfId="31474" xr:uid="{00000000-0005-0000-0000-000069280000}"/>
    <cellStyle name="20% - Accent5 2 8 5 2 2 2" xfId="50663" xr:uid="{00000000-0005-0000-0000-00006A280000}"/>
    <cellStyle name="20% - Accent5 2 8 5 2 3" xfId="40965" xr:uid="{00000000-0005-0000-0000-00006B280000}"/>
    <cellStyle name="20% - Accent5 2 8 5 3" xfId="27019" xr:uid="{00000000-0005-0000-0000-00006C280000}"/>
    <cellStyle name="20% - Accent5 2 8 5 3 2" xfId="46208" xr:uid="{00000000-0005-0000-0000-00006D280000}"/>
    <cellStyle name="20% - Accent5 2 8 5 4" xfId="36510" xr:uid="{00000000-0005-0000-0000-00006E280000}"/>
    <cellStyle name="20% - Accent5 2 8 6" xfId="17208" xr:uid="{00000000-0005-0000-0000-00006F280000}"/>
    <cellStyle name="20% - Accent5 2 8 6 2" xfId="21663" xr:uid="{00000000-0005-0000-0000-000070280000}"/>
    <cellStyle name="20% - Accent5 2 8 6 2 2" xfId="32031" xr:uid="{00000000-0005-0000-0000-000071280000}"/>
    <cellStyle name="20% - Accent5 2 8 6 2 2 2" xfId="51220" xr:uid="{00000000-0005-0000-0000-000072280000}"/>
    <cellStyle name="20% - Accent5 2 8 6 2 3" xfId="41522" xr:uid="{00000000-0005-0000-0000-000073280000}"/>
    <cellStyle name="20% - Accent5 2 8 6 3" xfId="27576" xr:uid="{00000000-0005-0000-0000-000074280000}"/>
    <cellStyle name="20% - Accent5 2 8 6 3 2" xfId="46765" xr:uid="{00000000-0005-0000-0000-000075280000}"/>
    <cellStyle name="20% - Accent5 2 8 6 4" xfId="37067" xr:uid="{00000000-0005-0000-0000-000076280000}"/>
    <cellStyle name="20% - Accent5 2 8 7" xfId="17765" xr:uid="{00000000-0005-0000-0000-000077280000}"/>
    <cellStyle name="20% - Accent5 2 8 7 2" xfId="28133" xr:uid="{00000000-0005-0000-0000-000078280000}"/>
    <cellStyle name="20% - Accent5 2 8 7 2 2" xfId="47322" xr:uid="{00000000-0005-0000-0000-000079280000}"/>
    <cellStyle name="20% - Accent5 2 8 7 3" xfId="37624" xr:uid="{00000000-0005-0000-0000-00007A280000}"/>
    <cellStyle name="20% - Accent5 2 8 8" xfId="23593" xr:uid="{00000000-0005-0000-0000-00007B280000}"/>
    <cellStyle name="20% - Accent5 2 8 8 2" xfId="42867" xr:uid="{00000000-0005-0000-0000-00007C280000}"/>
    <cellStyle name="20% - Accent5 2 8 9" xfId="33169" xr:uid="{00000000-0005-0000-0000-00007D280000}"/>
    <cellStyle name="20% - Accent5 2 9" xfId="1757" xr:uid="{00000000-0005-0000-0000-00007E280000}"/>
    <cellStyle name="20% - Accent5 2 9 2" xfId="54148" xr:uid="{00000000-0005-0000-0000-00007F280000}"/>
    <cellStyle name="20% - Accent5 2 9 3" xfId="53296" xr:uid="{00000000-0005-0000-0000-000080280000}"/>
    <cellStyle name="20% - Accent5 2 9 4" xfId="13036" xr:uid="{00000000-0005-0000-0000-000081280000}"/>
    <cellStyle name="20% - Accent5 20" xfId="22858" xr:uid="{00000000-0005-0000-0000-000082280000}"/>
    <cellStyle name="20% - Accent5 20 2" xfId="32942" xr:uid="{00000000-0005-0000-0000-000083280000}"/>
    <cellStyle name="20% - Accent5 20 2 2" xfId="52128" xr:uid="{00000000-0005-0000-0000-000084280000}"/>
    <cellStyle name="20% - Accent5 20 3" xfId="23215" xr:uid="{00000000-0005-0000-0000-000085280000}"/>
    <cellStyle name="20% - Accent5 20 3 2" xfId="42783" xr:uid="{00000000-0005-0000-0000-000086280000}"/>
    <cellStyle name="20% - Accent5 20 4" xfId="42430" xr:uid="{00000000-0005-0000-0000-000087280000}"/>
    <cellStyle name="20% - Accent5 21" xfId="22741" xr:uid="{00000000-0005-0000-0000-000088280000}"/>
    <cellStyle name="20% - Accent5 21 2" xfId="32825" xr:uid="{00000000-0005-0000-0000-000089280000}"/>
    <cellStyle name="20% - Accent5 21 2 2" xfId="52011" xr:uid="{00000000-0005-0000-0000-00008A280000}"/>
    <cellStyle name="20% - Accent5 21 3" xfId="42313" xr:uid="{00000000-0005-0000-0000-00008B280000}"/>
    <cellStyle name="20% - Accent5 22" xfId="23098" xr:uid="{00000000-0005-0000-0000-00008C280000}"/>
    <cellStyle name="20% - Accent5 22 2" xfId="42666" xr:uid="{00000000-0005-0000-0000-00008D280000}"/>
    <cellStyle name="20% - Accent5 23" xfId="33124" xr:uid="{00000000-0005-0000-0000-00008E280000}"/>
    <cellStyle name="20% - Accent5 3" xfId="107" xr:uid="{00000000-0005-0000-0000-00008F280000}"/>
    <cellStyle name="20% - Accent5 3 2" xfId="1759" xr:uid="{00000000-0005-0000-0000-000090280000}"/>
    <cellStyle name="20% - Accent5 3 2 2" xfId="1760" xr:uid="{00000000-0005-0000-0000-000091280000}"/>
    <cellStyle name="20% - Accent5 3 2 2 2" xfId="1761" xr:uid="{00000000-0005-0000-0000-000092280000}"/>
    <cellStyle name="20% - Accent5 3 2 2 2 2" xfId="1762" xr:uid="{00000000-0005-0000-0000-000093280000}"/>
    <cellStyle name="20% - Accent5 3 2 2 3" xfId="1763" xr:uid="{00000000-0005-0000-0000-000094280000}"/>
    <cellStyle name="20% - Accent5 3 2 3" xfId="1764" xr:uid="{00000000-0005-0000-0000-000095280000}"/>
    <cellStyle name="20% - Accent5 3 2 3 2" xfId="1765" xr:uid="{00000000-0005-0000-0000-000096280000}"/>
    <cellStyle name="20% - Accent5 3 2 4" xfId="1766" xr:uid="{00000000-0005-0000-0000-000097280000}"/>
    <cellStyle name="20% - Accent5 3 2 5" xfId="13037" xr:uid="{00000000-0005-0000-0000-000098280000}"/>
    <cellStyle name="20% - Accent5 3 3" xfId="1767" xr:uid="{00000000-0005-0000-0000-000099280000}"/>
    <cellStyle name="20% - Accent5 3 3 2" xfId="1768" xr:uid="{00000000-0005-0000-0000-00009A280000}"/>
    <cellStyle name="20% - Accent5 3 3 2 2" xfId="1769" xr:uid="{00000000-0005-0000-0000-00009B280000}"/>
    <cellStyle name="20% - Accent5 3 3 2 2 2" xfId="1770" xr:uid="{00000000-0005-0000-0000-00009C280000}"/>
    <cellStyle name="20% - Accent5 3 3 2 3" xfId="1771" xr:uid="{00000000-0005-0000-0000-00009D280000}"/>
    <cellStyle name="20% - Accent5 3 3 3" xfId="1772" xr:uid="{00000000-0005-0000-0000-00009E280000}"/>
    <cellStyle name="20% - Accent5 3 3 3 2" xfId="1773" xr:uid="{00000000-0005-0000-0000-00009F280000}"/>
    <cellStyle name="20% - Accent5 3 3 4" xfId="1774" xr:uid="{00000000-0005-0000-0000-0000A0280000}"/>
    <cellStyle name="20% - Accent5 3 3 5" xfId="13526" xr:uid="{00000000-0005-0000-0000-0000A1280000}"/>
    <cellStyle name="20% - Accent5 3 4" xfId="1775" xr:uid="{00000000-0005-0000-0000-0000A2280000}"/>
    <cellStyle name="20% - Accent5 3 4 2" xfId="1776" xr:uid="{00000000-0005-0000-0000-0000A3280000}"/>
    <cellStyle name="20% - Accent5 3 4 2 2" xfId="1777" xr:uid="{00000000-0005-0000-0000-0000A4280000}"/>
    <cellStyle name="20% - Accent5 3 4 3" xfId="1778" xr:uid="{00000000-0005-0000-0000-0000A5280000}"/>
    <cellStyle name="20% - Accent5 3 4 4" xfId="22284" xr:uid="{00000000-0005-0000-0000-0000A6280000}"/>
    <cellStyle name="20% - Accent5 3 5" xfId="1779" xr:uid="{00000000-0005-0000-0000-0000A7280000}"/>
    <cellStyle name="20% - Accent5 3 5 2" xfId="1780" xr:uid="{00000000-0005-0000-0000-0000A8280000}"/>
    <cellStyle name="20% - Accent5 3 5 3" xfId="23297" xr:uid="{00000000-0005-0000-0000-0000A9280000}"/>
    <cellStyle name="20% - Accent5 3 6" xfId="1781" xr:uid="{00000000-0005-0000-0000-0000AA280000}"/>
    <cellStyle name="20% - Accent5 3 7" xfId="1758" xr:uid="{00000000-0005-0000-0000-0000AB280000}"/>
    <cellStyle name="20% - Accent5 3 8" xfId="12157" xr:uid="{00000000-0005-0000-0000-0000AC280000}"/>
    <cellStyle name="20% - Accent5 4" xfId="108" xr:uid="{00000000-0005-0000-0000-0000AD280000}"/>
    <cellStyle name="20% - Accent5 4 2" xfId="1782" xr:uid="{00000000-0005-0000-0000-0000AE280000}"/>
    <cellStyle name="20% - Accent5 4 2 2" xfId="13689" xr:uid="{00000000-0005-0000-0000-0000AF280000}"/>
    <cellStyle name="20% - Accent5 4 3" xfId="22285" xr:uid="{00000000-0005-0000-0000-0000B0280000}"/>
    <cellStyle name="20% - Accent5 4 4" xfId="23299" xr:uid="{00000000-0005-0000-0000-0000B1280000}"/>
    <cellStyle name="20% - Accent5 4 5" xfId="12159" xr:uid="{00000000-0005-0000-0000-0000B2280000}"/>
    <cellStyle name="20% - Accent5 5" xfId="109" xr:uid="{00000000-0005-0000-0000-0000B3280000}"/>
    <cellStyle name="20% - Accent5 5 2" xfId="1783" xr:uid="{00000000-0005-0000-0000-0000B4280000}"/>
    <cellStyle name="20% - Accent5 5 2 2" xfId="22286" xr:uid="{00000000-0005-0000-0000-0000B5280000}"/>
    <cellStyle name="20% - Accent5 5 3" xfId="23526" xr:uid="{00000000-0005-0000-0000-0000B6280000}"/>
    <cellStyle name="20% - Accent5 5 4" xfId="12628" xr:uid="{00000000-0005-0000-0000-0000B7280000}"/>
    <cellStyle name="20% - Accent5 6" xfId="110" xr:uid="{00000000-0005-0000-0000-0000B8280000}"/>
    <cellStyle name="20% - Accent5 6 2" xfId="1784" xr:uid="{00000000-0005-0000-0000-0000B9280000}"/>
    <cellStyle name="20% - Accent5 6 2 2" xfId="22287" xr:uid="{00000000-0005-0000-0000-0000BA280000}"/>
    <cellStyle name="20% - Accent5 6 3" xfId="23592" xr:uid="{00000000-0005-0000-0000-0000BB280000}"/>
    <cellStyle name="20% - Accent5 6 4" xfId="12789" xr:uid="{00000000-0005-0000-0000-0000BC280000}"/>
    <cellStyle name="20% - Accent5 7" xfId="111" xr:uid="{00000000-0005-0000-0000-0000BD280000}"/>
    <cellStyle name="20% - Accent5 7 2" xfId="1785" xr:uid="{00000000-0005-0000-0000-0000BE280000}"/>
    <cellStyle name="20% - Accent5 8" xfId="112" xr:uid="{00000000-0005-0000-0000-0000BF280000}"/>
    <cellStyle name="20% - Accent5 8 2" xfId="1786" xr:uid="{00000000-0005-0000-0000-0000C0280000}"/>
    <cellStyle name="20% - Accent5 9" xfId="113" xr:uid="{00000000-0005-0000-0000-0000C1280000}"/>
    <cellStyle name="20% - Accent6 10" xfId="114" xr:uid="{00000000-0005-0000-0000-0000C2280000}"/>
    <cellStyle name="20% - Accent6 11" xfId="115" xr:uid="{00000000-0005-0000-0000-0000C3280000}"/>
    <cellStyle name="20% - Accent6 12" xfId="116" xr:uid="{00000000-0005-0000-0000-0000C4280000}"/>
    <cellStyle name="20% - Accent6 13" xfId="117" xr:uid="{00000000-0005-0000-0000-0000C5280000}"/>
    <cellStyle name="20% - Accent6 14" xfId="118" xr:uid="{00000000-0005-0000-0000-0000C6280000}"/>
    <cellStyle name="20% - Accent6 15" xfId="119" xr:uid="{00000000-0005-0000-0000-0000C7280000}"/>
    <cellStyle name="20% - Accent6 16" xfId="120" xr:uid="{00000000-0005-0000-0000-0000C8280000}"/>
    <cellStyle name="20% - Accent6 17" xfId="22770" xr:uid="{00000000-0005-0000-0000-0000C9280000}"/>
    <cellStyle name="20% - Accent6 17 2" xfId="32854" xr:uid="{00000000-0005-0000-0000-0000CA280000}"/>
    <cellStyle name="20% - Accent6 17 2 2" xfId="52040" xr:uid="{00000000-0005-0000-0000-0000CB280000}"/>
    <cellStyle name="20% - Accent6 17 3" xfId="23127" xr:uid="{00000000-0005-0000-0000-0000CC280000}"/>
    <cellStyle name="20% - Accent6 17 3 2" xfId="42695" xr:uid="{00000000-0005-0000-0000-0000CD280000}"/>
    <cellStyle name="20% - Accent6 17 4" xfId="42342" xr:uid="{00000000-0005-0000-0000-0000CE280000}"/>
    <cellStyle name="20% - Accent6 18" xfId="22802" xr:uid="{00000000-0005-0000-0000-0000CF280000}"/>
    <cellStyle name="20% - Accent6 18 2" xfId="32886" xr:uid="{00000000-0005-0000-0000-0000D0280000}"/>
    <cellStyle name="20% - Accent6 18 2 2" xfId="52072" xr:uid="{00000000-0005-0000-0000-0000D1280000}"/>
    <cellStyle name="20% - Accent6 18 3" xfId="23159" xr:uid="{00000000-0005-0000-0000-0000D2280000}"/>
    <cellStyle name="20% - Accent6 18 3 2" xfId="42727" xr:uid="{00000000-0005-0000-0000-0000D3280000}"/>
    <cellStyle name="20% - Accent6 18 4" xfId="42374" xr:uid="{00000000-0005-0000-0000-0000D4280000}"/>
    <cellStyle name="20% - Accent6 19" xfId="22845" xr:uid="{00000000-0005-0000-0000-0000D5280000}"/>
    <cellStyle name="20% - Accent6 19 2" xfId="32929" xr:uid="{00000000-0005-0000-0000-0000D6280000}"/>
    <cellStyle name="20% - Accent6 19 2 2" xfId="52115" xr:uid="{00000000-0005-0000-0000-0000D7280000}"/>
    <cellStyle name="20% - Accent6 19 3" xfId="23202" xr:uid="{00000000-0005-0000-0000-0000D8280000}"/>
    <cellStyle name="20% - Accent6 19 3 2" xfId="42770" xr:uid="{00000000-0005-0000-0000-0000D9280000}"/>
    <cellStyle name="20% - Accent6 19 4" xfId="42417" xr:uid="{00000000-0005-0000-0000-0000DA280000}"/>
    <cellStyle name="20% - Accent6 2" xfId="121" xr:uid="{00000000-0005-0000-0000-0000DB280000}"/>
    <cellStyle name="20% - Accent6 2 10" xfId="1788" xr:uid="{00000000-0005-0000-0000-0000DC280000}"/>
    <cellStyle name="20% - Accent6 2 10 10" xfId="53331" xr:uid="{00000000-0005-0000-0000-0000DD280000}"/>
    <cellStyle name="20% - Accent6 2 10 11" xfId="13038" xr:uid="{00000000-0005-0000-0000-0000DE280000}"/>
    <cellStyle name="20% - Accent6 2 10 2" xfId="13984" xr:uid="{00000000-0005-0000-0000-0000DF280000}"/>
    <cellStyle name="20% - Accent6 2 10 2 2" xfId="16248" xr:uid="{00000000-0005-0000-0000-0000E0280000}"/>
    <cellStyle name="20% - Accent6 2 10 2 2 2" xfId="20712" xr:uid="{00000000-0005-0000-0000-0000E1280000}"/>
    <cellStyle name="20% - Accent6 2 10 2 2 2 2" xfId="31080" xr:uid="{00000000-0005-0000-0000-0000E2280000}"/>
    <cellStyle name="20% - Accent6 2 10 2 2 2 2 2" xfId="50269" xr:uid="{00000000-0005-0000-0000-0000E3280000}"/>
    <cellStyle name="20% - Accent6 2 10 2 2 2 3" xfId="40571" xr:uid="{00000000-0005-0000-0000-0000E4280000}"/>
    <cellStyle name="20% - Accent6 2 10 2 2 3" xfId="26625" xr:uid="{00000000-0005-0000-0000-0000E5280000}"/>
    <cellStyle name="20% - Accent6 2 10 2 2 3 2" xfId="45814" xr:uid="{00000000-0005-0000-0000-0000E6280000}"/>
    <cellStyle name="20% - Accent6 2 10 2 2 4" xfId="36116" xr:uid="{00000000-0005-0000-0000-0000E7280000}"/>
    <cellStyle name="20% - Accent6 2 10 2 3" xfId="18484" xr:uid="{00000000-0005-0000-0000-0000E8280000}"/>
    <cellStyle name="20% - Accent6 2 10 2 3 2" xfId="28852" xr:uid="{00000000-0005-0000-0000-0000E9280000}"/>
    <cellStyle name="20% - Accent6 2 10 2 3 2 2" xfId="48041" xr:uid="{00000000-0005-0000-0000-0000EA280000}"/>
    <cellStyle name="20% - Accent6 2 10 2 3 3" xfId="38343" xr:uid="{00000000-0005-0000-0000-0000EB280000}"/>
    <cellStyle name="20% - Accent6 2 10 2 4" xfId="24392" xr:uid="{00000000-0005-0000-0000-0000EC280000}"/>
    <cellStyle name="20% - Accent6 2 10 2 4 2" xfId="43586" xr:uid="{00000000-0005-0000-0000-0000ED280000}"/>
    <cellStyle name="20% - Accent6 2 10 2 5" xfId="33888" xr:uid="{00000000-0005-0000-0000-0000EE280000}"/>
    <cellStyle name="20% - Accent6 2 10 2 6" xfId="54183" xr:uid="{00000000-0005-0000-0000-0000EF280000}"/>
    <cellStyle name="20% - Accent6 2 10 3" xfId="14563" xr:uid="{00000000-0005-0000-0000-0000F0280000}"/>
    <cellStyle name="20% - Accent6 2 10 3 2" xfId="15692" xr:uid="{00000000-0005-0000-0000-0000F1280000}"/>
    <cellStyle name="20% - Accent6 2 10 3 2 2" xfId="20156" xr:uid="{00000000-0005-0000-0000-0000F2280000}"/>
    <cellStyle name="20% - Accent6 2 10 3 2 2 2" xfId="30524" xr:uid="{00000000-0005-0000-0000-0000F3280000}"/>
    <cellStyle name="20% - Accent6 2 10 3 2 2 2 2" xfId="49713" xr:uid="{00000000-0005-0000-0000-0000F4280000}"/>
    <cellStyle name="20% - Accent6 2 10 3 2 2 3" xfId="40015" xr:uid="{00000000-0005-0000-0000-0000F5280000}"/>
    <cellStyle name="20% - Accent6 2 10 3 2 3" xfId="26069" xr:uid="{00000000-0005-0000-0000-0000F6280000}"/>
    <cellStyle name="20% - Accent6 2 10 3 2 3 2" xfId="45258" xr:uid="{00000000-0005-0000-0000-0000F7280000}"/>
    <cellStyle name="20% - Accent6 2 10 3 2 4" xfId="35560" xr:uid="{00000000-0005-0000-0000-0000F8280000}"/>
    <cellStyle name="20% - Accent6 2 10 3 3" xfId="19041" xr:uid="{00000000-0005-0000-0000-0000F9280000}"/>
    <cellStyle name="20% - Accent6 2 10 3 3 2" xfId="29409" xr:uid="{00000000-0005-0000-0000-0000FA280000}"/>
    <cellStyle name="20% - Accent6 2 10 3 3 2 2" xfId="48598" xr:uid="{00000000-0005-0000-0000-0000FB280000}"/>
    <cellStyle name="20% - Accent6 2 10 3 3 3" xfId="38900" xr:uid="{00000000-0005-0000-0000-0000FC280000}"/>
    <cellStyle name="20% - Accent6 2 10 3 4" xfId="24954" xr:uid="{00000000-0005-0000-0000-0000FD280000}"/>
    <cellStyle name="20% - Accent6 2 10 3 4 2" xfId="44143" xr:uid="{00000000-0005-0000-0000-0000FE280000}"/>
    <cellStyle name="20% - Accent6 2 10 3 5" xfId="34445" xr:uid="{00000000-0005-0000-0000-0000FF280000}"/>
    <cellStyle name="20% - Accent6 2 10 4" xfId="15135" xr:uid="{00000000-0005-0000-0000-000000290000}"/>
    <cellStyle name="20% - Accent6 2 10 4 2" xfId="19599" xr:uid="{00000000-0005-0000-0000-000001290000}"/>
    <cellStyle name="20% - Accent6 2 10 4 2 2" xfId="29967" xr:uid="{00000000-0005-0000-0000-000002290000}"/>
    <cellStyle name="20% - Accent6 2 10 4 2 2 2" xfId="49156" xr:uid="{00000000-0005-0000-0000-000003290000}"/>
    <cellStyle name="20% - Accent6 2 10 4 2 3" xfId="39458" xr:uid="{00000000-0005-0000-0000-000004290000}"/>
    <cellStyle name="20% - Accent6 2 10 4 3" xfId="25512" xr:uid="{00000000-0005-0000-0000-000005290000}"/>
    <cellStyle name="20% - Accent6 2 10 4 3 2" xfId="44701" xr:uid="{00000000-0005-0000-0000-000006290000}"/>
    <cellStyle name="20% - Accent6 2 10 4 4" xfId="35003" xr:uid="{00000000-0005-0000-0000-000007290000}"/>
    <cellStyle name="20% - Accent6 2 10 5" xfId="16805" xr:uid="{00000000-0005-0000-0000-000008290000}"/>
    <cellStyle name="20% - Accent6 2 10 5 2" xfId="21269" xr:uid="{00000000-0005-0000-0000-000009290000}"/>
    <cellStyle name="20% - Accent6 2 10 5 2 2" xfId="31637" xr:uid="{00000000-0005-0000-0000-00000A290000}"/>
    <cellStyle name="20% - Accent6 2 10 5 2 2 2" xfId="50826" xr:uid="{00000000-0005-0000-0000-00000B290000}"/>
    <cellStyle name="20% - Accent6 2 10 5 2 3" xfId="41128" xr:uid="{00000000-0005-0000-0000-00000C290000}"/>
    <cellStyle name="20% - Accent6 2 10 5 3" xfId="27182" xr:uid="{00000000-0005-0000-0000-00000D290000}"/>
    <cellStyle name="20% - Accent6 2 10 5 3 2" xfId="46371" xr:uid="{00000000-0005-0000-0000-00000E290000}"/>
    <cellStyle name="20% - Accent6 2 10 5 4" xfId="36673" xr:uid="{00000000-0005-0000-0000-00000F290000}"/>
    <cellStyle name="20% - Accent6 2 10 6" xfId="17371" xr:uid="{00000000-0005-0000-0000-000010290000}"/>
    <cellStyle name="20% - Accent6 2 10 6 2" xfId="21826" xr:uid="{00000000-0005-0000-0000-000011290000}"/>
    <cellStyle name="20% - Accent6 2 10 6 2 2" xfId="32194" xr:uid="{00000000-0005-0000-0000-000012290000}"/>
    <cellStyle name="20% - Accent6 2 10 6 2 2 2" xfId="51383" xr:uid="{00000000-0005-0000-0000-000013290000}"/>
    <cellStyle name="20% - Accent6 2 10 6 2 3" xfId="41685" xr:uid="{00000000-0005-0000-0000-000014290000}"/>
    <cellStyle name="20% - Accent6 2 10 6 3" xfId="27739" xr:uid="{00000000-0005-0000-0000-000015290000}"/>
    <cellStyle name="20% - Accent6 2 10 6 3 2" xfId="46928" xr:uid="{00000000-0005-0000-0000-000016290000}"/>
    <cellStyle name="20% - Accent6 2 10 6 4" xfId="37230" xr:uid="{00000000-0005-0000-0000-000017290000}"/>
    <cellStyle name="20% - Accent6 2 10 7" xfId="17928" xr:uid="{00000000-0005-0000-0000-000018290000}"/>
    <cellStyle name="20% - Accent6 2 10 7 2" xfId="28296" xr:uid="{00000000-0005-0000-0000-000019290000}"/>
    <cellStyle name="20% - Accent6 2 10 7 2 2" xfId="47485" xr:uid="{00000000-0005-0000-0000-00001A290000}"/>
    <cellStyle name="20% - Accent6 2 10 7 3" xfId="37787" xr:uid="{00000000-0005-0000-0000-00001B290000}"/>
    <cellStyle name="20% - Accent6 2 10 8" xfId="23791" xr:uid="{00000000-0005-0000-0000-00001C290000}"/>
    <cellStyle name="20% - Accent6 2 10 8 2" xfId="43030" xr:uid="{00000000-0005-0000-0000-00001D290000}"/>
    <cellStyle name="20% - Accent6 2 10 9" xfId="33332" xr:uid="{00000000-0005-0000-0000-00001E290000}"/>
    <cellStyle name="20% - Accent6 2 11" xfId="1787" xr:uid="{00000000-0005-0000-0000-00001F290000}"/>
    <cellStyle name="20% - Accent6 2 11 2" xfId="53358" xr:uid="{00000000-0005-0000-0000-000020290000}"/>
    <cellStyle name="20% - Accent6 2 11 3" xfId="13498" xr:uid="{00000000-0005-0000-0000-000021290000}"/>
    <cellStyle name="20% - Accent6 2 12" xfId="22218" xr:uid="{00000000-0005-0000-0000-000022290000}"/>
    <cellStyle name="20% - Accent6 2 12 2" xfId="32577" xr:uid="{00000000-0005-0000-0000-000023290000}"/>
    <cellStyle name="20% - Accent6 2 12 2 2" xfId="51765" xr:uid="{00000000-0005-0000-0000-000024290000}"/>
    <cellStyle name="20% - Accent6 2 12 3" xfId="42067" xr:uid="{00000000-0005-0000-0000-000025290000}"/>
    <cellStyle name="20% - Accent6 2 13" xfId="22246" xr:uid="{00000000-0005-0000-0000-000026290000}"/>
    <cellStyle name="20% - Accent6 2 13 2" xfId="32603" xr:uid="{00000000-0005-0000-0000-000027290000}"/>
    <cellStyle name="20% - Accent6 2 13 2 2" xfId="51791" xr:uid="{00000000-0005-0000-0000-000028290000}"/>
    <cellStyle name="20% - Accent6 2 13 3" xfId="42093" xr:uid="{00000000-0005-0000-0000-000029290000}"/>
    <cellStyle name="20% - Accent6 2 14" xfId="12161" xr:uid="{00000000-0005-0000-0000-00002A290000}"/>
    <cellStyle name="20% - Accent6 2 15" xfId="23260" xr:uid="{00000000-0005-0000-0000-00002B290000}"/>
    <cellStyle name="20% - Accent6 2 15 2" xfId="42826" xr:uid="{00000000-0005-0000-0000-00002C290000}"/>
    <cellStyle name="20% - Accent6 2 16" xfId="32996" xr:uid="{00000000-0005-0000-0000-00002D290000}"/>
    <cellStyle name="20% - Accent6 2 16 2" xfId="52182" xr:uid="{00000000-0005-0000-0000-00002E290000}"/>
    <cellStyle name="20% - Accent6 2 17" xfId="33090" xr:uid="{00000000-0005-0000-0000-00002F290000}"/>
    <cellStyle name="20% - Accent6 2 18" xfId="52276" xr:uid="{00000000-0005-0000-0000-000030290000}"/>
    <cellStyle name="20% - Accent6 2 19" xfId="52333" xr:uid="{00000000-0005-0000-0000-000031290000}"/>
    <cellStyle name="20% - Accent6 2 2" xfId="122" xr:uid="{00000000-0005-0000-0000-000032290000}"/>
    <cellStyle name="20% - Accent6 2 2 2" xfId="1790" xr:uid="{00000000-0005-0000-0000-000033290000}"/>
    <cellStyle name="20% - Accent6 2 2 2 2" xfId="8332" xr:uid="{00000000-0005-0000-0000-000034290000}"/>
    <cellStyle name="20% - Accent6 2 2 2 2 2" xfId="11229" xr:uid="{00000000-0005-0000-0000-000035290000}"/>
    <cellStyle name="20% - Accent6 2 2 2 2 2 2" xfId="53983" xr:uid="{00000000-0005-0000-0000-000036290000}"/>
    <cellStyle name="20% - Accent6 2 2 2 2 3" xfId="53130" xr:uid="{00000000-0005-0000-0000-000037290000}"/>
    <cellStyle name="20% - Accent6 2 2 2 3" xfId="9789" xr:uid="{00000000-0005-0000-0000-000038290000}"/>
    <cellStyle name="20% - Accent6 2 2 2 3 2" xfId="53587" xr:uid="{00000000-0005-0000-0000-000039290000}"/>
    <cellStyle name="20% - Accent6 2 2 2 4" xfId="6853" xr:uid="{00000000-0005-0000-0000-00003A290000}"/>
    <cellStyle name="20% - Accent6 2 2 2 4 2" xfId="52702" xr:uid="{00000000-0005-0000-0000-00003B290000}"/>
    <cellStyle name="20% - Accent6 2 2 2 5" xfId="12710" xr:uid="{00000000-0005-0000-0000-00003C290000}"/>
    <cellStyle name="20% - Accent6 2 2 3" xfId="1791" xr:uid="{00000000-0005-0000-0000-00003D290000}"/>
    <cellStyle name="20% - Accent6 2 2 3 2" xfId="10571" xr:uid="{00000000-0005-0000-0000-00003E290000}"/>
    <cellStyle name="20% - Accent6 2 2 3 2 2" xfId="53787" xr:uid="{00000000-0005-0000-0000-00003F290000}"/>
    <cellStyle name="20% - Accent6 2 2 3 3" xfId="7671" xr:uid="{00000000-0005-0000-0000-000040290000}"/>
    <cellStyle name="20% - Accent6 2 2 3 3 2" xfId="52912" xr:uid="{00000000-0005-0000-0000-000041290000}"/>
    <cellStyle name="20% - Accent6 2 2 3 4" xfId="12163" xr:uid="{00000000-0005-0000-0000-000042290000}"/>
    <cellStyle name="20% - Accent6 2 2 4" xfId="1789" xr:uid="{00000000-0005-0000-0000-000043290000}"/>
    <cellStyle name="20% - Accent6 2 2 4 2" xfId="9131" xr:uid="{00000000-0005-0000-0000-000044290000}"/>
    <cellStyle name="20% - Accent6 2 2 4 2 2" xfId="51874" xr:uid="{00000000-0005-0000-0000-000045290000}"/>
    <cellStyle name="20% - Accent6 2 2 4 2 3" xfId="32687" xr:uid="{00000000-0005-0000-0000-000046290000}"/>
    <cellStyle name="20% - Accent6 2 2 4 3" xfId="42176" xr:uid="{00000000-0005-0000-0000-000047290000}"/>
    <cellStyle name="20% - Accent6 2 2 4 4" xfId="53391" xr:uid="{00000000-0005-0000-0000-000048290000}"/>
    <cellStyle name="20% - Accent6 2 2 4 5" xfId="22591" xr:uid="{00000000-0005-0000-0000-000049290000}"/>
    <cellStyle name="20% - Accent6 2 2 5" xfId="6145" xr:uid="{00000000-0005-0000-0000-00004A290000}"/>
    <cellStyle name="20% - Accent6 2 2 5 2" xfId="23284" xr:uid="{00000000-0005-0000-0000-00004B290000}"/>
    <cellStyle name="20% - Accent6 2 2 6" xfId="22960" xr:uid="{00000000-0005-0000-0000-00004C290000}"/>
    <cellStyle name="20% - Accent6 2 2 6 2" xfId="42529" xr:uid="{00000000-0005-0000-0000-00004D290000}"/>
    <cellStyle name="20% - Accent6 2 2 7" xfId="12138" xr:uid="{00000000-0005-0000-0000-00004E290000}"/>
    <cellStyle name="20% - Accent6 2 2 8" xfId="52498" xr:uid="{00000000-0005-0000-0000-00004F290000}"/>
    <cellStyle name="20% - Accent6 2 2 9" xfId="12006" xr:uid="{00000000-0005-0000-0000-000050290000}"/>
    <cellStyle name="20% - Accent6 2 20" xfId="52382" xr:uid="{00000000-0005-0000-0000-000051290000}"/>
    <cellStyle name="20% - Accent6 2 21" xfId="12110" xr:uid="{00000000-0005-0000-0000-000052290000}"/>
    <cellStyle name="20% - Accent6 2 22" xfId="52424" xr:uid="{00000000-0005-0000-0000-000053290000}"/>
    <cellStyle name="20% - Accent6 2 23" xfId="52456" xr:uid="{00000000-0005-0000-0000-000054290000}"/>
    <cellStyle name="20% - Accent6 2 24" xfId="11967" xr:uid="{00000000-0005-0000-0000-000055290000}"/>
    <cellStyle name="20% - Accent6 2 3" xfId="123" xr:uid="{00000000-0005-0000-0000-000056290000}"/>
    <cellStyle name="20% - Accent6 2 3 10" xfId="52539" xr:uid="{00000000-0005-0000-0000-000057290000}"/>
    <cellStyle name="20% - Accent6 2 3 11" xfId="12007" xr:uid="{00000000-0005-0000-0000-000058290000}"/>
    <cellStyle name="20% - Accent6 2 3 2" xfId="1793" xr:uid="{00000000-0005-0000-0000-000059290000}"/>
    <cellStyle name="20% - Accent6 2 3 2 10" xfId="17929" xr:uid="{00000000-0005-0000-0000-00005A290000}"/>
    <cellStyle name="20% - Accent6 2 3 2 10 2" xfId="28297" xr:uid="{00000000-0005-0000-0000-00005B290000}"/>
    <cellStyle name="20% - Accent6 2 3 2 10 2 2" xfId="47486" xr:uid="{00000000-0005-0000-0000-00005C290000}"/>
    <cellStyle name="20% - Accent6 2 3 2 10 3" xfId="37788" xr:uid="{00000000-0005-0000-0000-00005D290000}"/>
    <cellStyle name="20% - Accent6 2 3 2 11" xfId="23792" xr:uid="{00000000-0005-0000-0000-00005E290000}"/>
    <cellStyle name="20% - Accent6 2 3 2 11 2" xfId="43031" xr:uid="{00000000-0005-0000-0000-00005F290000}"/>
    <cellStyle name="20% - Accent6 2 3 2 12" xfId="33333" xr:uid="{00000000-0005-0000-0000-000060290000}"/>
    <cellStyle name="20% - Accent6 2 3 2 13" xfId="52740" xr:uid="{00000000-0005-0000-0000-000061290000}"/>
    <cellStyle name="20% - Accent6 2 3 2 14" xfId="13039" xr:uid="{00000000-0005-0000-0000-000062290000}"/>
    <cellStyle name="20% - Accent6 2 3 2 2" xfId="13040" xr:uid="{00000000-0005-0000-0000-000063290000}"/>
    <cellStyle name="20% - Accent6 2 3 2 2 10" xfId="23793" xr:uid="{00000000-0005-0000-0000-000064290000}"/>
    <cellStyle name="20% - Accent6 2 3 2 2 10 2" xfId="43032" xr:uid="{00000000-0005-0000-0000-000065290000}"/>
    <cellStyle name="20% - Accent6 2 3 2 2 11" xfId="33334" xr:uid="{00000000-0005-0000-0000-000066290000}"/>
    <cellStyle name="20% - Accent6 2 3 2 2 12" xfId="53168" xr:uid="{00000000-0005-0000-0000-000067290000}"/>
    <cellStyle name="20% - Accent6 2 3 2 2 2" xfId="13041" xr:uid="{00000000-0005-0000-0000-000068290000}"/>
    <cellStyle name="20% - Accent6 2 3 2 2 2 10" xfId="54021" xr:uid="{00000000-0005-0000-0000-000069290000}"/>
    <cellStyle name="20% - Accent6 2 3 2 2 2 2" xfId="13987" xr:uid="{00000000-0005-0000-0000-00006A290000}"/>
    <cellStyle name="20% - Accent6 2 3 2 2 2 2 2" xfId="16251" xr:uid="{00000000-0005-0000-0000-00006B290000}"/>
    <cellStyle name="20% - Accent6 2 3 2 2 2 2 2 2" xfId="20715" xr:uid="{00000000-0005-0000-0000-00006C290000}"/>
    <cellStyle name="20% - Accent6 2 3 2 2 2 2 2 2 2" xfId="31083" xr:uid="{00000000-0005-0000-0000-00006D290000}"/>
    <cellStyle name="20% - Accent6 2 3 2 2 2 2 2 2 2 2" xfId="50272" xr:uid="{00000000-0005-0000-0000-00006E290000}"/>
    <cellStyle name="20% - Accent6 2 3 2 2 2 2 2 2 3" xfId="40574" xr:uid="{00000000-0005-0000-0000-00006F290000}"/>
    <cellStyle name="20% - Accent6 2 3 2 2 2 2 2 3" xfId="26628" xr:uid="{00000000-0005-0000-0000-000070290000}"/>
    <cellStyle name="20% - Accent6 2 3 2 2 2 2 2 3 2" xfId="45817" xr:uid="{00000000-0005-0000-0000-000071290000}"/>
    <cellStyle name="20% - Accent6 2 3 2 2 2 2 2 4" xfId="36119" xr:uid="{00000000-0005-0000-0000-000072290000}"/>
    <cellStyle name="20% - Accent6 2 3 2 2 2 2 3" xfId="18487" xr:uid="{00000000-0005-0000-0000-000073290000}"/>
    <cellStyle name="20% - Accent6 2 3 2 2 2 2 3 2" xfId="28855" xr:uid="{00000000-0005-0000-0000-000074290000}"/>
    <cellStyle name="20% - Accent6 2 3 2 2 2 2 3 2 2" xfId="48044" xr:uid="{00000000-0005-0000-0000-000075290000}"/>
    <cellStyle name="20% - Accent6 2 3 2 2 2 2 3 3" xfId="38346" xr:uid="{00000000-0005-0000-0000-000076290000}"/>
    <cellStyle name="20% - Accent6 2 3 2 2 2 2 4" xfId="24395" xr:uid="{00000000-0005-0000-0000-000077290000}"/>
    <cellStyle name="20% - Accent6 2 3 2 2 2 2 4 2" xfId="43589" xr:uid="{00000000-0005-0000-0000-000078290000}"/>
    <cellStyle name="20% - Accent6 2 3 2 2 2 2 5" xfId="33891" xr:uid="{00000000-0005-0000-0000-000079290000}"/>
    <cellStyle name="20% - Accent6 2 3 2 2 2 3" xfId="14566" xr:uid="{00000000-0005-0000-0000-00007A290000}"/>
    <cellStyle name="20% - Accent6 2 3 2 2 2 3 2" xfId="15695" xr:uid="{00000000-0005-0000-0000-00007B290000}"/>
    <cellStyle name="20% - Accent6 2 3 2 2 2 3 2 2" xfId="20159" xr:uid="{00000000-0005-0000-0000-00007C290000}"/>
    <cellStyle name="20% - Accent6 2 3 2 2 2 3 2 2 2" xfId="30527" xr:uid="{00000000-0005-0000-0000-00007D290000}"/>
    <cellStyle name="20% - Accent6 2 3 2 2 2 3 2 2 2 2" xfId="49716" xr:uid="{00000000-0005-0000-0000-00007E290000}"/>
    <cellStyle name="20% - Accent6 2 3 2 2 2 3 2 2 3" xfId="40018" xr:uid="{00000000-0005-0000-0000-00007F290000}"/>
    <cellStyle name="20% - Accent6 2 3 2 2 2 3 2 3" xfId="26072" xr:uid="{00000000-0005-0000-0000-000080290000}"/>
    <cellStyle name="20% - Accent6 2 3 2 2 2 3 2 3 2" xfId="45261" xr:uid="{00000000-0005-0000-0000-000081290000}"/>
    <cellStyle name="20% - Accent6 2 3 2 2 2 3 2 4" xfId="35563" xr:uid="{00000000-0005-0000-0000-000082290000}"/>
    <cellStyle name="20% - Accent6 2 3 2 2 2 3 3" xfId="19044" xr:uid="{00000000-0005-0000-0000-000083290000}"/>
    <cellStyle name="20% - Accent6 2 3 2 2 2 3 3 2" xfId="29412" xr:uid="{00000000-0005-0000-0000-000084290000}"/>
    <cellStyle name="20% - Accent6 2 3 2 2 2 3 3 2 2" xfId="48601" xr:uid="{00000000-0005-0000-0000-000085290000}"/>
    <cellStyle name="20% - Accent6 2 3 2 2 2 3 3 3" xfId="38903" xr:uid="{00000000-0005-0000-0000-000086290000}"/>
    <cellStyle name="20% - Accent6 2 3 2 2 2 3 4" xfId="24957" xr:uid="{00000000-0005-0000-0000-000087290000}"/>
    <cellStyle name="20% - Accent6 2 3 2 2 2 3 4 2" xfId="44146" xr:uid="{00000000-0005-0000-0000-000088290000}"/>
    <cellStyle name="20% - Accent6 2 3 2 2 2 3 5" xfId="34448" xr:uid="{00000000-0005-0000-0000-000089290000}"/>
    <cellStyle name="20% - Accent6 2 3 2 2 2 4" xfId="15138" xr:uid="{00000000-0005-0000-0000-00008A290000}"/>
    <cellStyle name="20% - Accent6 2 3 2 2 2 4 2" xfId="19602" xr:uid="{00000000-0005-0000-0000-00008B290000}"/>
    <cellStyle name="20% - Accent6 2 3 2 2 2 4 2 2" xfId="29970" xr:uid="{00000000-0005-0000-0000-00008C290000}"/>
    <cellStyle name="20% - Accent6 2 3 2 2 2 4 2 2 2" xfId="49159" xr:uid="{00000000-0005-0000-0000-00008D290000}"/>
    <cellStyle name="20% - Accent6 2 3 2 2 2 4 2 3" xfId="39461" xr:uid="{00000000-0005-0000-0000-00008E290000}"/>
    <cellStyle name="20% - Accent6 2 3 2 2 2 4 3" xfId="25515" xr:uid="{00000000-0005-0000-0000-00008F290000}"/>
    <cellStyle name="20% - Accent6 2 3 2 2 2 4 3 2" xfId="44704" xr:uid="{00000000-0005-0000-0000-000090290000}"/>
    <cellStyle name="20% - Accent6 2 3 2 2 2 4 4" xfId="35006" xr:uid="{00000000-0005-0000-0000-000091290000}"/>
    <cellStyle name="20% - Accent6 2 3 2 2 2 5" xfId="16808" xr:uid="{00000000-0005-0000-0000-000092290000}"/>
    <cellStyle name="20% - Accent6 2 3 2 2 2 5 2" xfId="21272" xr:uid="{00000000-0005-0000-0000-000093290000}"/>
    <cellStyle name="20% - Accent6 2 3 2 2 2 5 2 2" xfId="31640" xr:uid="{00000000-0005-0000-0000-000094290000}"/>
    <cellStyle name="20% - Accent6 2 3 2 2 2 5 2 2 2" xfId="50829" xr:uid="{00000000-0005-0000-0000-000095290000}"/>
    <cellStyle name="20% - Accent6 2 3 2 2 2 5 2 3" xfId="41131" xr:uid="{00000000-0005-0000-0000-000096290000}"/>
    <cellStyle name="20% - Accent6 2 3 2 2 2 5 3" xfId="27185" xr:uid="{00000000-0005-0000-0000-000097290000}"/>
    <cellStyle name="20% - Accent6 2 3 2 2 2 5 3 2" xfId="46374" xr:uid="{00000000-0005-0000-0000-000098290000}"/>
    <cellStyle name="20% - Accent6 2 3 2 2 2 5 4" xfId="36676" xr:uid="{00000000-0005-0000-0000-000099290000}"/>
    <cellStyle name="20% - Accent6 2 3 2 2 2 6" xfId="17374" xr:uid="{00000000-0005-0000-0000-00009A290000}"/>
    <cellStyle name="20% - Accent6 2 3 2 2 2 6 2" xfId="21829" xr:uid="{00000000-0005-0000-0000-00009B290000}"/>
    <cellStyle name="20% - Accent6 2 3 2 2 2 6 2 2" xfId="32197" xr:uid="{00000000-0005-0000-0000-00009C290000}"/>
    <cellStyle name="20% - Accent6 2 3 2 2 2 6 2 2 2" xfId="51386" xr:uid="{00000000-0005-0000-0000-00009D290000}"/>
    <cellStyle name="20% - Accent6 2 3 2 2 2 6 2 3" xfId="41688" xr:uid="{00000000-0005-0000-0000-00009E290000}"/>
    <cellStyle name="20% - Accent6 2 3 2 2 2 6 3" xfId="27742" xr:uid="{00000000-0005-0000-0000-00009F290000}"/>
    <cellStyle name="20% - Accent6 2 3 2 2 2 6 3 2" xfId="46931" xr:uid="{00000000-0005-0000-0000-0000A0290000}"/>
    <cellStyle name="20% - Accent6 2 3 2 2 2 6 4" xfId="37233" xr:uid="{00000000-0005-0000-0000-0000A1290000}"/>
    <cellStyle name="20% - Accent6 2 3 2 2 2 7" xfId="17931" xr:uid="{00000000-0005-0000-0000-0000A2290000}"/>
    <cellStyle name="20% - Accent6 2 3 2 2 2 7 2" xfId="28299" xr:uid="{00000000-0005-0000-0000-0000A3290000}"/>
    <cellStyle name="20% - Accent6 2 3 2 2 2 7 2 2" xfId="47488" xr:uid="{00000000-0005-0000-0000-0000A4290000}"/>
    <cellStyle name="20% - Accent6 2 3 2 2 2 7 3" xfId="37790" xr:uid="{00000000-0005-0000-0000-0000A5290000}"/>
    <cellStyle name="20% - Accent6 2 3 2 2 2 8" xfId="23794" xr:uid="{00000000-0005-0000-0000-0000A6290000}"/>
    <cellStyle name="20% - Accent6 2 3 2 2 2 8 2" xfId="43033" xr:uid="{00000000-0005-0000-0000-0000A7290000}"/>
    <cellStyle name="20% - Accent6 2 3 2 2 2 9" xfId="33335" xr:uid="{00000000-0005-0000-0000-0000A8290000}"/>
    <cellStyle name="20% - Accent6 2 3 2 2 3" xfId="13042" xr:uid="{00000000-0005-0000-0000-0000A9290000}"/>
    <cellStyle name="20% - Accent6 2 3 2 2 3 2" xfId="13988" xr:uid="{00000000-0005-0000-0000-0000AA290000}"/>
    <cellStyle name="20% - Accent6 2 3 2 2 3 2 2" xfId="16252" xr:uid="{00000000-0005-0000-0000-0000AB290000}"/>
    <cellStyle name="20% - Accent6 2 3 2 2 3 2 2 2" xfId="20716" xr:uid="{00000000-0005-0000-0000-0000AC290000}"/>
    <cellStyle name="20% - Accent6 2 3 2 2 3 2 2 2 2" xfId="31084" xr:uid="{00000000-0005-0000-0000-0000AD290000}"/>
    <cellStyle name="20% - Accent6 2 3 2 2 3 2 2 2 2 2" xfId="50273" xr:uid="{00000000-0005-0000-0000-0000AE290000}"/>
    <cellStyle name="20% - Accent6 2 3 2 2 3 2 2 2 3" xfId="40575" xr:uid="{00000000-0005-0000-0000-0000AF290000}"/>
    <cellStyle name="20% - Accent6 2 3 2 2 3 2 2 3" xfId="26629" xr:uid="{00000000-0005-0000-0000-0000B0290000}"/>
    <cellStyle name="20% - Accent6 2 3 2 2 3 2 2 3 2" xfId="45818" xr:uid="{00000000-0005-0000-0000-0000B1290000}"/>
    <cellStyle name="20% - Accent6 2 3 2 2 3 2 2 4" xfId="36120" xr:uid="{00000000-0005-0000-0000-0000B2290000}"/>
    <cellStyle name="20% - Accent6 2 3 2 2 3 2 3" xfId="18488" xr:uid="{00000000-0005-0000-0000-0000B3290000}"/>
    <cellStyle name="20% - Accent6 2 3 2 2 3 2 3 2" xfId="28856" xr:uid="{00000000-0005-0000-0000-0000B4290000}"/>
    <cellStyle name="20% - Accent6 2 3 2 2 3 2 3 2 2" xfId="48045" xr:uid="{00000000-0005-0000-0000-0000B5290000}"/>
    <cellStyle name="20% - Accent6 2 3 2 2 3 2 3 3" xfId="38347" xr:uid="{00000000-0005-0000-0000-0000B6290000}"/>
    <cellStyle name="20% - Accent6 2 3 2 2 3 2 4" xfId="24396" xr:uid="{00000000-0005-0000-0000-0000B7290000}"/>
    <cellStyle name="20% - Accent6 2 3 2 2 3 2 4 2" xfId="43590" xr:uid="{00000000-0005-0000-0000-0000B8290000}"/>
    <cellStyle name="20% - Accent6 2 3 2 2 3 2 5" xfId="33892" xr:uid="{00000000-0005-0000-0000-0000B9290000}"/>
    <cellStyle name="20% - Accent6 2 3 2 2 3 3" xfId="14567" xr:uid="{00000000-0005-0000-0000-0000BA290000}"/>
    <cellStyle name="20% - Accent6 2 3 2 2 3 3 2" xfId="15696" xr:uid="{00000000-0005-0000-0000-0000BB290000}"/>
    <cellStyle name="20% - Accent6 2 3 2 2 3 3 2 2" xfId="20160" xr:uid="{00000000-0005-0000-0000-0000BC290000}"/>
    <cellStyle name="20% - Accent6 2 3 2 2 3 3 2 2 2" xfId="30528" xr:uid="{00000000-0005-0000-0000-0000BD290000}"/>
    <cellStyle name="20% - Accent6 2 3 2 2 3 3 2 2 2 2" xfId="49717" xr:uid="{00000000-0005-0000-0000-0000BE290000}"/>
    <cellStyle name="20% - Accent6 2 3 2 2 3 3 2 2 3" xfId="40019" xr:uid="{00000000-0005-0000-0000-0000BF290000}"/>
    <cellStyle name="20% - Accent6 2 3 2 2 3 3 2 3" xfId="26073" xr:uid="{00000000-0005-0000-0000-0000C0290000}"/>
    <cellStyle name="20% - Accent6 2 3 2 2 3 3 2 3 2" xfId="45262" xr:uid="{00000000-0005-0000-0000-0000C1290000}"/>
    <cellStyle name="20% - Accent6 2 3 2 2 3 3 2 4" xfId="35564" xr:uid="{00000000-0005-0000-0000-0000C2290000}"/>
    <cellStyle name="20% - Accent6 2 3 2 2 3 3 3" xfId="19045" xr:uid="{00000000-0005-0000-0000-0000C3290000}"/>
    <cellStyle name="20% - Accent6 2 3 2 2 3 3 3 2" xfId="29413" xr:uid="{00000000-0005-0000-0000-0000C4290000}"/>
    <cellStyle name="20% - Accent6 2 3 2 2 3 3 3 2 2" xfId="48602" xr:uid="{00000000-0005-0000-0000-0000C5290000}"/>
    <cellStyle name="20% - Accent6 2 3 2 2 3 3 3 3" xfId="38904" xr:uid="{00000000-0005-0000-0000-0000C6290000}"/>
    <cellStyle name="20% - Accent6 2 3 2 2 3 3 4" xfId="24958" xr:uid="{00000000-0005-0000-0000-0000C7290000}"/>
    <cellStyle name="20% - Accent6 2 3 2 2 3 3 4 2" xfId="44147" xr:uid="{00000000-0005-0000-0000-0000C8290000}"/>
    <cellStyle name="20% - Accent6 2 3 2 2 3 3 5" xfId="34449" xr:uid="{00000000-0005-0000-0000-0000C9290000}"/>
    <cellStyle name="20% - Accent6 2 3 2 2 3 4" xfId="15139" xr:uid="{00000000-0005-0000-0000-0000CA290000}"/>
    <cellStyle name="20% - Accent6 2 3 2 2 3 4 2" xfId="19603" xr:uid="{00000000-0005-0000-0000-0000CB290000}"/>
    <cellStyle name="20% - Accent6 2 3 2 2 3 4 2 2" xfId="29971" xr:uid="{00000000-0005-0000-0000-0000CC290000}"/>
    <cellStyle name="20% - Accent6 2 3 2 2 3 4 2 2 2" xfId="49160" xr:uid="{00000000-0005-0000-0000-0000CD290000}"/>
    <cellStyle name="20% - Accent6 2 3 2 2 3 4 2 3" xfId="39462" xr:uid="{00000000-0005-0000-0000-0000CE290000}"/>
    <cellStyle name="20% - Accent6 2 3 2 2 3 4 3" xfId="25516" xr:uid="{00000000-0005-0000-0000-0000CF290000}"/>
    <cellStyle name="20% - Accent6 2 3 2 2 3 4 3 2" xfId="44705" xr:uid="{00000000-0005-0000-0000-0000D0290000}"/>
    <cellStyle name="20% - Accent6 2 3 2 2 3 4 4" xfId="35007" xr:uid="{00000000-0005-0000-0000-0000D1290000}"/>
    <cellStyle name="20% - Accent6 2 3 2 2 3 5" xfId="16809" xr:uid="{00000000-0005-0000-0000-0000D2290000}"/>
    <cellStyle name="20% - Accent6 2 3 2 2 3 5 2" xfId="21273" xr:uid="{00000000-0005-0000-0000-0000D3290000}"/>
    <cellStyle name="20% - Accent6 2 3 2 2 3 5 2 2" xfId="31641" xr:uid="{00000000-0005-0000-0000-0000D4290000}"/>
    <cellStyle name="20% - Accent6 2 3 2 2 3 5 2 2 2" xfId="50830" xr:uid="{00000000-0005-0000-0000-0000D5290000}"/>
    <cellStyle name="20% - Accent6 2 3 2 2 3 5 2 3" xfId="41132" xr:uid="{00000000-0005-0000-0000-0000D6290000}"/>
    <cellStyle name="20% - Accent6 2 3 2 2 3 5 3" xfId="27186" xr:uid="{00000000-0005-0000-0000-0000D7290000}"/>
    <cellStyle name="20% - Accent6 2 3 2 2 3 5 3 2" xfId="46375" xr:uid="{00000000-0005-0000-0000-0000D8290000}"/>
    <cellStyle name="20% - Accent6 2 3 2 2 3 5 4" xfId="36677" xr:uid="{00000000-0005-0000-0000-0000D9290000}"/>
    <cellStyle name="20% - Accent6 2 3 2 2 3 6" xfId="17375" xr:uid="{00000000-0005-0000-0000-0000DA290000}"/>
    <cellStyle name="20% - Accent6 2 3 2 2 3 6 2" xfId="21830" xr:uid="{00000000-0005-0000-0000-0000DB290000}"/>
    <cellStyle name="20% - Accent6 2 3 2 2 3 6 2 2" xfId="32198" xr:uid="{00000000-0005-0000-0000-0000DC290000}"/>
    <cellStyle name="20% - Accent6 2 3 2 2 3 6 2 2 2" xfId="51387" xr:uid="{00000000-0005-0000-0000-0000DD290000}"/>
    <cellStyle name="20% - Accent6 2 3 2 2 3 6 2 3" xfId="41689" xr:uid="{00000000-0005-0000-0000-0000DE290000}"/>
    <cellStyle name="20% - Accent6 2 3 2 2 3 6 3" xfId="27743" xr:uid="{00000000-0005-0000-0000-0000DF290000}"/>
    <cellStyle name="20% - Accent6 2 3 2 2 3 6 3 2" xfId="46932" xr:uid="{00000000-0005-0000-0000-0000E0290000}"/>
    <cellStyle name="20% - Accent6 2 3 2 2 3 6 4" xfId="37234" xr:uid="{00000000-0005-0000-0000-0000E1290000}"/>
    <cellStyle name="20% - Accent6 2 3 2 2 3 7" xfId="17932" xr:uid="{00000000-0005-0000-0000-0000E2290000}"/>
    <cellStyle name="20% - Accent6 2 3 2 2 3 7 2" xfId="28300" xr:uid="{00000000-0005-0000-0000-0000E3290000}"/>
    <cellStyle name="20% - Accent6 2 3 2 2 3 7 2 2" xfId="47489" xr:uid="{00000000-0005-0000-0000-0000E4290000}"/>
    <cellStyle name="20% - Accent6 2 3 2 2 3 7 3" xfId="37791" xr:uid="{00000000-0005-0000-0000-0000E5290000}"/>
    <cellStyle name="20% - Accent6 2 3 2 2 3 8" xfId="23795" xr:uid="{00000000-0005-0000-0000-0000E6290000}"/>
    <cellStyle name="20% - Accent6 2 3 2 2 3 8 2" xfId="43034" xr:uid="{00000000-0005-0000-0000-0000E7290000}"/>
    <cellStyle name="20% - Accent6 2 3 2 2 3 9" xfId="33336" xr:uid="{00000000-0005-0000-0000-0000E8290000}"/>
    <cellStyle name="20% - Accent6 2 3 2 2 4" xfId="13986" xr:uid="{00000000-0005-0000-0000-0000E9290000}"/>
    <cellStyle name="20% - Accent6 2 3 2 2 4 2" xfId="16250" xr:uid="{00000000-0005-0000-0000-0000EA290000}"/>
    <cellStyle name="20% - Accent6 2 3 2 2 4 2 2" xfId="20714" xr:uid="{00000000-0005-0000-0000-0000EB290000}"/>
    <cellStyle name="20% - Accent6 2 3 2 2 4 2 2 2" xfId="31082" xr:uid="{00000000-0005-0000-0000-0000EC290000}"/>
    <cellStyle name="20% - Accent6 2 3 2 2 4 2 2 2 2" xfId="50271" xr:uid="{00000000-0005-0000-0000-0000ED290000}"/>
    <cellStyle name="20% - Accent6 2 3 2 2 4 2 2 3" xfId="40573" xr:uid="{00000000-0005-0000-0000-0000EE290000}"/>
    <cellStyle name="20% - Accent6 2 3 2 2 4 2 3" xfId="26627" xr:uid="{00000000-0005-0000-0000-0000EF290000}"/>
    <cellStyle name="20% - Accent6 2 3 2 2 4 2 3 2" xfId="45816" xr:uid="{00000000-0005-0000-0000-0000F0290000}"/>
    <cellStyle name="20% - Accent6 2 3 2 2 4 2 4" xfId="36118" xr:uid="{00000000-0005-0000-0000-0000F1290000}"/>
    <cellStyle name="20% - Accent6 2 3 2 2 4 3" xfId="18486" xr:uid="{00000000-0005-0000-0000-0000F2290000}"/>
    <cellStyle name="20% - Accent6 2 3 2 2 4 3 2" xfId="28854" xr:uid="{00000000-0005-0000-0000-0000F3290000}"/>
    <cellStyle name="20% - Accent6 2 3 2 2 4 3 2 2" xfId="48043" xr:uid="{00000000-0005-0000-0000-0000F4290000}"/>
    <cellStyle name="20% - Accent6 2 3 2 2 4 3 3" xfId="38345" xr:uid="{00000000-0005-0000-0000-0000F5290000}"/>
    <cellStyle name="20% - Accent6 2 3 2 2 4 4" xfId="24394" xr:uid="{00000000-0005-0000-0000-0000F6290000}"/>
    <cellStyle name="20% - Accent6 2 3 2 2 4 4 2" xfId="43588" xr:uid="{00000000-0005-0000-0000-0000F7290000}"/>
    <cellStyle name="20% - Accent6 2 3 2 2 4 5" xfId="33890" xr:uid="{00000000-0005-0000-0000-0000F8290000}"/>
    <cellStyle name="20% - Accent6 2 3 2 2 5" xfId="14565" xr:uid="{00000000-0005-0000-0000-0000F9290000}"/>
    <cellStyle name="20% - Accent6 2 3 2 2 5 2" xfId="15694" xr:uid="{00000000-0005-0000-0000-0000FA290000}"/>
    <cellStyle name="20% - Accent6 2 3 2 2 5 2 2" xfId="20158" xr:uid="{00000000-0005-0000-0000-0000FB290000}"/>
    <cellStyle name="20% - Accent6 2 3 2 2 5 2 2 2" xfId="30526" xr:uid="{00000000-0005-0000-0000-0000FC290000}"/>
    <cellStyle name="20% - Accent6 2 3 2 2 5 2 2 2 2" xfId="49715" xr:uid="{00000000-0005-0000-0000-0000FD290000}"/>
    <cellStyle name="20% - Accent6 2 3 2 2 5 2 2 3" xfId="40017" xr:uid="{00000000-0005-0000-0000-0000FE290000}"/>
    <cellStyle name="20% - Accent6 2 3 2 2 5 2 3" xfId="26071" xr:uid="{00000000-0005-0000-0000-0000FF290000}"/>
    <cellStyle name="20% - Accent6 2 3 2 2 5 2 3 2" xfId="45260" xr:uid="{00000000-0005-0000-0000-0000002A0000}"/>
    <cellStyle name="20% - Accent6 2 3 2 2 5 2 4" xfId="35562" xr:uid="{00000000-0005-0000-0000-0000012A0000}"/>
    <cellStyle name="20% - Accent6 2 3 2 2 5 3" xfId="19043" xr:uid="{00000000-0005-0000-0000-0000022A0000}"/>
    <cellStyle name="20% - Accent6 2 3 2 2 5 3 2" xfId="29411" xr:uid="{00000000-0005-0000-0000-0000032A0000}"/>
    <cellStyle name="20% - Accent6 2 3 2 2 5 3 2 2" xfId="48600" xr:uid="{00000000-0005-0000-0000-0000042A0000}"/>
    <cellStyle name="20% - Accent6 2 3 2 2 5 3 3" xfId="38902" xr:uid="{00000000-0005-0000-0000-0000052A0000}"/>
    <cellStyle name="20% - Accent6 2 3 2 2 5 4" xfId="24956" xr:uid="{00000000-0005-0000-0000-0000062A0000}"/>
    <cellStyle name="20% - Accent6 2 3 2 2 5 4 2" xfId="44145" xr:uid="{00000000-0005-0000-0000-0000072A0000}"/>
    <cellStyle name="20% - Accent6 2 3 2 2 5 5" xfId="34447" xr:uid="{00000000-0005-0000-0000-0000082A0000}"/>
    <cellStyle name="20% - Accent6 2 3 2 2 6" xfId="15137" xr:uid="{00000000-0005-0000-0000-0000092A0000}"/>
    <cellStyle name="20% - Accent6 2 3 2 2 6 2" xfId="19601" xr:uid="{00000000-0005-0000-0000-00000A2A0000}"/>
    <cellStyle name="20% - Accent6 2 3 2 2 6 2 2" xfId="29969" xr:uid="{00000000-0005-0000-0000-00000B2A0000}"/>
    <cellStyle name="20% - Accent6 2 3 2 2 6 2 2 2" xfId="49158" xr:uid="{00000000-0005-0000-0000-00000C2A0000}"/>
    <cellStyle name="20% - Accent6 2 3 2 2 6 2 3" xfId="39460" xr:uid="{00000000-0005-0000-0000-00000D2A0000}"/>
    <cellStyle name="20% - Accent6 2 3 2 2 6 3" xfId="25514" xr:uid="{00000000-0005-0000-0000-00000E2A0000}"/>
    <cellStyle name="20% - Accent6 2 3 2 2 6 3 2" xfId="44703" xr:uid="{00000000-0005-0000-0000-00000F2A0000}"/>
    <cellStyle name="20% - Accent6 2 3 2 2 6 4" xfId="35005" xr:uid="{00000000-0005-0000-0000-0000102A0000}"/>
    <cellStyle name="20% - Accent6 2 3 2 2 7" xfId="16807" xr:uid="{00000000-0005-0000-0000-0000112A0000}"/>
    <cellStyle name="20% - Accent6 2 3 2 2 7 2" xfId="21271" xr:uid="{00000000-0005-0000-0000-0000122A0000}"/>
    <cellStyle name="20% - Accent6 2 3 2 2 7 2 2" xfId="31639" xr:uid="{00000000-0005-0000-0000-0000132A0000}"/>
    <cellStyle name="20% - Accent6 2 3 2 2 7 2 2 2" xfId="50828" xr:uid="{00000000-0005-0000-0000-0000142A0000}"/>
    <cellStyle name="20% - Accent6 2 3 2 2 7 2 3" xfId="41130" xr:uid="{00000000-0005-0000-0000-0000152A0000}"/>
    <cellStyle name="20% - Accent6 2 3 2 2 7 3" xfId="27184" xr:uid="{00000000-0005-0000-0000-0000162A0000}"/>
    <cellStyle name="20% - Accent6 2 3 2 2 7 3 2" xfId="46373" xr:uid="{00000000-0005-0000-0000-0000172A0000}"/>
    <cellStyle name="20% - Accent6 2 3 2 2 7 4" xfId="36675" xr:uid="{00000000-0005-0000-0000-0000182A0000}"/>
    <cellStyle name="20% - Accent6 2 3 2 2 8" xfId="17373" xr:uid="{00000000-0005-0000-0000-0000192A0000}"/>
    <cellStyle name="20% - Accent6 2 3 2 2 8 2" xfId="21828" xr:uid="{00000000-0005-0000-0000-00001A2A0000}"/>
    <cellStyle name="20% - Accent6 2 3 2 2 8 2 2" xfId="32196" xr:uid="{00000000-0005-0000-0000-00001B2A0000}"/>
    <cellStyle name="20% - Accent6 2 3 2 2 8 2 2 2" xfId="51385" xr:uid="{00000000-0005-0000-0000-00001C2A0000}"/>
    <cellStyle name="20% - Accent6 2 3 2 2 8 2 3" xfId="41687" xr:uid="{00000000-0005-0000-0000-00001D2A0000}"/>
    <cellStyle name="20% - Accent6 2 3 2 2 8 3" xfId="27741" xr:uid="{00000000-0005-0000-0000-00001E2A0000}"/>
    <cellStyle name="20% - Accent6 2 3 2 2 8 3 2" xfId="46930" xr:uid="{00000000-0005-0000-0000-00001F2A0000}"/>
    <cellStyle name="20% - Accent6 2 3 2 2 8 4" xfId="37232" xr:uid="{00000000-0005-0000-0000-0000202A0000}"/>
    <cellStyle name="20% - Accent6 2 3 2 2 9" xfId="17930" xr:uid="{00000000-0005-0000-0000-0000212A0000}"/>
    <cellStyle name="20% - Accent6 2 3 2 2 9 2" xfId="28298" xr:uid="{00000000-0005-0000-0000-0000222A0000}"/>
    <cellStyle name="20% - Accent6 2 3 2 2 9 2 2" xfId="47487" xr:uid="{00000000-0005-0000-0000-0000232A0000}"/>
    <cellStyle name="20% - Accent6 2 3 2 2 9 3" xfId="37789" xr:uid="{00000000-0005-0000-0000-0000242A0000}"/>
    <cellStyle name="20% - Accent6 2 3 2 3" xfId="13043" xr:uid="{00000000-0005-0000-0000-0000252A0000}"/>
    <cellStyle name="20% - Accent6 2 3 2 3 10" xfId="53625" xr:uid="{00000000-0005-0000-0000-0000262A0000}"/>
    <cellStyle name="20% - Accent6 2 3 2 3 2" xfId="13989" xr:uid="{00000000-0005-0000-0000-0000272A0000}"/>
    <cellStyle name="20% - Accent6 2 3 2 3 2 2" xfId="16253" xr:uid="{00000000-0005-0000-0000-0000282A0000}"/>
    <cellStyle name="20% - Accent6 2 3 2 3 2 2 2" xfId="20717" xr:uid="{00000000-0005-0000-0000-0000292A0000}"/>
    <cellStyle name="20% - Accent6 2 3 2 3 2 2 2 2" xfId="31085" xr:uid="{00000000-0005-0000-0000-00002A2A0000}"/>
    <cellStyle name="20% - Accent6 2 3 2 3 2 2 2 2 2" xfId="50274" xr:uid="{00000000-0005-0000-0000-00002B2A0000}"/>
    <cellStyle name="20% - Accent6 2 3 2 3 2 2 2 3" xfId="40576" xr:uid="{00000000-0005-0000-0000-00002C2A0000}"/>
    <cellStyle name="20% - Accent6 2 3 2 3 2 2 3" xfId="26630" xr:uid="{00000000-0005-0000-0000-00002D2A0000}"/>
    <cellStyle name="20% - Accent6 2 3 2 3 2 2 3 2" xfId="45819" xr:uid="{00000000-0005-0000-0000-00002E2A0000}"/>
    <cellStyle name="20% - Accent6 2 3 2 3 2 2 4" xfId="36121" xr:uid="{00000000-0005-0000-0000-00002F2A0000}"/>
    <cellStyle name="20% - Accent6 2 3 2 3 2 3" xfId="18489" xr:uid="{00000000-0005-0000-0000-0000302A0000}"/>
    <cellStyle name="20% - Accent6 2 3 2 3 2 3 2" xfId="28857" xr:uid="{00000000-0005-0000-0000-0000312A0000}"/>
    <cellStyle name="20% - Accent6 2 3 2 3 2 3 2 2" xfId="48046" xr:uid="{00000000-0005-0000-0000-0000322A0000}"/>
    <cellStyle name="20% - Accent6 2 3 2 3 2 3 3" xfId="38348" xr:uid="{00000000-0005-0000-0000-0000332A0000}"/>
    <cellStyle name="20% - Accent6 2 3 2 3 2 4" xfId="24397" xr:uid="{00000000-0005-0000-0000-0000342A0000}"/>
    <cellStyle name="20% - Accent6 2 3 2 3 2 4 2" xfId="43591" xr:uid="{00000000-0005-0000-0000-0000352A0000}"/>
    <cellStyle name="20% - Accent6 2 3 2 3 2 5" xfId="33893" xr:uid="{00000000-0005-0000-0000-0000362A0000}"/>
    <cellStyle name="20% - Accent6 2 3 2 3 3" xfId="14568" xr:uid="{00000000-0005-0000-0000-0000372A0000}"/>
    <cellStyle name="20% - Accent6 2 3 2 3 3 2" xfId="15697" xr:uid="{00000000-0005-0000-0000-0000382A0000}"/>
    <cellStyle name="20% - Accent6 2 3 2 3 3 2 2" xfId="20161" xr:uid="{00000000-0005-0000-0000-0000392A0000}"/>
    <cellStyle name="20% - Accent6 2 3 2 3 3 2 2 2" xfId="30529" xr:uid="{00000000-0005-0000-0000-00003A2A0000}"/>
    <cellStyle name="20% - Accent6 2 3 2 3 3 2 2 2 2" xfId="49718" xr:uid="{00000000-0005-0000-0000-00003B2A0000}"/>
    <cellStyle name="20% - Accent6 2 3 2 3 3 2 2 3" xfId="40020" xr:uid="{00000000-0005-0000-0000-00003C2A0000}"/>
    <cellStyle name="20% - Accent6 2 3 2 3 3 2 3" xfId="26074" xr:uid="{00000000-0005-0000-0000-00003D2A0000}"/>
    <cellStyle name="20% - Accent6 2 3 2 3 3 2 3 2" xfId="45263" xr:uid="{00000000-0005-0000-0000-00003E2A0000}"/>
    <cellStyle name="20% - Accent6 2 3 2 3 3 2 4" xfId="35565" xr:uid="{00000000-0005-0000-0000-00003F2A0000}"/>
    <cellStyle name="20% - Accent6 2 3 2 3 3 3" xfId="19046" xr:uid="{00000000-0005-0000-0000-0000402A0000}"/>
    <cellStyle name="20% - Accent6 2 3 2 3 3 3 2" xfId="29414" xr:uid="{00000000-0005-0000-0000-0000412A0000}"/>
    <cellStyle name="20% - Accent6 2 3 2 3 3 3 2 2" xfId="48603" xr:uid="{00000000-0005-0000-0000-0000422A0000}"/>
    <cellStyle name="20% - Accent6 2 3 2 3 3 3 3" xfId="38905" xr:uid="{00000000-0005-0000-0000-0000432A0000}"/>
    <cellStyle name="20% - Accent6 2 3 2 3 3 4" xfId="24959" xr:uid="{00000000-0005-0000-0000-0000442A0000}"/>
    <cellStyle name="20% - Accent6 2 3 2 3 3 4 2" xfId="44148" xr:uid="{00000000-0005-0000-0000-0000452A0000}"/>
    <cellStyle name="20% - Accent6 2 3 2 3 3 5" xfId="34450" xr:uid="{00000000-0005-0000-0000-0000462A0000}"/>
    <cellStyle name="20% - Accent6 2 3 2 3 4" xfId="15140" xr:uid="{00000000-0005-0000-0000-0000472A0000}"/>
    <cellStyle name="20% - Accent6 2 3 2 3 4 2" xfId="19604" xr:uid="{00000000-0005-0000-0000-0000482A0000}"/>
    <cellStyle name="20% - Accent6 2 3 2 3 4 2 2" xfId="29972" xr:uid="{00000000-0005-0000-0000-0000492A0000}"/>
    <cellStyle name="20% - Accent6 2 3 2 3 4 2 2 2" xfId="49161" xr:uid="{00000000-0005-0000-0000-00004A2A0000}"/>
    <cellStyle name="20% - Accent6 2 3 2 3 4 2 3" xfId="39463" xr:uid="{00000000-0005-0000-0000-00004B2A0000}"/>
    <cellStyle name="20% - Accent6 2 3 2 3 4 3" xfId="25517" xr:uid="{00000000-0005-0000-0000-00004C2A0000}"/>
    <cellStyle name="20% - Accent6 2 3 2 3 4 3 2" xfId="44706" xr:uid="{00000000-0005-0000-0000-00004D2A0000}"/>
    <cellStyle name="20% - Accent6 2 3 2 3 4 4" xfId="35008" xr:uid="{00000000-0005-0000-0000-00004E2A0000}"/>
    <cellStyle name="20% - Accent6 2 3 2 3 5" xfId="16810" xr:uid="{00000000-0005-0000-0000-00004F2A0000}"/>
    <cellStyle name="20% - Accent6 2 3 2 3 5 2" xfId="21274" xr:uid="{00000000-0005-0000-0000-0000502A0000}"/>
    <cellStyle name="20% - Accent6 2 3 2 3 5 2 2" xfId="31642" xr:uid="{00000000-0005-0000-0000-0000512A0000}"/>
    <cellStyle name="20% - Accent6 2 3 2 3 5 2 2 2" xfId="50831" xr:uid="{00000000-0005-0000-0000-0000522A0000}"/>
    <cellStyle name="20% - Accent6 2 3 2 3 5 2 3" xfId="41133" xr:uid="{00000000-0005-0000-0000-0000532A0000}"/>
    <cellStyle name="20% - Accent6 2 3 2 3 5 3" xfId="27187" xr:uid="{00000000-0005-0000-0000-0000542A0000}"/>
    <cellStyle name="20% - Accent6 2 3 2 3 5 3 2" xfId="46376" xr:uid="{00000000-0005-0000-0000-0000552A0000}"/>
    <cellStyle name="20% - Accent6 2 3 2 3 5 4" xfId="36678" xr:uid="{00000000-0005-0000-0000-0000562A0000}"/>
    <cellStyle name="20% - Accent6 2 3 2 3 6" xfId="17376" xr:uid="{00000000-0005-0000-0000-0000572A0000}"/>
    <cellStyle name="20% - Accent6 2 3 2 3 6 2" xfId="21831" xr:uid="{00000000-0005-0000-0000-0000582A0000}"/>
    <cellStyle name="20% - Accent6 2 3 2 3 6 2 2" xfId="32199" xr:uid="{00000000-0005-0000-0000-0000592A0000}"/>
    <cellStyle name="20% - Accent6 2 3 2 3 6 2 2 2" xfId="51388" xr:uid="{00000000-0005-0000-0000-00005A2A0000}"/>
    <cellStyle name="20% - Accent6 2 3 2 3 6 2 3" xfId="41690" xr:uid="{00000000-0005-0000-0000-00005B2A0000}"/>
    <cellStyle name="20% - Accent6 2 3 2 3 6 3" xfId="27744" xr:uid="{00000000-0005-0000-0000-00005C2A0000}"/>
    <cellStyle name="20% - Accent6 2 3 2 3 6 3 2" xfId="46933" xr:uid="{00000000-0005-0000-0000-00005D2A0000}"/>
    <cellStyle name="20% - Accent6 2 3 2 3 6 4" xfId="37235" xr:uid="{00000000-0005-0000-0000-00005E2A0000}"/>
    <cellStyle name="20% - Accent6 2 3 2 3 7" xfId="17933" xr:uid="{00000000-0005-0000-0000-00005F2A0000}"/>
    <cellStyle name="20% - Accent6 2 3 2 3 7 2" xfId="28301" xr:uid="{00000000-0005-0000-0000-0000602A0000}"/>
    <cellStyle name="20% - Accent6 2 3 2 3 7 2 2" xfId="47490" xr:uid="{00000000-0005-0000-0000-0000612A0000}"/>
    <cellStyle name="20% - Accent6 2 3 2 3 7 3" xfId="37792" xr:uid="{00000000-0005-0000-0000-0000622A0000}"/>
    <cellStyle name="20% - Accent6 2 3 2 3 8" xfId="23796" xr:uid="{00000000-0005-0000-0000-0000632A0000}"/>
    <cellStyle name="20% - Accent6 2 3 2 3 8 2" xfId="43035" xr:uid="{00000000-0005-0000-0000-0000642A0000}"/>
    <cellStyle name="20% - Accent6 2 3 2 3 9" xfId="33337" xr:uid="{00000000-0005-0000-0000-0000652A0000}"/>
    <cellStyle name="20% - Accent6 2 3 2 4" xfId="13044" xr:uid="{00000000-0005-0000-0000-0000662A0000}"/>
    <cellStyle name="20% - Accent6 2 3 2 4 2" xfId="13990" xr:uid="{00000000-0005-0000-0000-0000672A0000}"/>
    <cellStyle name="20% - Accent6 2 3 2 4 2 2" xfId="16254" xr:uid="{00000000-0005-0000-0000-0000682A0000}"/>
    <cellStyle name="20% - Accent6 2 3 2 4 2 2 2" xfId="20718" xr:uid="{00000000-0005-0000-0000-0000692A0000}"/>
    <cellStyle name="20% - Accent6 2 3 2 4 2 2 2 2" xfId="31086" xr:uid="{00000000-0005-0000-0000-00006A2A0000}"/>
    <cellStyle name="20% - Accent6 2 3 2 4 2 2 2 2 2" xfId="50275" xr:uid="{00000000-0005-0000-0000-00006B2A0000}"/>
    <cellStyle name="20% - Accent6 2 3 2 4 2 2 2 3" xfId="40577" xr:uid="{00000000-0005-0000-0000-00006C2A0000}"/>
    <cellStyle name="20% - Accent6 2 3 2 4 2 2 3" xfId="26631" xr:uid="{00000000-0005-0000-0000-00006D2A0000}"/>
    <cellStyle name="20% - Accent6 2 3 2 4 2 2 3 2" xfId="45820" xr:uid="{00000000-0005-0000-0000-00006E2A0000}"/>
    <cellStyle name="20% - Accent6 2 3 2 4 2 2 4" xfId="36122" xr:uid="{00000000-0005-0000-0000-00006F2A0000}"/>
    <cellStyle name="20% - Accent6 2 3 2 4 2 3" xfId="18490" xr:uid="{00000000-0005-0000-0000-0000702A0000}"/>
    <cellStyle name="20% - Accent6 2 3 2 4 2 3 2" xfId="28858" xr:uid="{00000000-0005-0000-0000-0000712A0000}"/>
    <cellStyle name="20% - Accent6 2 3 2 4 2 3 2 2" xfId="48047" xr:uid="{00000000-0005-0000-0000-0000722A0000}"/>
    <cellStyle name="20% - Accent6 2 3 2 4 2 3 3" xfId="38349" xr:uid="{00000000-0005-0000-0000-0000732A0000}"/>
    <cellStyle name="20% - Accent6 2 3 2 4 2 4" xfId="24398" xr:uid="{00000000-0005-0000-0000-0000742A0000}"/>
    <cellStyle name="20% - Accent6 2 3 2 4 2 4 2" xfId="43592" xr:uid="{00000000-0005-0000-0000-0000752A0000}"/>
    <cellStyle name="20% - Accent6 2 3 2 4 2 5" xfId="33894" xr:uid="{00000000-0005-0000-0000-0000762A0000}"/>
    <cellStyle name="20% - Accent6 2 3 2 4 3" xfId="14569" xr:uid="{00000000-0005-0000-0000-0000772A0000}"/>
    <cellStyle name="20% - Accent6 2 3 2 4 3 2" xfId="15698" xr:uid="{00000000-0005-0000-0000-0000782A0000}"/>
    <cellStyle name="20% - Accent6 2 3 2 4 3 2 2" xfId="20162" xr:uid="{00000000-0005-0000-0000-0000792A0000}"/>
    <cellStyle name="20% - Accent6 2 3 2 4 3 2 2 2" xfId="30530" xr:uid="{00000000-0005-0000-0000-00007A2A0000}"/>
    <cellStyle name="20% - Accent6 2 3 2 4 3 2 2 2 2" xfId="49719" xr:uid="{00000000-0005-0000-0000-00007B2A0000}"/>
    <cellStyle name="20% - Accent6 2 3 2 4 3 2 2 3" xfId="40021" xr:uid="{00000000-0005-0000-0000-00007C2A0000}"/>
    <cellStyle name="20% - Accent6 2 3 2 4 3 2 3" xfId="26075" xr:uid="{00000000-0005-0000-0000-00007D2A0000}"/>
    <cellStyle name="20% - Accent6 2 3 2 4 3 2 3 2" xfId="45264" xr:uid="{00000000-0005-0000-0000-00007E2A0000}"/>
    <cellStyle name="20% - Accent6 2 3 2 4 3 2 4" xfId="35566" xr:uid="{00000000-0005-0000-0000-00007F2A0000}"/>
    <cellStyle name="20% - Accent6 2 3 2 4 3 3" xfId="19047" xr:uid="{00000000-0005-0000-0000-0000802A0000}"/>
    <cellStyle name="20% - Accent6 2 3 2 4 3 3 2" xfId="29415" xr:uid="{00000000-0005-0000-0000-0000812A0000}"/>
    <cellStyle name="20% - Accent6 2 3 2 4 3 3 2 2" xfId="48604" xr:uid="{00000000-0005-0000-0000-0000822A0000}"/>
    <cellStyle name="20% - Accent6 2 3 2 4 3 3 3" xfId="38906" xr:uid="{00000000-0005-0000-0000-0000832A0000}"/>
    <cellStyle name="20% - Accent6 2 3 2 4 3 4" xfId="24960" xr:uid="{00000000-0005-0000-0000-0000842A0000}"/>
    <cellStyle name="20% - Accent6 2 3 2 4 3 4 2" xfId="44149" xr:uid="{00000000-0005-0000-0000-0000852A0000}"/>
    <cellStyle name="20% - Accent6 2 3 2 4 3 5" xfId="34451" xr:uid="{00000000-0005-0000-0000-0000862A0000}"/>
    <cellStyle name="20% - Accent6 2 3 2 4 4" xfId="15141" xr:uid="{00000000-0005-0000-0000-0000872A0000}"/>
    <cellStyle name="20% - Accent6 2 3 2 4 4 2" xfId="19605" xr:uid="{00000000-0005-0000-0000-0000882A0000}"/>
    <cellStyle name="20% - Accent6 2 3 2 4 4 2 2" xfId="29973" xr:uid="{00000000-0005-0000-0000-0000892A0000}"/>
    <cellStyle name="20% - Accent6 2 3 2 4 4 2 2 2" xfId="49162" xr:uid="{00000000-0005-0000-0000-00008A2A0000}"/>
    <cellStyle name="20% - Accent6 2 3 2 4 4 2 3" xfId="39464" xr:uid="{00000000-0005-0000-0000-00008B2A0000}"/>
    <cellStyle name="20% - Accent6 2 3 2 4 4 3" xfId="25518" xr:uid="{00000000-0005-0000-0000-00008C2A0000}"/>
    <cellStyle name="20% - Accent6 2 3 2 4 4 3 2" xfId="44707" xr:uid="{00000000-0005-0000-0000-00008D2A0000}"/>
    <cellStyle name="20% - Accent6 2 3 2 4 4 4" xfId="35009" xr:uid="{00000000-0005-0000-0000-00008E2A0000}"/>
    <cellStyle name="20% - Accent6 2 3 2 4 5" xfId="16811" xr:uid="{00000000-0005-0000-0000-00008F2A0000}"/>
    <cellStyle name="20% - Accent6 2 3 2 4 5 2" xfId="21275" xr:uid="{00000000-0005-0000-0000-0000902A0000}"/>
    <cellStyle name="20% - Accent6 2 3 2 4 5 2 2" xfId="31643" xr:uid="{00000000-0005-0000-0000-0000912A0000}"/>
    <cellStyle name="20% - Accent6 2 3 2 4 5 2 2 2" xfId="50832" xr:uid="{00000000-0005-0000-0000-0000922A0000}"/>
    <cellStyle name="20% - Accent6 2 3 2 4 5 2 3" xfId="41134" xr:uid="{00000000-0005-0000-0000-0000932A0000}"/>
    <cellStyle name="20% - Accent6 2 3 2 4 5 3" xfId="27188" xr:uid="{00000000-0005-0000-0000-0000942A0000}"/>
    <cellStyle name="20% - Accent6 2 3 2 4 5 3 2" xfId="46377" xr:uid="{00000000-0005-0000-0000-0000952A0000}"/>
    <cellStyle name="20% - Accent6 2 3 2 4 5 4" xfId="36679" xr:uid="{00000000-0005-0000-0000-0000962A0000}"/>
    <cellStyle name="20% - Accent6 2 3 2 4 6" xfId="17377" xr:uid="{00000000-0005-0000-0000-0000972A0000}"/>
    <cellStyle name="20% - Accent6 2 3 2 4 6 2" xfId="21832" xr:uid="{00000000-0005-0000-0000-0000982A0000}"/>
    <cellStyle name="20% - Accent6 2 3 2 4 6 2 2" xfId="32200" xr:uid="{00000000-0005-0000-0000-0000992A0000}"/>
    <cellStyle name="20% - Accent6 2 3 2 4 6 2 2 2" xfId="51389" xr:uid="{00000000-0005-0000-0000-00009A2A0000}"/>
    <cellStyle name="20% - Accent6 2 3 2 4 6 2 3" xfId="41691" xr:uid="{00000000-0005-0000-0000-00009B2A0000}"/>
    <cellStyle name="20% - Accent6 2 3 2 4 6 3" xfId="27745" xr:uid="{00000000-0005-0000-0000-00009C2A0000}"/>
    <cellStyle name="20% - Accent6 2 3 2 4 6 3 2" xfId="46934" xr:uid="{00000000-0005-0000-0000-00009D2A0000}"/>
    <cellStyle name="20% - Accent6 2 3 2 4 6 4" xfId="37236" xr:uid="{00000000-0005-0000-0000-00009E2A0000}"/>
    <cellStyle name="20% - Accent6 2 3 2 4 7" xfId="17934" xr:uid="{00000000-0005-0000-0000-00009F2A0000}"/>
    <cellStyle name="20% - Accent6 2 3 2 4 7 2" xfId="28302" xr:uid="{00000000-0005-0000-0000-0000A02A0000}"/>
    <cellStyle name="20% - Accent6 2 3 2 4 7 2 2" xfId="47491" xr:uid="{00000000-0005-0000-0000-0000A12A0000}"/>
    <cellStyle name="20% - Accent6 2 3 2 4 7 3" xfId="37793" xr:uid="{00000000-0005-0000-0000-0000A22A0000}"/>
    <cellStyle name="20% - Accent6 2 3 2 4 8" xfId="23797" xr:uid="{00000000-0005-0000-0000-0000A32A0000}"/>
    <cellStyle name="20% - Accent6 2 3 2 4 8 2" xfId="43036" xr:uid="{00000000-0005-0000-0000-0000A42A0000}"/>
    <cellStyle name="20% - Accent6 2 3 2 4 9" xfId="33338" xr:uid="{00000000-0005-0000-0000-0000A52A0000}"/>
    <cellStyle name="20% - Accent6 2 3 2 5" xfId="13985" xr:uid="{00000000-0005-0000-0000-0000A62A0000}"/>
    <cellStyle name="20% - Accent6 2 3 2 5 2" xfId="16249" xr:uid="{00000000-0005-0000-0000-0000A72A0000}"/>
    <cellStyle name="20% - Accent6 2 3 2 5 2 2" xfId="20713" xr:uid="{00000000-0005-0000-0000-0000A82A0000}"/>
    <cellStyle name="20% - Accent6 2 3 2 5 2 2 2" xfId="31081" xr:uid="{00000000-0005-0000-0000-0000A92A0000}"/>
    <cellStyle name="20% - Accent6 2 3 2 5 2 2 2 2" xfId="50270" xr:uid="{00000000-0005-0000-0000-0000AA2A0000}"/>
    <cellStyle name="20% - Accent6 2 3 2 5 2 2 3" xfId="40572" xr:uid="{00000000-0005-0000-0000-0000AB2A0000}"/>
    <cellStyle name="20% - Accent6 2 3 2 5 2 3" xfId="26626" xr:uid="{00000000-0005-0000-0000-0000AC2A0000}"/>
    <cellStyle name="20% - Accent6 2 3 2 5 2 3 2" xfId="45815" xr:uid="{00000000-0005-0000-0000-0000AD2A0000}"/>
    <cellStyle name="20% - Accent6 2 3 2 5 2 4" xfId="36117" xr:uid="{00000000-0005-0000-0000-0000AE2A0000}"/>
    <cellStyle name="20% - Accent6 2 3 2 5 3" xfId="18485" xr:uid="{00000000-0005-0000-0000-0000AF2A0000}"/>
    <cellStyle name="20% - Accent6 2 3 2 5 3 2" xfId="28853" xr:uid="{00000000-0005-0000-0000-0000B02A0000}"/>
    <cellStyle name="20% - Accent6 2 3 2 5 3 2 2" xfId="48042" xr:uid="{00000000-0005-0000-0000-0000B12A0000}"/>
    <cellStyle name="20% - Accent6 2 3 2 5 3 3" xfId="38344" xr:uid="{00000000-0005-0000-0000-0000B22A0000}"/>
    <cellStyle name="20% - Accent6 2 3 2 5 4" xfId="24393" xr:uid="{00000000-0005-0000-0000-0000B32A0000}"/>
    <cellStyle name="20% - Accent6 2 3 2 5 4 2" xfId="43587" xr:uid="{00000000-0005-0000-0000-0000B42A0000}"/>
    <cellStyle name="20% - Accent6 2 3 2 5 5" xfId="33889" xr:uid="{00000000-0005-0000-0000-0000B52A0000}"/>
    <cellStyle name="20% - Accent6 2 3 2 6" xfId="14564" xr:uid="{00000000-0005-0000-0000-0000B62A0000}"/>
    <cellStyle name="20% - Accent6 2 3 2 6 2" xfId="15693" xr:uid="{00000000-0005-0000-0000-0000B72A0000}"/>
    <cellStyle name="20% - Accent6 2 3 2 6 2 2" xfId="20157" xr:uid="{00000000-0005-0000-0000-0000B82A0000}"/>
    <cellStyle name="20% - Accent6 2 3 2 6 2 2 2" xfId="30525" xr:uid="{00000000-0005-0000-0000-0000B92A0000}"/>
    <cellStyle name="20% - Accent6 2 3 2 6 2 2 2 2" xfId="49714" xr:uid="{00000000-0005-0000-0000-0000BA2A0000}"/>
    <cellStyle name="20% - Accent6 2 3 2 6 2 2 3" xfId="40016" xr:uid="{00000000-0005-0000-0000-0000BB2A0000}"/>
    <cellStyle name="20% - Accent6 2 3 2 6 2 3" xfId="26070" xr:uid="{00000000-0005-0000-0000-0000BC2A0000}"/>
    <cellStyle name="20% - Accent6 2 3 2 6 2 3 2" xfId="45259" xr:uid="{00000000-0005-0000-0000-0000BD2A0000}"/>
    <cellStyle name="20% - Accent6 2 3 2 6 2 4" xfId="35561" xr:uid="{00000000-0005-0000-0000-0000BE2A0000}"/>
    <cellStyle name="20% - Accent6 2 3 2 6 3" xfId="19042" xr:uid="{00000000-0005-0000-0000-0000BF2A0000}"/>
    <cellStyle name="20% - Accent6 2 3 2 6 3 2" xfId="29410" xr:uid="{00000000-0005-0000-0000-0000C02A0000}"/>
    <cellStyle name="20% - Accent6 2 3 2 6 3 2 2" xfId="48599" xr:uid="{00000000-0005-0000-0000-0000C12A0000}"/>
    <cellStyle name="20% - Accent6 2 3 2 6 3 3" xfId="38901" xr:uid="{00000000-0005-0000-0000-0000C22A0000}"/>
    <cellStyle name="20% - Accent6 2 3 2 6 4" xfId="24955" xr:uid="{00000000-0005-0000-0000-0000C32A0000}"/>
    <cellStyle name="20% - Accent6 2 3 2 6 4 2" xfId="44144" xr:uid="{00000000-0005-0000-0000-0000C42A0000}"/>
    <cellStyle name="20% - Accent6 2 3 2 6 5" xfId="34446" xr:uid="{00000000-0005-0000-0000-0000C52A0000}"/>
    <cellStyle name="20% - Accent6 2 3 2 7" xfId="15136" xr:uid="{00000000-0005-0000-0000-0000C62A0000}"/>
    <cellStyle name="20% - Accent6 2 3 2 7 2" xfId="19600" xr:uid="{00000000-0005-0000-0000-0000C72A0000}"/>
    <cellStyle name="20% - Accent6 2 3 2 7 2 2" xfId="29968" xr:uid="{00000000-0005-0000-0000-0000C82A0000}"/>
    <cellStyle name="20% - Accent6 2 3 2 7 2 2 2" xfId="49157" xr:uid="{00000000-0005-0000-0000-0000C92A0000}"/>
    <cellStyle name="20% - Accent6 2 3 2 7 2 3" xfId="39459" xr:uid="{00000000-0005-0000-0000-0000CA2A0000}"/>
    <cellStyle name="20% - Accent6 2 3 2 7 3" xfId="25513" xr:uid="{00000000-0005-0000-0000-0000CB2A0000}"/>
    <cellStyle name="20% - Accent6 2 3 2 7 3 2" xfId="44702" xr:uid="{00000000-0005-0000-0000-0000CC2A0000}"/>
    <cellStyle name="20% - Accent6 2 3 2 7 4" xfId="35004" xr:uid="{00000000-0005-0000-0000-0000CD2A0000}"/>
    <cellStyle name="20% - Accent6 2 3 2 8" xfId="16806" xr:uid="{00000000-0005-0000-0000-0000CE2A0000}"/>
    <cellStyle name="20% - Accent6 2 3 2 8 2" xfId="21270" xr:uid="{00000000-0005-0000-0000-0000CF2A0000}"/>
    <cellStyle name="20% - Accent6 2 3 2 8 2 2" xfId="31638" xr:uid="{00000000-0005-0000-0000-0000D02A0000}"/>
    <cellStyle name="20% - Accent6 2 3 2 8 2 2 2" xfId="50827" xr:uid="{00000000-0005-0000-0000-0000D12A0000}"/>
    <cellStyle name="20% - Accent6 2 3 2 8 2 3" xfId="41129" xr:uid="{00000000-0005-0000-0000-0000D22A0000}"/>
    <cellStyle name="20% - Accent6 2 3 2 8 3" xfId="27183" xr:uid="{00000000-0005-0000-0000-0000D32A0000}"/>
    <cellStyle name="20% - Accent6 2 3 2 8 3 2" xfId="46372" xr:uid="{00000000-0005-0000-0000-0000D42A0000}"/>
    <cellStyle name="20% - Accent6 2 3 2 8 4" xfId="36674" xr:uid="{00000000-0005-0000-0000-0000D52A0000}"/>
    <cellStyle name="20% - Accent6 2 3 2 9" xfId="17372" xr:uid="{00000000-0005-0000-0000-0000D62A0000}"/>
    <cellStyle name="20% - Accent6 2 3 2 9 2" xfId="21827" xr:uid="{00000000-0005-0000-0000-0000D72A0000}"/>
    <cellStyle name="20% - Accent6 2 3 2 9 2 2" xfId="32195" xr:uid="{00000000-0005-0000-0000-0000D82A0000}"/>
    <cellStyle name="20% - Accent6 2 3 2 9 2 2 2" xfId="51384" xr:uid="{00000000-0005-0000-0000-0000D92A0000}"/>
    <cellStyle name="20% - Accent6 2 3 2 9 2 3" xfId="41686" xr:uid="{00000000-0005-0000-0000-0000DA2A0000}"/>
    <cellStyle name="20% - Accent6 2 3 2 9 3" xfId="27740" xr:uid="{00000000-0005-0000-0000-0000DB2A0000}"/>
    <cellStyle name="20% - Accent6 2 3 2 9 3 2" xfId="46929" xr:uid="{00000000-0005-0000-0000-0000DC2A0000}"/>
    <cellStyle name="20% - Accent6 2 3 2 9 4" xfId="37231" xr:uid="{00000000-0005-0000-0000-0000DD2A0000}"/>
    <cellStyle name="20% - Accent6 2 3 3" xfId="1792" xr:uid="{00000000-0005-0000-0000-0000DE2A0000}"/>
    <cellStyle name="20% - Accent6 2 3 3 10" xfId="23798" xr:uid="{00000000-0005-0000-0000-0000DF2A0000}"/>
    <cellStyle name="20% - Accent6 2 3 3 10 2" xfId="43037" xr:uid="{00000000-0005-0000-0000-0000E02A0000}"/>
    <cellStyle name="20% - Accent6 2 3 3 11" xfId="33339" xr:uid="{00000000-0005-0000-0000-0000E12A0000}"/>
    <cellStyle name="20% - Accent6 2 3 3 12" xfId="52950" xr:uid="{00000000-0005-0000-0000-0000E22A0000}"/>
    <cellStyle name="20% - Accent6 2 3 3 13" xfId="13045" xr:uid="{00000000-0005-0000-0000-0000E32A0000}"/>
    <cellStyle name="20% - Accent6 2 3 3 2" xfId="13046" xr:uid="{00000000-0005-0000-0000-0000E42A0000}"/>
    <cellStyle name="20% - Accent6 2 3 3 2 10" xfId="53825" xr:uid="{00000000-0005-0000-0000-0000E52A0000}"/>
    <cellStyle name="20% - Accent6 2 3 3 2 2" xfId="13992" xr:uid="{00000000-0005-0000-0000-0000E62A0000}"/>
    <cellStyle name="20% - Accent6 2 3 3 2 2 2" xfId="16256" xr:uid="{00000000-0005-0000-0000-0000E72A0000}"/>
    <cellStyle name="20% - Accent6 2 3 3 2 2 2 2" xfId="20720" xr:uid="{00000000-0005-0000-0000-0000E82A0000}"/>
    <cellStyle name="20% - Accent6 2 3 3 2 2 2 2 2" xfId="31088" xr:uid="{00000000-0005-0000-0000-0000E92A0000}"/>
    <cellStyle name="20% - Accent6 2 3 3 2 2 2 2 2 2" xfId="50277" xr:uid="{00000000-0005-0000-0000-0000EA2A0000}"/>
    <cellStyle name="20% - Accent6 2 3 3 2 2 2 2 3" xfId="40579" xr:uid="{00000000-0005-0000-0000-0000EB2A0000}"/>
    <cellStyle name="20% - Accent6 2 3 3 2 2 2 3" xfId="26633" xr:uid="{00000000-0005-0000-0000-0000EC2A0000}"/>
    <cellStyle name="20% - Accent6 2 3 3 2 2 2 3 2" xfId="45822" xr:uid="{00000000-0005-0000-0000-0000ED2A0000}"/>
    <cellStyle name="20% - Accent6 2 3 3 2 2 2 4" xfId="36124" xr:uid="{00000000-0005-0000-0000-0000EE2A0000}"/>
    <cellStyle name="20% - Accent6 2 3 3 2 2 3" xfId="18492" xr:uid="{00000000-0005-0000-0000-0000EF2A0000}"/>
    <cellStyle name="20% - Accent6 2 3 3 2 2 3 2" xfId="28860" xr:uid="{00000000-0005-0000-0000-0000F02A0000}"/>
    <cellStyle name="20% - Accent6 2 3 3 2 2 3 2 2" xfId="48049" xr:uid="{00000000-0005-0000-0000-0000F12A0000}"/>
    <cellStyle name="20% - Accent6 2 3 3 2 2 3 3" xfId="38351" xr:uid="{00000000-0005-0000-0000-0000F22A0000}"/>
    <cellStyle name="20% - Accent6 2 3 3 2 2 4" xfId="24400" xr:uid="{00000000-0005-0000-0000-0000F32A0000}"/>
    <cellStyle name="20% - Accent6 2 3 3 2 2 4 2" xfId="43594" xr:uid="{00000000-0005-0000-0000-0000F42A0000}"/>
    <cellStyle name="20% - Accent6 2 3 3 2 2 5" xfId="33896" xr:uid="{00000000-0005-0000-0000-0000F52A0000}"/>
    <cellStyle name="20% - Accent6 2 3 3 2 3" xfId="14571" xr:uid="{00000000-0005-0000-0000-0000F62A0000}"/>
    <cellStyle name="20% - Accent6 2 3 3 2 3 2" xfId="15700" xr:uid="{00000000-0005-0000-0000-0000F72A0000}"/>
    <cellStyle name="20% - Accent6 2 3 3 2 3 2 2" xfId="20164" xr:uid="{00000000-0005-0000-0000-0000F82A0000}"/>
    <cellStyle name="20% - Accent6 2 3 3 2 3 2 2 2" xfId="30532" xr:uid="{00000000-0005-0000-0000-0000F92A0000}"/>
    <cellStyle name="20% - Accent6 2 3 3 2 3 2 2 2 2" xfId="49721" xr:uid="{00000000-0005-0000-0000-0000FA2A0000}"/>
    <cellStyle name="20% - Accent6 2 3 3 2 3 2 2 3" xfId="40023" xr:uid="{00000000-0005-0000-0000-0000FB2A0000}"/>
    <cellStyle name="20% - Accent6 2 3 3 2 3 2 3" xfId="26077" xr:uid="{00000000-0005-0000-0000-0000FC2A0000}"/>
    <cellStyle name="20% - Accent6 2 3 3 2 3 2 3 2" xfId="45266" xr:uid="{00000000-0005-0000-0000-0000FD2A0000}"/>
    <cellStyle name="20% - Accent6 2 3 3 2 3 2 4" xfId="35568" xr:uid="{00000000-0005-0000-0000-0000FE2A0000}"/>
    <cellStyle name="20% - Accent6 2 3 3 2 3 3" xfId="19049" xr:uid="{00000000-0005-0000-0000-0000FF2A0000}"/>
    <cellStyle name="20% - Accent6 2 3 3 2 3 3 2" xfId="29417" xr:uid="{00000000-0005-0000-0000-0000002B0000}"/>
    <cellStyle name="20% - Accent6 2 3 3 2 3 3 2 2" xfId="48606" xr:uid="{00000000-0005-0000-0000-0000012B0000}"/>
    <cellStyle name="20% - Accent6 2 3 3 2 3 3 3" xfId="38908" xr:uid="{00000000-0005-0000-0000-0000022B0000}"/>
    <cellStyle name="20% - Accent6 2 3 3 2 3 4" xfId="24962" xr:uid="{00000000-0005-0000-0000-0000032B0000}"/>
    <cellStyle name="20% - Accent6 2 3 3 2 3 4 2" xfId="44151" xr:uid="{00000000-0005-0000-0000-0000042B0000}"/>
    <cellStyle name="20% - Accent6 2 3 3 2 3 5" xfId="34453" xr:uid="{00000000-0005-0000-0000-0000052B0000}"/>
    <cellStyle name="20% - Accent6 2 3 3 2 4" xfId="15143" xr:uid="{00000000-0005-0000-0000-0000062B0000}"/>
    <cellStyle name="20% - Accent6 2 3 3 2 4 2" xfId="19607" xr:uid="{00000000-0005-0000-0000-0000072B0000}"/>
    <cellStyle name="20% - Accent6 2 3 3 2 4 2 2" xfId="29975" xr:uid="{00000000-0005-0000-0000-0000082B0000}"/>
    <cellStyle name="20% - Accent6 2 3 3 2 4 2 2 2" xfId="49164" xr:uid="{00000000-0005-0000-0000-0000092B0000}"/>
    <cellStyle name="20% - Accent6 2 3 3 2 4 2 3" xfId="39466" xr:uid="{00000000-0005-0000-0000-00000A2B0000}"/>
    <cellStyle name="20% - Accent6 2 3 3 2 4 3" xfId="25520" xr:uid="{00000000-0005-0000-0000-00000B2B0000}"/>
    <cellStyle name="20% - Accent6 2 3 3 2 4 3 2" xfId="44709" xr:uid="{00000000-0005-0000-0000-00000C2B0000}"/>
    <cellStyle name="20% - Accent6 2 3 3 2 4 4" xfId="35011" xr:uid="{00000000-0005-0000-0000-00000D2B0000}"/>
    <cellStyle name="20% - Accent6 2 3 3 2 5" xfId="16813" xr:uid="{00000000-0005-0000-0000-00000E2B0000}"/>
    <cellStyle name="20% - Accent6 2 3 3 2 5 2" xfId="21277" xr:uid="{00000000-0005-0000-0000-00000F2B0000}"/>
    <cellStyle name="20% - Accent6 2 3 3 2 5 2 2" xfId="31645" xr:uid="{00000000-0005-0000-0000-0000102B0000}"/>
    <cellStyle name="20% - Accent6 2 3 3 2 5 2 2 2" xfId="50834" xr:uid="{00000000-0005-0000-0000-0000112B0000}"/>
    <cellStyle name="20% - Accent6 2 3 3 2 5 2 3" xfId="41136" xr:uid="{00000000-0005-0000-0000-0000122B0000}"/>
    <cellStyle name="20% - Accent6 2 3 3 2 5 3" xfId="27190" xr:uid="{00000000-0005-0000-0000-0000132B0000}"/>
    <cellStyle name="20% - Accent6 2 3 3 2 5 3 2" xfId="46379" xr:uid="{00000000-0005-0000-0000-0000142B0000}"/>
    <cellStyle name="20% - Accent6 2 3 3 2 5 4" xfId="36681" xr:uid="{00000000-0005-0000-0000-0000152B0000}"/>
    <cellStyle name="20% - Accent6 2 3 3 2 6" xfId="17379" xr:uid="{00000000-0005-0000-0000-0000162B0000}"/>
    <cellStyle name="20% - Accent6 2 3 3 2 6 2" xfId="21834" xr:uid="{00000000-0005-0000-0000-0000172B0000}"/>
    <cellStyle name="20% - Accent6 2 3 3 2 6 2 2" xfId="32202" xr:uid="{00000000-0005-0000-0000-0000182B0000}"/>
    <cellStyle name="20% - Accent6 2 3 3 2 6 2 2 2" xfId="51391" xr:uid="{00000000-0005-0000-0000-0000192B0000}"/>
    <cellStyle name="20% - Accent6 2 3 3 2 6 2 3" xfId="41693" xr:uid="{00000000-0005-0000-0000-00001A2B0000}"/>
    <cellStyle name="20% - Accent6 2 3 3 2 6 3" xfId="27747" xr:uid="{00000000-0005-0000-0000-00001B2B0000}"/>
    <cellStyle name="20% - Accent6 2 3 3 2 6 3 2" xfId="46936" xr:uid="{00000000-0005-0000-0000-00001C2B0000}"/>
    <cellStyle name="20% - Accent6 2 3 3 2 6 4" xfId="37238" xr:uid="{00000000-0005-0000-0000-00001D2B0000}"/>
    <cellStyle name="20% - Accent6 2 3 3 2 7" xfId="17936" xr:uid="{00000000-0005-0000-0000-00001E2B0000}"/>
    <cellStyle name="20% - Accent6 2 3 3 2 7 2" xfId="28304" xr:uid="{00000000-0005-0000-0000-00001F2B0000}"/>
    <cellStyle name="20% - Accent6 2 3 3 2 7 2 2" xfId="47493" xr:uid="{00000000-0005-0000-0000-0000202B0000}"/>
    <cellStyle name="20% - Accent6 2 3 3 2 7 3" xfId="37795" xr:uid="{00000000-0005-0000-0000-0000212B0000}"/>
    <cellStyle name="20% - Accent6 2 3 3 2 8" xfId="23799" xr:uid="{00000000-0005-0000-0000-0000222B0000}"/>
    <cellStyle name="20% - Accent6 2 3 3 2 8 2" xfId="43038" xr:uid="{00000000-0005-0000-0000-0000232B0000}"/>
    <cellStyle name="20% - Accent6 2 3 3 2 9" xfId="33340" xr:uid="{00000000-0005-0000-0000-0000242B0000}"/>
    <cellStyle name="20% - Accent6 2 3 3 3" xfId="13047" xr:uid="{00000000-0005-0000-0000-0000252B0000}"/>
    <cellStyle name="20% - Accent6 2 3 3 3 2" xfId="13993" xr:uid="{00000000-0005-0000-0000-0000262B0000}"/>
    <cellStyle name="20% - Accent6 2 3 3 3 2 2" xfId="16257" xr:uid="{00000000-0005-0000-0000-0000272B0000}"/>
    <cellStyle name="20% - Accent6 2 3 3 3 2 2 2" xfId="20721" xr:uid="{00000000-0005-0000-0000-0000282B0000}"/>
    <cellStyle name="20% - Accent6 2 3 3 3 2 2 2 2" xfId="31089" xr:uid="{00000000-0005-0000-0000-0000292B0000}"/>
    <cellStyle name="20% - Accent6 2 3 3 3 2 2 2 2 2" xfId="50278" xr:uid="{00000000-0005-0000-0000-00002A2B0000}"/>
    <cellStyle name="20% - Accent6 2 3 3 3 2 2 2 3" xfId="40580" xr:uid="{00000000-0005-0000-0000-00002B2B0000}"/>
    <cellStyle name="20% - Accent6 2 3 3 3 2 2 3" xfId="26634" xr:uid="{00000000-0005-0000-0000-00002C2B0000}"/>
    <cellStyle name="20% - Accent6 2 3 3 3 2 2 3 2" xfId="45823" xr:uid="{00000000-0005-0000-0000-00002D2B0000}"/>
    <cellStyle name="20% - Accent6 2 3 3 3 2 2 4" xfId="36125" xr:uid="{00000000-0005-0000-0000-00002E2B0000}"/>
    <cellStyle name="20% - Accent6 2 3 3 3 2 3" xfId="18493" xr:uid="{00000000-0005-0000-0000-00002F2B0000}"/>
    <cellStyle name="20% - Accent6 2 3 3 3 2 3 2" xfId="28861" xr:uid="{00000000-0005-0000-0000-0000302B0000}"/>
    <cellStyle name="20% - Accent6 2 3 3 3 2 3 2 2" xfId="48050" xr:uid="{00000000-0005-0000-0000-0000312B0000}"/>
    <cellStyle name="20% - Accent6 2 3 3 3 2 3 3" xfId="38352" xr:uid="{00000000-0005-0000-0000-0000322B0000}"/>
    <cellStyle name="20% - Accent6 2 3 3 3 2 4" xfId="24401" xr:uid="{00000000-0005-0000-0000-0000332B0000}"/>
    <cellStyle name="20% - Accent6 2 3 3 3 2 4 2" xfId="43595" xr:uid="{00000000-0005-0000-0000-0000342B0000}"/>
    <cellStyle name="20% - Accent6 2 3 3 3 2 5" xfId="33897" xr:uid="{00000000-0005-0000-0000-0000352B0000}"/>
    <cellStyle name="20% - Accent6 2 3 3 3 3" xfId="14572" xr:uid="{00000000-0005-0000-0000-0000362B0000}"/>
    <cellStyle name="20% - Accent6 2 3 3 3 3 2" xfId="15701" xr:uid="{00000000-0005-0000-0000-0000372B0000}"/>
    <cellStyle name="20% - Accent6 2 3 3 3 3 2 2" xfId="20165" xr:uid="{00000000-0005-0000-0000-0000382B0000}"/>
    <cellStyle name="20% - Accent6 2 3 3 3 3 2 2 2" xfId="30533" xr:uid="{00000000-0005-0000-0000-0000392B0000}"/>
    <cellStyle name="20% - Accent6 2 3 3 3 3 2 2 2 2" xfId="49722" xr:uid="{00000000-0005-0000-0000-00003A2B0000}"/>
    <cellStyle name="20% - Accent6 2 3 3 3 3 2 2 3" xfId="40024" xr:uid="{00000000-0005-0000-0000-00003B2B0000}"/>
    <cellStyle name="20% - Accent6 2 3 3 3 3 2 3" xfId="26078" xr:uid="{00000000-0005-0000-0000-00003C2B0000}"/>
    <cellStyle name="20% - Accent6 2 3 3 3 3 2 3 2" xfId="45267" xr:uid="{00000000-0005-0000-0000-00003D2B0000}"/>
    <cellStyle name="20% - Accent6 2 3 3 3 3 2 4" xfId="35569" xr:uid="{00000000-0005-0000-0000-00003E2B0000}"/>
    <cellStyle name="20% - Accent6 2 3 3 3 3 3" xfId="19050" xr:uid="{00000000-0005-0000-0000-00003F2B0000}"/>
    <cellStyle name="20% - Accent6 2 3 3 3 3 3 2" xfId="29418" xr:uid="{00000000-0005-0000-0000-0000402B0000}"/>
    <cellStyle name="20% - Accent6 2 3 3 3 3 3 2 2" xfId="48607" xr:uid="{00000000-0005-0000-0000-0000412B0000}"/>
    <cellStyle name="20% - Accent6 2 3 3 3 3 3 3" xfId="38909" xr:uid="{00000000-0005-0000-0000-0000422B0000}"/>
    <cellStyle name="20% - Accent6 2 3 3 3 3 4" xfId="24963" xr:uid="{00000000-0005-0000-0000-0000432B0000}"/>
    <cellStyle name="20% - Accent6 2 3 3 3 3 4 2" xfId="44152" xr:uid="{00000000-0005-0000-0000-0000442B0000}"/>
    <cellStyle name="20% - Accent6 2 3 3 3 3 5" xfId="34454" xr:uid="{00000000-0005-0000-0000-0000452B0000}"/>
    <cellStyle name="20% - Accent6 2 3 3 3 4" xfId="15144" xr:uid="{00000000-0005-0000-0000-0000462B0000}"/>
    <cellStyle name="20% - Accent6 2 3 3 3 4 2" xfId="19608" xr:uid="{00000000-0005-0000-0000-0000472B0000}"/>
    <cellStyle name="20% - Accent6 2 3 3 3 4 2 2" xfId="29976" xr:uid="{00000000-0005-0000-0000-0000482B0000}"/>
    <cellStyle name="20% - Accent6 2 3 3 3 4 2 2 2" xfId="49165" xr:uid="{00000000-0005-0000-0000-0000492B0000}"/>
    <cellStyle name="20% - Accent6 2 3 3 3 4 2 3" xfId="39467" xr:uid="{00000000-0005-0000-0000-00004A2B0000}"/>
    <cellStyle name="20% - Accent6 2 3 3 3 4 3" xfId="25521" xr:uid="{00000000-0005-0000-0000-00004B2B0000}"/>
    <cellStyle name="20% - Accent6 2 3 3 3 4 3 2" xfId="44710" xr:uid="{00000000-0005-0000-0000-00004C2B0000}"/>
    <cellStyle name="20% - Accent6 2 3 3 3 4 4" xfId="35012" xr:uid="{00000000-0005-0000-0000-00004D2B0000}"/>
    <cellStyle name="20% - Accent6 2 3 3 3 5" xfId="16814" xr:uid="{00000000-0005-0000-0000-00004E2B0000}"/>
    <cellStyle name="20% - Accent6 2 3 3 3 5 2" xfId="21278" xr:uid="{00000000-0005-0000-0000-00004F2B0000}"/>
    <cellStyle name="20% - Accent6 2 3 3 3 5 2 2" xfId="31646" xr:uid="{00000000-0005-0000-0000-0000502B0000}"/>
    <cellStyle name="20% - Accent6 2 3 3 3 5 2 2 2" xfId="50835" xr:uid="{00000000-0005-0000-0000-0000512B0000}"/>
    <cellStyle name="20% - Accent6 2 3 3 3 5 2 3" xfId="41137" xr:uid="{00000000-0005-0000-0000-0000522B0000}"/>
    <cellStyle name="20% - Accent6 2 3 3 3 5 3" xfId="27191" xr:uid="{00000000-0005-0000-0000-0000532B0000}"/>
    <cellStyle name="20% - Accent6 2 3 3 3 5 3 2" xfId="46380" xr:uid="{00000000-0005-0000-0000-0000542B0000}"/>
    <cellStyle name="20% - Accent6 2 3 3 3 5 4" xfId="36682" xr:uid="{00000000-0005-0000-0000-0000552B0000}"/>
    <cellStyle name="20% - Accent6 2 3 3 3 6" xfId="17380" xr:uid="{00000000-0005-0000-0000-0000562B0000}"/>
    <cellStyle name="20% - Accent6 2 3 3 3 6 2" xfId="21835" xr:uid="{00000000-0005-0000-0000-0000572B0000}"/>
    <cellStyle name="20% - Accent6 2 3 3 3 6 2 2" xfId="32203" xr:uid="{00000000-0005-0000-0000-0000582B0000}"/>
    <cellStyle name="20% - Accent6 2 3 3 3 6 2 2 2" xfId="51392" xr:uid="{00000000-0005-0000-0000-0000592B0000}"/>
    <cellStyle name="20% - Accent6 2 3 3 3 6 2 3" xfId="41694" xr:uid="{00000000-0005-0000-0000-00005A2B0000}"/>
    <cellStyle name="20% - Accent6 2 3 3 3 6 3" xfId="27748" xr:uid="{00000000-0005-0000-0000-00005B2B0000}"/>
    <cellStyle name="20% - Accent6 2 3 3 3 6 3 2" xfId="46937" xr:uid="{00000000-0005-0000-0000-00005C2B0000}"/>
    <cellStyle name="20% - Accent6 2 3 3 3 6 4" xfId="37239" xr:uid="{00000000-0005-0000-0000-00005D2B0000}"/>
    <cellStyle name="20% - Accent6 2 3 3 3 7" xfId="17937" xr:uid="{00000000-0005-0000-0000-00005E2B0000}"/>
    <cellStyle name="20% - Accent6 2 3 3 3 7 2" xfId="28305" xr:uid="{00000000-0005-0000-0000-00005F2B0000}"/>
    <cellStyle name="20% - Accent6 2 3 3 3 7 2 2" xfId="47494" xr:uid="{00000000-0005-0000-0000-0000602B0000}"/>
    <cellStyle name="20% - Accent6 2 3 3 3 7 3" xfId="37796" xr:uid="{00000000-0005-0000-0000-0000612B0000}"/>
    <cellStyle name="20% - Accent6 2 3 3 3 8" xfId="23800" xr:uid="{00000000-0005-0000-0000-0000622B0000}"/>
    <cellStyle name="20% - Accent6 2 3 3 3 8 2" xfId="43039" xr:uid="{00000000-0005-0000-0000-0000632B0000}"/>
    <cellStyle name="20% - Accent6 2 3 3 3 9" xfId="33341" xr:uid="{00000000-0005-0000-0000-0000642B0000}"/>
    <cellStyle name="20% - Accent6 2 3 3 4" xfId="13991" xr:uid="{00000000-0005-0000-0000-0000652B0000}"/>
    <cellStyle name="20% - Accent6 2 3 3 4 2" xfId="16255" xr:uid="{00000000-0005-0000-0000-0000662B0000}"/>
    <cellStyle name="20% - Accent6 2 3 3 4 2 2" xfId="20719" xr:uid="{00000000-0005-0000-0000-0000672B0000}"/>
    <cellStyle name="20% - Accent6 2 3 3 4 2 2 2" xfId="31087" xr:uid="{00000000-0005-0000-0000-0000682B0000}"/>
    <cellStyle name="20% - Accent6 2 3 3 4 2 2 2 2" xfId="50276" xr:uid="{00000000-0005-0000-0000-0000692B0000}"/>
    <cellStyle name="20% - Accent6 2 3 3 4 2 2 3" xfId="40578" xr:uid="{00000000-0005-0000-0000-00006A2B0000}"/>
    <cellStyle name="20% - Accent6 2 3 3 4 2 3" xfId="26632" xr:uid="{00000000-0005-0000-0000-00006B2B0000}"/>
    <cellStyle name="20% - Accent6 2 3 3 4 2 3 2" xfId="45821" xr:uid="{00000000-0005-0000-0000-00006C2B0000}"/>
    <cellStyle name="20% - Accent6 2 3 3 4 2 4" xfId="36123" xr:uid="{00000000-0005-0000-0000-00006D2B0000}"/>
    <cellStyle name="20% - Accent6 2 3 3 4 3" xfId="18491" xr:uid="{00000000-0005-0000-0000-00006E2B0000}"/>
    <cellStyle name="20% - Accent6 2 3 3 4 3 2" xfId="28859" xr:uid="{00000000-0005-0000-0000-00006F2B0000}"/>
    <cellStyle name="20% - Accent6 2 3 3 4 3 2 2" xfId="48048" xr:uid="{00000000-0005-0000-0000-0000702B0000}"/>
    <cellStyle name="20% - Accent6 2 3 3 4 3 3" xfId="38350" xr:uid="{00000000-0005-0000-0000-0000712B0000}"/>
    <cellStyle name="20% - Accent6 2 3 3 4 4" xfId="24399" xr:uid="{00000000-0005-0000-0000-0000722B0000}"/>
    <cellStyle name="20% - Accent6 2 3 3 4 4 2" xfId="43593" xr:uid="{00000000-0005-0000-0000-0000732B0000}"/>
    <cellStyle name="20% - Accent6 2 3 3 4 5" xfId="33895" xr:uid="{00000000-0005-0000-0000-0000742B0000}"/>
    <cellStyle name="20% - Accent6 2 3 3 5" xfId="14570" xr:uid="{00000000-0005-0000-0000-0000752B0000}"/>
    <cellStyle name="20% - Accent6 2 3 3 5 2" xfId="15699" xr:uid="{00000000-0005-0000-0000-0000762B0000}"/>
    <cellStyle name="20% - Accent6 2 3 3 5 2 2" xfId="20163" xr:uid="{00000000-0005-0000-0000-0000772B0000}"/>
    <cellStyle name="20% - Accent6 2 3 3 5 2 2 2" xfId="30531" xr:uid="{00000000-0005-0000-0000-0000782B0000}"/>
    <cellStyle name="20% - Accent6 2 3 3 5 2 2 2 2" xfId="49720" xr:uid="{00000000-0005-0000-0000-0000792B0000}"/>
    <cellStyle name="20% - Accent6 2 3 3 5 2 2 3" xfId="40022" xr:uid="{00000000-0005-0000-0000-00007A2B0000}"/>
    <cellStyle name="20% - Accent6 2 3 3 5 2 3" xfId="26076" xr:uid="{00000000-0005-0000-0000-00007B2B0000}"/>
    <cellStyle name="20% - Accent6 2 3 3 5 2 3 2" xfId="45265" xr:uid="{00000000-0005-0000-0000-00007C2B0000}"/>
    <cellStyle name="20% - Accent6 2 3 3 5 2 4" xfId="35567" xr:uid="{00000000-0005-0000-0000-00007D2B0000}"/>
    <cellStyle name="20% - Accent6 2 3 3 5 3" xfId="19048" xr:uid="{00000000-0005-0000-0000-00007E2B0000}"/>
    <cellStyle name="20% - Accent6 2 3 3 5 3 2" xfId="29416" xr:uid="{00000000-0005-0000-0000-00007F2B0000}"/>
    <cellStyle name="20% - Accent6 2 3 3 5 3 2 2" xfId="48605" xr:uid="{00000000-0005-0000-0000-0000802B0000}"/>
    <cellStyle name="20% - Accent6 2 3 3 5 3 3" xfId="38907" xr:uid="{00000000-0005-0000-0000-0000812B0000}"/>
    <cellStyle name="20% - Accent6 2 3 3 5 4" xfId="24961" xr:uid="{00000000-0005-0000-0000-0000822B0000}"/>
    <cellStyle name="20% - Accent6 2 3 3 5 4 2" xfId="44150" xr:uid="{00000000-0005-0000-0000-0000832B0000}"/>
    <cellStyle name="20% - Accent6 2 3 3 5 5" xfId="34452" xr:uid="{00000000-0005-0000-0000-0000842B0000}"/>
    <cellStyle name="20% - Accent6 2 3 3 6" xfId="15142" xr:uid="{00000000-0005-0000-0000-0000852B0000}"/>
    <cellStyle name="20% - Accent6 2 3 3 6 2" xfId="19606" xr:uid="{00000000-0005-0000-0000-0000862B0000}"/>
    <cellStyle name="20% - Accent6 2 3 3 6 2 2" xfId="29974" xr:uid="{00000000-0005-0000-0000-0000872B0000}"/>
    <cellStyle name="20% - Accent6 2 3 3 6 2 2 2" xfId="49163" xr:uid="{00000000-0005-0000-0000-0000882B0000}"/>
    <cellStyle name="20% - Accent6 2 3 3 6 2 3" xfId="39465" xr:uid="{00000000-0005-0000-0000-0000892B0000}"/>
    <cellStyle name="20% - Accent6 2 3 3 6 3" xfId="25519" xr:uid="{00000000-0005-0000-0000-00008A2B0000}"/>
    <cellStyle name="20% - Accent6 2 3 3 6 3 2" xfId="44708" xr:uid="{00000000-0005-0000-0000-00008B2B0000}"/>
    <cellStyle name="20% - Accent6 2 3 3 6 4" xfId="35010" xr:uid="{00000000-0005-0000-0000-00008C2B0000}"/>
    <cellStyle name="20% - Accent6 2 3 3 7" xfId="16812" xr:uid="{00000000-0005-0000-0000-00008D2B0000}"/>
    <cellStyle name="20% - Accent6 2 3 3 7 2" xfId="21276" xr:uid="{00000000-0005-0000-0000-00008E2B0000}"/>
    <cellStyle name="20% - Accent6 2 3 3 7 2 2" xfId="31644" xr:uid="{00000000-0005-0000-0000-00008F2B0000}"/>
    <cellStyle name="20% - Accent6 2 3 3 7 2 2 2" xfId="50833" xr:uid="{00000000-0005-0000-0000-0000902B0000}"/>
    <cellStyle name="20% - Accent6 2 3 3 7 2 3" xfId="41135" xr:uid="{00000000-0005-0000-0000-0000912B0000}"/>
    <cellStyle name="20% - Accent6 2 3 3 7 3" xfId="27189" xr:uid="{00000000-0005-0000-0000-0000922B0000}"/>
    <cellStyle name="20% - Accent6 2 3 3 7 3 2" xfId="46378" xr:uid="{00000000-0005-0000-0000-0000932B0000}"/>
    <cellStyle name="20% - Accent6 2 3 3 7 4" xfId="36680" xr:uid="{00000000-0005-0000-0000-0000942B0000}"/>
    <cellStyle name="20% - Accent6 2 3 3 8" xfId="17378" xr:uid="{00000000-0005-0000-0000-0000952B0000}"/>
    <cellStyle name="20% - Accent6 2 3 3 8 2" xfId="21833" xr:uid="{00000000-0005-0000-0000-0000962B0000}"/>
    <cellStyle name="20% - Accent6 2 3 3 8 2 2" xfId="32201" xr:uid="{00000000-0005-0000-0000-0000972B0000}"/>
    <cellStyle name="20% - Accent6 2 3 3 8 2 2 2" xfId="51390" xr:uid="{00000000-0005-0000-0000-0000982B0000}"/>
    <cellStyle name="20% - Accent6 2 3 3 8 2 3" xfId="41692" xr:uid="{00000000-0005-0000-0000-0000992B0000}"/>
    <cellStyle name="20% - Accent6 2 3 3 8 3" xfId="27746" xr:uid="{00000000-0005-0000-0000-00009A2B0000}"/>
    <cellStyle name="20% - Accent6 2 3 3 8 3 2" xfId="46935" xr:uid="{00000000-0005-0000-0000-00009B2B0000}"/>
    <cellStyle name="20% - Accent6 2 3 3 8 4" xfId="37237" xr:uid="{00000000-0005-0000-0000-00009C2B0000}"/>
    <cellStyle name="20% - Accent6 2 3 3 9" xfId="17935" xr:uid="{00000000-0005-0000-0000-00009D2B0000}"/>
    <cellStyle name="20% - Accent6 2 3 3 9 2" xfId="28303" xr:uid="{00000000-0005-0000-0000-00009E2B0000}"/>
    <cellStyle name="20% - Accent6 2 3 3 9 2 2" xfId="47492" xr:uid="{00000000-0005-0000-0000-00009F2B0000}"/>
    <cellStyle name="20% - Accent6 2 3 3 9 3" xfId="37794" xr:uid="{00000000-0005-0000-0000-0000A02B0000}"/>
    <cellStyle name="20% - Accent6 2 3 4" xfId="13048" xr:uid="{00000000-0005-0000-0000-0000A12B0000}"/>
    <cellStyle name="20% - Accent6 2 3 4 10" xfId="53429" xr:uid="{00000000-0005-0000-0000-0000A22B0000}"/>
    <cellStyle name="20% - Accent6 2 3 4 2" xfId="13994" xr:uid="{00000000-0005-0000-0000-0000A32B0000}"/>
    <cellStyle name="20% - Accent6 2 3 4 2 2" xfId="16258" xr:uid="{00000000-0005-0000-0000-0000A42B0000}"/>
    <cellStyle name="20% - Accent6 2 3 4 2 2 2" xfId="20722" xr:uid="{00000000-0005-0000-0000-0000A52B0000}"/>
    <cellStyle name="20% - Accent6 2 3 4 2 2 2 2" xfId="31090" xr:uid="{00000000-0005-0000-0000-0000A62B0000}"/>
    <cellStyle name="20% - Accent6 2 3 4 2 2 2 2 2" xfId="50279" xr:uid="{00000000-0005-0000-0000-0000A72B0000}"/>
    <cellStyle name="20% - Accent6 2 3 4 2 2 2 3" xfId="40581" xr:uid="{00000000-0005-0000-0000-0000A82B0000}"/>
    <cellStyle name="20% - Accent6 2 3 4 2 2 3" xfId="26635" xr:uid="{00000000-0005-0000-0000-0000A92B0000}"/>
    <cellStyle name="20% - Accent6 2 3 4 2 2 3 2" xfId="45824" xr:uid="{00000000-0005-0000-0000-0000AA2B0000}"/>
    <cellStyle name="20% - Accent6 2 3 4 2 2 4" xfId="36126" xr:uid="{00000000-0005-0000-0000-0000AB2B0000}"/>
    <cellStyle name="20% - Accent6 2 3 4 2 3" xfId="18494" xr:uid="{00000000-0005-0000-0000-0000AC2B0000}"/>
    <cellStyle name="20% - Accent6 2 3 4 2 3 2" xfId="28862" xr:uid="{00000000-0005-0000-0000-0000AD2B0000}"/>
    <cellStyle name="20% - Accent6 2 3 4 2 3 2 2" xfId="48051" xr:uid="{00000000-0005-0000-0000-0000AE2B0000}"/>
    <cellStyle name="20% - Accent6 2 3 4 2 3 3" xfId="38353" xr:uid="{00000000-0005-0000-0000-0000AF2B0000}"/>
    <cellStyle name="20% - Accent6 2 3 4 2 4" xfId="24402" xr:uid="{00000000-0005-0000-0000-0000B02B0000}"/>
    <cellStyle name="20% - Accent6 2 3 4 2 4 2" xfId="43596" xr:uid="{00000000-0005-0000-0000-0000B12B0000}"/>
    <cellStyle name="20% - Accent6 2 3 4 2 5" xfId="33898" xr:uid="{00000000-0005-0000-0000-0000B22B0000}"/>
    <cellStyle name="20% - Accent6 2 3 4 3" xfId="14573" xr:uid="{00000000-0005-0000-0000-0000B32B0000}"/>
    <cellStyle name="20% - Accent6 2 3 4 3 2" xfId="15702" xr:uid="{00000000-0005-0000-0000-0000B42B0000}"/>
    <cellStyle name="20% - Accent6 2 3 4 3 2 2" xfId="20166" xr:uid="{00000000-0005-0000-0000-0000B52B0000}"/>
    <cellStyle name="20% - Accent6 2 3 4 3 2 2 2" xfId="30534" xr:uid="{00000000-0005-0000-0000-0000B62B0000}"/>
    <cellStyle name="20% - Accent6 2 3 4 3 2 2 2 2" xfId="49723" xr:uid="{00000000-0005-0000-0000-0000B72B0000}"/>
    <cellStyle name="20% - Accent6 2 3 4 3 2 2 3" xfId="40025" xr:uid="{00000000-0005-0000-0000-0000B82B0000}"/>
    <cellStyle name="20% - Accent6 2 3 4 3 2 3" xfId="26079" xr:uid="{00000000-0005-0000-0000-0000B92B0000}"/>
    <cellStyle name="20% - Accent6 2 3 4 3 2 3 2" xfId="45268" xr:uid="{00000000-0005-0000-0000-0000BA2B0000}"/>
    <cellStyle name="20% - Accent6 2 3 4 3 2 4" xfId="35570" xr:uid="{00000000-0005-0000-0000-0000BB2B0000}"/>
    <cellStyle name="20% - Accent6 2 3 4 3 3" xfId="19051" xr:uid="{00000000-0005-0000-0000-0000BC2B0000}"/>
    <cellStyle name="20% - Accent6 2 3 4 3 3 2" xfId="29419" xr:uid="{00000000-0005-0000-0000-0000BD2B0000}"/>
    <cellStyle name="20% - Accent6 2 3 4 3 3 2 2" xfId="48608" xr:uid="{00000000-0005-0000-0000-0000BE2B0000}"/>
    <cellStyle name="20% - Accent6 2 3 4 3 3 3" xfId="38910" xr:uid="{00000000-0005-0000-0000-0000BF2B0000}"/>
    <cellStyle name="20% - Accent6 2 3 4 3 4" xfId="24964" xr:uid="{00000000-0005-0000-0000-0000C02B0000}"/>
    <cellStyle name="20% - Accent6 2 3 4 3 4 2" xfId="44153" xr:uid="{00000000-0005-0000-0000-0000C12B0000}"/>
    <cellStyle name="20% - Accent6 2 3 4 3 5" xfId="34455" xr:uid="{00000000-0005-0000-0000-0000C22B0000}"/>
    <cellStyle name="20% - Accent6 2 3 4 4" xfId="15145" xr:uid="{00000000-0005-0000-0000-0000C32B0000}"/>
    <cellStyle name="20% - Accent6 2 3 4 4 2" xfId="19609" xr:uid="{00000000-0005-0000-0000-0000C42B0000}"/>
    <cellStyle name="20% - Accent6 2 3 4 4 2 2" xfId="29977" xr:uid="{00000000-0005-0000-0000-0000C52B0000}"/>
    <cellStyle name="20% - Accent6 2 3 4 4 2 2 2" xfId="49166" xr:uid="{00000000-0005-0000-0000-0000C62B0000}"/>
    <cellStyle name="20% - Accent6 2 3 4 4 2 3" xfId="39468" xr:uid="{00000000-0005-0000-0000-0000C72B0000}"/>
    <cellStyle name="20% - Accent6 2 3 4 4 3" xfId="25522" xr:uid="{00000000-0005-0000-0000-0000C82B0000}"/>
    <cellStyle name="20% - Accent6 2 3 4 4 3 2" xfId="44711" xr:uid="{00000000-0005-0000-0000-0000C92B0000}"/>
    <cellStyle name="20% - Accent6 2 3 4 4 4" xfId="35013" xr:uid="{00000000-0005-0000-0000-0000CA2B0000}"/>
    <cellStyle name="20% - Accent6 2 3 4 5" xfId="16815" xr:uid="{00000000-0005-0000-0000-0000CB2B0000}"/>
    <cellStyle name="20% - Accent6 2 3 4 5 2" xfId="21279" xr:uid="{00000000-0005-0000-0000-0000CC2B0000}"/>
    <cellStyle name="20% - Accent6 2 3 4 5 2 2" xfId="31647" xr:uid="{00000000-0005-0000-0000-0000CD2B0000}"/>
    <cellStyle name="20% - Accent6 2 3 4 5 2 2 2" xfId="50836" xr:uid="{00000000-0005-0000-0000-0000CE2B0000}"/>
    <cellStyle name="20% - Accent6 2 3 4 5 2 3" xfId="41138" xr:uid="{00000000-0005-0000-0000-0000CF2B0000}"/>
    <cellStyle name="20% - Accent6 2 3 4 5 3" xfId="27192" xr:uid="{00000000-0005-0000-0000-0000D02B0000}"/>
    <cellStyle name="20% - Accent6 2 3 4 5 3 2" xfId="46381" xr:uid="{00000000-0005-0000-0000-0000D12B0000}"/>
    <cellStyle name="20% - Accent6 2 3 4 5 4" xfId="36683" xr:uid="{00000000-0005-0000-0000-0000D22B0000}"/>
    <cellStyle name="20% - Accent6 2 3 4 6" xfId="17381" xr:uid="{00000000-0005-0000-0000-0000D32B0000}"/>
    <cellStyle name="20% - Accent6 2 3 4 6 2" xfId="21836" xr:uid="{00000000-0005-0000-0000-0000D42B0000}"/>
    <cellStyle name="20% - Accent6 2 3 4 6 2 2" xfId="32204" xr:uid="{00000000-0005-0000-0000-0000D52B0000}"/>
    <cellStyle name="20% - Accent6 2 3 4 6 2 2 2" xfId="51393" xr:uid="{00000000-0005-0000-0000-0000D62B0000}"/>
    <cellStyle name="20% - Accent6 2 3 4 6 2 3" xfId="41695" xr:uid="{00000000-0005-0000-0000-0000D72B0000}"/>
    <cellStyle name="20% - Accent6 2 3 4 6 3" xfId="27749" xr:uid="{00000000-0005-0000-0000-0000D82B0000}"/>
    <cellStyle name="20% - Accent6 2 3 4 6 3 2" xfId="46938" xr:uid="{00000000-0005-0000-0000-0000D92B0000}"/>
    <cellStyle name="20% - Accent6 2 3 4 6 4" xfId="37240" xr:uid="{00000000-0005-0000-0000-0000DA2B0000}"/>
    <cellStyle name="20% - Accent6 2 3 4 7" xfId="17938" xr:uid="{00000000-0005-0000-0000-0000DB2B0000}"/>
    <cellStyle name="20% - Accent6 2 3 4 7 2" xfId="28306" xr:uid="{00000000-0005-0000-0000-0000DC2B0000}"/>
    <cellStyle name="20% - Accent6 2 3 4 7 2 2" xfId="47495" xr:uid="{00000000-0005-0000-0000-0000DD2B0000}"/>
    <cellStyle name="20% - Accent6 2 3 4 7 3" xfId="37797" xr:uid="{00000000-0005-0000-0000-0000DE2B0000}"/>
    <cellStyle name="20% - Accent6 2 3 4 8" xfId="23801" xr:uid="{00000000-0005-0000-0000-0000DF2B0000}"/>
    <cellStyle name="20% - Accent6 2 3 4 8 2" xfId="43040" xr:uid="{00000000-0005-0000-0000-0000E02B0000}"/>
    <cellStyle name="20% - Accent6 2 3 4 9" xfId="33342" xr:uid="{00000000-0005-0000-0000-0000E12B0000}"/>
    <cellStyle name="20% - Accent6 2 3 5" xfId="13049" xr:uid="{00000000-0005-0000-0000-0000E22B0000}"/>
    <cellStyle name="20% - Accent6 2 3 5 2" xfId="13995" xr:uid="{00000000-0005-0000-0000-0000E32B0000}"/>
    <cellStyle name="20% - Accent6 2 3 5 2 2" xfId="16259" xr:uid="{00000000-0005-0000-0000-0000E42B0000}"/>
    <cellStyle name="20% - Accent6 2 3 5 2 2 2" xfId="20723" xr:uid="{00000000-0005-0000-0000-0000E52B0000}"/>
    <cellStyle name="20% - Accent6 2 3 5 2 2 2 2" xfId="31091" xr:uid="{00000000-0005-0000-0000-0000E62B0000}"/>
    <cellStyle name="20% - Accent6 2 3 5 2 2 2 2 2" xfId="50280" xr:uid="{00000000-0005-0000-0000-0000E72B0000}"/>
    <cellStyle name="20% - Accent6 2 3 5 2 2 2 3" xfId="40582" xr:uid="{00000000-0005-0000-0000-0000E82B0000}"/>
    <cellStyle name="20% - Accent6 2 3 5 2 2 3" xfId="26636" xr:uid="{00000000-0005-0000-0000-0000E92B0000}"/>
    <cellStyle name="20% - Accent6 2 3 5 2 2 3 2" xfId="45825" xr:uid="{00000000-0005-0000-0000-0000EA2B0000}"/>
    <cellStyle name="20% - Accent6 2 3 5 2 2 4" xfId="36127" xr:uid="{00000000-0005-0000-0000-0000EB2B0000}"/>
    <cellStyle name="20% - Accent6 2 3 5 2 3" xfId="18495" xr:uid="{00000000-0005-0000-0000-0000EC2B0000}"/>
    <cellStyle name="20% - Accent6 2 3 5 2 3 2" xfId="28863" xr:uid="{00000000-0005-0000-0000-0000ED2B0000}"/>
    <cellStyle name="20% - Accent6 2 3 5 2 3 2 2" xfId="48052" xr:uid="{00000000-0005-0000-0000-0000EE2B0000}"/>
    <cellStyle name="20% - Accent6 2 3 5 2 3 3" xfId="38354" xr:uid="{00000000-0005-0000-0000-0000EF2B0000}"/>
    <cellStyle name="20% - Accent6 2 3 5 2 4" xfId="24403" xr:uid="{00000000-0005-0000-0000-0000F02B0000}"/>
    <cellStyle name="20% - Accent6 2 3 5 2 4 2" xfId="43597" xr:uid="{00000000-0005-0000-0000-0000F12B0000}"/>
    <cellStyle name="20% - Accent6 2 3 5 2 5" xfId="33899" xr:uid="{00000000-0005-0000-0000-0000F22B0000}"/>
    <cellStyle name="20% - Accent6 2 3 5 3" xfId="14574" xr:uid="{00000000-0005-0000-0000-0000F32B0000}"/>
    <cellStyle name="20% - Accent6 2 3 5 3 2" xfId="15703" xr:uid="{00000000-0005-0000-0000-0000F42B0000}"/>
    <cellStyle name="20% - Accent6 2 3 5 3 2 2" xfId="20167" xr:uid="{00000000-0005-0000-0000-0000F52B0000}"/>
    <cellStyle name="20% - Accent6 2 3 5 3 2 2 2" xfId="30535" xr:uid="{00000000-0005-0000-0000-0000F62B0000}"/>
    <cellStyle name="20% - Accent6 2 3 5 3 2 2 2 2" xfId="49724" xr:uid="{00000000-0005-0000-0000-0000F72B0000}"/>
    <cellStyle name="20% - Accent6 2 3 5 3 2 2 3" xfId="40026" xr:uid="{00000000-0005-0000-0000-0000F82B0000}"/>
    <cellStyle name="20% - Accent6 2 3 5 3 2 3" xfId="26080" xr:uid="{00000000-0005-0000-0000-0000F92B0000}"/>
    <cellStyle name="20% - Accent6 2 3 5 3 2 3 2" xfId="45269" xr:uid="{00000000-0005-0000-0000-0000FA2B0000}"/>
    <cellStyle name="20% - Accent6 2 3 5 3 2 4" xfId="35571" xr:uid="{00000000-0005-0000-0000-0000FB2B0000}"/>
    <cellStyle name="20% - Accent6 2 3 5 3 3" xfId="19052" xr:uid="{00000000-0005-0000-0000-0000FC2B0000}"/>
    <cellStyle name="20% - Accent6 2 3 5 3 3 2" xfId="29420" xr:uid="{00000000-0005-0000-0000-0000FD2B0000}"/>
    <cellStyle name="20% - Accent6 2 3 5 3 3 2 2" xfId="48609" xr:uid="{00000000-0005-0000-0000-0000FE2B0000}"/>
    <cellStyle name="20% - Accent6 2 3 5 3 3 3" xfId="38911" xr:uid="{00000000-0005-0000-0000-0000FF2B0000}"/>
    <cellStyle name="20% - Accent6 2 3 5 3 4" xfId="24965" xr:uid="{00000000-0005-0000-0000-0000002C0000}"/>
    <cellStyle name="20% - Accent6 2 3 5 3 4 2" xfId="44154" xr:uid="{00000000-0005-0000-0000-0000012C0000}"/>
    <cellStyle name="20% - Accent6 2 3 5 3 5" xfId="34456" xr:uid="{00000000-0005-0000-0000-0000022C0000}"/>
    <cellStyle name="20% - Accent6 2 3 5 4" xfId="15146" xr:uid="{00000000-0005-0000-0000-0000032C0000}"/>
    <cellStyle name="20% - Accent6 2 3 5 4 2" xfId="19610" xr:uid="{00000000-0005-0000-0000-0000042C0000}"/>
    <cellStyle name="20% - Accent6 2 3 5 4 2 2" xfId="29978" xr:uid="{00000000-0005-0000-0000-0000052C0000}"/>
    <cellStyle name="20% - Accent6 2 3 5 4 2 2 2" xfId="49167" xr:uid="{00000000-0005-0000-0000-0000062C0000}"/>
    <cellStyle name="20% - Accent6 2 3 5 4 2 3" xfId="39469" xr:uid="{00000000-0005-0000-0000-0000072C0000}"/>
    <cellStyle name="20% - Accent6 2 3 5 4 3" xfId="25523" xr:uid="{00000000-0005-0000-0000-0000082C0000}"/>
    <cellStyle name="20% - Accent6 2 3 5 4 3 2" xfId="44712" xr:uid="{00000000-0005-0000-0000-0000092C0000}"/>
    <cellStyle name="20% - Accent6 2 3 5 4 4" xfId="35014" xr:uid="{00000000-0005-0000-0000-00000A2C0000}"/>
    <cellStyle name="20% - Accent6 2 3 5 5" xfId="16816" xr:uid="{00000000-0005-0000-0000-00000B2C0000}"/>
    <cellStyle name="20% - Accent6 2 3 5 5 2" xfId="21280" xr:uid="{00000000-0005-0000-0000-00000C2C0000}"/>
    <cellStyle name="20% - Accent6 2 3 5 5 2 2" xfId="31648" xr:uid="{00000000-0005-0000-0000-00000D2C0000}"/>
    <cellStyle name="20% - Accent6 2 3 5 5 2 2 2" xfId="50837" xr:uid="{00000000-0005-0000-0000-00000E2C0000}"/>
    <cellStyle name="20% - Accent6 2 3 5 5 2 3" xfId="41139" xr:uid="{00000000-0005-0000-0000-00000F2C0000}"/>
    <cellStyle name="20% - Accent6 2 3 5 5 3" xfId="27193" xr:uid="{00000000-0005-0000-0000-0000102C0000}"/>
    <cellStyle name="20% - Accent6 2 3 5 5 3 2" xfId="46382" xr:uid="{00000000-0005-0000-0000-0000112C0000}"/>
    <cellStyle name="20% - Accent6 2 3 5 5 4" xfId="36684" xr:uid="{00000000-0005-0000-0000-0000122C0000}"/>
    <cellStyle name="20% - Accent6 2 3 5 6" xfId="17382" xr:uid="{00000000-0005-0000-0000-0000132C0000}"/>
    <cellStyle name="20% - Accent6 2 3 5 6 2" xfId="21837" xr:uid="{00000000-0005-0000-0000-0000142C0000}"/>
    <cellStyle name="20% - Accent6 2 3 5 6 2 2" xfId="32205" xr:uid="{00000000-0005-0000-0000-0000152C0000}"/>
    <cellStyle name="20% - Accent6 2 3 5 6 2 2 2" xfId="51394" xr:uid="{00000000-0005-0000-0000-0000162C0000}"/>
    <cellStyle name="20% - Accent6 2 3 5 6 2 3" xfId="41696" xr:uid="{00000000-0005-0000-0000-0000172C0000}"/>
    <cellStyle name="20% - Accent6 2 3 5 6 3" xfId="27750" xr:uid="{00000000-0005-0000-0000-0000182C0000}"/>
    <cellStyle name="20% - Accent6 2 3 5 6 3 2" xfId="46939" xr:uid="{00000000-0005-0000-0000-0000192C0000}"/>
    <cellStyle name="20% - Accent6 2 3 5 6 4" xfId="37241" xr:uid="{00000000-0005-0000-0000-00001A2C0000}"/>
    <cellStyle name="20% - Accent6 2 3 5 7" xfId="17939" xr:uid="{00000000-0005-0000-0000-00001B2C0000}"/>
    <cellStyle name="20% - Accent6 2 3 5 7 2" xfId="28307" xr:uid="{00000000-0005-0000-0000-00001C2C0000}"/>
    <cellStyle name="20% - Accent6 2 3 5 7 2 2" xfId="47496" xr:uid="{00000000-0005-0000-0000-00001D2C0000}"/>
    <cellStyle name="20% - Accent6 2 3 5 7 3" xfId="37798" xr:uid="{00000000-0005-0000-0000-00001E2C0000}"/>
    <cellStyle name="20% - Accent6 2 3 5 8" xfId="23802" xr:uid="{00000000-0005-0000-0000-00001F2C0000}"/>
    <cellStyle name="20% - Accent6 2 3 5 8 2" xfId="43041" xr:uid="{00000000-0005-0000-0000-0000202C0000}"/>
    <cellStyle name="20% - Accent6 2 3 5 9" xfId="33343" xr:uid="{00000000-0005-0000-0000-0000212C0000}"/>
    <cellStyle name="20% - Accent6 2 3 6" xfId="22874" xr:uid="{00000000-0005-0000-0000-0000222C0000}"/>
    <cellStyle name="20% - Accent6 2 3 6 2" xfId="32958" xr:uid="{00000000-0005-0000-0000-0000232C0000}"/>
    <cellStyle name="20% - Accent6 2 3 6 2 2" xfId="52144" xr:uid="{00000000-0005-0000-0000-0000242C0000}"/>
    <cellStyle name="20% - Accent6 2 3 6 3" xfId="42446" xr:uid="{00000000-0005-0000-0000-0000252C0000}"/>
    <cellStyle name="20% - Accent6 2 3 7" xfId="23303" xr:uid="{00000000-0005-0000-0000-0000262C0000}"/>
    <cellStyle name="20% - Accent6 2 3 8" xfId="23231" xr:uid="{00000000-0005-0000-0000-0000272C0000}"/>
    <cellStyle name="20% - Accent6 2 3 8 2" xfId="42799" xr:uid="{00000000-0005-0000-0000-0000282C0000}"/>
    <cellStyle name="20% - Accent6 2 3 9" xfId="12165" xr:uid="{00000000-0005-0000-0000-0000292C0000}"/>
    <cellStyle name="20% - Accent6 2 4" xfId="1794" xr:uid="{00000000-0005-0000-0000-00002A2C0000}"/>
    <cellStyle name="20% - Accent6 2 4 2" xfId="13050" xr:uid="{00000000-0005-0000-0000-00002B2C0000}"/>
    <cellStyle name="20% - Accent6 2 4 2 10" xfId="23803" xr:uid="{00000000-0005-0000-0000-00002C2C0000}"/>
    <cellStyle name="20% - Accent6 2 4 2 10 2" xfId="43042" xr:uid="{00000000-0005-0000-0000-00002D2C0000}"/>
    <cellStyle name="20% - Accent6 2 4 2 11" xfId="33344" xr:uid="{00000000-0005-0000-0000-00002E2C0000}"/>
    <cellStyle name="20% - Accent6 2 4 2 12" xfId="52771" xr:uid="{00000000-0005-0000-0000-00002F2C0000}"/>
    <cellStyle name="20% - Accent6 2 4 2 2" xfId="13051" xr:uid="{00000000-0005-0000-0000-0000302C0000}"/>
    <cellStyle name="20% - Accent6 2 4 2 2 10" xfId="53199" xr:uid="{00000000-0005-0000-0000-0000312C0000}"/>
    <cellStyle name="20% - Accent6 2 4 2 2 2" xfId="13997" xr:uid="{00000000-0005-0000-0000-0000322C0000}"/>
    <cellStyle name="20% - Accent6 2 4 2 2 2 2" xfId="16261" xr:uid="{00000000-0005-0000-0000-0000332C0000}"/>
    <cellStyle name="20% - Accent6 2 4 2 2 2 2 2" xfId="20725" xr:uid="{00000000-0005-0000-0000-0000342C0000}"/>
    <cellStyle name="20% - Accent6 2 4 2 2 2 2 2 2" xfId="31093" xr:uid="{00000000-0005-0000-0000-0000352C0000}"/>
    <cellStyle name="20% - Accent6 2 4 2 2 2 2 2 2 2" xfId="50282" xr:uid="{00000000-0005-0000-0000-0000362C0000}"/>
    <cellStyle name="20% - Accent6 2 4 2 2 2 2 2 3" xfId="40584" xr:uid="{00000000-0005-0000-0000-0000372C0000}"/>
    <cellStyle name="20% - Accent6 2 4 2 2 2 2 3" xfId="26638" xr:uid="{00000000-0005-0000-0000-0000382C0000}"/>
    <cellStyle name="20% - Accent6 2 4 2 2 2 2 3 2" xfId="45827" xr:uid="{00000000-0005-0000-0000-0000392C0000}"/>
    <cellStyle name="20% - Accent6 2 4 2 2 2 2 4" xfId="36129" xr:uid="{00000000-0005-0000-0000-00003A2C0000}"/>
    <cellStyle name="20% - Accent6 2 4 2 2 2 3" xfId="18497" xr:uid="{00000000-0005-0000-0000-00003B2C0000}"/>
    <cellStyle name="20% - Accent6 2 4 2 2 2 3 2" xfId="28865" xr:uid="{00000000-0005-0000-0000-00003C2C0000}"/>
    <cellStyle name="20% - Accent6 2 4 2 2 2 3 2 2" xfId="48054" xr:uid="{00000000-0005-0000-0000-00003D2C0000}"/>
    <cellStyle name="20% - Accent6 2 4 2 2 2 3 3" xfId="38356" xr:uid="{00000000-0005-0000-0000-00003E2C0000}"/>
    <cellStyle name="20% - Accent6 2 4 2 2 2 4" xfId="24405" xr:uid="{00000000-0005-0000-0000-00003F2C0000}"/>
    <cellStyle name="20% - Accent6 2 4 2 2 2 4 2" xfId="43599" xr:uid="{00000000-0005-0000-0000-0000402C0000}"/>
    <cellStyle name="20% - Accent6 2 4 2 2 2 5" xfId="33901" xr:uid="{00000000-0005-0000-0000-0000412C0000}"/>
    <cellStyle name="20% - Accent6 2 4 2 2 2 6" xfId="54052" xr:uid="{00000000-0005-0000-0000-0000422C0000}"/>
    <cellStyle name="20% - Accent6 2 4 2 2 3" xfId="14576" xr:uid="{00000000-0005-0000-0000-0000432C0000}"/>
    <cellStyle name="20% - Accent6 2 4 2 2 3 2" xfId="15705" xr:uid="{00000000-0005-0000-0000-0000442C0000}"/>
    <cellStyle name="20% - Accent6 2 4 2 2 3 2 2" xfId="20169" xr:uid="{00000000-0005-0000-0000-0000452C0000}"/>
    <cellStyle name="20% - Accent6 2 4 2 2 3 2 2 2" xfId="30537" xr:uid="{00000000-0005-0000-0000-0000462C0000}"/>
    <cellStyle name="20% - Accent6 2 4 2 2 3 2 2 2 2" xfId="49726" xr:uid="{00000000-0005-0000-0000-0000472C0000}"/>
    <cellStyle name="20% - Accent6 2 4 2 2 3 2 2 3" xfId="40028" xr:uid="{00000000-0005-0000-0000-0000482C0000}"/>
    <cellStyle name="20% - Accent6 2 4 2 2 3 2 3" xfId="26082" xr:uid="{00000000-0005-0000-0000-0000492C0000}"/>
    <cellStyle name="20% - Accent6 2 4 2 2 3 2 3 2" xfId="45271" xr:uid="{00000000-0005-0000-0000-00004A2C0000}"/>
    <cellStyle name="20% - Accent6 2 4 2 2 3 2 4" xfId="35573" xr:uid="{00000000-0005-0000-0000-00004B2C0000}"/>
    <cellStyle name="20% - Accent6 2 4 2 2 3 3" xfId="19054" xr:uid="{00000000-0005-0000-0000-00004C2C0000}"/>
    <cellStyle name="20% - Accent6 2 4 2 2 3 3 2" xfId="29422" xr:uid="{00000000-0005-0000-0000-00004D2C0000}"/>
    <cellStyle name="20% - Accent6 2 4 2 2 3 3 2 2" xfId="48611" xr:uid="{00000000-0005-0000-0000-00004E2C0000}"/>
    <cellStyle name="20% - Accent6 2 4 2 2 3 3 3" xfId="38913" xr:uid="{00000000-0005-0000-0000-00004F2C0000}"/>
    <cellStyle name="20% - Accent6 2 4 2 2 3 4" xfId="24967" xr:uid="{00000000-0005-0000-0000-0000502C0000}"/>
    <cellStyle name="20% - Accent6 2 4 2 2 3 4 2" xfId="44156" xr:uid="{00000000-0005-0000-0000-0000512C0000}"/>
    <cellStyle name="20% - Accent6 2 4 2 2 3 5" xfId="34458" xr:uid="{00000000-0005-0000-0000-0000522C0000}"/>
    <cellStyle name="20% - Accent6 2 4 2 2 4" xfId="15148" xr:uid="{00000000-0005-0000-0000-0000532C0000}"/>
    <cellStyle name="20% - Accent6 2 4 2 2 4 2" xfId="19612" xr:uid="{00000000-0005-0000-0000-0000542C0000}"/>
    <cellStyle name="20% - Accent6 2 4 2 2 4 2 2" xfId="29980" xr:uid="{00000000-0005-0000-0000-0000552C0000}"/>
    <cellStyle name="20% - Accent6 2 4 2 2 4 2 2 2" xfId="49169" xr:uid="{00000000-0005-0000-0000-0000562C0000}"/>
    <cellStyle name="20% - Accent6 2 4 2 2 4 2 3" xfId="39471" xr:uid="{00000000-0005-0000-0000-0000572C0000}"/>
    <cellStyle name="20% - Accent6 2 4 2 2 4 3" xfId="25525" xr:uid="{00000000-0005-0000-0000-0000582C0000}"/>
    <cellStyle name="20% - Accent6 2 4 2 2 4 3 2" xfId="44714" xr:uid="{00000000-0005-0000-0000-0000592C0000}"/>
    <cellStyle name="20% - Accent6 2 4 2 2 4 4" xfId="35016" xr:uid="{00000000-0005-0000-0000-00005A2C0000}"/>
    <cellStyle name="20% - Accent6 2 4 2 2 5" xfId="16818" xr:uid="{00000000-0005-0000-0000-00005B2C0000}"/>
    <cellStyle name="20% - Accent6 2 4 2 2 5 2" xfId="21282" xr:uid="{00000000-0005-0000-0000-00005C2C0000}"/>
    <cellStyle name="20% - Accent6 2 4 2 2 5 2 2" xfId="31650" xr:uid="{00000000-0005-0000-0000-00005D2C0000}"/>
    <cellStyle name="20% - Accent6 2 4 2 2 5 2 2 2" xfId="50839" xr:uid="{00000000-0005-0000-0000-00005E2C0000}"/>
    <cellStyle name="20% - Accent6 2 4 2 2 5 2 3" xfId="41141" xr:uid="{00000000-0005-0000-0000-00005F2C0000}"/>
    <cellStyle name="20% - Accent6 2 4 2 2 5 3" xfId="27195" xr:uid="{00000000-0005-0000-0000-0000602C0000}"/>
    <cellStyle name="20% - Accent6 2 4 2 2 5 3 2" xfId="46384" xr:uid="{00000000-0005-0000-0000-0000612C0000}"/>
    <cellStyle name="20% - Accent6 2 4 2 2 5 4" xfId="36686" xr:uid="{00000000-0005-0000-0000-0000622C0000}"/>
    <cellStyle name="20% - Accent6 2 4 2 2 6" xfId="17384" xr:uid="{00000000-0005-0000-0000-0000632C0000}"/>
    <cellStyle name="20% - Accent6 2 4 2 2 6 2" xfId="21839" xr:uid="{00000000-0005-0000-0000-0000642C0000}"/>
    <cellStyle name="20% - Accent6 2 4 2 2 6 2 2" xfId="32207" xr:uid="{00000000-0005-0000-0000-0000652C0000}"/>
    <cellStyle name="20% - Accent6 2 4 2 2 6 2 2 2" xfId="51396" xr:uid="{00000000-0005-0000-0000-0000662C0000}"/>
    <cellStyle name="20% - Accent6 2 4 2 2 6 2 3" xfId="41698" xr:uid="{00000000-0005-0000-0000-0000672C0000}"/>
    <cellStyle name="20% - Accent6 2 4 2 2 6 3" xfId="27752" xr:uid="{00000000-0005-0000-0000-0000682C0000}"/>
    <cellStyle name="20% - Accent6 2 4 2 2 6 3 2" xfId="46941" xr:uid="{00000000-0005-0000-0000-0000692C0000}"/>
    <cellStyle name="20% - Accent6 2 4 2 2 6 4" xfId="37243" xr:uid="{00000000-0005-0000-0000-00006A2C0000}"/>
    <cellStyle name="20% - Accent6 2 4 2 2 7" xfId="17941" xr:uid="{00000000-0005-0000-0000-00006B2C0000}"/>
    <cellStyle name="20% - Accent6 2 4 2 2 7 2" xfId="28309" xr:uid="{00000000-0005-0000-0000-00006C2C0000}"/>
    <cellStyle name="20% - Accent6 2 4 2 2 7 2 2" xfId="47498" xr:uid="{00000000-0005-0000-0000-00006D2C0000}"/>
    <cellStyle name="20% - Accent6 2 4 2 2 7 3" xfId="37800" xr:uid="{00000000-0005-0000-0000-00006E2C0000}"/>
    <cellStyle name="20% - Accent6 2 4 2 2 8" xfId="23804" xr:uid="{00000000-0005-0000-0000-00006F2C0000}"/>
    <cellStyle name="20% - Accent6 2 4 2 2 8 2" xfId="43043" xr:uid="{00000000-0005-0000-0000-0000702C0000}"/>
    <cellStyle name="20% - Accent6 2 4 2 2 9" xfId="33345" xr:uid="{00000000-0005-0000-0000-0000712C0000}"/>
    <cellStyle name="20% - Accent6 2 4 2 3" xfId="13052" xr:uid="{00000000-0005-0000-0000-0000722C0000}"/>
    <cellStyle name="20% - Accent6 2 4 2 3 10" xfId="53656" xr:uid="{00000000-0005-0000-0000-0000732C0000}"/>
    <cellStyle name="20% - Accent6 2 4 2 3 2" xfId="13998" xr:uid="{00000000-0005-0000-0000-0000742C0000}"/>
    <cellStyle name="20% - Accent6 2 4 2 3 2 2" xfId="16262" xr:uid="{00000000-0005-0000-0000-0000752C0000}"/>
    <cellStyle name="20% - Accent6 2 4 2 3 2 2 2" xfId="20726" xr:uid="{00000000-0005-0000-0000-0000762C0000}"/>
    <cellStyle name="20% - Accent6 2 4 2 3 2 2 2 2" xfId="31094" xr:uid="{00000000-0005-0000-0000-0000772C0000}"/>
    <cellStyle name="20% - Accent6 2 4 2 3 2 2 2 2 2" xfId="50283" xr:uid="{00000000-0005-0000-0000-0000782C0000}"/>
    <cellStyle name="20% - Accent6 2 4 2 3 2 2 2 3" xfId="40585" xr:uid="{00000000-0005-0000-0000-0000792C0000}"/>
    <cellStyle name="20% - Accent6 2 4 2 3 2 2 3" xfId="26639" xr:uid="{00000000-0005-0000-0000-00007A2C0000}"/>
    <cellStyle name="20% - Accent6 2 4 2 3 2 2 3 2" xfId="45828" xr:uid="{00000000-0005-0000-0000-00007B2C0000}"/>
    <cellStyle name="20% - Accent6 2 4 2 3 2 2 4" xfId="36130" xr:uid="{00000000-0005-0000-0000-00007C2C0000}"/>
    <cellStyle name="20% - Accent6 2 4 2 3 2 3" xfId="18498" xr:uid="{00000000-0005-0000-0000-00007D2C0000}"/>
    <cellStyle name="20% - Accent6 2 4 2 3 2 3 2" xfId="28866" xr:uid="{00000000-0005-0000-0000-00007E2C0000}"/>
    <cellStyle name="20% - Accent6 2 4 2 3 2 3 2 2" xfId="48055" xr:uid="{00000000-0005-0000-0000-00007F2C0000}"/>
    <cellStyle name="20% - Accent6 2 4 2 3 2 3 3" xfId="38357" xr:uid="{00000000-0005-0000-0000-0000802C0000}"/>
    <cellStyle name="20% - Accent6 2 4 2 3 2 4" xfId="24406" xr:uid="{00000000-0005-0000-0000-0000812C0000}"/>
    <cellStyle name="20% - Accent6 2 4 2 3 2 4 2" xfId="43600" xr:uid="{00000000-0005-0000-0000-0000822C0000}"/>
    <cellStyle name="20% - Accent6 2 4 2 3 2 5" xfId="33902" xr:uid="{00000000-0005-0000-0000-0000832C0000}"/>
    <cellStyle name="20% - Accent6 2 4 2 3 3" xfId="14577" xr:uid="{00000000-0005-0000-0000-0000842C0000}"/>
    <cellStyle name="20% - Accent6 2 4 2 3 3 2" xfId="15706" xr:uid="{00000000-0005-0000-0000-0000852C0000}"/>
    <cellStyle name="20% - Accent6 2 4 2 3 3 2 2" xfId="20170" xr:uid="{00000000-0005-0000-0000-0000862C0000}"/>
    <cellStyle name="20% - Accent6 2 4 2 3 3 2 2 2" xfId="30538" xr:uid="{00000000-0005-0000-0000-0000872C0000}"/>
    <cellStyle name="20% - Accent6 2 4 2 3 3 2 2 2 2" xfId="49727" xr:uid="{00000000-0005-0000-0000-0000882C0000}"/>
    <cellStyle name="20% - Accent6 2 4 2 3 3 2 2 3" xfId="40029" xr:uid="{00000000-0005-0000-0000-0000892C0000}"/>
    <cellStyle name="20% - Accent6 2 4 2 3 3 2 3" xfId="26083" xr:uid="{00000000-0005-0000-0000-00008A2C0000}"/>
    <cellStyle name="20% - Accent6 2 4 2 3 3 2 3 2" xfId="45272" xr:uid="{00000000-0005-0000-0000-00008B2C0000}"/>
    <cellStyle name="20% - Accent6 2 4 2 3 3 2 4" xfId="35574" xr:uid="{00000000-0005-0000-0000-00008C2C0000}"/>
    <cellStyle name="20% - Accent6 2 4 2 3 3 3" xfId="19055" xr:uid="{00000000-0005-0000-0000-00008D2C0000}"/>
    <cellStyle name="20% - Accent6 2 4 2 3 3 3 2" xfId="29423" xr:uid="{00000000-0005-0000-0000-00008E2C0000}"/>
    <cellStyle name="20% - Accent6 2 4 2 3 3 3 2 2" xfId="48612" xr:uid="{00000000-0005-0000-0000-00008F2C0000}"/>
    <cellStyle name="20% - Accent6 2 4 2 3 3 3 3" xfId="38914" xr:uid="{00000000-0005-0000-0000-0000902C0000}"/>
    <cellStyle name="20% - Accent6 2 4 2 3 3 4" xfId="24968" xr:uid="{00000000-0005-0000-0000-0000912C0000}"/>
    <cellStyle name="20% - Accent6 2 4 2 3 3 4 2" xfId="44157" xr:uid="{00000000-0005-0000-0000-0000922C0000}"/>
    <cellStyle name="20% - Accent6 2 4 2 3 3 5" xfId="34459" xr:uid="{00000000-0005-0000-0000-0000932C0000}"/>
    <cellStyle name="20% - Accent6 2 4 2 3 4" xfId="15149" xr:uid="{00000000-0005-0000-0000-0000942C0000}"/>
    <cellStyle name="20% - Accent6 2 4 2 3 4 2" xfId="19613" xr:uid="{00000000-0005-0000-0000-0000952C0000}"/>
    <cellStyle name="20% - Accent6 2 4 2 3 4 2 2" xfId="29981" xr:uid="{00000000-0005-0000-0000-0000962C0000}"/>
    <cellStyle name="20% - Accent6 2 4 2 3 4 2 2 2" xfId="49170" xr:uid="{00000000-0005-0000-0000-0000972C0000}"/>
    <cellStyle name="20% - Accent6 2 4 2 3 4 2 3" xfId="39472" xr:uid="{00000000-0005-0000-0000-0000982C0000}"/>
    <cellStyle name="20% - Accent6 2 4 2 3 4 3" xfId="25526" xr:uid="{00000000-0005-0000-0000-0000992C0000}"/>
    <cellStyle name="20% - Accent6 2 4 2 3 4 3 2" xfId="44715" xr:uid="{00000000-0005-0000-0000-00009A2C0000}"/>
    <cellStyle name="20% - Accent6 2 4 2 3 4 4" xfId="35017" xr:uid="{00000000-0005-0000-0000-00009B2C0000}"/>
    <cellStyle name="20% - Accent6 2 4 2 3 5" xfId="16819" xr:uid="{00000000-0005-0000-0000-00009C2C0000}"/>
    <cellStyle name="20% - Accent6 2 4 2 3 5 2" xfId="21283" xr:uid="{00000000-0005-0000-0000-00009D2C0000}"/>
    <cellStyle name="20% - Accent6 2 4 2 3 5 2 2" xfId="31651" xr:uid="{00000000-0005-0000-0000-00009E2C0000}"/>
    <cellStyle name="20% - Accent6 2 4 2 3 5 2 2 2" xfId="50840" xr:uid="{00000000-0005-0000-0000-00009F2C0000}"/>
    <cellStyle name="20% - Accent6 2 4 2 3 5 2 3" xfId="41142" xr:uid="{00000000-0005-0000-0000-0000A02C0000}"/>
    <cellStyle name="20% - Accent6 2 4 2 3 5 3" xfId="27196" xr:uid="{00000000-0005-0000-0000-0000A12C0000}"/>
    <cellStyle name="20% - Accent6 2 4 2 3 5 3 2" xfId="46385" xr:uid="{00000000-0005-0000-0000-0000A22C0000}"/>
    <cellStyle name="20% - Accent6 2 4 2 3 5 4" xfId="36687" xr:uid="{00000000-0005-0000-0000-0000A32C0000}"/>
    <cellStyle name="20% - Accent6 2 4 2 3 6" xfId="17385" xr:uid="{00000000-0005-0000-0000-0000A42C0000}"/>
    <cellStyle name="20% - Accent6 2 4 2 3 6 2" xfId="21840" xr:uid="{00000000-0005-0000-0000-0000A52C0000}"/>
    <cellStyle name="20% - Accent6 2 4 2 3 6 2 2" xfId="32208" xr:uid="{00000000-0005-0000-0000-0000A62C0000}"/>
    <cellStyle name="20% - Accent6 2 4 2 3 6 2 2 2" xfId="51397" xr:uid="{00000000-0005-0000-0000-0000A72C0000}"/>
    <cellStyle name="20% - Accent6 2 4 2 3 6 2 3" xfId="41699" xr:uid="{00000000-0005-0000-0000-0000A82C0000}"/>
    <cellStyle name="20% - Accent6 2 4 2 3 6 3" xfId="27753" xr:uid="{00000000-0005-0000-0000-0000A92C0000}"/>
    <cellStyle name="20% - Accent6 2 4 2 3 6 3 2" xfId="46942" xr:uid="{00000000-0005-0000-0000-0000AA2C0000}"/>
    <cellStyle name="20% - Accent6 2 4 2 3 6 4" xfId="37244" xr:uid="{00000000-0005-0000-0000-0000AB2C0000}"/>
    <cellStyle name="20% - Accent6 2 4 2 3 7" xfId="17942" xr:uid="{00000000-0005-0000-0000-0000AC2C0000}"/>
    <cellStyle name="20% - Accent6 2 4 2 3 7 2" xfId="28310" xr:uid="{00000000-0005-0000-0000-0000AD2C0000}"/>
    <cellStyle name="20% - Accent6 2 4 2 3 7 2 2" xfId="47499" xr:uid="{00000000-0005-0000-0000-0000AE2C0000}"/>
    <cellStyle name="20% - Accent6 2 4 2 3 7 3" xfId="37801" xr:uid="{00000000-0005-0000-0000-0000AF2C0000}"/>
    <cellStyle name="20% - Accent6 2 4 2 3 8" xfId="23805" xr:uid="{00000000-0005-0000-0000-0000B02C0000}"/>
    <cellStyle name="20% - Accent6 2 4 2 3 8 2" xfId="43044" xr:uid="{00000000-0005-0000-0000-0000B12C0000}"/>
    <cellStyle name="20% - Accent6 2 4 2 3 9" xfId="33346" xr:uid="{00000000-0005-0000-0000-0000B22C0000}"/>
    <cellStyle name="20% - Accent6 2 4 2 4" xfId="13996" xr:uid="{00000000-0005-0000-0000-0000B32C0000}"/>
    <cellStyle name="20% - Accent6 2 4 2 4 2" xfId="16260" xr:uid="{00000000-0005-0000-0000-0000B42C0000}"/>
    <cellStyle name="20% - Accent6 2 4 2 4 2 2" xfId="20724" xr:uid="{00000000-0005-0000-0000-0000B52C0000}"/>
    <cellStyle name="20% - Accent6 2 4 2 4 2 2 2" xfId="31092" xr:uid="{00000000-0005-0000-0000-0000B62C0000}"/>
    <cellStyle name="20% - Accent6 2 4 2 4 2 2 2 2" xfId="50281" xr:uid="{00000000-0005-0000-0000-0000B72C0000}"/>
    <cellStyle name="20% - Accent6 2 4 2 4 2 2 3" xfId="40583" xr:uid="{00000000-0005-0000-0000-0000B82C0000}"/>
    <cellStyle name="20% - Accent6 2 4 2 4 2 3" xfId="26637" xr:uid="{00000000-0005-0000-0000-0000B92C0000}"/>
    <cellStyle name="20% - Accent6 2 4 2 4 2 3 2" xfId="45826" xr:uid="{00000000-0005-0000-0000-0000BA2C0000}"/>
    <cellStyle name="20% - Accent6 2 4 2 4 2 4" xfId="36128" xr:uid="{00000000-0005-0000-0000-0000BB2C0000}"/>
    <cellStyle name="20% - Accent6 2 4 2 4 3" xfId="18496" xr:uid="{00000000-0005-0000-0000-0000BC2C0000}"/>
    <cellStyle name="20% - Accent6 2 4 2 4 3 2" xfId="28864" xr:uid="{00000000-0005-0000-0000-0000BD2C0000}"/>
    <cellStyle name="20% - Accent6 2 4 2 4 3 2 2" xfId="48053" xr:uid="{00000000-0005-0000-0000-0000BE2C0000}"/>
    <cellStyle name="20% - Accent6 2 4 2 4 3 3" xfId="38355" xr:uid="{00000000-0005-0000-0000-0000BF2C0000}"/>
    <cellStyle name="20% - Accent6 2 4 2 4 4" xfId="24404" xr:uid="{00000000-0005-0000-0000-0000C02C0000}"/>
    <cellStyle name="20% - Accent6 2 4 2 4 4 2" xfId="43598" xr:uid="{00000000-0005-0000-0000-0000C12C0000}"/>
    <cellStyle name="20% - Accent6 2 4 2 4 5" xfId="33900" xr:uid="{00000000-0005-0000-0000-0000C22C0000}"/>
    <cellStyle name="20% - Accent6 2 4 2 5" xfId="14575" xr:uid="{00000000-0005-0000-0000-0000C32C0000}"/>
    <cellStyle name="20% - Accent6 2 4 2 5 2" xfId="15704" xr:uid="{00000000-0005-0000-0000-0000C42C0000}"/>
    <cellStyle name="20% - Accent6 2 4 2 5 2 2" xfId="20168" xr:uid="{00000000-0005-0000-0000-0000C52C0000}"/>
    <cellStyle name="20% - Accent6 2 4 2 5 2 2 2" xfId="30536" xr:uid="{00000000-0005-0000-0000-0000C62C0000}"/>
    <cellStyle name="20% - Accent6 2 4 2 5 2 2 2 2" xfId="49725" xr:uid="{00000000-0005-0000-0000-0000C72C0000}"/>
    <cellStyle name="20% - Accent6 2 4 2 5 2 2 3" xfId="40027" xr:uid="{00000000-0005-0000-0000-0000C82C0000}"/>
    <cellStyle name="20% - Accent6 2 4 2 5 2 3" xfId="26081" xr:uid="{00000000-0005-0000-0000-0000C92C0000}"/>
    <cellStyle name="20% - Accent6 2 4 2 5 2 3 2" xfId="45270" xr:uid="{00000000-0005-0000-0000-0000CA2C0000}"/>
    <cellStyle name="20% - Accent6 2 4 2 5 2 4" xfId="35572" xr:uid="{00000000-0005-0000-0000-0000CB2C0000}"/>
    <cellStyle name="20% - Accent6 2 4 2 5 3" xfId="19053" xr:uid="{00000000-0005-0000-0000-0000CC2C0000}"/>
    <cellStyle name="20% - Accent6 2 4 2 5 3 2" xfId="29421" xr:uid="{00000000-0005-0000-0000-0000CD2C0000}"/>
    <cellStyle name="20% - Accent6 2 4 2 5 3 2 2" xfId="48610" xr:uid="{00000000-0005-0000-0000-0000CE2C0000}"/>
    <cellStyle name="20% - Accent6 2 4 2 5 3 3" xfId="38912" xr:uid="{00000000-0005-0000-0000-0000CF2C0000}"/>
    <cellStyle name="20% - Accent6 2 4 2 5 4" xfId="24966" xr:uid="{00000000-0005-0000-0000-0000D02C0000}"/>
    <cellStyle name="20% - Accent6 2 4 2 5 4 2" xfId="44155" xr:uid="{00000000-0005-0000-0000-0000D12C0000}"/>
    <cellStyle name="20% - Accent6 2 4 2 5 5" xfId="34457" xr:uid="{00000000-0005-0000-0000-0000D22C0000}"/>
    <cellStyle name="20% - Accent6 2 4 2 6" xfId="15147" xr:uid="{00000000-0005-0000-0000-0000D32C0000}"/>
    <cellStyle name="20% - Accent6 2 4 2 6 2" xfId="19611" xr:uid="{00000000-0005-0000-0000-0000D42C0000}"/>
    <cellStyle name="20% - Accent6 2 4 2 6 2 2" xfId="29979" xr:uid="{00000000-0005-0000-0000-0000D52C0000}"/>
    <cellStyle name="20% - Accent6 2 4 2 6 2 2 2" xfId="49168" xr:uid="{00000000-0005-0000-0000-0000D62C0000}"/>
    <cellStyle name="20% - Accent6 2 4 2 6 2 3" xfId="39470" xr:uid="{00000000-0005-0000-0000-0000D72C0000}"/>
    <cellStyle name="20% - Accent6 2 4 2 6 3" xfId="25524" xr:uid="{00000000-0005-0000-0000-0000D82C0000}"/>
    <cellStyle name="20% - Accent6 2 4 2 6 3 2" xfId="44713" xr:uid="{00000000-0005-0000-0000-0000D92C0000}"/>
    <cellStyle name="20% - Accent6 2 4 2 6 4" xfId="35015" xr:uid="{00000000-0005-0000-0000-0000DA2C0000}"/>
    <cellStyle name="20% - Accent6 2 4 2 7" xfId="16817" xr:uid="{00000000-0005-0000-0000-0000DB2C0000}"/>
    <cellStyle name="20% - Accent6 2 4 2 7 2" xfId="21281" xr:uid="{00000000-0005-0000-0000-0000DC2C0000}"/>
    <cellStyle name="20% - Accent6 2 4 2 7 2 2" xfId="31649" xr:uid="{00000000-0005-0000-0000-0000DD2C0000}"/>
    <cellStyle name="20% - Accent6 2 4 2 7 2 2 2" xfId="50838" xr:uid="{00000000-0005-0000-0000-0000DE2C0000}"/>
    <cellStyle name="20% - Accent6 2 4 2 7 2 3" xfId="41140" xr:uid="{00000000-0005-0000-0000-0000DF2C0000}"/>
    <cellStyle name="20% - Accent6 2 4 2 7 3" xfId="27194" xr:uid="{00000000-0005-0000-0000-0000E02C0000}"/>
    <cellStyle name="20% - Accent6 2 4 2 7 3 2" xfId="46383" xr:uid="{00000000-0005-0000-0000-0000E12C0000}"/>
    <cellStyle name="20% - Accent6 2 4 2 7 4" xfId="36685" xr:uid="{00000000-0005-0000-0000-0000E22C0000}"/>
    <cellStyle name="20% - Accent6 2 4 2 8" xfId="17383" xr:uid="{00000000-0005-0000-0000-0000E32C0000}"/>
    <cellStyle name="20% - Accent6 2 4 2 8 2" xfId="21838" xr:uid="{00000000-0005-0000-0000-0000E42C0000}"/>
    <cellStyle name="20% - Accent6 2 4 2 8 2 2" xfId="32206" xr:uid="{00000000-0005-0000-0000-0000E52C0000}"/>
    <cellStyle name="20% - Accent6 2 4 2 8 2 2 2" xfId="51395" xr:uid="{00000000-0005-0000-0000-0000E62C0000}"/>
    <cellStyle name="20% - Accent6 2 4 2 8 2 3" xfId="41697" xr:uid="{00000000-0005-0000-0000-0000E72C0000}"/>
    <cellStyle name="20% - Accent6 2 4 2 8 3" xfId="27751" xr:uid="{00000000-0005-0000-0000-0000E82C0000}"/>
    <cellStyle name="20% - Accent6 2 4 2 8 3 2" xfId="46940" xr:uid="{00000000-0005-0000-0000-0000E92C0000}"/>
    <cellStyle name="20% - Accent6 2 4 2 8 4" xfId="37242" xr:uid="{00000000-0005-0000-0000-0000EA2C0000}"/>
    <cellStyle name="20% - Accent6 2 4 2 9" xfId="17940" xr:uid="{00000000-0005-0000-0000-0000EB2C0000}"/>
    <cellStyle name="20% - Accent6 2 4 2 9 2" xfId="28308" xr:uid="{00000000-0005-0000-0000-0000EC2C0000}"/>
    <cellStyle name="20% - Accent6 2 4 2 9 2 2" xfId="47497" xr:uid="{00000000-0005-0000-0000-0000ED2C0000}"/>
    <cellStyle name="20% - Accent6 2 4 2 9 3" xfId="37799" xr:uid="{00000000-0005-0000-0000-0000EE2C0000}"/>
    <cellStyle name="20% - Accent6 2 4 3" xfId="13053" xr:uid="{00000000-0005-0000-0000-0000EF2C0000}"/>
    <cellStyle name="20% - Accent6 2 4 3 10" xfId="23806" xr:uid="{00000000-0005-0000-0000-0000F02C0000}"/>
    <cellStyle name="20% - Accent6 2 4 3 10 2" xfId="43045" xr:uid="{00000000-0005-0000-0000-0000F12C0000}"/>
    <cellStyle name="20% - Accent6 2 4 3 11" xfId="33347" xr:uid="{00000000-0005-0000-0000-0000F22C0000}"/>
    <cellStyle name="20% - Accent6 2 4 3 12" xfId="52981" xr:uid="{00000000-0005-0000-0000-0000F32C0000}"/>
    <cellStyle name="20% - Accent6 2 4 3 2" xfId="13054" xr:uid="{00000000-0005-0000-0000-0000F42C0000}"/>
    <cellStyle name="20% - Accent6 2 4 3 2 10" xfId="53856" xr:uid="{00000000-0005-0000-0000-0000F52C0000}"/>
    <cellStyle name="20% - Accent6 2 4 3 2 2" xfId="14000" xr:uid="{00000000-0005-0000-0000-0000F62C0000}"/>
    <cellStyle name="20% - Accent6 2 4 3 2 2 2" xfId="16264" xr:uid="{00000000-0005-0000-0000-0000F72C0000}"/>
    <cellStyle name="20% - Accent6 2 4 3 2 2 2 2" xfId="20728" xr:uid="{00000000-0005-0000-0000-0000F82C0000}"/>
    <cellStyle name="20% - Accent6 2 4 3 2 2 2 2 2" xfId="31096" xr:uid="{00000000-0005-0000-0000-0000F92C0000}"/>
    <cellStyle name="20% - Accent6 2 4 3 2 2 2 2 2 2" xfId="50285" xr:uid="{00000000-0005-0000-0000-0000FA2C0000}"/>
    <cellStyle name="20% - Accent6 2 4 3 2 2 2 2 3" xfId="40587" xr:uid="{00000000-0005-0000-0000-0000FB2C0000}"/>
    <cellStyle name="20% - Accent6 2 4 3 2 2 2 3" xfId="26641" xr:uid="{00000000-0005-0000-0000-0000FC2C0000}"/>
    <cellStyle name="20% - Accent6 2 4 3 2 2 2 3 2" xfId="45830" xr:uid="{00000000-0005-0000-0000-0000FD2C0000}"/>
    <cellStyle name="20% - Accent6 2 4 3 2 2 2 4" xfId="36132" xr:uid="{00000000-0005-0000-0000-0000FE2C0000}"/>
    <cellStyle name="20% - Accent6 2 4 3 2 2 3" xfId="18500" xr:uid="{00000000-0005-0000-0000-0000FF2C0000}"/>
    <cellStyle name="20% - Accent6 2 4 3 2 2 3 2" xfId="28868" xr:uid="{00000000-0005-0000-0000-0000002D0000}"/>
    <cellStyle name="20% - Accent6 2 4 3 2 2 3 2 2" xfId="48057" xr:uid="{00000000-0005-0000-0000-0000012D0000}"/>
    <cellStyle name="20% - Accent6 2 4 3 2 2 3 3" xfId="38359" xr:uid="{00000000-0005-0000-0000-0000022D0000}"/>
    <cellStyle name="20% - Accent6 2 4 3 2 2 4" xfId="24408" xr:uid="{00000000-0005-0000-0000-0000032D0000}"/>
    <cellStyle name="20% - Accent6 2 4 3 2 2 4 2" xfId="43602" xr:uid="{00000000-0005-0000-0000-0000042D0000}"/>
    <cellStyle name="20% - Accent6 2 4 3 2 2 5" xfId="33904" xr:uid="{00000000-0005-0000-0000-0000052D0000}"/>
    <cellStyle name="20% - Accent6 2 4 3 2 3" xfId="14579" xr:uid="{00000000-0005-0000-0000-0000062D0000}"/>
    <cellStyle name="20% - Accent6 2 4 3 2 3 2" xfId="15708" xr:uid="{00000000-0005-0000-0000-0000072D0000}"/>
    <cellStyle name="20% - Accent6 2 4 3 2 3 2 2" xfId="20172" xr:uid="{00000000-0005-0000-0000-0000082D0000}"/>
    <cellStyle name="20% - Accent6 2 4 3 2 3 2 2 2" xfId="30540" xr:uid="{00000000-0005-0000-0000-0000092D0000}"/>
    <cellStyle name="20% - Accent6 2 4 3 2 3 2 2 2 2" xfId="49729" xr:uid="{00000000-0005-0000-0000-00000A2D0000}"/>
    <cellStyle name="20% - Accent6 2 4 3 2 3 2 2 3" xfId="40031" xr:uid="{00000000-0005-0000-0000-00000B2D0000}"/>
    <cellStyle name="20% - Accent6 2 4 3 2 3 2 3" xfId="26085" xr:uid="{00000000-0005-0000-0000-00000C2D0000}"/>
    <cellStyle name="20% - Accent6 2 4 3 2 3 2 3 2" xfId="45274" xr:uid="{00000000-0005-0000-0000-00000D2D0000}"/>
    <cellStyle name="20% - Accent6 2 4 3 2 3 2 4" xfId="35576" xr:uid="{00000000-0005-0000-0000-00000E2D0000}"/>
    <cellStyle name="20% - Accent6 2 4 3 2 3 3" xfId="19057" xr:uid="{00000000-0005-0000-0000-00000F2D0000}"/>
    <cellStyle name="20% - Accent6 2 4 3 2 3 3 2" xfId="29425" xr:uid="{00000000-0005-0000-0000-0000102D0000}"/>
    <cellStyle name="20% - Accent6 2 4 3 2 3 3 2 2" xfId="48614" xr:uid="{00000000-0005-0000-0000-0000112D0000}"/>
    <cellStyle name="20% - Accent6 2 4 3 2 3 3 3" xfId="38916" xr:uid="{00000000-0005-0000-0000-0000122D0000}"/>
    <cellStyle name="20% - Accent6 2 4 3 2 3 4" xfId="24970" xr:uid="{00000000-0005-0000-0000-0000132D0000}"/>
    <cellStyle name="20% - Accent6 2 4 3 2 3 4 2" xfId="44159" xr:uid="{00000000-0005-0000-0000-0000142D0000}"/>
    <cellStyle name="20% - Accent6 2 4 3 2 3 5" xfId="34461" xr:uid="{00000000-0005-0000-0000-0000152D0000}"/>
    <cellStyle name="20% - Accent6 2 4 3 2 4" xfId="15151" xr:uid="{00000000-0005-0000-0000-0000162D0000}"/>
    <cellStyle name="20% - Accent6 2 4 3 2 4 2" xfId="19615" xr:uid="{00000000-0005-0000-0000-0000172D0000}"/>
    <cellStyle name="20% - Accent6 2 4 3 2 4 2 2" xfId="29983" xr:uid="{00000000-0005-0000-0000-0000182D0000}"/>
    <cellStyle name="20% - Accent6 2 4 3 2 4 2 2 2" xfId="49172" xr:uid="{00000000-0005-0000-0000-0000192D0000}"/>
    <cellStyle name="20% - Accent6 2 4 3 2 4 2 3" xfId="39474" xr:uid="{00000000-0005-0000-0000-00001A2D0000}"/>
    <cellStyle name="20% - Accent6 2 4 3 2 4 3" xfId="25528" xr:uid="{00000000-0005-0000-0000-00001B2D0000}"/>
    <cellStyle name="20% - Accent6 2 4 3 2 4 3 2" xfId="44717" xr:uid="{00000000-0005-0000-0000-00001C2D0000}"/>
    <cellStyle name="20% - Accent6 2 4 3 2 4 4" xfId="35019" xr:uid="{00000000-0005-0000-0000-00001D2D0000}"/>
    <cellStyle name="20% - Accent6 2 4 3 2 5" xfId="16821" xr:uid="{00000000-0005-0000-0000-00001E2D0000}"/>
    <cellStyle name="20% - Accent6 2 4 3 2 5 2" xfId="21285" xr:uid="{00000000-0005-0000-0000-00001F2D0000}"/>
    <cellStyle name="20% - Accent6 2 4 3 2 5 2 2" xfId="31653" xr:uid="{00000000-0005-0000-0000-0000202D0000}"/>
    <cellStyle name="20% - Accent6 2 4 3 2 5 2 2 2" xfId="50842" xr:uid="{00000000-0005-0000-0000-0000212D0000}"/>
    <cellStyle name="20% - Accent6 2 4 3 2 5 2 3" xfId="41144" xr:uid="{00000000-0005-0000-0000-0000222D0000}"/>
    <cellStyle name="20% - Accent6 2 4 3 2 5 3" xfId="27198" xr:uid="{00000000-0005-0000-0000-0000232D0000}"/>
    <cellStyle name="20% - Accent6 2 4 3 2 5 3 2" xfId="46387" xr:uid="{00000000-0005-0000-0000-0000242D0000}"/>
    <cellStyle name="20% - Accent6 2 4 3 2 5 4" xfId="36689" xr:uid="{00000000-0005-0000-0000-0000252D0000}"/>
    <cellStyle name="20% - Accent6 2 4 3 2 6" xfId="17387" xr:uid="{00000000-0005-0000-0000-0000262D0000}"/>
    <cellStyle name="20% - Accent6 2 4 3 2 6 2" xfId="21842" xr:uid="{00000000-0005-0000-0000-0000272D0000}"/>
    <cellStyle name="20% - Accent6 2 4 3 2 6 2 2" xfId="32210" xr:uid="{00000000-0005-0000-0000-0000282D0000}"/>
    <cellStyle name="20% - Accent6 2 4 3 2 6 2 2 2" xfId="51399" xr:uid="{00000000-0005-0000-0000-0000292D0000}"/>
    <cellStyle name="20% - Accent6 2 4 3 2 6 2 3" xfId="41701" xr:uid="{00000000-0005-0000-0000-00002A2D0000}"/>
    <cellStyle name="20% - Accent6 2 4 3 2 6 3" xfId="27755" xr:uid="{00000000-0005-0000-0000-00002B2D0000}"/>
    <cellStyle name="20% - Accent6 2 4 3 2 6 3 2" xfId="46944" xr:uid="{00000000-0005-0000-0000-00002C2D0000}"/>
    <cellStyle name="20% - Accent6 2 4 3 2 6 4" xfId="37246" xr:uid="{00000000-0005-0000-0000-00002D2D0000}"/>
    <cellStyle name="20% - Accent6 2 4 3 2 7" xfId="17944" xr:uid="{00000000-0005-0000-0000-00002E2D0000}"/>
    <cellStyle name="20% - Accent6 2 4 3 2 7 2" xfId="28312" xr:uid="{00000000-0005-0000-0000-00002F2D0000}"/>
    <cellStyle name="20% - Accent6 2 4 3 2 7 2 2" xfId="47501" xr:uid="{00000000-0005-0000-0000-0000302D0000}"/>
    <cellStyle name="20% - Accent6 2 4 3 2 7 3" xfId="37803" xr:uid="{00000000-0005-0000-0000-0000312D0000}"/>
    <cellStyle name="20% - Accent6 2 4 3 2 8" xfId="23807" xr:uid="{00000000-0005-0000-0000-0000322D0000}"/>
    <cellStyle name="20% - Accent6 2 4 3 2 8 2" xfId="43046" xr:uid="{00000000-0005-0000-0000-0000332D0000}"/>
    <cellStyle name="20% - Accent6 2 4 3 2 9" xfId="33348" xr:uid="{00000000-0005-0000-0000-0000342D0000}"/>
    <cellStyle name="20% - Accent6 2 4 3 3" xfId="13055" xr:uid="{00000000-0005-0000-0000-0000352D0000}"/>
    <cellStyle name="20% - Accent6 2 4 3 3 2" xfId="14001" xr:uid="{00000000-0005-0000-0000-0000362D0000}"/>
    <cellStyle name="20% - Accent6 2 4 3 3 2 2" xfId="16265" xr:uid="{00000000-0005-0000-0000-0000372D0000}"/>
    <cellStyle name="20% - Accent6 2 4 3 3 2 2 2" xfId="20729" xr:uid="{00000000-0005-0000-0000-0000382D0000}"/>
    <cellStyle name="20% - Accent6 2 4 3 3 2 2 2 2" xfId="31097" xr:uid="{00000000-0005-0000-0000-0000392D0000}"/>
    <cellStyle name="20% - Accent6 2 4 3 3 2 2 2 2 2" xfId="50286" xr:uid="{00000000-0005-0000-0000-00003A2D0000}"/>
    <cellStyle name="20% - Accent6 2 4 3 3 2 2 2 3" xfId="40588" xr:uid="{00000000-0005-0000-0000-00003B2D0000}"/>
    <cellStyle name="20% - Accent6 2 4 3 3 2 2 3" xfId="26642" xr:uid="{00000000-0005-0000-0000-00003C2D0000}"/>
    <cellStyle name="20% - Accent6 2 4 3 3 2 2 3 2" xfId="45831" xr:uid="{00000000-0005-0000-0000-00003D2D0000}"/>
    <cellStyle name="20% - Accent6 2 4 3 3 2 2 4" xfId="36133" xr:uid="{00000000-0005-0000-0000-00003E2D0000}"/>
    <cellStyle name="20% - Accent6 2 4 3 3 2 3" xfId="18501" xr:uid="{00000000-0005-0000-0000-00003F2D0000}"/>
    <cellStyle name="20% - Accent6 2 4 3 3 2 3 2" xfId="28869" xr:uid="{00000000-0005-0000-0000-0000402D0000}"/>
    <cellStyle name="20% - Accent6 2 4 3 3 2 3 2 2" xfId="48058" xr:uid="{00000000-0005-0000-0000-0000412D0000}"/>
    <cellStyle name="20% - Accent6 2 4 3 3 2 3 3" xfId="38360" xr:uid="{00000000-0005-0000-0000-0000422D0000}"/>
    <cellStyle name="20% - Accent6 2 4 3 3 2 4" xfId="24409" xr:uid="{00000000-0005-0000-0000-0000432D0000}"/>
    <cellStyle name="20% - Accent6 2 4 3 3 2 4 2" xfId="43603" xr:uid="{00000000-0005-0000-0000-0000442D0000}"/>
    <cellStyle name="20% - Accent6 2 4 3 3 2 5" xfId="33905" xr:uid="{00000000-0005-0000-0000-0000452D0000}"/>
    <cellStyle name="20% - Accent6 2 4 3 3 3" xfId="14580" xr:uid="{00000000-0005-0000-0000-0000462D0000}"/>
    <cellStyle name="20% - Accent6 2 4 3 3 3 2" xfId="15709" xr:uid="{00000000-0005-0000-0000-0000472D0000}"/>
    <cellStyle name="20% - Accent6 2 4 3 3 3 2 2" xfId="20173" xr:uid="{00000000-0005-0000-0000-0000482D0000}"/>
    <cellStyle name="20% - Accent6 2 4 3 3 3 2 2 2" xfId="30541" xr:uid="{00000000-0005-0000-0000-0000492D0000}"/>
    <cellStyle name="20% - Accent6 2 4 3 3 3 2 2 2 2" xfId="49730" xr:uid="{00000000-0005-0000-0000-00004A2D0000}"/>
    <cellStyle name="20% - Accent6 2 4 3 3 3 2 2 3" xfId="40032" xr:uid="{00000000-0005-0000-0000-00004B2D0000}"/>
    <cellStyle name="20% - Accent6 2 4 3 3 3 2 3" xfId="26086" xr:uid="{00000000-0005-0000-0000-00004C2D0000}"/>
    <cellStyle name="20% - Accent6 2 4 3 3 3 2 3 2" xfId="45275" xr:uid="{00000000-0005-0000-0000-00004D2D0000}"/>
    <cellStyle name="20% - Accent6 2 4 3 3 3 2 4" xfId="35577" xr:uid="{00000000-0005-0000-0000-00004E2D0000}"/>
    <cellStyle name="20% - Accent6 2 4 3 3 3 3" xfId="19058" xr:uid="{00000000-0005-0000-0000-00004F2D0000}"/>
    <cellStyle name="20% - Accent6 2 4 3 3 3 3 2" xfId="29426" xr:uid="{00000000-0005-0000-0000-0000502D0000}"/>
    <cellStyle name="20% - Accent6 2 4 3 3 3 3 2 2" xfId="48615" xr:uid="{00000000-0005-0000-0000-0000512D0000}"/>
    <cellStyle name="20% - Accent6 2 4 3 3 3 3 3" xfId="38917" xr:uid="{00000000-0005-0000-0000-0000522D0000}"/>
    <cellStyle name="20% - Accent6 2 4 3 3 3 4" xfId="24971" xr:uid="{00000000-0005-0000-0000-0000532D0000}"/>
    <cellStyle name="20% - Accent6 2 4 3 3 3 4 2" xfId="44160" xr:uid="{00000000-0005-0000-0000-0000542D0000}"/>
    <cellStyle name="20% - Accent6 2 4 3 3 3 5" xfId="34462" xr:uid="{00000000-0005-0000-0000-0000552D0000}"/>
    <cellStyle name="20% - Accent6 2 4 3 3 4" xfId="15152" xr:uid="{00000000-0005-0000-0000-0000562D0000}"/>
    <cellStyle name="20% - Accent6 2 4 3 3 4 2" xfId="19616" xr:uid="{00000000-0005-0000-0000-0000572D0000}"/>
    <cellStyle name="20% - Accent6 2 4 3 3 4 2 2" xfId="29984" xr:uid="{00000000-0005-0000-0000-0000582D0000}"/>
    <cellStyle name="20% - Accent6 2 4 3 3 4 2 2 2" xfId="49173" xr:uid="{00000000-0005-0000-0000-0000592D0000}"/>
    <cellStyle name="20% - Accent6 2 4 3 3 4 2 3" xfId="39475" xr:uid="{00000000-0005-0000-0000-00005A2D0000}"/>
    <cellStyle name="20% - Accent6 2 4 3 3 4 3" xfId="25529" xr:uid="{00000000-0005-0000-0000-00005B2D0000}"/>
    <cellStyle name="20% - Accent6 2 4 3 3 4 3 2" xfId="44718" xr:uid="{00000000-0005-0000-0000-00005C2D0000}"/>
    <cellStyle name="20% - Accent6 2 4 3 3 4 4" xfId="35020" xr:uid="{00000000-0005-0000-0000-00005D2D0000}"/>
    <cellStyle name="20% - Accent6 2 4 3 3 5" xfId="16822" xr:uid="{00000000-0005-0000-0000-00005E2D0000}"/>
    <cellStyle name="20% - Accent6 2 4 3 3 5 2" xfId="21286" xr:uid="{00000000-0005-0000-0000-00005F2D0000}"/>
    <cellStyle name="20% - Accent6 2 4 3 3 5 2 2" xfId="31654" xr:uid="{00000000-0005-0000-0000-0000602D0000}"/>
    <cellStyle name="20% - Accent6 2 4 3 3 5 2 2 2" xfId="50843" xr:uid="{00000000-0005-0000-0000-0000612D0000}"/>
    <cellStyle name="20% - Accent6 2 4 3 3 5 2 3" xfId="41145" xr:uid="{00000000-0005-0000-0000-0000622D0000}"/>
    <cellStyle name="20% - Accent6 2 4 3 3 5 3" xfId="27199" xr:uid="{00000000-0005-0000-0000-0000632D0000}"/>
    <cellStyle name="20% - Accent6 2 4 3 3 5 3 2" xfId="46388" xr:uid="{00000000-0005-0000-0000-0000642D0000}"/>
    <cellStyle name="20% - Accent6 2 4 3 3 5 4" xfId="36690" xr:uid="{00000000-0005-0000-0000-0000652D0000}"/>
    <cellStyle name="20% - Accent6 2 4 3 3 6" xfId="17388" xr:uid="{00000000-0005-0000-0000-0000662D0000}"/>
    <cellStyle name="20% - Accent6 2 4 3 3 6 2" xfId="21843" xr:uid="{00000000-0005-0000-0000-0000672D0000}"/>
    <cellStyle name="20% - Accent6 2 4 3 3 6 2 2" xfId="32211" xr:uid="{00000000-0005-0000-0000-0000682D0000}"/>
    <cellStyle name="20% - Accent6 2 4 3 3 6 2 2 2" xfId="51400" xr:uid="{00000000-0005-0000-0000-0000692D0000}"/>
    <cellStyle name="20% - Accent6 2 4 3 3 6 2 3" xfId="41702" xr:uid="{00000000-0005-0000-0000-00006A2D0000}"/>
    <cellStyle name="20% - Accent6 2 4 3 3 6 3" xfId="27756" xr:uid="{00000000-0005-0000-0000-00006B2D0000}"/>
    <cellStyle name="20% - Accent6 2 4 3 3 6 3 2" xfId="46945" xr:uid="{00000000-0005-0000-0000-00006C2D0000}"/>
    <cellStyle name="20% - Accent6 2 4 3 3 6 4" xfId="37247" xr:uid="{00000000-0005-0000-0000-00006D2D0000}"/>
    <cellStyle name="20% - Accent6 2 4 3 3 7" xfId="17945" xr:uid="{00000000-0005-0000-0000-00006E2D0000}"/>
    <cellStyle name="20% - Accent6 2 4 3 3 7 2" xfId="28313" xr:uid="{00000000-0005-0000-0000-00006F2D0000}"/>
    <cellStyle name="20% - Accent6 2 4 3 3 7 2 2" xfId="47502" xr:uid="{00000000-0005-0000-0000-0000702D0000}"/>
    <cellStyle name="20% - Accent6 2 4 3 3 7 3" xfId="37804" xr:uid="{00000000-0005-0000-0000-0000712D0000}"/>
    <cellStyle name="20% - Accent6 2 4 3 3 8" xfId="23808" xr:uid="{00000000-0005-0000-0000-0000722D0000}"/>
    <cellStyle name="20% - Accent6 2 4 3 3 8 2" xfId="43047" xr:uid="{00000000-0005-0000-0000-0000732D0000}"/>
    <cellStyle name="20% - Accent6 2 4 3 3 9" xfId="33349" xr:uid="{00000000-0005-0000-0000-0000742D0000}"/>
    <cellStyle name="20% - Accent6 2 4 3 4" xfId="13999" xr:uid="{00000000-0005-0000-0000-0000752D0000}"/>
    <cellStyle name="20% - Accent6 2 4 3 4 2" xfId="16263" xr:uid="{00000000-0005-0000-0000-0000762D0000}"/>
    <cellStyle name="20% - Accent6 2 4 3 4 2 2" xfId="20727" xr:uid="{00000000-0005-0000-0000-0000772D0000}"/>
    <cellStyle name="20% - Accent6 2 4 3 4 2 2 2" xfId="31095" xr:uid="{00000000-0005-0000-0000-0000782D0000}"/>
    <cellStyle name="20% - Accent6 2 4 3 4 2 2 2 2" xfId="50284" xr:uid="{00000000-0005-0000-0000-0000792D0000}"/>
    <cellStyle name="20% - Accent6 2 4 3 4 2 2 3" xfId="40586" xr:uid="{00000000-0005-0000-0000-00007A2D0000}"/>
    <cellStyle name="20% - Accent6 2 4 3 4 2 3" xfId="26640" xr:uid="{00000000-0005-0000-0000-00007B2D0000}"/>
    <cellStyle name="20% - Accent6 2 4 3 4 2 3 2" xfId="45829" xr:uid="{00000000-0005-0000-0000-00007C2D0000}"/>
    <cellStyle name="20% - Accent6 2 4 3 4 2 4" xfId="36131" xr:uid="{00000000-0005-0000-0000-00007D2D0000}"/>
    <cellStyle name="20% - Accent6 2 4 3 4 3" xfId="18499" xr:uid="{00000000-0005-0000-0000-00007E2D0000}"/>
    <cellStyle name="20% - Accent6 2 4 3 4 3 2" xfId="28867" xr:uid="{00000000-0005-0000-0000-00007F2D0000}"/>
    <cellStyle name="20% - Accent6 2 4 3 4 3 2 2" xfId="48056" xr:uid="{00000000-0005-0000-0000-0000802D0000}"/>
    <cellStyle name="20% - Accent6 2 4 3 4 3 3" xfId="38358" xr:uid="{00000000-0005-0000-0000-0000812D0000}"/>
    <cellStyle name="20% - Accent6 2 4 3 4 4" xfId="24407" xr:uid="{00000000-0005-0000-0000-0000822D0000}"/>
    <cellStyle name="20% - Accent6 2 4 3 4 4 2" xfId="43601" xr:uid="{00000000-0005-0000-0000-0000832D0000}"/>
    <cellStyle name="20% - Accent6 2 4 3 4 5" xfId="33903" xr:uid="{00000000-0005-0000-0000-0000842D0000}"/>
    <cellStyle name="20% - Accent6 2 4 3 5" xfId="14578" xr:uid="{00000000-0005-0000-0000-0000852D0000}"/>
    <cellStyle name="20% - Accent6 2 4 3 5 2" xfId="15707" xr:uid="{00000000-0005-0000-0000-0000862D0000}"/>
    <cellStyle name="20% - Accent6 2 4 3 5 2 2" xfId="20171" xr:uid="{00000000-0005-0000-0000-0000872D0000}"/>
    <cellStyle name="20% - Accent6 2 4 3 5 2 2 2" xfId="30539" xr:uid="{00000000-0005-0000-0000-0000882D0000}"/>
    <cellStyle name="20% - Accent6 2 4 3 5 2 2 2 2" xfId="49728" xr:uid="{00000000-0005-0000-0000-0000892D0000}"/>
    <cellStyle name="20% - Accent6 2 4 3 5 2 2 3" xfId="40030" xr:uid="{00000000-0005-0000-0000-00008A2D0000}"/>
    <cellStyle name="20% - Accent6 2 4 3 5 2 3" xfId="26084" xr:uid="{00000000-0005-0000-0000-00008B2D0000}"/>
    <cellStyle name="20% - Accent6 2 4 3 5 2 3 2" xfId="45273" xr:uid="{00000000-0005-0000-0000-00008C2D0000}"/>
    <cellStyle name="20% - Accent6 2 4 3 5 2 4" xfId="35575" xr:uid="{00000000-0005-0000-0000-00008D2D0000}"/>
    <cellStyle name="20% - Accent6 2 4 3 5 3" xfId="19056" xr:uid="{00000000-0005-0000-0000-00008E2D0000}"/>
    <cellStyle name="20% - Accent6 2 4 3 5 3 2" xfId="29424" xr:uid="{00000000-0005-0000-0000-00008F2D0000}"/>
    <cellStyle name="20% - Accent6 2 4 3 5 3 2 2" xfId="48613" xr:uid="{00000000-0005-0000-0000-0000902D0000}"/>
    <cellStyle name="20% - Accent6 2 4 3 5 3 3" xfId="38915" xr:uid="{00000000-0005-0000-0000-0000912D0000}"/>
    <cellStyle name="20% - Accent6 2 4 3 5 4" xfId="24969" xr:uid="{00000000-0005-0000-0000-0000922D0000}"/>
    <cellStyle name="20% - Accent6 2 4 3 5 4 2" xfId="44158" xr:uid="{00000000-0005-0000-0000-0000932D0000}"/>
    <cellStyle name="20% - Accent6 2 4 3 5 5" xfId="34460" xr:uid="{00000000-0005-0000-0000-0000942D0000}"/>
    <cellStyle name="20% - Accent6 2 4 3 6" xfId="15150" xr:uid="{00000000-0005-0000-0000-0000952D0000}"/>
    <cellStyle name="20% - Accent6 2 4 3 6 2" xfId="19614" xr:uid="{00000000-0005-0000-0000-0000962D0000}"/>
    <cellStyle name="20% - Accent6 2 4 3 6 2 2" xfId="29982" xr:uid="{00000000-0005-0000-0000-0000972D0000}"/>
    <cellStyle name="20% - Accent6 2 4 3 6 2 2 2" xfId="49171" xr:uid="{00000000-0005-0000-0000-0000982D0000}"/>
    <cellStyle name="20% - Accent6 2 4 3 6 2 3" xfId="39473" xr:uid="{00000000-0005-0000-0000-0000992D0000}"/>
    <cellStyle name="20% - Accent6 2 4 3 6 3" xfId="25527" xr:uid="{00000000-0005-0000-0000-00009A2D0000}"/>
    <cellStyle name="20% - Accent6 2 4 3 6 3 2" xfId="44716" xr:uid="{00000000-0005-0000-0000-00009B2D0000}"/>
    <cellStyle name="20% - Accent6 2 4 3 6 4" xfId="35018" xr:uid="{00000000-0005-0000-0000-00009C2D0000}"/>
    <cellStyle name="20% - Accent6 2 4 3 7" xfId="16820" xr:uid="{00000000-0005-0000-0000-00009D2D0000}"/>
    <cellStyle name="20% - Accent6 2 4 3 7 2" xfId="21284" xr:uid="{00000000-0005-0000-0000-00009E2D0000}"/>
    <cellStyle name="20% - Accent6 2 4 3 7 2 2" xfId="31652" xr:uid="{00000000-0005-0000-0000-00009F2D0000}"/>
    <cellStyle name="20% - Accent6 2 4 3 7 2 2 2" xfId="50841" xr:uid="{00000000-0005-0000-0000-0000A02D0000}"/>
    <cellStyle name="20% - Accent6 2 4 3 7 2 3" xfId="41143" xr:uid="{00000000-0005-0000-0000-0000A12D0000}"/>
    <cellStyle name="20% - Accent6 2 4 3 7 3" xfId="27197" xr:uid="{00000000-0005-0000-0000-0000A22D0000}"/>
    <cellStyle name="20% - Accent6 2 4 3 7 3 2" xfId="46386" xr:uid="{00000000-0005-0000-0000-0000A32D0000}"/>
    <cellStyle name="20% - Accent6 2 4 3 7 4" xfId="36688" xr:uid="{00000000-0005-0000-0000-0000A42D0000}"/>
    <cellStyle name="20% - Accent6 2 4 3 8" xfId="17386" xr:uid="{00000000-0005-0000-0000-0000A52D0000}"/>
    <cellStyle name="20% - Accent6 2 4 3 8 2" xfId="21841" xr:uid="{00000000-0005-0000-0000-0000A62D0000}"/>
    <cellStyle name="20% - Accent6 2 4 3 8 2 2" xfId="32209" xr:uid="{00000000-0005-0000-0000-0000A72D0000}"/>
    <cellStyle name="20% - Accent6 2 4 3 8 2 2 2" xfId="51398" xr:uid="{00000000-0005-0000-0000-0000A82D0000}"/>
    <cellStyle name="20% - Accent6 2 4 3 8 2 3" xfId="41700" xr:uid="{00000000-0005-0000-0000-0000A92D0000}"/>
    <cellStyle name="20% - Accent6 2 4 3 8 3" xfId="27754" xr:uid="{00000000-0005-0000-0000-0000AA2D0000}"/>
    <cellStyle name="20% - Accent6 2 4 3 8 3 2" xfId="46943" xr:uid="{00000000-0005-0000-0000-0000AB2D0000}"/>
    <cellStyle name="20% - Accent6 2 4 3 8 4" xfId="37245" xr:uid="{00000000-0005-0000-0000-0000AC2D0000}"/>
    <cellStyle name="20% - Accent6 2 4 3 9" xfId="17943" xr:uid="{00000000-0005-0000-0000-0000AD2D0000}"/>
    <cellStyle name="20% - Accent6 2 4 3 9 2" xfId="28311" xr:uid="{00000000-0005-0000-0000-0000AE2D0000}"/>
    <cellStyle name="20% - Accent6 2 4 3 9 2 2" xfId="47500" xr:uid="{00000000-0005-0000-0000-0000AF2D0000}"/>
    <cellStyle name="20% - Accent6 2 4 3 9 3" xfId="37802" xr:uid="{00000000-0005-0000-0000-0000B02D0000}"/>
    <cellStyle name="20% - Accent6 2 4 4" xfId="13056" xr:uid="{00000000-0005-0000-0000-0000B12D0000}"/>
    <cellStyle name="20% - Accent6 2 4 4 10" xfId="53460" xr:uid="{00000000-0005-0000-0000-0000B22D0000}"/>
    <cellStyle name="20% - Accent6 2 4 4 2" xfId="14002" xr:uid="{00000000-0005-0000-0000-0000B32D0000}"/>
    <cellStyle name="20% - Accent6 2 4 4 2 2" xfId="16266" xr:uid="{00000000-0005-0000-0000-0000B42D0000}"/>
    <cellStyle name="20% - Accent6 2 4 4 2 2 2" xfId="20730" xr:uid="{00000000-0005-0000-0000-0000B52D0000}"/>
    <cellStyle name="20% - Accent6 2 4 4 2 2 2 2" xfId="31098" xr:uid="{00000000-0005-0000-0000-0000B62D0000}"/>
    <cellStyle name="20% - Accent6 2 4 4 2 2 2 2 2" xfId="50287" xr:uid="{00000000-0005-0000-0000-0000B72D0000}"/>
    <cellStyle name="20% - Accent6 2 4 4 2 2 2 3" xfId="40589" xr:uid="{00000000-0005-0000-0000-0000B82D0000}"/>
    <cellStyle name="20% - Accent6 2 4 4 2 2 3" xfId="26643" xr:uid="{00000000-0005-0000-0000-0000B92D0000}"/>
    <cellStyle name="20% - Accent6 2 4 4 2 2 3 2" xfId="45832" xr:uid="{00000000-0005-0000-0000-0000BA2D0000}"/>
    <cellStyle name="20% - Accent6 2 4 4 2 2 4" xfId="36134" xr:uid="{00000000-0005-0000-0000-0000BB2D0000}"/>
    <cellStyle name="20% - Accent6 2 4 4 2 3" xfId="18502" xr:uid="{00000000-0005-0000-0000-0000BC2D0000}"/>
    <cellStyle name="20% - Accent6 2 4 4 2 3 2" xfId="28870" xr:uid="{00000000-0005-0000-0000-0000BD2D0000}"/>
    <cellStyle name="20% - Accent6 2 4 4 2 3 2 2" xfId="48059" xr:uid="{00000000-0005-0000-0000-0000BE2D0000}"/>
    <cellStyle name="20% - Accent6 2 4 4 2 3 3" xfId="38361" xr:uid="{00000000-0005-0000-0000-0000BF2D0000}"/>
    <cellStyle name="20% - Accent6 2 4 4 2 4" xfId="24410" xr:uid="{00000000-0005-0000-0000-0000C02D0000}"/>
    <cellStyle name="20% - Accent6 2 4 4 2 4 2" xfId="43604" xr:uid="{00000000-0005-0000-0000-0000C12D0000}"/>
    <cellStyle name="20% - Accent6 2 4 4 2 5" xfId="33906" xr:uid="{00000000-0005-0000-0000-0000C22D0000}"/>
    <cellStyle name="20% - Accent6 2 4 4 3" xfId="14581" xr:uid="{00000000-0005-0000-0000-0000C32D0000}"/>
    <cellStyle name="20% - Accent6 2 4 4 3 2" xfId="15710" xr:uid="{00000000-0005-0000-0000-0000C42D0000}"/>
    <cellStyle name="20% - Accent6 2 4 4 3 2 2" xfId="20174" xr:uid="{00000000-0005-0000-0000-0000C52D0000}"/>
    <cellStyle name="20% - Accent6 2 4 4 3 2 2 2" xfId="30542" xr:uid="{00000000-0005-0000-0000-0000C62D0000}"/>
    <cellStyle name="20% - Accent6 2 4 4 3 2 2 2 2" xfId="49731" xr:uid="{00000000-0005-0000-0000-0000C72D0000}"/>
    <cellStyle name="20% - Accent6 2 4 4 3 2 2 3" xfId="40033" xr:uid="{00000000-0005-0000-0000-0000C82D0000}"/>
    <cellStyle name="20% - Accent6 2 4 4 3 2 3" xfId="26087" xr:uid="{00000000-0005-0000-0000-0000C92D0000}"/>
    <cellStyle name="20% - Accent6 2 4 4 3 2 3 2" xfId="45276" xr:uid="{00000000-0005-0000-0000-0000CA2D0000}"/>
    <cellStyle name="20% - Accent6 2 4 4 3 2 4" xfId="35578" xr:uid="{00000000-0005-0000-0000-0000CB2D0000}"/>
    <cellStyle name="20% - Accent6 2 4 4 3 3" xfId="19059" xr:uid="{00000000-0005-0000-0000-0000CC2D0000}"/>
    <cellStyle name="20% - Accent6 2 4 4 3 3 2" xfId="29427" xr:uid="{00000000-0005-0000-0000-0000CD2D0000}"/>
    <cellStyle name="20% - Accent6 2 4 4 3 3 2 2" xfId="48616" xr:uid="{00000000-0005-0000-0000-0000CE2D0000}"/>
    <cellStyle name="20% - Accent6 2 4 4 3 3 3" xfId="38918" xr:uid="{00000000-0005-0000-0000-0000CF2D0000}"/>
    <cellStyle name="20% - Accent6 2 4 4 3 4" xfId="24972" xr:uid="{00000000-0005-0000-0000-0000D02D0000}"/>
    <cellStyle name="20% - Accent6 2 4 4 3 4 2" xfId="44161" xr:uid="{00000000-0005-0000-0000-0000D12D0000}"/>
    <cellStyle name="20% - Accent6 2 4 4 3 5" xfId="34463" xr:uid="{00000000-0005-0000-0000-0000D22D0000}"/>
    <cellStyle name="20% - Accent6 2 4 4 4" xfId="15153" xr:uid="{00000000-0005-0000-0000-0000D32D0000}"/>
    <cellStyle name="20% - Accent6 2 4 4 4 2" xfId="19617" xr:uid="{00000000-0005-0000-0000-0000D42D0000}"/>
    <cellStyle name="20% - Accent6 2 4 4 4 2 2" xfId="29985" xr:uid="{00000000-0005-0000-0000-0000D52D0000}"/>
    <cellStyle name="20% - Accent6 2 4 4 4 2 2 2" xfId="49174" xr:uid="{00000000-0005-0000-0000-0000D62D0000}"/>
    <cellStyle name="20% - Accent6 2 4 4 4 2 3" xfId="39476" xr:uid="{00000000-0005-0000-0000-0000D72D0000}"/>
    <cellStyle name="20% - Accent6 2 4 4 4 3" xfId="25530" xr:uid="{00000000-0005-0000-0000-0000D82D0000}"/>
    <cellStyle name="20% - Accent6 2 4 4 4 3 2" xfId="44719" xr:uid="{00000000-0005-0000-0000-0000D92D0000}"/>
    <cellStyle name="20% - Accent6 2 4 4 4 4" xfId="35021" xr:uid="{00000000-0005-0000-0000-0000DA2D0000}"/>
    <cellStyle name="20% - Accent6 2 4 4 5" xfId="16823" xr:uid="{00000000-0005-0000-0000-0000DB2D0000}"/>
    <cellStyle name="20% - Accent6 2 4 4 5 2" xfId="21287" xr:uid="{00000000-0005-0000-0000-0000DC2D0000}"/>
    <cellStyle name="20% - Accent6 2 4 4 5 2 2" xfId="31655" xr:uid="{00000000-0005-0000-0000-0000DD2D0000}"/>
    <cellStyle name="20% - Accent6 2 4 4 5 2 2 2" xfId="50844" xr:uid="{00000000-0005-0000-0000-0000DE2D0000}"/>
    <cellStyle name="20% - Accent6 2 4 4 5 2 3" xfId="41146" xr:uid="{00000000-0005-0000-0000-0000DF2D0000}"/>
    <cellStyle name="20% - Accent6 2 4 4 5 3" xfId="27200" xr:uid="{00000000-0005-0000-0000-0000E02D0000}"/>
    <cellStyle name="20% - Accent6 2 4 4 5 3 2" xfId="46389" xr:uid="{00000000-0005-0000-0000-0000E12D0000}"/>
    <cellStyle name="20% - Accent6 2 4 4 5 4" xfId="36691" xr:uid="{00000000-0005-0000-0000-0000E22D0000}"/>
    <cellStyle name="20% - Accent6 2 4 4 6" xfId="17389" xr:uid="{00000000-0005-0000-0000-0000E32D0000}"/>
    <cellStyle name="20% - Accent6 2 4 4 6 2" xfId="21844" xr:uid="{00000000-0005-0000-0000-0000E42D0000}"/>
    <cellStyle name="20% - Accent6 2 4 4 6 2 2" xfId="32212" xr:uid="{00000000-0005-0000-0000-0000E52D0000}"/>
    <cellStyle name="20% - Accent6 2 4 4 6 2 2 2" xfId="51401" xr:uid="{00000000-0005-0000-0000-0000E62D0000}"/>
    <cellStyle name="20% - Accent6 2 4 4 6 2 3" xfId="41703" xr:uid="{00000000-0005-0000-0000-0000E72D0000}"/>
    <cellStyle name="20% - Accent6 2 4 4 6 3" xfId="27757" xr:uid="{00000000-0005-0000-0000-0000E82D0000}"/>
    <cellStyle name="20% - Accent6 2 4 4 6 3 2" xfId="46946" xr:uid="{00000000-0005-0000-0000-0000E92D0000}"/>
    <cellStyle name="20% - Accent6 2 4 4 6 4" xfId="37248" xr:uid="{00000000-0005-0000-0000-0000EA2D0000}"/>
    <cellStyle name="20% - Accent6 2 4 4 7" xfId="17946" xr:uid="{00000000-0005-0000-0000-0000EB2D0000}"/>
    <cellStyle name="20% - Accent6 2 4 4 7 2" xfId="28314" xr:uid="{00000000-0005-0000-0000-0000EC2D0000}"/>
    <cellStyle name="20% - Accent6 2 4 4 7 2 2" xfId="47503" xr:uid="{00000000-0005-0000-0000-0000ED2D0000}"/>
    <cellStyle name="20% - Accent6 2 4 4 7 3" xfId="37805" xr:uid="{00000000-0005-0000-0000-0000EE2D0000}"/>
    <cellStyle name="20% - Accent6 2 4 4 8" xfId="23809" xr:uid="{00000000-0005-0000-0000-0000EF2D0000}"/>
    <cellStyle name="20% - Accent6 2 4 4 8 2" xfId="43048" xr:uid="{00000000-0005-0000-0000-0000F02D0000}"/>
    <cellStyle name="20% - Accent6 2 4 4 9" xfId="33350" xr:uid="{00000000-0005-0000-0000-0000F12D0000}"/>
    <cellStyle name="20% - Accent6 2 4 5" xfId="13057" xr:uid="{00000000-0005-0000-0000-0000F22D0000}"/>
    <cellStyle name="20% - Accent6 2 4 5 2" xfId="14003" xr:uid="{00000000-0005-0000-0000-0000F32D0000}"/>
    <cellStyle name="20% - Accent6 2 4 5 2 2" xfId="16267" xr:uid="{00000000-0005-0000-0000-0000F42D0000}"/>
    <cellStyle name="20% - Accent6 2 4 5 2 2 2" xfId="20731" xr:uid="{00000000-0005-0000-0000-0000F52D0000}"/>
    <cellStyle name="20% - Accent6 2 4 5 2 2 2 2" xfId="31099" xr:uid="{00000000-0005-0000-0000-0000F62D0000}"/>
    <cellStyle name="20% - Accent6 2 4 5 2 2 2 2 2" xfId="50288" xr:uid="{00000000-0005-0000-0000-0000F72D0000}"/>
    <cellStyle name="20% - Accent6 2 4 5 2 2 2 3" xfId="40590" xr:uid="{00000000-0005-0000-0000-0000F82D0000}"/>
    <cellStyle name="20% - Accent6 2 4 5 2 2 3" xfId="26644" xr:uid="{00000000-0005-0000-0000-0000F92D0000}"/>
    <cellStyle name="20% - Accent6 2 4 5 2 2 3 2" xfId="45833" xr:uid="{00000000-0005-0000-0000-0000FA2D0000}"/>
    <cellStyle name="20% - Accent6 2 4 5 2 2 4" xfId="36135" xr:uid="{00000000-0005-0000-0000-0000FB2D0000}"/>
    <cellStyle name="20% - Accent6 2 4 5 2 3" xfId="18503" xr:uid="{00000000-0005-0000-0000-0000FC2D0000}"/>
    <cellStyle name="20% - Accent6 2 4 5 2 3 2" xfId="28871" xr:uid="{00000000-0005-0000-0000-0000FD2D0000}"/>
    <cellStyle name="20% - Accent6 2 4 5 2 3 2 2" xfId="48060" xr:uid="{00000000-0005-0000-0000-0000FE2D0000}"/>
    <cellStyle name="20% - Accent6 2 4 5 2 3 3" xfId="38362" xr:uid="{00000000-0005-0000-0000-0000FF2D0000}"/>
    <cellStyle name="20% - Accent6 2 4 5 2 4" xfId="24411" xr:uid="{00000000-0005-0000-0000-0000002E0000}"/>
    <cellStyle name="20% - Accent6 2 4 5 2 4 2" xfId="43605" xr:uid="{00000000-0005-0000-0000-0000012E0000}"/>
    <cellStyle name="20% - Accent6 2 4 5 2 5" xfId="33907" xr:uid="{00000000-0005-0000-0000-0000022E0000}"/>
    <cellStyle name="20% - Accent6 2 4 5 3" xfId="14582" xr:uid="{00000000-0005-0000-0000-0000032E0000}"/>
    <cellStyle name="20% - Accent6 2 4 5 3 2" xfId="15711" xr:uid="{00000000-0005-0000-0000-0000042E0000}"/>
    <cellStyle name="20% - Accent6 2 4 5 3 2 2" xfId="20175" xr:uid="{00000000-0005-0000-0000-0000052E0000}"/>
    <cellStyle name="20% - Accent6 2 4 5 3 2 2 2" xfId="30543" xr:uid="{00000000-0005-0000-0000-0000062E0000}"/>
    <cellStyle name="20% - Accent6 2 4 5 3 2 2 2 2" xfId="49732" xr:uid="{00000000-0005-0000-0000-0000072E0000}"/>
    <cellStyle name="20% - Accent6 2 4 5 3 2 2 3" xfId="40034" xr:uid="{00000000-0005-0000-0000-0000082E0000}"/>
    <cellStyle name="20% - Accent6 2 4 5 3 2 3" xfId="26088" xr:uid="{00000000-0005-0000-0000-0000092E0000}"/>
    <cellStyle name="20% - Accent6 2 4 5 3 2 3 2" xfId="45277" xr:uid="{00000000-0005-0000-0000-00000A2E0000}"/>
    <cellStyle name="20% - Accent6 2 4 5 3 2 4" xfId="35579" xr:uid="{00000000-0005-0000-0000-00000B2E0000}"/>
    <cellStyle name="20% - Accent6 2 4 5 3 3" xfId="19060" xr:uid="{00000000-0005-0000-0000-00000C2E0000}"/>
    <cellStyle name="20% - Accent6 2 4 5 3 3 2" xfId="29428" xr:uid="{00000000-0005-0000-0000-00000D2E0000}"/>
    <cellStyle name="20% - Accent6 2 4 5 3 3 2 2" xfId="48617" xr:uid="{00000000-0005-0000-0000-00000E2E0000}"/>
    <cellStyle name="20% - Accent6 2 4 5 3 3 3" xfId="38919" xr:uid="{00000000-0005-0000-0000-00000F2E0000}"/>
    <cellStyle name="20% - Accent6 2 4 5 3 4" xfId="24973" xr:uid="{00000000-0005-0000-0000-0000102E0000}"/>
    <cellStyle name="20% - Accent6 2 4 5 3 4 2" xfId="44162" xr:uid="{00000000-0005-0000-0000-0000112E0000}"/>
    <cellStyle name="20% - Accent6 2 4 5 3 5" xfId="34464" xr:uid="{00000000-0005-0000-0000-0000122E0000}"/>
    <cellStyle name="20% - Accent6 2 4 5 4" xfId="15154" xr:uid="{00000000-0005-0000-0000-0000132E0000}"/>
    <cellStyle name="20% - Accent6 2 4 5 4 2" xfId="19618" xr:uid="{00000000-0005-0000-0000-0000142E0000}"/>
    <cellStyle name="20% - Accent6 2 4 5 4 2 2" xfId="29986" xr:uid="{00000000-0005-0000-0000-0000152E0000}"/>
    <cellStyle name="20% - Accent6 2 4 5 4 2 2 2" xfId="49175" xr:uid="{00000000-0005-0000-0000-0000162E0000}"/>
    <cellStyle name="20% - Accent6 2 4 5 4 2 3" xfId="39477" xr:uid="{00000000-0005-0000-0000-0000172E0000}"/>
    <cellStyle name="20% - Accent6 2 4 5 4 3" xfId="25531" xr:uid="{00000000-0005-0000-0000-0000182E0000}"/>
    <cellStyle name="20% - Accent6 2 4 5 4 3 2" xfId="44720" xr:uid="{00000000-0005-0000-0000-0000192E0000}"/>
    <cellStyle name="20% - Accent6 2 4 5 4 4" xfId="35022" xr:uid="{00000000-0005-0000-0000-00001A2E0000}"/>
    <cellStyle name="20% - Accent6 2 4 5 5" xfId="16824" xr:uid="{00000000-0005-0000-0000-00001B2E0000}"/>
    <cellStyle name="20% - Accent6 2 4 5 5 2" xfId="21288" xr:uid="{00000000-0005-0000-0000-00001C2E0000}"/>
    <cellStyle name="20% - Accent6 2 4 5 5 2 2" xfId="31656" xr:uid="{00000000-0005-0000-0000-00001D2E0000}"/>
    <cellStyle name="20% - Accent6 2 4 5 5 2 2 2" xfId="50845" xr:uid="{00000000-0005-0000-0000-00001E2E0000}"/>
    <cellStyle name="20% - Accent6 2 4 5 5 2 3" xfId="41147" xr:uid="{00000000-0005-0000-0000-00001F2E0000}"/>
    <cellStyle name="20% - Accent6 2 4 5 5 3" xfId="27201" xr:uid="{00000000-0005-0000-0000-0000202E0000}"/>
    <cellStyle name="20% - Accent6 2 4 5 5 3 2" xfId="46390" xr:uid="{00000000-0005-0000-0000-0000212E0000}"/>
    <cellStyle name="20% - Accent6 2 4 5 5 4" xfId="36692" xr:uid="{00000000-0005-0000-0000-0000222E0000}"/>
    <cellStyle name="20% - Accent6 2 4 5 6" xfId="17390" xr:uid="{00000000-0005-0000-0000-0000232E0000}"/>
    <cellStyle name="20% - Accent6 2 4 5 6 2" xfId="21845" xr:uid="{00000000-0005-0000-0000-0000242E0000}"/>
    <cellStyle name="20% - Accent6 2 4 5 6 2 2" xfId="32213" xr:uid="{00000000-0005-0000-0000-0000252E0000}"/>
    <cellStyle name="20% - Accent6 2 4 5 6 2 2 2" xfId="51402" xr:uid="{00000000-0005-0000-0000-0000262E0000}"/>
    <cellStyle name="20% - Accent6 2 4 5 6 2 3" xfId="41704" xr:uid="{00000000-0005-0000-0000-0000272E0000}"/>
    <cellStyle name="20% - Accent6 2 4 5 6 3" xfId="27758" xr:uid="{00000000-0005-0000-0000-0000282E0000}"/>
    <cellStyle name="20% - Accent6 2 4 5 6 3 2" xfId="46947" xr:uid="{00000000-0005-0000-0000-0000292E0000}"/>
    <cellStyle name="20% - Accent6 2 4 5 6 4" xfId="37249" xr:uid="{00000000-0005-0000-0000-00002A2E0000}"/>
    <cellStyle name="20% - Accent6 2 4 5 7" xfId="17947" xr:uid="{00000000-0005-0000-0000-00002B2E0000}"/>
    <cellStyle name="20% - Accent6 2 4 5 7 2" xfId="28315" xr:uid="{00000000-0005-0000-0000-00002C2E0000}"/>
    <cellStyle name="20% - Accent6 2 4 5 7 2 2" xfId="47504" xr:uid="{00000000-0005-0000-0000-00002D2E0000}"/>
    <cellStyle name="20% - Accent6 2 4 5 7 3" xfId="37806" xr:uid="{00000000-0005-0000-0000-00002E2E0000}"/>
    <cellStyle name="20% - Accent6 2 4 5 8" xfId="23810" xr:uid="{00000000-0005-0000-0000-00002F2E0000}"/>
    <cellStyle name="20% - Accent6 2 4 5 8 2" xfId="43049" xr:uid="{00000000-0005-0000-0000-0000302E0000}"/>
    <cellStyle name="20% - Accent6 2 4 5 9" xfId="33351" xr:uid="{00000000-0005-0000-0000-0000312E0000}"/>
    <cellStyle name="20% - Accent6 2 4 6" xfId="12167" xr:uid="{00000000-0005-0000-0000-0000322E0000}"/>
    <cellStyle name="20% - Accent6 2 4 7" xfId="52571" xr:uid="{00000000-0005-0000-0000-0000332E0000}"/>
    <cellStyle name="20% - Accent6 2 4 8" xfId="12008" xr:uid="{00000000-0005-0000-0000-0000342E0000}"/>
    <cellStyle name="20% - Accent6 2 5" xfId="1795" xr:uid="{00000000-0005-0000-0000-0000352E0000}"/>
    <cellStyle name="20% - Accent6 2 5 2" xfId="13058" xr:uid="{00000000-0005-0000-0000-0000362E0000}"/>
    <cellStyle name="20% - Accent6 2 5 2 10" xfId="23811" xr:uid="{00000000-0005-0000-0000-0000372E0000}"/>
    <cellStyle name="20% - Accent6 2 5 2 10 2" xfId="43050" xr:uid="{00000000-0005-0000-0000-0000382E0000}"/>
    <cellStyle name="20% - Accent6 2 5 2 11" xfId="33352" xr:uid="{00000000-0005-0000-0000-0000392E0000}"/>
    <cellStyle name="20% - Accent6 2 5 2 12" xfId="52805" xr:uid="{00000000-0005-0000-0000-00003A2E0000}"/>
    <cellStyle name="20% - Accent6 2 5 2 2" xfId="13059" xr:uid="{00000000-0005-0000-0000-00003B2E0000}"/>
    <cellStyle name="20% - Accent6 2 5 2 2 10" xfId="53233" xr:uid="{00000000-0005-0000-0000-00003C2E0000}"/>
    <cellStyle name="20% - Accent6 2 5 2 2 2" xfId="14005" xr:uid="{00000000-0005-0000-0000-00003D2E0000}"/>
    <cellStyle name="20% - Accent6 2 5 2 2 2 2" xfId="16269" xr:uid="{00000000-0005-0000-0000-00003E2E0000}"/>
    <cellStyle name="20% - Accent6 2 5 2 2 2 2 2" xfId="20733" xr:uid="{00000000-0005-0000-0000-00003F2E0000}"/>
    <cellStyle name="20% - Accent6 2 5 2 2 2 2 2 2" xfId="31101" xr:uid="{00000000-0005-0000-0000-0000402E0000}"/>
    <cellStyle name="20% - Accent6 2 5 2 2 2 2 2 2 2" xfId="50290" xr:uid="{00000000-0005-0000-0000-0000412E0000}"/>
    <cellStyle name="20% - Accent6 2 5 2 2 2 2 2 3" xfId="40592" xr:uid="{00000000-0005-0000-0000-0000422E0000}"/>
    <cellStyle name="20% - Accent6 2 5 2 2 2 2 3" xfId="26646" xr:uid="{00000000-0005-0000-0000-0000432E0000}"/>
    <cellStyle name="20% - Accent6 2 5 2 2 2 2 3 2" xfId="45835" xr:uid="{00000000-0005-0000-0000-0000442E0000}"/>
    <cellStyle name="20% - Accent6 2 5 2 2 2 2 4" xfId="36137" xr:uid="{00000000-0005-0000-0000-0000452E0000}"/>
    <cellStyle name="20% - Accent6 2 5 2 2 2 3" xfId="18505" xr:uid="{00000000-0005-0000-0000-0000462E0000}"/>
    <cellStyle name="20% - Accent6 2 5 2 2 2 3 2" xfId="28873" xr:uid="{00000000-0005-0000-0000-0000472E0000}"/>
    <cellStyle name="20% - Accent6 2 5 2 2 2 3 2 2" xfId="48062" xr:uid="{00000000-0005-0000-0000-0000482E0000}"/>
    <cellStyle name="20% - Accent6 2 5 2 2 2 3 3" xfId="38364" xr:uid="{00000000-0005-0000-0000-0000492E0000}"/>
    <cellStyle name="20% - Accent6 2 5 2 2 2 4" xfId="24413" xr:uid="{00000000-0005-0000-0000-00004A2E0000}"/>
    <cellStyle name="20% - Accent6 2 5 2 2 2 4 2" xfId="43607" xr:uid="{00000000-0005-0000-0000-00004B2E0000}"/>
    <cellStyle name="20% - Accent6 2 5 2 2 2 5" xfId="33909" xr:uid="{00000000-0005-0000-0000-00004C2E0000}"/>
    <cellStyle name="20% - Accent6 2 5 2 2 2 6" xfId="54086" xr:uid="{00000000-0005-0000-0000-00004D2E0000}"/>
    <cellStyle name="20% - Accent6 2 5 2 2 3" xfId="14584" xr:uid="{00000000-0005-0000-0000-00004E2E0000}"/>
    <cellStyle name="20% - Accent6 2 5 2 2 3 2" xfId="15713" xr:uid="{00000000-0005-0000-0000-00004F2E0000}"/>
    <cellStyle name="20% - Accent6 2 5 2 2 3 2 2" xfId="20177" xr:uid="{00000000-0005-0000-0000-0000502E0000}"/>
    <cellStyle name="20% - Accent6 2 5 2 2 3 2 2 2" xfId="30545" xr:uid="{00000000-0005-0000-0000-0000512E0000}"/>
    <cellStyle name="20% - Accent6 2 5 2 2 3 2 2 2 2" xfId="49734" xr:uid="{00000000-0005-0000-0000-0000522E0000}"/>
    <cellStyle name="20% - Accent6 2 5 2 2 3 2 2 3" xfId="40036" xr:uid="{00000000-0005-0000-0000-0000532E0000}"/>
    <cellStyle name="20% - Accent6 2 5 2 2 3 2 3" xfId="26090" xr:uid="{00000000-0005-0000-0000-0000542E0000}"/>
    <cellStyle name="20% - Accent6 2 5 2 2 3 2 3 2" xfId="45279" xr:uid="{00000000-0005-0000-0000-0000552E0000}"/>
    <cellStyle name="20% - Accent6 2 5 2 2 3 2 4" xfId="35581" xr:uid="{00000000-0005-0000-0000-0000562E0000}"/>
    <cellStyle name="20% - Accent6 2 5 2 2 3 3" xfId="19062" xr:uid="{00000000-0005-0000-0000-0000572E0000}"/>
    <cellStyle name="20% - Accent6 2 5 2 2 3 3 2" xfId="29430" xr:uid="{00000000-0005-0000-0000-0000582E0000}"/>
    <cellStyle name="20% - Accent6 2 5 2 2 3 3 2 2" xfId="48619" xr:uid="{00000000-0005-0000-0000-0000592E0000}"/>
    <cellStyle name="20% - Accent6 2 5 2 2 3 3 3" xfId="38921" xr:uid="{00000000-0005-0000-0000-00005A2E0000}"/>
    <cellStyle name="20% - Accent6 2 5 2 2 3 4" xfId="24975" xr:uid="{00000000-0005-0000-0000-00005B2E0000}"/>
    <cellStyle name="20% - Accent6 2 5 2 2 3 4 2" xfId="44164" xr:uid="{00000000-0005-0000-0000-00005C2E0000}"/>
    <cellStyle name="20% - Accent6 2 5 2 2 3 5" xfId="34466" xr:uid="{00000000-0005-0000-0000-00005D2E0000}"/>
    <cellStyle name="20% - Accent6 2 5 2 2 4" xfId="15156" xr:uid="{00000000-0005-0000-0000-00005E2E0000}"/>
    <cellStyle name="20% - Accent6 2 5 2 2 4 2" xfId="19620" xr:uid="{00000000-0005-0000-0000-00005F2E0000}"/>
    <cellStyle name="20% - Accent6 2 5 2 2 4 2 2" xfId="29988" xr:uid="{00000000-0005-0000-0000-0000602E0000}"/>
    <cellStyle name="20% - Accent6 2 5 2 2 4 2 2 2" xfId="49177" xr:uid="{00000000-0005-0000-0000-0000612E0000}"/>
    <cellStyle name="20% - Accent6 2 5 2 2 4 2 3" xfId="39479" xr:uid="{00000000-0005-0000-0000-0000622E0000}"/>
    <cellStyle name="20% - Accent6 2 5 2 2 4 3" xfId="25533" xr:uid="{00000000-0005-0000-0000-0000632E0000}"/>
    <cellStyle name="20% - Accent6 2 5 2 2 4 3 2" xfId="44722" xr:uid="{00000000-0005-0000-0000-0000642E0000}"/>
    <cellStyle name="20% - Accent6 2 5 2 2 4 4" xfId="35024" xr:uid="{00000000-0005-0000-0000-0000652E0000}"/>
    <cellStyle name="20% - Accent6 2 5 2 2 5" xfId="16826" xr:uid="{00000000-0005-0000-0000-0000662E0000}"/>
    <cellStyle name="20% - Accent6 2 5 2 2 5 2" xfId="21290" xr:uid="{00000000-0005-0000-0000-0000672E0000}"/>
    <cellStyle name="20% - Accent6 2 5 2 2 5 2 2" xfId="31658" xr:uid="{00000000-0005-0000-0000-0000682E0000}"/>
    <cellStyle name="20% - Accent6 2 5 2 2 5 2 2 2" xfId="50847" xr:uid="{00000000-0005-0000-0000-0000692E0000}"/>
    <cellStyle name="20% - Accent6 2 5 2 2 5 2 3" xfId="41149" xr:uid="{00000000-0005-0000-0000-00006A2E0000}"/>
    <cellStyle name="20% - Accent6 2 5 2 2 5 3" xfId="27203" xr:uid="{00000000-0005-0000-0000-00006B2E0000}"/>
    <cellStyle name="20% - Accent6 2 5 2 2 5 3 2" xfId="46392" xr:uid="{00000000-0005-0000-0000-00006C2E0000}"/>
    <cellStyle name="20% - Accent6 2 5 2 2 5 4" xfId="36694" xr:uid="{00000000-0005-0000-0000-00006D2E0000}"/>
    <cellStyle name="20% - Accent6 2 5 2 2 6" xfId="17392" xr:uid="{00000000-0005-0000-0000-00006E2E0000}"/>
    <cellStyle name="20% - Accent6 2 5 2 2 6 2" xfId="21847" xr:uid="{00000000-0005-0000-0000-00006F2E0000}"/>
    <cellStyle name="20% - Accent6 2 5 2 2 6 2 2" xfId="32215" xr:uid="{00000000-0005-0000-0000-0000702E0000}"/>
    <cellStyle name="20% - Accent6 2 5 2 2 6 2 2 2" xfId="51404" xr:uid="{00000000-0005-0000-0000-0000712E0000}"/>
    <cellStyle name="20% - Accent6 2 5 2 2 6 2 3" xfId="41706" xr:uid="{00000000-0005-0000-0000-0000722E0000}"/>
    <cellStyle name="20% - Accent6 2 5 2 2 6 3" xfId="27760" xr:uid="{00000000-0005-0000-0000-0000732E0000}"/>
    <cellStyle name="20% - Accent6 2 5 2 2 6 3 2" xfId="46949" xr:uid="{00000000-0005-0000-0000-0000742E0000}"/>
    <cellStyle name="20% - Accent6 2 5 2 2 6 4" xfId="37251" xr:uid="{00000000-0005-0000-0000-0000752E0000}"/>
    <cellStyle name="20% - Accent6 2 5 2 2 7" xfId="17949" xr:uid="{00000000-0005-0000-0000-0000762E0000}"/>
    <cellStyle name="20% - Accent6 2 5 2 2 7 2" xfId="28317" xr:uid="{00000000-0005-0000-0000-0000772E0000}"/>
    <cellStyle name="20% - Accent6 2 5 2 2 7 2 2" xfId="47506" xr:uid="{00000000-0005-0000-0000-0000782E0000}"/>
    <cellStyle name="20% - Accent6 2 5 2 2 7 3" xfId="37808" xr:uid="{00000000-0005-0000-0000-0000792E0000}"/>
    <cellStyle name="20% - Accent6 2 5 2 2 8" xfId="23812" xr:uid="{00000000-0005-0000-0000-00007A2E0000}"/>
    <cellStyle name="20% - Accent6 2 5 2 2 8 2" xfId="43051" xr:uid="{00000000-0005-0000-0000-00007B2E0000}"/>
    <cellStyle name="20% - Accent6 2 5 2 2 9" xfId="33353" xr:uid="{00000000-0005-0000-0000-00007C2E0000}"/>
    <cellStyle name="20% - Accent6 2 5 2 3" xfId="13060" xr:uid="{00000000-0005-0000-0000-00007D2E0000}"/>
    <cellStyle name="20% - Accent6 2 5 2 3 10" xfId="53690" xr:uid="{00000000-0005-0000-0000-00007E2E0000}"/>
    <cellStyle name="20% - Accent6 2 5 2 3 2" xfId="14006" xr:uid="{00000000-0005-0000-0000-00007F2E0000}"/>
    <cellStyle name="20% - Accent6 2 5 2 3 2 2" xfId="16270" xr:uid="{00000000-0005-0000-0000-0000802E0000}"/>
    <cellStyle name="20% - Accent6 2 5 2 3 2 2 2" xfId="20734" xr:uid="{00000000-0005-0000-0000-0000812E0000}"/>
    <cellStyle name="20% - Accent6 2 5 2 3 2 2 2 2" xfId="31102" xr:uid="{00000000-0005-0000-0000-0000822E0000}"/>
    <cellStyle name="20% - Accent6 2 5 2 3 2 2 2 2 2" xfId="50291" xr:uid="{00000000-0005-0000-0000-0000832E0000}"/>
    <cellStyle name="20% - Accent6 2 5 2 3 2 2 2 3" xfId="40593" xr:uid="{00000000-0005-0000-0000-0000842E0000}"/>
    <cellStyle name="20% - Accent6 2 5 2 3 2 2 3" xfId="26647" xr:uid="{00000000-0005-0000-0000-0000852E0000}"/>
    <cellStyle name="20% - Accent6 2 5 2 3 2 2 3 2" xfId="45836" xr:uid="{00000000-0005-0000-0000-0000862E0000}"/>
    <cellStyle name="20% - Accent6 2 5 2 3 2 2 4" xfId="36138" xr:uid="{00000000-0005-0000-0000-0000872E0000}"/>
    <cellStyle name="20% - Accent6 2 5 2 3 2 3" xfId="18506" xr:uid="{00000000-0005-0000-0000-0000882E0000}"/>
    <cellStyle name="20% - Accent6 2 5 2 3 2 3 2" xfId="28874" xr:uid="{00000000-0005-0000-0000-0000892E0000}"/>
    <cellStyle name="20% - Accent6 2 5 2 3 2 3 2 2" xfId="48063" xr:uid="{00000000-0005-0000-0000-00008A2E0000}"/>
    <cellStyle name="20% - Accent6 2 5 2 3 2 3 3" xfId="38365" xr:uid="{00000000-0005-0000-0000-00008B2E0000}"/>
    <cellStyle name="20% - Accent6 2 5 2 3 2 4" xfId="24414" xr:uid="{00000000-0005-0000-0000-00008C2E0000}"/>
    <cellStyle name="20% - Accent6 2 5 2 3 2 4 2" xfId="43608" xr:uid="{00000000-0005-0000-0000-00008D2E0000}"/>
    <cellStyle name="20% - Accent6 2 5 2 3 2 5" xfId="33910" xr:uid="{00000000-0005-0000-0000-00008E2E0000}"/>
    <cellStyle name="20% - Accent6 2 5 2 3 3" xfId="14585" xr:uid="{00000000-0005-0000-0000-00008F2E0000}"/>
    <cellStyle name="20% - Accent6 2 5 2 3 3 2" xfId="15714" xr:uid="{00000000-0005-0000-0000-0000902E0000}"/>
    <cellStyle name="20% - Accent6 2 5 2 3 3 2 2" xfId="20178" xr:uid="{00000000-0005-0000-0000-0000912E0000}"/>
    <cellStyle name="20% - Accent6 2 5 2 3 3 2 2 2" xfId="30546" xr:uid="{00000000-0005-0000-0000-0000922E0000}"/>
    <cellStyle name="20% - Accent6 2 5 2 3 3 2 2 2 2" xfId="49735" xr:uid="{00000000-0005-0000-0000-0000932E0000}"/>
    <cellStyle name="20% - Accent6 2 5 2 3 3 2 2 3" xfId="40037" xr:uid="{00000000-0005-0000-0000-0000942E0000}"/>
    <cellStyle name="20% - Accent6 2 5 2 3 3 2 3" xfId="26091" xr:uid="{00000000-0005-0000-0000-0000952E0000}"/>
    <cellStyle name="20% - Accent6 2 5 2 3 3 2 3 2" xfId="45280" xr:uid="{00000000-0005-0000-0000-0000962E0000}"/>
    <cellStyle name="20% - Accent6 2 5 2 3 3 2 4" xfId="35582" xr:uid="{00000000-0005-0000-0000-0000972E0000}"/>
    <cellStyle name="20% - Accent6 2 5 2 3 3 3" xfId="19063" xr:uid="{00000000-0005-0000-0000-0000982E0000}"/>
    <cellStyle name="20% - Accent6 2 5 2 3 3 3 2" xfId="29431" xr:uid="{00000000-0005-0000-0000-0000992E0000}"/>
    <cellStyle name="20% - Accent6 2 5 2 3 3 3 2 2" xfId="48620" xr:uid="{00000000-0005-0000-0000-00009A2E0000}"/>
    <cellStyle name="20% - Accent6 2 5 2 3 3 3 3" xfId="38922" xr:uid="{00000000-0005-0000-0000-00009B2E0000}"/>
    <cellStyle name="20% - Accent6 2 5 2 3 3 4" xfId="24976" xr:uid="{00000000-0005-0000-0000-00009C2E0000}"/>
    <cellStyle name="20% - Accent6 2 5 2 3 3 4 2" xfId="44165" xr:uid="{00000000-0005-0000-0000-00009D2E0000}"/>
    <cellStyle name="20% - Accent6 2 5 2 3 3 5" xfId="34467" xr:uid="{00000000-0005-0000-0000-00009E2E0000}"/>
    <cellStyle name="20% - Accent6 2 5 2 3 4" xfId="15157" xr:uid="{00000000-0005-0000-0000-00009F2E0000}"/>
    <cellStyle name="20% - Accent6 2 5 2 3 4 2" xfId="19621" xr:uid="{00000000-0005-0000-0000-0000A02E0000}"/>
    <cellStyle name="20% - Accent6 2 5 2 3 4 2 2" xfId="29989" xr:uid="{00000000-0005-0000-0000-0000A12E0000}"/>
    <cellStyle name="20% - Accent6 2 5 2 3 4 2 2 2" xfId="49178" xr:uid="{00000000-0005-0000-0000-0000A22E0000}"/>
    <cellStyle name="20% - Accent6 2 5 2 3 4 2 3" xfId="39480" xr:uid="{00000000-0005-0000-0000-0000A32E0000}"/>
    <cellStyle name="20% - Accent6 2 5 2 3 4 3" xfId="25534" xr:uid="{00000000-0005-0000-0000-0000A42E0000}"/>
    <cellStyle name="20% - Accent6 2 5 2 3 4 3 2" xfId="44723" xr:uid="{00000000-0005-0000-0000-0000A52E0000}"/>
    <cellStyle name="20% - Accent6 2 5 2 3 4 4" xfId="35025" xr:uid="{00000000-0005-0000-0000-0000A62E0000}"/>
    <cellStyle name="20% - Accent6 2 5 2 3 5" xfId="16827" xr:uid="{00000000-0005-0000-0000-0000A72E0000}"/>
    <cellStyle name="20% - Accent6 2 5 2 3 5 2" xfId="21291" xr:uid="{00000000-0005-0000-0000-0000A82E0000}"/>
    <cellStyle name="20% - Accent6 2 5 2 3 5 2 2" xfId="31659" xr:uid="{00000000-0005-0000-0000-0000A92E0000}"/>
    <cellStyle name="20% - Accent6 2 5 2 3 5 2 2 2" xfId="50848" xr:uid="{00000000-0005-0000-0000-0000AA2E0000}"/>
    <cellStyle name="20% - Accent6 2 5 2 3 5 2 3" xfId="41150" xr:uid="{00000000-0005-0000-0000-0000AB2E0000}"/>
    <cellStyle name="20% - Accent6 2 5 2 3 5 3" xfId="27204" xr:uid="{00000000-0005-0000-0000-0000AC2E0000}"/>
    <cellStyle name="20% - Accent6 2 5 2 3 5 3 2" xfId="46393" xr:uid="{00000000-0005-0000-0000-0000AD2E0000}"/>
    <cellStyle name="20% - Accent6 2 5 2 3 5 4" xfId="36695" xr:uid="{00000000-0005-0000-0000-0000AE2E0000}"/>
    <cellStyle name="20% - Accent6 2 5 2 3 6" xfId="17393" xr:uid="{00000000-0005-0000-0000-0000AF2E0000}"/>
    <cellStyle name="20% - Accent6 2 5 2 3 6 2" xfId="21848" xr:uid="{00000000-0005-0000-0000-0000B02E0000}"/>
    <cellStyle name="20% - Accent6 2 5 2 3 6 2 2" xfId="32216" xr:uid="{00000000-0005-0000-0000-0000B12E0000}"/>
    <cellStyle name="20% - Accent6 2 5 2 3 6 2 2 2" xfId="51405" xr:uid="{00000000-0005-0000-0000-0000B22E0000}"/>
    <cellStyle name="20% - Accent6 2 5 2 3 6 2 3" xfId="41707" xr:uid="{00000000-0005-0000-0000-0000B32E0000}"/>
    <cellStyle name="20% - Accent6 2 5 2 3 6 3" xfId="27761" xr:uid="{00000000-0005-0000-0000-0000B42E0000}"/>
    <cellStyle name="20% - Accent6 2 5 2 3 6 3 2" xfId="46950" xr:uid="{00000000-0005-0000-0000-0000B52E0000}"/>
    <cellStyle name="20% - Accent6 2 5 2 3 6 4" xfId="37252" xr:uid="{00000000-0005-0000-0000-0000B62E0000}"/>
    <cellStyle name="20% - Accent6 2 5 2 3 7" xfId="17950" xr:uid="{00000000-0005-0000-0000-0000B72E0000}"/>
    <cellStyle name="20% - Accent6 2 5 2 3 7 2" xfId="28318" xr:uid="{00000000-0005-0000-0000-0000B82E0000}"/>
    <cellStyle name="20% - Accent6 2 5 2 3 7 2 2" xfId="47507" xr:uid="{00000000-0005-0000-0000-0000B92E0000}"/>
    <cellStyle name="20% - Accent6 2 5 2 3 7 3" xfId="37809" xr:uid="{00000000-0005-0000-0000-0000BA2E0000}"/>
    <cellStyle name="20% - Accent6 2 5 2 3 8" xfId="23813" xr:uid="{00000000-0005-0000-0000-0000BB2E0000}"/>
    <cellStyle name="20% - Accent6 2 5 2 3 8 2" xfId="43052" xr:uid="{00000000-0005-0000-0000-0000BC2E0000}"/>
    <cellStyle name="20% - Accent6 2 5 2 3 9" xfId="33354" xr:uid="{00000000-0005-0000-0000-0000BD2E0000}"/>
    <cellStyle name="20% - Accent6 2 5 2 4" xfId="14004" xr:uid="{00000000-0005-0000-0000-0000BE2E0000}"/>
    <cellStyle name="20% - Accent6 2 5 2 4 2" xfId="16268" xr:uid="{00000000-0005-0000-0000-0000BF2E0000}"/>
    <cellStyle name="20% - Accent6 2 5 2 4 2 2" xfId="20732" xr:uid="{00000000-0005-0000-0000-0000C02E0000}"/>
    <cellStyle name="20% - Accent6 2 5 2 4 2 2 2" xfId="31100" xr:uid="{00000000-0005-0000-0000-0000C12E0000}"/>
    <cellStyle name="20% - Accent6 2 5 2 4 2 2 2 2" xfId="50289" xr:uid="{00000000-0005-0000-0000-0000C22E0000}"/>
    <cellStyle name="20% - Accent6 2 5 2 4 2 2 3" xfId="40591" xr:uid="{00000000-0005-0000-0000-0000C32E0000}"/>
    <cellStyle name="20% - Accent6 2 5 2 4 2 3" xfId="26645" xr:uid="{00000000-0005-0000-0000-0000C42E0000}"/>
    <cellStyle name="20% - Accent6 2 5 2 4 2 3 2" xfId="45834" xr:uid="{00000000-0005-0000-0000-0000C52E0000}"/>
    <cellStyle name="20% - Accent6 2 5 2 4 2 4" xfId="36136" xr:uid="{00000000-0005-0000-0000-0000C62E0000}"/>
    <cellStyle name="20% - Accent6 2 5 2 4 3" xfId="18504" xr:uid="{00000000-0005-0000-0000-0000C72E0000}"/>
    <cellStyle name="20% - Accent6 2 5 2 4 3 2" xfId="28872" xr:uid="{00000000-0005-0000-0000-0000C82E0000}"/>
    <cellStyle name="20% - Accent6 2 5 2 4 3 2 2" xfId="48061" xr:uid="{00000000-0005-0000-0000-0000C92E0000}"/>
    <cellStyle name="20% - Accent6 2 5 2 4 3 3" xfId="38363" xr:uid="{00000000-0005-0000-0000-0000CA2E0000}"/>
    <cellStyle name="20% - Accent6 2 5 2 4 4" xfId="24412" xr:uid="{00000000-0005-0000-0000-0000CB2E0000}"/>
    <cellStyle name="20% - Accent6 2 5 2 4 4 2" xfId="43606" xr:uid="{00000000-0005-0000-0000-0000CC2E0000}"/>
    <cellStyle name="20% - Accent6 2 5 2 4 5" xfId="33908" xr:uid="{00000000-0005-0000-0000-0000CD2E0000}"/>
    <cellStyle name="20% - Accent6 2 5 2 5" xfId="14583" xr:uid="{00000000-0005-0000-0000-0000CE2E0000}"/>
    <cellStyle name="20% - Accent6 2 5 2 5 2" xfId="15712" xr:uid="{00000000-0005-0000-0000-0000CF2E0000}"/>
    <cellStyle name="20% - Accent6 2 5 2 5 2 2" xfId="20176" xr:uid="{00000000-0005-0000-0000-0000D02E0000}"/>
    <cellStyle name="20% - Accent6 2 5 2 5 2 2 2" xfId="30544" xr:uid="{00000000-0005-0000-0000-0000D12E0000}"/>
    <cellStyle name="20% - Accent6 2 5 2 5 2 2 2 2" xfId="49733" xr:uid="{00000000-0005-0000-0000-0000D22E0000}"/>
    <cellStyle name="20% - Accent6 2 5 2 5 2 2 3" xfId="40035" xr:uid="{00000000-0005-0000-0000-0000D32E0000}"/>
    <cellStyle name="20% - Accent6 2 5 2 5 2 3" xfId="26089" xr:uid="{00000000-0005-0000-0000-0000D42E0000}"/>
    <cellStyle name="20% - Accent6 2 5 2 5 2 3 2" xfId="45278" xr:uid="{00000000-0005-0000-0000-0000D52E0000}"/>
    <cellStyle name="20% - Accent6 2 5 2 5 2 4" xfId="35580" xr:uid="{00000000-0005-0000-0000-0000D62E0000}"/>
    <cellStyle name="20% - Accent6 2 5 2 5 3" xfId="19061" xr:uid="{00000000-0005-0000-0000-0000D72E0000}"/>
    <cellStyle name="20% - Accent6 2 5 2 5 3 2" xfId="29429" xr:uid="{00000000-0005-0000-0000-0000D82E0000}"/>
    <cellStyle name="20% - Accent6 2 5 2 5 3 2 2" xfId="48618" xr:uid="{00000000-0005-0000-0000-0000D92E0000}"/>
    <cellStyle name="20% - Accent6 2 5 2 5 3 3" xfId="38920" xr:uid="{00000000-0005-0000-0000-0000DA2E0000}"/>
    <cellStyle name="20% - Accent6 2 5 2 5 4" xfId="24974" xr:uid="{00000000-0005-0000-0000-0000DB2E0000}"/>
    <cellStyle name="20% - Accent6 2 5 2 5 4 2" xfId="44163" xr:uid="{00000000-0005-0000-0000-0000DC2E0000}"/>
    <cellStyle name="20% - Accent6 2 5 2 5 5" xfId="34465" xr:uid="{00000000-0005-0000-0000-0000DD2E0000}"/>
    <cellStyle name="20% - Accent6 2 5 2 6" xfId="15155" xr:uid="{00000000-0005-0000-0000-0000DE2E0000}"/>
    <cellStyle name="20% - Accent6 2 5 2 6 2" xfId="19619" xr:uid="{00000000-0005-0000-0000-0000DF2E0000}"/>
    <cellStyle name="20% - Accent6 2 5 2 6 2 2" xfId="29987" xr:uid="{00000000-0005-0000-0000-0000E02E0000}"/>
    <cellStyle name="20% - Accent6 2 5 2 6 2 2 2" xfId="49176" xr:uid="{00000000-0005-0000-0000-0000E12E0000}"/>
    <cellStyle name="20% - Accent6 2 5 2 6 2 3" xfId="39478" xr:uid="{00000000-0005-0000-0000-0000E22E0000}"/>
    <cellStyle name="20% - Accent6 2 5 2 6 3" xfId="25532" xr:uid="{00000000-0005-0000-0000-0000E32E0000}"/>
    <cellStyle name="20% - Accent6 2 5 2 6 3 2" xfId="44721" xr:uid="{00000000-0005-0000-0000-0000E42E0000}"/>
    <cellStyle name="20% - Accent6 2 5 2 6 4" xfId="35023" xr:uid="{00000000-0005-0000-0000-0000E52E0000}"/>
    <cellStyle name="20% - Accent6 2 5 2 7" xfId="16825" xr:uid="{00000000-0005-0000-0000-0000E62E0000}"/>
    <cellStyle name="20% - Accent6 2 5 2 7 2" xfId="21289" xr:uid="{00000000-0005-0000-0000-0000E72E0000}"/>
    <cellStyle name="20% - Accent6 2 5 2 7 2 2" xfId="31657" xr:uid="{00000000-0005-0000-0000-0000E82E0000}"/>
    <cellStyle name="20% - Accent6 2 5 2 7 2 2 2" xfId="50846" xr:uid="{00000000-0005-0000-0000-0000E92E0000}"/>
    <cellStyle name="20% - Accent6 2 5 2 7 2 3" xfId="41148" xr:uid="{00000000-0005-0000-0000-0000EA2E0000}"/>
    <cellStyle name="20% - Accent6 2 5 2 7 3" xfId="27202" xr:uid="{00000000-0005-0000-0000-0000EB2E0000}"/>
    <cellStyle name="20% - Accent6 2 5 2 7 3 2" xfId="46391" xr:uid="{00000000-0005-0000-0000-0000EC2E0000}"/>
    <cellStyle name="20% - Accent6 2 5 2 7 4" xfId="36693" xr:uid="{00000000-0005-0000-0000-0000ED2E0000}"/>
    <cellStyle name="20% - Accent6 2 5 2 8" xfId="17391" xr:uid="{00000000-0005-0000-0000-0000EE2E0000}"/>
    <cellStyle name="20% - Accent6 2 5 2 8 2" xfId="21846" xr:uid="{00000000-0005-0000-0000-0000EF2E0000}"/>
    <cellStyle name="20% - Accent6 2 5 2 8 2 2" xfId="32214" xr:uid="{00000000-0005-0000-0000-0000F02E0000}"/>
    <cellStyle name="20% - Accent6 2 5 2 8 2 2 2" xfId="51403" xr:uid="{00000000-0005-0000-0000-0000F12E0000}"/>
    <cellStyle name="20% - Accent6 2 5 2 8 2 3" xfId="41705" xr:uid="{00000000-0005-0000-0000-0000F22E0000}"/>
    <cellStyle name="20% - Accent6 2 5 2 8 3" xfId="27759" xr:uid="{00000000-0005-0000-0000-0000F32E0000}"/>
    <cellStyle name="20% - Accent6 2 5 2 8 3 2" xfId="46948" xr:uid="{00000000-0005-0000-0000-0000F42E0000}"/>
    <cellStyle name="20% - Accent6 2 5 2 8 4" xfId="37250" xr:uid="{00000000-0005-0000-0000-0000F52E0000}"/>
    <cellStyle name="20% - Accent6 2 5 2 9" xfId="17948" xr:uid="{00000000-0005-0000-0000-0000F62E0000}"/>
    <cellStyle name="20% - Accent6 2 5 2 9 2" xfId="28316" xr:uid="{00000000-0005-0000-0000-0000F72E0000}"/>
    <cellStyle name="20% - Accent6 2 5 2 9 2 2" xfId="47505" xr:uid="{00000000-0005-0000-0000-0000F82E0000}"/>
    <cellStyle name="20% - Accent6 2 5 2 9 3" xfId="37807" xr:uid="{00000000-0005-0000-0000-0000F92E0000}"/>
    <cellStyle name="20% - Accent6 2 5 3" xfId="13061" xr:uid="{00000000-0005-0000-0000-0000FA2E0000}"/>
    <cellStyle name="20% - Accent6 2 5 3 10" xfId="53015" xr:uid="{00000000-0005-0000-0000-0000FB2E0000}"/>
    <cellStyle name="20% - Accent6 2 5 3 2" xfId="14007" xr:uid="{00000000-0005-0000-0000-0000FC2E0000}"/>
    <cellStyle name="20% - Accent6 2 5 3 2 2" xfId="16271" xr:uid="{00000000-0005-0000-0000-0000FD2E0000}"/>
    <cellStyle name="20% - Accent6 2 5 3 2 2 2" xfId="20735" xr:uid="{00000000-0005-0000-0000-0000FE2E0000}"/>
    <cellStyle name="20% - Accent6 2 5 3 2 2 2 2" xfId="31103" xr:uid="{00000000-0005-0000-0000-0000FF2E0000}"/>
    <cellStyle name="20% - Accent6 2 5 3 2 2 2 2 2" xfId="50292" xr:uid="{00000000-0005-0000-0000-0000002F0000}"/>
    <cellStyle name="20% - Accent6 2 5 3 2 2 2 3" xfId="40594" xr:uid="{00000000-0005-0000-0000-0000012F0000}"/>
    <cellStyle name="20% - Accent6 2 5 3 2 2 3" xfId="26648" xr:uid="{00000000-0005-0000-0000-0000022F0000}"/>
    <cellStyle name="20% - Accent6 2 5 3 2 2 3 2" xfId="45837" xr:uid="{00000000-0005-0000-0000-0000032F0000}"/>
    <cellStyle name="20% - Accent6 2 5 3 2 2 4" xfId="36139" xr:uid="{00000000-0005-0000-0000-0000042F0000}"/>
    <cellStyle name="20% - Accent6 2 5 3 2 3" xfId="18507" xr:uid="{00000000-0005-0000-0000-0000052F0000}"/>
    <cellStyle name="20% - Accent6 2 5 3 2 3 2" xfId="28875" xr:uid="{00000000-0005-0000-0000-0000062F0000}"/>
    <cellStyle name="20% - Accent6 2 5 3 2 3 2 2" xfId="48064" xr:uid="{00000000-0005-0000-0000-0000072F0000}"/>
    <cellStyle name="20% - Accent6 2 5 3 2 3 3" xfId="38366" xr:uid="{00000000-0005-0000-0000-0000082F0000}"/>
    <cellStyle name="20% - Accent6 2 5 3 2 4" xfId="24415" xr:uid="{00000000-0005-0000-0000-0000092F0000}"/>
    <cellStyle name="20% - Accent6 2 5 3 2 4 2" xfId="43609" xr:uid="{00000000-0005-0000-0000-00000A2F0000}"/>
    <cellStyle name="20% - Accent6 2 5 3 2 5" xfId="33911" xr:uid="{00000000-0005-0000-0000-00000B2F0000}"/>
    <cellStyle name="20% - Accent6 2 5 3 2 6" xfId="53890" xr:uid="{00000000-0005-0000-0000-00000C2F0000}"/>
    <cellStyle name="20% - Accent6 2 5 3 3" xfId="14586" xr:uid="{00000000-0005-0000-0000-00000D2F0000}"/>
    <cellStyle name="20% - Accent6 2 5 3 3 2" xfId="15715" xr:uid="{00000000-0005-0000-0000-00000E2F0000}"/>
    <cellStyle name="20% - Accent6 2 5 3 3 2 2" xfId="20179" xr:uid="{00000000-0005-0000-0000-00000F2F0000}"/>
    <cellStyle name="20% - Accent6 2 5 3 3 2 2 2" xfId="30547" xr:uid="{00000000-0005-0000-0000-0000102F0000}"/>
    <cellStyle name="20% - Accent6 2 5 3 3 2 2 2 2" xfId="49736" xr:uid="{00000000-0005-0000-0000-0000112F0000}"/>
    <cellStyle name="20% - Accent6 2 5 3 3 2 2 3" xfId="40038" xr:uid="{00000000-0005-0000-0000-0000122F0000}"/>
    <cellStyle name="20% - Accent6 2 5 3 3 2 3" xfId="26092" xr:uid="{00000000-0005-0000-0000-0000132F0000}"/>
    <cellStyle name="20% - Accent6 2 5 3 3 2 3 2" xfId="45281" xr:uid="{00000000-0005-0000-0000-0000142F0000}"/>
    <cellStyle name="20% - Accent6 2 5 3 3 2 4" xfId="35583" xr:uid="{00000000-0005-0000-0000-0000152F0000}"/>
    <cellStyle name="20% - Accent6 2 5 3 3 3" xfId="19064" xr:uid="{00000000-0005-0000-0000-0000162F0000}"/>
    <cellStyle name="20% - Accent6 2 5 3 3 3 2" xfId="29432" xr:uid="{00000000-0005-0000-0000-0000172F0000}"/>
    <cellStyle name="20% - Accent6 2 5 3 3 3 2 2" xfId="48621" xr:uid="{00000000-0005-0000-0000-0000182F0000}"/>
    <cellStyle name="20% - Accent6 2 5 3 3 3 3" xfId="38923" xr:uid="{00000000-0005-0000-0000-0000192F0000}"/>
    <cellStyle name="20% - Accent6 2 5 3 3 4" xfId="24977" xr:uid="{00000000-0005-0000-0000-00001A2F0000}"/>
    <cellStyle name="20% - Accent6 2 5 3 3 4 2" xfId="44166" xr:uid="{00000000-0005-0000-0000-00001B2F0000}"/>
    <cellStyle name="20% - Accent6 2 5 3 3 5" xfId="34468" xr:uid="{00000000-0005-0000-0000-00001C2F0000}"/>
    <cellStyle name="20% - Accent6 2 5 3 4" xfId="15158" xr:uid="{00000000-0005-0000-0000-00001D2F0000}"/>
    <cellStyle name="20% - Accent6 2 5 3 4 2" xfId="19622" xr:uid="{00000000-0005-0000-0000-00001E2F0000}"/>
    <cellStyle name="20% - Accent6 2 5 3 4 2 2" xfId="29990" xr:uid="{00000000-0005-0000-0000-00001F2F0000}"/>
    <cellStyle name="20% - Accent6 2 5 3 4 2 2 2" xfId="49179" xr:uid="{00000000-0005-0000-0000-0000202F0000}"/>
    <cellStyle name="20% - Accent6 2 5 3 4 2 3" xfId="39481" xr:uid="{00000000-0005-0000-0000-0000212F0000}"/>
    <cellStyle name="20% - Accent6 2 5 3 4 3" xfId="25535" xr:uid="{00000000-0005-0000-0000-0000222F0000}"/>
    <cellStyle name="20% - Accent6 2 5 3 4 3 2" xfId="44724" xr:uid="{00000000-0005-0000-0000-0000232F0000}"/>
    <cellStyle name="20% - Accent6 2 5 3 4 4" xfId="35026" xr:uid="{00000000-0005-0000-0000-0000242F0000}"/>
    <cellStyle name="20% - Accent6 2 5 3 5" xfId="16828" xr:uid="{00000000-0005-0000-0000-0000252F0000}"/>
    <cellStyle name="20% - Accent6 2 5 3 5 2" xfId="21292" xr:uid="{00000000-0005-0000-0000-0000262F0000}"/>
    <cellStyle name="20% - Accent6 2 5 3 5 2 2" xfId="31660" xr:uid="{00000000-0005-0000-0000-0000272F0000}"/>
    <cellStyle name="20% - Accent6 2 5 3 5 2 2 2" xfId="50849" xr:uid="{00000000-0005-0000-0000-0000282F0000}"/>
    <cellStyle name="20% - Accent6 2 5 3 5 2 3" xfId="41151" xr:uid="{00000000-0005-0000-0000-0000292F0000}"/>
    <cellStyle name="20% - Accent6 2 5 3 5 3" xfId="27205" xr:uid="{00000000-0005-0000-0000-00002A2F0000}"/>
    <cellStyle name="20% - Accent6 2 5 3 5 3 2" xfId="46394" xr:uid="{00000000-0005-0000-0000-00002B2F0000}"/>
    <cellStyle name="20% - Accent6 2 5 3 5 4" xfId="36696" xr:uid="{00000000-0005-0000-0000-00002C2F0000}"/>
    <cellStyle name="20% - Accent6 2 5 3 6" xfId="17394" xr:uid="{00000000-0005-0000-0000-00002D2F0000}"/>
    <cellStyle name="20% - Accent6 2 5 3 6 2" xfId="21849" xr:uid="{00000000-0005-0000-0000-00002E2F0000}"/>
    <cellStyle name="20% - Accent6 2 5 3 6 2 2" xfId="32217" xr:uid="{00000000-0005-0000-0000-00002F2F0000}"/>
    <cellStyle name="20% - Accent6 2 5 3 6 2 2 2" xfId="51406" xr:uid="{00000000-0005-0000-0000-0000302F0000}"/>
    <cellStyle name="20% - Accent6 2 5 3 6 2 3" xfId="41708" xr:uid="{00000000-0005-0000-0000-0000312F0000}"/>
    <cellStyle name="20% - Accent6 2 5 3 6 3" xfId="27762" xr:uid="{00000000-0005-0000-0000-0000322F0000}"/>
    <cellStyle name="20% - Accent6 2 5 3 6 3 2" xfId="46951" xr:uid="{00000000-0005-0000-0000-0000332F0000}"/>
    <cellStyle name="20% - Accent6 2 5 3 6 4" xfId="37253" xr:uid="{00000000-0005-0000-0000-0000342F0000}"/>
    <cellStyle name="20% - Accent6 2 5 3 7" xfId="17951" xr:uid="{00000000-0005-0000-0000-0000352F0000}"/>
    <cellStyle name="20% - Accent6 2 5 3 7 2" xfId="28319" xr:uid="{00000000-0005-0000-0000-0000362F0000}"/>
    <cellStyle name="20% - Accent6 2 5 3 7 2 2" xfId="47508" xr:uid="{00000000-0005-0000-0000-0000372F0000}"/>
    <cellStyle name="20% - Accent6 2 5 3 7 3" xfId="37810" xr:uid="{00000000-0005-0000-0000-0000382F0000}"/>
    <cellStyle name="20% - Accent6 2 5 3 8" xfId="23814" xr:uid="{00000000-0005-0000-0000-0000392F0000}"/>
    <cellStyle name="20% - Accent6 2 5 3 8 2" xfId="43053" xr:uid="{00000000-0005-0000-0000-00003A2F0000}"/>
    <cellStyle name="20% - Accent6 2 5 3 9" xfId="33355" xr:uid="{00000000-0005-0000-0000-00003B2F0000}"/>
    <cellStyle name="20% - Accent6 2 5 4" xfId="13062" xr:uid="{00000000-0005-0000-0000-00003C2F0000}"/>
    <cellStyle name="20% - Accent6 2 5 4 10" xfId="53494" xr:uid="{00000000-0005-0000-0000-00003D2F0000}"/>
    <cellStyle name="20% - Accent6 2 5 4 2" xfId="14008" xr:uid="{00000000-0005-0000-0000-00003E2F0000}"/>
    <cellStyle name="20% - Accent6 2 5 4 2 2" xfId="16272" xr:uid="{00000000-0005-0000-0000-00003F2F0000}"/>
    <cellStyle name="20% - Accent6 2 5 4 2 2 2" xfId="20736" xr:uid="{00000000-0005-0000-0000-0000402F0000}"/>
    <cellStyle name="20% - Accent6 2 5 4 2 2 2 2" xfId="31104" xr:uid="{00000000-0005-0000-0000-0000412F0000}"/>
    <cellStyle name="20% - Accent6 2 5 4 2 2 2 2 2" xfId="50293" xr:uid="{00000000-0005-0000-0000-0000422F0000}"/>
    <cellStyle name="20% - Accent6 2 5 4 2 2 2 3" xfId="40595" xr:uid="{00000000-0005-0000-0000-0000432F0000}"/>
    <cellStyle name="20% - Accent6 2 5 4 2 2 3" xfId="26649" xr:uid="{00000000-0005-0000-0000-0000442F0000}"/>
    <cellStyle name="20% - Accent6 2 5 4 2 2 3 2" xfId="45838" xr:uid="{00000000-0005-0000-0000-0000452F0000}"/>
    <cellStyle name="20% - Accent6 2 5 4 2 2 4" xfId="36140" xr:uid="{00000000-0005-0000-0000-0000462F0000}"/>
    <cellStyle name="20% - Accent6 2 5 4 2 3" xfId="18508" xr:uid="{00000000-0005-0000-0000-0000472F0000}"/>
    <cellStyle name="20% - Accent6 2 5 4 2 3 2" xfId="28876" xr:uid="{00000000-0005-0000-0000-0000482F0000}"/>
    <cellStyle name="20% - Accent6 2 5 4 2 3 2 2" xfId="48065" xr:uid="{00000000-0005-0000-0000-0000492F0000}"/>
    <cellStyle name="20% - Accent6 2 5 4 2 3 3" xfId="38367" xr:uid="{00000000-0005-0000-0000-00004A2F0000}"/>
    <cellStyle name="20% - Accent6 2 5 4 2 4" xfId="24416" xr:uid="{00000000-0005-0000-0000-00004B2F0000}"/>
    <cellStyle name="20% - Accent6 2 5 4 2 4 2" xfId="43610" xr:uid="{00000000-0005-0000-0000-00004C2F0000}"/>
    <cellStyle name="20% - Accent6 2 5 4 2 5" xfId="33912" xr:uid="{00000000-0005-0000-0000-00004D2F0000}"/>
    <cellStyle name="20% - Accent6 2 5 4 3" xfId="14587" xr:uid="{00000000-0005-0000-0000-00004E2F0000}"/>
    <cellStyle name="20% - Accent6 2 5 4 3 2" xfId="15716" xr:uid="{00000000-0005-0000-0000-00004F2F0000}"/>
    <cellStyle name="20% - Accent6 2 5 4 3 2 2" xfId="20180" xr:uid="{00000000-0005-0000-0000-0000502F0000}"/>
    <cellStyle name="20% - Accent6 2 5 4 3 2 2 2" xfId="30548" xr:uid="{00000000-0005-0000-0000-0000512F0000}"/>
    <cellStyle name="20% - Accent6 2 5 4 3 2 2 2 2" xfId="49737" xr:uid="{00000000-0005-0000-0000-0000522F0000}"/>
    <cellStyle name="20% - Accent6 2 5 4 3 2 2 3" xfId="40039" xr:uid="{00000000-0005-0000-0000-0000532F0000}"/>
    <cellStyle name="20% - Accent6 2 5 4 3 2 3" xfId="26093" xr:uid="{00000000-0005-0000-0000-0000542F0000}"/>
    <cellStyle name="20% - Accent6 2 5 4 3 2 3 2" xfId="45282" xr:uid="{00000000-0005-0000-0000-0000552F0000}"/>
    <cellStyle name="20% - Accent6 2 5 4 3 2 4" xfId="35584" xr:uid="{00000000-0005-0000-0000-0000562F0000}"/>
    <cellStyle name="20% - Accent6 2 5 4 3 3" xfId="19065" xr:uid="{00000000-0005-0000-0000-0000572F0000}"/>
    <cellStyle name="20% - Accent6 2 5 4 3 3 2" xfId="29433" xr:uid="{00000000-0005-0000-0000-0000582F0000}"/>
    <cellStyle name="20% - Accent6 2 5 4 3 3 2 2" xfId="48622" xr:uid="{00000000-0005-0000-0000-0000592F0000}"/>
    <cellStyle name="20% - Accent6 2 5 4 3 3 3" xfId="38924" xr:uid="{00000000-0005-0000-0000-00005A2F0000}"/>
    <cellStyle name="20% - Accent6 2 5 4 3 4" xfId="24978" xr:uid="{00000000-0005-0000-0000-00005B2F0000}"/>
    <cellStyle name="20% - Accent6 2 5 4 3 4 2" xfId="44167" xr:uid="{00000000-0005-0000-0000-00005C2F0000}"/>
    <cellStyle name="20% - Accent6 2 5 4 3 5" xfId="34469" xr:uid="{00000000-0005-0000-0000-00005D2F0000}"/>
    <cellStyle name="20% - Accent6 2 5 4 4" xfId="15159" xr:uid="{00000000-0005-0000-0000-00005E2F0000}"/>
    <cellStyle name="20% - Accent6 2 5 4 4 2" xfId="19623" xr:uid="{00000000-0005-0000-0000-00005F2F0000}"/>
    <cellStyle name="20% - Accent6 2 5 4 4 2 2" xfId="29991" xr:uid="{00000000-0005-0000-0000-0000602F0000}"/>
    <cellStyle name="20% - Accent6 2 5 4 4 2 2 2" xfId="49180" xr:uid="{00000000-0005-0000-0000-0000612F0000}"/>
    <cellStyle name="20% - Accent6 2 5 4 4 2 3" xfId="39482" xr:uid="{00000000-0005-0000-0000-0000622F0000}"/>
    <cellStyle name="20% - Accent6 2 5 4 4 3" xfId="25536" xr:uid="{00000000-0005-0000-0000-0000632F0000}"/>
    <cellStyle name="20% - Accent6 2 5 4 4 3 2" xfId="44725" xr:uid="{00000000-0005-0000-0000-0000642F0000}"/>
    <cellStyle name="20% - Accent6 2 5 4 4 4" xfId="35027" xr:uid="{00000000-0005-0000-0000-0000652F0000}"/>
    <cellStyle name="20% - Accent6 2 5 4 5" xfId="16829" xr:uid="{00000000-0005-0000-0000-0000662F0000}"/>
    <cellStyle name="20% - Accent6 2 5 4 5 2" xfId="21293" xr:uid="{00000000-0005-0000-0000-0000672F0000}"/>
    <cellStyle name="20% - Accent6 2 5 4 5 2 2" xfId="31661" xr:uid="{00000000-0005-0000-0000-0000682F0000}"/>
    <cellStyle name="20% - Accent6 2 5 4 5 2 2 2" xfId="50850" xr:uid="{00000000-0005-0000-0000-0000692F0000}"/>
    <cellStyle name="20% - Accent6 2 5 4 5 2 3" xfId="41152" xr:uid="{00000000-0005-0000-0000-00006A2F0000}"/>
    <cellStyle name="20% - Accent6 2 5 4 5 3" xfId="27206" xr:uid="{00000000-0005-0000-0000-00006B2F0000}"/>
    <cellStyle name="20% - Accent6 2 5 4 5 3 2" xfId="46395" xr:uid="{00000000-0005-0000-0000-00006C2F0000}"/>
    <cellStyle name="20% - Accent6 2 5 4 5 4" xfId="36697" xr:uid="{00000000-0005-0000-0000-00006D2F0000}"/>
    <cellStyle name="20% - Accent6 2 5 4 6" xfId="17395" xr:uid="{00000000-0005-0000-0000-00006E2F0000}"/>
    <cellStyle name="20% - Accent6 2 5 4 6 2" xfId="21850" xr:uid="{00000000-0005-0000-0000-00006F2F0000}"/>
    <cellStyle name="20% - Accent6 2 5 4 6 2 2" xfId="32218" xr:uid="{00000000-0005-0000-0000-0000702F0000}"/>
    <cellStyle name="20% - Accent6 2 5 4 6 2 2 2" xfId="51407" xr:uid="{00000000-0005-0000-0000-0000712F0000}"/>
    <cellStyle name="20% - Accent6 2 5 4 6 2 3" xfId="41709" xr:uid="{00000000-0005-0000-0000-0000722F0000}"/>
    <cellStyle name="20% - Accent6 2 5 4 6 3" xfId="27763" xr:uid="{00000000-0005-0000-0000-0000732F0000}"/>
    <cellStyle name="20% - Accent6 2 5 4 6 3 2" xfId="46952" xr:uid="{00000000-0005-0000-0000-0000742F0000}"/>
    <cellStyle name="20% - Accent6 2 5 4 6 4" xfId="37254" xr:uid="{00000000-0005-0000-0000-0000752F0000}"/>
    <cellStyle name="20% - Accent6 2 5 4 7" xfId="17952" xr:uid="{00000000-0005-0000-0000-0000762F0000}"/>
    <cellStyle name="20% - Accent6 2 5 4 7 2" xfId="28320" xr:uid="{00000000-0005-0000-0000-0000772F0000}"/>
    <cellStyle name="20% - Accent6 2 5 4 7 2 2" xfId="47509" xr:uid="{00000000-0005-0000-0000-0000782F0000}"/>
    <cellStyle name="20% - Accent6 2 5 4 7 3" xfId="37811" xr:uid="{00000000-0005-0000-0000-0000792F0000}"/>
    <cellStyle name="20% - Accent6 2 5 4 8" xfId="23815" xr:uid="{00000000-0005-0000-0000-00007A2F0000}"/>
    <cellStyle name="20% - Accent6 2 5 4 8 2" xfId="43054" xr:uid="{00000000-0005-0000-0000-00007B2F0000}"/>
    <cellStyle name="20% - Accent6 2 5 4 9" xfId="33356" xr:uid="{00000000-0005-0000-0000-00007C2F0000}"/>
    <cellStyle name="20% - Accent6 2 5 5" xfId="12169" xr:uid="{00000000-0005-0000-0000-00007D2F0000}"/>
    <cellStyle name="20% - Accent6 2 5 6" xfId="52605" xr:uid="{00000000-0005-0000-0000-00007E2F0000}"/>
    <cellStyle name="20% - Accent6 2 5 7" xfId="12005" xr:uid="{00000000-0005-0000-0000-00007F2F0000}"/>
    <cellStyle name="20% - Accent6 2 6" xfId="1796" xr:uid="{00000000-0005-0000-0000-0000802F0000}"/>
    <cellStyle name="20% - Accent6 2 6 2" xfId="13063" xr:uid="{00000000-0005-0000-0000-0000812F0000}"/>
    <cellStyle name="20% - Accent6 2 6 2 10" xfId="52838" xr:uid="{00000000-0005-0000-0000-0000822F0000}"/>
    <cellStyle name="20% - Accent6 2 6 2 2" xfId="14009" xr:uid="{00000000-0005-0000-0000-0000832F0000}"/>
    <cellStyle name="20% - Accent6 2 6 2 2 2" xfId="16273" xr:uid="{00000000-0005-0000-0000-0000842F0000}"/>
    <cellStyle name="20% - Accent6 2 6 2 2 2 2" xfId="20737" xr:uid="{00000000-0005-0000-0000-0000852F0000}"/>
    <cellStyle name="20% - Accent6 2 6 2 2 2 2 2" xfId="31105" xr:uid="{00000000-0005-0000-0000-0000862F0000}"/>
    <cellStyle name="20% - Accent6 2 6 2 2 2 2 2 2" xfId="50294" xr:uid="{00000000-0005-0000-0000-0000872F0000}"/>
    <cellStyle name="20% - Accent6 2 6 2 2 2 2 3" xfId="40596" xr:uid="{00000000-0005-0000-0000-0000882F0000}"/>
    <cellStyle name="20% - Accent6 2 6 2 2 2 3" xfId="26650" xr:uid="{00000000-0005-0000-0000-0000892F0000}"/>
    <cellStyle name="20% - Accent6 2 6 2 2 2 3 2" xfId="45839" xr:uid="{00000000-0005-0000-0000-00008A2F0000}"/>
    <cellStyle name="20% - Accent6 2 6 2 2 2 4" xfId="36141" xr:uid="{00000000-0005-0000-0000-00008B2F0000}"/>
    <cellStyle name="20% - Accent6 2 6 2 2 2 5" xfId="54119" xr:uid="{00000000-0005-0000-0000-00008C2F0000}"/>
    <cellStyle name="20% - Accent6 2 6 2 2 3" xfId="18509" xr:uid="{00000000-0005-0000-0000-00008D2F0000}"/>
    <cellStyle name="20% - Accent6 2 6 2 2 3 2" xfId="28877" xr:uid="{00000000-0005-0000-0000-00008E2F0000}"/>
    <cellStyle name="20% - Accent6 2 6 2 2 3 2 2" xfId="48066" xr:uid="{00000000-0005-0000-0000-00008F2F0000}"/>
    <cellStyle name="20% - Accent6 2 6 2 2 3 3" xfId="38368" xr:uid="{00000000-0005-0000-0000-0000902F0000}"/>
    <cellStyle name="20% - Accent6 2 6 2 2 4" xfId="24417" xr:uid="{00000000-0005-0000-0000-0000912F0000}"/>
    <cellStyle name="20% - Accent6 2 6 2 2 4 2" xfId="43611" xr:uid="{00000000-0005-0000-0000-0000922F0000}"/>
    <cellStyle name="20% - Accent6 2 6 2 2 5" xfId="33913" xr:uid="{00000000-0005-0000-0000-0000932F0000}"/>
    <cellStyle name="20% - Accent6 2 6 2 2 6" xfId="53266" xr:uid="{00000000-0005-0000-0000-0000942F0000}"/>
    <cellStyle name="20% - Accent6 2 6 2 3" xfId="14588" xr:uid="{00000000-0005-0000-0000-0000952F0000}"/>
    <cellStyle name="20% - Accent6 2 6 2 3 2" xfId="15717" xr:uid="{00000000-0005-0000-0000-0000962F0000}"/>
    <cellStyle name="20% - Accent6 2 6 2 3 2 2" xfId="20181" xr:uid="{00000000-0005-0000-0000-0000972F0000}"/>
    <cellStyle name="20% - Accent6 2 6 2 3 2 2 2" xfId="30549" xr:uid="{00000000-0005-0000-0000-0000982F0000}"/>
    <cellStyle name="20% - Accent6 2 6 2 3 2 2 2 2" xfId="49738" xr:uid="{00000000-0005-0000-0000-0000992F0000}"/>
    <cellStyle name="20% - Accent6 2 6 2 3 2 2 3" xfId="40040" xr:uid="{00000000-0005-0000-0000-00009A2F0000}"/>
    <cellStyle name="20% - Accent6 2 6 2 3 2 3" xfId="26094" xr:uid="{00000000-0005-0000-0000-00009B2F0000}"/>
    <cellStyle name="20% - Accent6 2 6 2 3 2 3 2" xfId="45283" xr:uid="{00000000-0005-0000-0000-00009C2F0000}"/>
    <cellStyle name="20% - Accent6 2 6 2 3 2 4" xfId="35585" xr:uid="{00000000-0005-0000-0000-00009D2F0000}"/>
    <cellStyle name="20% - Accent6 2 6 2 3 3" xfId="19066" xr:uid="{00000000-0005-0000-0000-00009E2F0000}"/>
    <cellStyle name="20% - Accent6 2 6 2 3 3 2" xfId="29434" xr:uid="{00000000-0005-0000-0000-00009F2F0000}"/>
    <cellStyle name="20% - Accent6 2 6 2 3 3 2 2" xfId="48623" xr:uid="{00000000-0005-0000-0000-0000A02F0000}"/>
    <cellStyle name="20% - Accent6 2 6 2 3 3 3" xfId="38925" xr:uid="{00000000-0005-0000-0000-0000A12F0000}"/>
    <cellStyle name="20% - Accent6 2 6 2 3 4" xfId="24979" xr:uid="{00000000-0005-0000-0000-0000A22F0000}"/>
    <cellStyle name="20% - Accent6 2 6 2 3 4 2" xfId="44168" xr:uid="{00000000-0005-0000-0000-0000A32F0000}"/>
    <cellStyle name="20% - Accent6 2 6 2 3 5" xfId="34470" xr:uid="{00000000-0005-0000-0000-0000A42F0000}"/>
    <cellStyle name="20% - Accent6 2 6 2 3 6" xfId="53723" xr:uid="{00000000-0005-0000-0000-0000A52F0000}"/>
    <cellStyle name="20% - Accent6 2 6 2 4" xfId="15160" xr:uid="{00000000-0005-0000-0000-0000A62F0000}"/>
    <cellStyle name="20% - Accent6 2 6 2 4 2" xfId="19624" xr:uid="{00000000-0005-0000-0000-0000A72F0000}"/>
    <cellStyle name="20% - Accent6 2 6 2 4 2 2" xfId="29992" xr:uid="{00000000-0005-0000-0000-0000A82F0000}"/>
    <cellStyle name="20% - Accent6 2 6 2 4 2 2 2" xfId="49181" xr:uid="{00000000-0005-0000-0000-0000A92F0000}"/>
    <cellStyle name="20% - Accent6 2 6 2 4 2 3" xfId="39483" xr:uid="{00000000-0005-0000-0000-0000AA2F0000}"/>
    <cellStyle name="20% - Accent6 2 6 2 4 3" xfId="25537" xr:uid="{00000000-0005-0000-0000-0000AB2F0000}"/>
    <cellStyle name="20% - Accent6 2 6 2 4 3 2" xfId="44726" xr:uid="{00000000-0005-0000-0000-0000AC2F0000}"/>
    <cellStyle name="20% - Accent6 2 6 2 4 4" xfId="35028" xr:uid="{00000000-0005-0000-0000-0000AD2F0000}"/>
    <cellStyle name="20% - Accent6 2 6 2 5" xfId="16830" xr:uid="{00000000-0005-0000-0000-0000AE2F0000}"/>
    <cellStyle name="20% - Accent6 2 6 2 5 2" xfId="21294" xr:uid="{00000000-0005-0000-0000-0000AF2F0000}"/>
    <cellStyle name="20% - Accent6 2 6 2 5 2 2" xfId="31662" xr:uid="{00000000-0005-0000-0000-0000B02F0000}"/>
    <cellStyle name="20% - Accent6 2 6 2 5 2 2 2" xfId="50851" xr:uid="{00000000-0005-0000-0000-0000B12F0000}"/>
    <cellStyle name="20% - Accent6 2 6 2 5 2 3" xfId="41153" xr:uid="{00000000-0005-0000-0000-0000B22F0000}"/>
    <cellStyle name="20% - Accent6 2 6 2 5 3" xfId="27207" xr:uid="{00000000-0005-0000-0000-0000B32F0000}"/>
    <cellStyle name="20% - Accent6 2 6 2 5 3 2" xfId="46396" xr:uid="{00000000-0005-0000-0000-0000B42F0000}"/>
    <cellStyle name="20% - Accent6 2 6 2 5 4" xfId="36698" xr:uid="{00000000-0005-0000-0000-0000B52F0000}"/>
    <cellStyle name="20% - Accent6 2 6 2 6" xfId="17396" xr:uid="{00000000-0005-0000-0000-0000B62F0000}"/>
    <cellStyle name="20% - Accent6 2 6 2 6 2" xfId="21851" xr:uid="{00000000-0005-0000-0000-0000B72F0000}"/>
    <cellStyle name="20% - Accent6 2 6 2 6 2 2" xfId="32219" xr:uid="{00000000-0005-0000-0000-0000B82F0000}"/>
    <cellStyle name="20% - Accent6 2 6 2 6 2 2 2" xfId="51408" xr:uid="{00000000-0005-0000-0000-0000B92F0000}"/>
    <cellStyle name="20% - Accent6 2 6 2 6 2 3" xfId="41710" xr:uid="{00000000-0005-0000-0000-0000BA2F0000}"/>
    <cellStyle name="20% - Accent6 2 6 2 6 3" xfId="27764" xr:uid="{00000000-0005-0000-0000-0000BB2F0000}"/>
    <cellStyle name="20% - Accent6 2 6 2 6 3 2" xfId="46953" xr:uid="{00000000-0005-0000-0000-0000BC2F0000}"/>
    <cellStyle name="20% - Accent6 2 6 2 6 4" xfId="37255" xr:uid="{00000000-0005-0000-0000-0000BD2F0000}"/>
    <cellStyle name="20% - Accent6 2 6 2 7" xfId="17953" xr:uid="{00000000-0005-0000-0000-0000BE2F0000}"/>
    <cellStyle name="20% - Accent6 2 6 2 7 2" xfId="28321" xr:uid="{00000000-0005-0000-0000-0000BF2F0000}"/>
    <cellStyle name="20% - Accent6 2 6 2 7 2 2" xfId="47510" xr:uid="{00000000-0005-0000-0000-0000C02F0000}"/>
    <cellStyle name="20% - Accent6 2 6 2 7 3" xfId="37812" xr:uid="{00000000-0005-0000-0000-0000C12F0000}"/>
    <cellStyle name="20% - Accent6 2 6 2 8" xfId="23816" xr:uid="{00000000-0005-0000-0000-0000C22F0000}"/>
    <cellStyle name="20% - Accent6 2 6 2 8 2" xfId="43055" xr:uid="{00000000-0005-0000-0000-0000C32F0000}"/>
    <cellStyle name="20% - Accent6 2 6 2 9" xfId="33357" xr:uid="{00000000-0005-0000-0000-0000C42F0000}"/>
    <cellStyle name="20% - Accent6 2 6 3" xfId="13064" xr:uid="{00000000-0005-0000-0000-0000C52F0000}"/>
    <cellStyle name="20% - Accent6 2 6 3 10" xfId="53048" xr:uid="{00000000-0005-0000-0000-0000C62F0000}"/>
    <cellStyle name="20% - Accent6 2 6 3 2" xfId="14010" xr:uid="{00000000-0005-0000-0000-0000C72F0000}"/>
    <cellStyle name="20% - Accent6 2 6 3 2 2" xfId="16274" xr:uid="{00000000-0005-0000-0000-0000C82F0000}"/>
    <cellStyle name="20% - Accent6 2 6 3 2 2 2" xfId="20738" xr:uid="{00000000-0005-0000-0000-0000C92F0000}"/>
    <cellStyle name="20% - Accent6 2 6 3 2 2 2 2" xfId="31106" xr:uid="{00000000-0005-0000-0000-0000CA2F0000}"/>
    <cellStyle name="20% - Accent6 2 6 3 2 2 2 2 2" xfId="50295" xr:uid="{00000000-0005-0000-0000-0000CB2F0000}"/>
    <cellStyle name="20% - Accent6 2 6 3 2 2 2 3" xfId="40597" xr:uid="{00000000-0005-0000-0000-0000CC2F0000}"/>
    <cellStyle name="20% - Accent6 2 6 3 2 2 3" xfId="26651" xr:uid="{00000000-0005-0000-0000-0000CD2F0000}"/>
    <cellStyle name="20% - Accent6 2 6 3 2 2 3 2" xfId="45840" xr:uid="{00000000-0005-0000-0000-0000CE2F0000}"/>
    <cellStyle name="20% - Accent6 2 6 3 2 2 4" xfId="36142" xr:uid="{00000000-0005-0000-0000-0000CF2F0000}"/>
    <cellStyle name="20% - Accent6 2 6 3 2 3" xfId="18510" xr:uid="{00000000-0005-0000-0000-0000D02F0000}"/>
    <cellStyle name="20% - Accent6 2 6 3 2 3 2" xfId="28878" xr:uid="{00000000-0005-0000-0000-0000D12F0000}"/>
    <cellStyle name="20% - Accent6 2 6 3 2 3 2 2" xfId="48067" xr:uid="{00000000-0005-0000-0000-0000D22F0000}"/>
    <cellStyle name="20% - Accent6 2 6 3 2 3 3" xfId="38369" xr:uid="{00000000-0005-0000-0000-0000D32F0000}"/>
    <cellStyle name="20% - Accent6 2 6 3 2 4" xfId="24418" xr:uid="{00000000-0005-0000-0000-0000D42F0000}"/>
    <cellStyle name="20% - Accent6 2 6 3 2 4 2" xfId="43612" xr:uid="{00000000-0005-0000-0000-0000D52F0000}"/>
    <cellStyle name="20% - Accent6 2 6 3 2 5" xfId="33914" xr:uid="{00000000-0005-0000-0000-0000D62F0000}"/>
    <cellStyle name="20% - Accent6 2 6 3 2 6" xfId="53923" xr:uid="{00000000-0005-0000-0000-0000D72F0000}"/>
    <cellStyle name="20% - Accent6 2 6 3 3" xfId="14589" xr:uid="{00000000-0005-0000-0000-0000D82F0000}"/>
    <cellStyle name="20% - Accent6 2 6 3 3 2" xfId="15718" xr:uid="{00000000-0005-0000-0000-0000D92F0000}"/>
    <cellStyle name="20% - Accent6 2 6 3 3 2 2" xfId="20182" xr:uid="{00000000-0005-0000-0000-0000DA2F0000}"/>
    <cellStyle name="20% - Accent6 2 6 3 3 2 2 2" xfId="30550" xr:uid="{00000000-0005-0000-0000-0000DB2F0000}"/>
    <cellStyle name="20% - Accent6 2 6 3 3 2 2 2 2" xfId="49739" xr:uid="{00000000-0005-0000-0000-0000DC2F0000}"/>
    <cellStyle name="20% - Accent6 2 6 3 3 2 2 3" xfId="40041" xr:uid="{00000000-0005-0000-0000-0000DD2F0000}"/>
    <cellStyle name="20% - Accent6 2 6 3 3 2 3" xfId="26095" xr:uid="{00000000-0005-0000-0000-0000DE2F0000}"/>
    <cellStyle name="20% - Accent6 2 6 3 3 2 3 2" xfId="45284" xr:uid="{00000000-0005-0000-0000-0000DF2F0000}"/>
    <cellStyle name="20% - Accent6 2 6 3 3 2 4" xfId="35586" xr:uid="{00000000-0005-0000-0000-0000E02F0000}"/>
    <cellStyle name="20% - Accent6 2 6 3 3 3" xfId="19067" xr:uid="{00000000-0005-0000-0000-0000E12F0000}"/>
    <cellStyle name="20% - Accent6 2 6 3 3 3 2" xfId="29435" xr:uid="{00000000-0005-0000-0000-0000E22F0000}"/>
    <cellStyle name="20% - Accent6 2 6 3 3 3 2 2" xfId="48624" xr:uid="{00000000-0005-0000-0000-0000E32F0000}"/>
    <cellStyle name="20% - Accent6 2 6 3 3 3 3" xfId="38926" xr:uid="{00000000-0005-0000-0000-0000E42F0000}"/>
    <cellStyle name="20% - Accent6 2 6 3 3 4" xfId="24980" xr:uid="{00000000-0005-0000-0000-0000E52F0000}"/>
    <cellStyle name="20% - Accent6 2 6 3 3 4 2" xfId="44169" xr:uid="{00000000-0005-0000-0000-0000E62F0000}"/>
    <cellStyle name="20% - Accent6 2 6 3 3 5" xfId="34471" xr:uid="{00000000-0005-0000-0000-0000E72F0000}"/>
    <cellStyle name="20% - Accent6 2 6 3 4" xfId="15161" xr:uid="{00000000-0005-0000-0000-0000E82F0000}"/>
    <cellStyle name="20% - Accent6 2 6 3 4 2" xfId="19625" xr:uid="{00000000-0005-0000-0000-0000E92F0000}"/>
    <cellStyle name="20% - Accent6 2 6 3 4 2 2" xfId="29993" xr:uid="{00000000-0005-0000-0000-0000EA2F0000}"/>
    <cellStyle name="20% - Accent6 2 6 3 4 2 2 2" xfId="49182" xr:uid="{00000000-0005-0000-0000-0000EB2F0000}"/>
    <cellStyle name="20% - Accent6 2 6 3 4 2 3" xfId="39484" xr:uid="{00000000-0005-0000-0000-0000EC2F0000}"/>
    <cellStyle name="20% - Accent6 2 6 3 4 3" xfId="25538" xr:uid="{00000000-0005-0000-0000-0000ED2F0000}"/>
    <cellStyle name="20% - Accent6 2 6 3 4 3 2" xfId="44727" xr:uid="{00000000-0005-0000-0000-0000EE2F0000}"/>
    <cellStyle name="20% - Accent6 2 6 3 4 4" xfId="35029" xr:uid="{00000000-0005-0000-0000-0000EF2F0000}"/>
    <cellStyle name="20% - Accent6 2 6 3 5" xfId="16831" xr:uid="{00000000-0005-0000-0000-0000F02F0000}"/>
    <cellStyle name="20% - Accent6 2 6 3 5 2" xfId="21295" xr:uid="{00000000-0005-0000-0000-0000F12F0000}"/>
    <cellStyle name="20% - Accent6 2 6 3 5 2 2" xfId="31663" xr:uid="{00000000-0005-0000-0000-0000F22F0000}"/>
    <cellStyle name="20% - Accent6 2 6 3 5 2 2 2" xfId="50852" xr:uid="{00000000-0005-0000-0000-0000F32F0000}"/>
    <cellStyle name="20% - Accent6 2 6 3 5 2 3" xfId="41154" xr:uid="{00000000-0005-0000-0000-0000F42F0000}"/>
    <cellStyle name="20% - Accent6 2 6 3 5 3" xfId="27208" xr:uid="{00000000-0005-0000-0000-0000F52F0000}"/>
    <cellStyle name="20% - Accent6 2 6 3 5 3 2" xfId="46397" xr:uid="{00000000-0005-0000-0000-0000F62F0000}"/>
    <cellStyle name="20% - Accent6 2 6 3 5 4" xfId="36699" xr:uid="{00000000-0005-0000-0000-0000F72F0000}"/>
    <cellStyle name="20% - Accent6 2 6 3 6" xfId="17397" xr:uid="{00000000-0005-0000-0000-0000F82F0000}"/>
    <cellStyle name="20% - Accent6 2 6 3 6 2" xfId="21852" xr:uid="{00000000-0005-0000-0000-0000F92F0000}"/>
    <cellStyle name="20% - Accent6 2 6 3 6 2 2" xfId="32220" xr:uid="{00000000-0005-0000-0000-0000FA2F0000}"/>
    <cellStyle name="20% - Accent6 2 6 3 6 2 2 2" xfId="51409" xr:uid="{00000000-0005-0000-0000-0000FB2F0000}"/>
    <cellStyle name="20% - Accent6 2 6 3 6 2 3" xfId="41711" xr:uid="{00000000-0005-0000-0000-0000FC2F0000}"/>
    <cellStyle name="20% - Accent6 2 6 3 6 3" xfId="27765" xr:uid="{00000000-0005-0000-0000-0000FD2F0000}"/>
    <cellStyle name="20% - Accent6 2 6 3 6 3 2" xfId="46954" xr:uid="{00000000-0005-0000-0000-0000FE2F0000}"/>
    <cellStyle name="20% - Accent6 2 6 3 6 4" xfId="37256" xr:uid="{00000000-0005-0000-0000-0000FF2F0000}"/>
    <cellStyle name="20% - Accent6 2 6 3 7" xfId="17954" xr:uid="{00000000-0005-0000-0000-000000300000}"/>
    <cellStyle name="20% - Accent6 2 6 3 7 2" xfId="28322" xr:uid="{00000000-0005-0000-0000-000001300000}"/>
    <cellStyle name="20% - Accent6 2 6 3 7 2 2" xfId="47511" xr:uid="{00000000-0005-0000-0000-000002300000}"/>
    <cellStyle name="20% - Accent6 2 6 3 7 3" xfId="37813" xr:uid="{00000000-0005-0000-0000-000003300000}"/>
    <cellStyle name="20% - Accent6 2 6 3 8" xfId="23817" xr:uid="{00000000-0005-0000-0000-000004300000}"/>
    <cellStyle name="20% - Accent6 2 6 3 8 2" xfId="43056" xr:uid="{00000000-0005-0000-0000-000005300000}"/>
    <cellStyle name="20% - Accent6 2 6 3 9" xfId="33358" xr:uid="{00000000-0005-0000-0000-000006300000}"/>
    <cellStyle name="20% - Accent6 2 6 4" xfId="53527" xr:uid="{00000000-0005-0000-0000-000007300000}"/>
    <cellStyle name="20% - Accent6 2 6 5" xfId="52642" xr:uid="{00000000-0005-0000-0000-000008300000}"/>
    <cellStyle name="20% - Accent6 2 6 6" xfId="12171" xr:uid="{00000000-0005-0000-0000-000009300000}"/>
    <cellStyle name="20% - Accent6 2 7" xfId="1797" xr:uid="{00000000-0005-0000-0000-00000A300000}"/>
    <cellStyle name="20% - Accent6 2 7 10" xfId="52669" xr:uid="{00000000-0005-0000-0000-00000B300000}"/>
    <cellStyle name="20% - Accent6 2 7 11" xfId="12702" xr:uid="{00000000-0005-0000-0000-00000C300000}"/>
    <cellStyle name="20% - Accent6 2 7 2" xfId="13813" xr:uid="{00000000-0005-0000-0000-00000D300000}"/>
    <cellStyle name="20% - Accent6 2 7 2 2" xfId="16077" xr:uid="{00000000-0005-0000-0000-00000E300000}"/>
    <cellStyle name="20% - Accent6 2 7 2 2 2" xfId="20541" xr:uid="{00000000-0005-0000-0000-00000F300000}"/>
    <cellStyle name="20% - Accent6 2 7 2 2 2 2" xfId="30909" xr:uid="{00000000-0005-0000-0000-000010300000}"/>
    <cellStyle name="20% - Accent6 2 7 2 2 2 2 2" xfId="50098" xr:uid="{00000000-0005-0000-0000-000011300000}"/>
    <cellStyle name="20% - Accent6 2 7 2 2 2 3" xfId="40400" xr:uid="{00000000-0005-0000-0000-000012300000}"/>
    <cellStyle name="20% - Accent6 2 7 2 2 3" xfId="26454" xr:uid="{00000000-0005-0000-0000-000013300000}"/>
    <cellStyle name="20% - Accent6 2 7 2 2 3 2" xfId="45643" xr:uid="{00000000-0005-0000-0000-000014300000}"/>
    <cellStyle name="20% - Accent6 2 7 2 2 4" xfId="35945" xr:uid="{00000000-0005-0000-0000-000015300000}"/>
    <cellStyle name="20% - Accent6 2 7 2 2 5" xfId="53950" xr:uid="{00000000-0005-0000-0000-000016300000}"/>
    <cellStyle name="20% - Accent6 2 7 2 3" xfId="18313" xr:uid="{00000000-0005-0000-0000-000017300000}"/>
    <cellStyle name="20% - Accent6 2 7 2 3 2" xfId="28681" xr:uid="{00000000-0005-0000-0000-000018300000}"/>
    <cellStyle name="20% - Accent6 2 7 2 3 2 2" xfId="47870" xr:uid="{00000000-0005-0000-0000-000019300000}"/>
    <cellStyle name="20% - Accent6 2 7 2 3 3" xfId="38172" xr:uid="{00000000-0005-0000-0000-00001A300000}"/>
    <cellStyle name="20% - Accent6 2 7 2 4" xfId="24221" xr:uid="{00000000-0005-0000-0000-00001B300000}"/>
    <cellStyle name="20% - Accent6 2 7 2 4 2" xfId="43415" xr:uid="{00000000-0005-0000-0000-00001C300000}"/>
    <cellStyle name="20% - Accent6 2 7 2 5" xfId="33717" xr:uid="{00000000-0005-0000-0000-00001D300000}"/>
    <cellStyle name="20% - Accent6 2 7 2 6" xfId="53097" xr:uid="{00000000-0005-0000-0000-00001E300000}"/>
    <cellStyle name="20% - Accent6 2 7 3" xfId="14392" xr:uid="{00000000-0005-0000-0000-00001F300000}"/>
    <cellStyle name="20% - Accent6 2 7 3 2" xfId="15521" xr:uid="{00000000-0005-0000-0000-000020300000}"/>
    <cellStyle name="20% - Accent6 2 7 3 2 2" xfId="19985" xr:uid="{00000000-0005-0000-0000-000021300000}"/>
    <cellStyle name="20% - Accent6 2 7 3 2 2 2" xfId="30353" xr:uid="{00000000-0005-0000-0000-000022300000}"/>
    <cellStyle name="20% - Accent6 2 7 3 2 2 2 2" xfId="49542" xr:uid="{00000000-0005-0000-0000-000023300000}"/>
    <cellStyle name="20% - Accent6 2 7 3 2 2 3" xfId="39844" xr:uid="{00000000-0005-0000-0000-000024300000}"/>
    <cellStyle name="20% - Accent6 2 7 3 2 3" xfId="25898" xr:uid="{00000000-0005-0000-0000-000025300000}"/>
    <cellStyle name="20% - Accent6 2 7 3 2 3 2" xfId="45087" xr:uid="{00000000-0005-0000-0000-000026300000}"/>
    <cellStyle name="20% - Accent6 2 7 3 2 4" xfId="35389" xr:uid="{00000000-0005-0000-0000-000027300000}"/>
    <cellStyle name="20% - Accent6 2 7 3 3" xfId="18870" xr:uid="{00000000-0005-0000-0000-000028300000}"/>
    <cellStyle name="20% - Accent6 2 7 3 3 2" xfId="29238" xr:uid="{00000000-0005-0000-0000-000029300000}"/>
    <cellStyle name="20% - Accent6 2 7 3 3 2 2" xfId="48427" xr:uid="{00000000-0005-0000-0000-00002A300000}"/>
    <cellStyle name="20% - Accent6 2 7 3 3 3" xfId="38729" xr:uid="{00000000-0005-0000-0000-00002B300000}"/>
    <cellStyle name="20% - Accent6 2 7 3 4" xfId="24783" xr:uid="{00000000-0005-0000-0000-00002C300000}"/>
    <cellStyle name="20% - Accent6 2 7 3 4 2" xfId="43972" xr:uid="{00000000-0005-0000-0000-00002D300000}"/>
    <cellStyle name="20% - Accent6 2 7 3 5" xfId="34274" xr:uid="{00000000-0005-0000-0000-00002E300000}"/>
    <cellStyle name="20% - Accent6 2 7 3 6" xfId="53554" xr:uid="{00000000-0005-0000-0000-00002F300000}"/>
    <cellStyle name="20% - Accent6 2 7 4" xfId="14964" xr:uid="{00000000-0005-0000-0000-000030300000}"/>
    <cellStyle name="20% - Accent6 2 7 4 2" xfId="19428" xr:uid="{00000000-0005-0000-0000-000031300000}"/>
    <cellStyle name="20% - Accent6 2 7 4 2 2" xfId="29796" xr:uid="{00000000-0005-0000-0000-000032300000}"/>
    <cellStyle name="20% - Accent6 2 7 4 2 2 2" xfId="48985" xr:uid="{00000000-0005-0000-0000-000033300000}"/>
    <cellStyle name="20% - Accent6 2 7 4 2 3" xfId="39287" xr:uid="{00000000-0005-0000-0000-000034300000}"/>
    <cellStyle name="20% - Accent6 2 7 4 3" xfId="25341" xr:uid="{00000000-0005-0000-0000-000035300000}"/>
    <cellStyle name="20% - Accent6 2 7 4 3 2" xfId="44530" xr:uid="{00000000-0005-0000-0000-000036300000}"/>
    <cellStyle name="20% - Accent6 2 7 4 4" xfId="34832" xr:uid="{00000000-0005-0000-0000-000037300000}"/>
    <cellStyle name="20% - Accent6 2 7 5" xfId="16634" xr:uid="{00000000-0005-0000-0000-000038300000}"/>
    <cellStyle name="20% - Accent6 2 7 5 2" xfId="21098" xr:uid="{00000000-0005-0000-0000-000039300000}"/>
    <cellStyle name="20% - Accent6 2 7 5 2 2" xfId="31466" xr:uid="{00000000-0005-0000-0000-00003A300000}"/>
    <cellStyle name="20% - Accent6 2 7 5 2 2 2" xfId="50655" xr:uid="{00000000-0005-0000-0000-00003B300000}"/>
    <cellStyle name="20% - Accent6 2 7 5 2 3" xfId="40957" xr:uid="{00000000-0005-0000-0000-00003C300000}"/>
    <cellStyle name="20% - Accent6 2 7 5 3" xfId="27011" xr:uid="{00000000-0005-0000-0000-00003D300000}"/>
    <cellStyle name="20% - Accent6 2 7 5 3 2" xfId="46200" xr:uid="{00000000-0005-0000-0000-00003E300000}"/>
    <cellStyle name="20% - Accent6 2 7 5 4" xfId="36502" xr:uid="{00000000-0005-0000-0000-00003F300000}"/>
    <cellStyle name="20% - Accent6 2 7 6" xfId="17200" xr:uid="{00000000-0005-0000-0000-000040300000}"/>
    <cellStyle name="20% - Accent6 2 7 6 2" xfId="21655" xr:uid="{00000000-0005-0000-0000-000041300000}"/>
    <cellStyle name="20% - Accent6 2 7 6 2 2" xfId="32023" xr:uid="{00000000-0005-0000-0000-000042300000}"/>
    <cellStyle name="20% - Accent6 2 7 6 2 2 2" xfId="51212" xr:uid="{00000000-0005-0000-0000-000043300000}"/>
    <cellStyle name="20% - Accent6 2 7 6 2 3" xfId="41514" xr:uid="{00000000-0005-0000-0000-000044300000}"/>
    <cellStyle name="20% - Accent6 2 7 6 3" xfId="27568" xr:uid="{00000000-0005-0000-0000-000045300000}"/>
    <cellStyle name="20% - Accent6 2 7 6 3 2" xfId="46757" xr:uid="{00000000-0005-0000-0000-000046300000}"/>
    <cellStyle name="20% - Accent6 2 7 6 4" xfId="37059" xr:uid="{00000000-0005-0000-0000-000047300000}"/>
    <cellStyle name="20% - Accent6 2 7 7" xfId="17757" xr:uid="{00000000-0005-0000-0000-000048300000}"/>
    <cellStyle name="20% - Accent6 2 7 7 2" xfId="28125" xr:uid="{00000000-0005-0000-0000-000049300000}"/>
    <cellStyle name="20% - Accent6 2 7 7 2 2" xfId="47314" xr:uid="{00000000-0005-0000-0000-00004A300000}"/>
    <cellStyle name="20% - Accent6 2 7 7 3" xfId="37616" xr:uid="{00000000-0005-0000-0000-00004B300000}"/>
    <cellStyle name="20% - Accent6 2 7 8" xfId="23572" xr:uid="{00000000-0005-0000-0000-00004C300000}"/>
    <cellStyle name="20% - Accent6 2 7 8 2" xfId="42859" xr:uid="{00000000-0005-0000-0000-00004D300000}"/>
    <cellStyle name="20% - Accent6 2 7 9" xfId="33161" xr:uid="{00000000-0005-0000-0000-00004E300000}"/>
    <cellStyle name="20% - Accent6 2 8" xfId="1798" xr:uid="{00000000-0005-0000-0000-00004F300000}"/>
    <cellStyle name="20% - Accent6 2 8 10" xfId="52869" xr:uid="{00000000-0005-0000-0000-000050300000}"/>
    <cellStyle name="20% - Accent6 2 8 11" xfId="12792" xr:uid="{00000000-0005-0000-0000-000051300000}"/>
    <cellStyle name="20% - Accent6 2 8 2" xfId="13822" xr:uid="{00000000-0005-0000-0000-000052300000}"/>
    <cellStyle name="20% - Accent6 2 8 2 2" xfId="16086" xr:uid="{00000000-0005-0000-0000-000053300000}"/>
    <cellStyle name="20% - Accent6 2 8 2 2 2" xfId="20550" xr:uid="{00000000-0005-0000-0000-000054300000}"/>
    <cellStyle name="20% - Accent6 2 8 2 2 2 2" xfId="30918" xr:uid="{00000000-0005-0000-0000-000055300000}"/>
    <cellStyle name="20% - Accent6 2 8 2 2 2 2 2" xfId="50107" xr:uid="{00000000-0005-0000-0000-000056300000}"/>
    <cellStyle name="20% - Accent6 2 8 2 2 2 3" xfId="40409" xr:uid="{00000000-0005-0000-0000-000057300000}"/>
    <cellStyle name="20% - Accent6 2 8 2 2 3" xfId="26463" xr:uid="{00000000-0005-0000-0000-000058300000}"/>
    <cellStyle name="20% - Accent6 2 8 2 2 3 2" xfId="45652" xr:uid="{00000000-0005-0000-0000-000059300000}"/>
    <cellStyle name="20% - Accent6 2 8 2 2 4" xfId="35954" xr:uid="{00000000-0005-0000-0000-00005A300000}"/>
    <cellStyle name="20% - Accent6 2 8 2 3" xfId="18322" xr:uid="{00000000-0005-0000-0000-00005B300000}"/>
    <cellStyle name="20% - Accent6 2 8 2 3 2" xfId="28690" xr:uid="{00000000-0005-0000-0000-00005C300000}"/>
    <cellStyle name="20% - Accent6 2 8 2 3 2 2" xfId="47879" xr:uid="{00000000-0005-0000-0000-00005D300000}"/>
    <cellStyle name="20% - Accent6 2 8 2 3 3" xfId="38181" xr:uid="{00000000-0005-0000-0000-00005E300000}"/>
    <cellStyle name="20% - Accent6 2 8 2 4" xfId="24230" xr:uid="{00000000-0005-0000-0000-00005F300000}"/>
    <cellStyle name="20% - Accent6 2 8 2 4 2" xfId="43424" xr:uid="{00000000-0005-0000-0000-000060300000}"/>
    <cellStyle name="20% - Accent6 2 8 2 5" xfId="33726" xr:uid="{00000000-0005-0000-0000-000061300000}"/>
    <cellStyle name="20% - Accent6 2 8 2 6" xfId="53753" xr:uid="{00000000-0005-0000-0000-000062300000}"/>
    <cellStyle name="20% - Accent6 2 8 3" xfId="14401" xr:uid="{00000000-0005-0000-0000-000063300000}"/>
    <cellStyle name="20% - Accent6 2 8 3 2" xfId="15530" xr:uid="{00000000-0005-0000-0000-000064300000}"/>
    <cellStyle name="20% - Accent6 2 8 3 2 2" xfId="19994" xr:uid="{00000000-0005-0000-0000-000065300000}"/>
    <cellStyle name="20% - Accent6 2 8 3 2 2 2" xfId="30362" xr:uid="{00000000-0005-0000-0000-000066300000}"/>
    <cellStyle name="20% - Accent6 2 8 3 2 2 2 2" xfId="49551" xr:uid="{00000000-0005-0000-0000-000067300000}"/>
    <cellStyle name="20% - Accent6 2 8 3 2 2 3" xfId="39853" xr:uid="{00000000-0005-0000-0000-000068300000}"/>
    <cellStyle name="20% - Accent6 2 8 3 2 3" xfId="25907" xr:uid="{00000000-0005-0000-0000-000069300000}"/>
    <cellStyle name="20% - Accent6 2 8 3 2 3 2" xfId="45096" xr:uid="{00000000-0005-0000-0000-00006A300000}"/>
    <cellStyle name="20% - Accent6 2 8 3 2 4" xfId="35398" xr:uid="{00000000-0005-0000-0000-00006B300000}"/>
    <cellStyle name="20% - Accent6 2 8 3 3" xfId="18879" xr:uid="{00000000-0005-0000-0000-00006C300000}"/>
    <cellStyle name="20% - Accent6 2 8 3 3 2" xfId="29247" xr:uid="{00000000-0005-0000-0000-00006D300000}"/>
    <cellStyle name="20% - Accent6 2 8 3 3 2 2" xfId="48436" xr:uid="{00000000-0005-0000-0000-00006E300000}"/>
    <cellStyle name="20% - Accent6 2 8 3 3 3" xfId="38738" xr:uid="{00000000-0005-0000-0000-00006F300000}"/>
    <cellStyle name="20% - Accent6 2 8 3 4" xfId="24792" xr:uid="{00000000-0005-0000-0000-000070300000}"/>
    <cellStyle name="20% - Accent6 2 8 3 4 2" xfId="43981" xr:uid="{00000000-0005-0000-0000-000071300000}"/>
    <cellStyle name="20% - Accent6 2 8 3 5" xfId="34283" xr:uid="{00000000-0005-0000-0000-000072300000}"/>
    <cellStyle name="20% - Accent6 2 8 4" xfId="14973" xr:uid="{00000000-0005-0000-0000-000073300000}"/>
    <cellStyle name="20% - Accent6 2 8 4 2" xfId="19437" xr:uid="{00000000-0005-0000-0000-000074300000}"/>
    <cellStyle name="20% - Accent6 2 8 4 2 2" xfId="29805" xr:uid="{00000000-0005-0000-0000-000075300000}"/>
    <cellStyle name="20% - Accent6 2 8 4 2 2 2" xfId="48994" xr:uid="{00000000-0005-0000-0000-000076300000}"/>
    <cellStyle name="20% - Accent6 2 8 4 2 3" xfId="39296" xr:uid="{00000000-0005-0000-0000-000077300000}"/>
    <cellStyle name="20% - Accent6 2 8 4 3" xfId="25350" xr:uid="{00000000-0005-0000-0000-000078300000}"/>
    <cellStyle name="20% - Accent6 2 8 4 3 2" xfId="44539" xr:uid="{00000000-0005-0000-0000-000079300000}"/>
    <cellStyle name="20% - Accent6 2 8 4 4" xfId="34841" xr:uid="{00000000-0005-0000-0000-00007A300000}"/>
    <cellStyle name="20% - Accent6 2 8 5" xfId="16643" xr:uid="{00000000-0005-0000-0000-00007B300000}"/>
    <cellStyle name="20% - Accent6 2 8 5 2" xfId="21107" xr:uid="{00000000-0005-0000-0000-00007C300000}"/>
    <cellStyle name="20% - Accent6 2 8 5 2 2" xfId="31475" xr:uid="{00000000-0005-0000-0000-00007D300000}"/>
    <cellStyle name="20% - Accent6 2 8 5 2 2 2" xfId="50664" xr:uid="{00000000-0005-0000-0000-00007E300000}"/>
    <cellStyle name="20% - Accent6 2 8 5 2 3" xfId="40966" xr:uid="{00000000-0005-0000-0000-00007F300000}"/>
    <cellStyle name="20% - Accent6 2 8 5 3" xfId="27020" xr:uid="{00000000-0005-0000-0000-000080300000}"/>
    <cellStyle name="20% - Accent6 2 8 5 3 2" xfId="46209" xr:uid="{00000000-0005-0000-0000-000081300000}"/>
    <cellStyle name="20% - Accent6 2 8 5 4" xfId="36511" xr:uid="{00000000-0005-0000-0000-000082300000}"/>
    <cellStyle name="20% - Accent6 2 8 6" xfId="17209" xr:uid="{00000000-0005-0000-0000-000083300000}"/>
    <cellStyle name="20% - Accent6 2 8 6 2" xfId="21664" xr:uid="{00000000-0005-0000-0000-000084300000}"/>
    <cellStyle name="20% - Accent6 2 8 6 2 2" xfId="32032" xr:uid="{00000000-0005-0000-0000-000085300000}"/>
    <cellStyle name="20% - Accent6 2 8 6 2 2 2" xfId="51221" xr:uid="{00000000-0005-0000-0000-000086300000}"/>
    <cellStyle name="20% - Accent6 2 8 6 2 3" xfId="41523" xr:uid="{00000000-0005-0000-0000-000087300000}"/>
    <cellStyle name="20% - Accent6 2 8 6 3" xfId="27577" xr:uid="{00000000-0005-0000-0000-000088300000}"/>
    <cellStyle name="20% - Accent6 2 8 6 3 2" xfId="46766" xr:uid="{00000000-0005-0000-0000-000089300000}"/>
    <cellStyle name="20% - Accent6 2 8 6 4" xfId="37068" xr:uid="{00000000-0005-0000-0000-00008A300000}"/>
    <cellStyle name="20% - Accent6 2 8 7" xfId="17766" xr:uid="{00000000-0005-0000-0000-00008B300000}"/>
    <cellStyle name="20% - Accent6 2 8 7 2" xfId="28134" xr:uid="{00000000-0005-0000-0000-00008C300000}"/>
    <cellStyle name="20% - Accent6 2 8 7 2 2" xfId="47323" xr:uid="{00000000-0005-0000-0000-00008D300000}"/>
    <cellStyle name="20% - Accent6 2 8 7 3" xfId="37625" xr:uid="{00000000-0005-0000-0000-00008E300000}"/>
    <cellStyle name="20% - Accent6 2 8 8" xfId="23595" xr:uid="{00000000-0005-0000-0000-00008F300000}"/>
    <cellStyle name="20% - Accent6 2 8 8 2" xfId="42868" xr:uid="{00000000-0005-0000-0000-000090300000}"/>
    <cellStyle name="20% - Accent6 2 8 9" xfId="33170" xr:uid="{00000000-0005-0000-0000-000091300000}"/>
    <cellStyle name="20% - Accent6 2 9" xfId="1799" xr:uid="{00000000-0005-0000-0000-000092300000}"/>
    <cellStyle name="20% - Accent6 2 9 2" xfId="54150" xr:uid="{00000000-0005-0000-0000-000093300000}"/>
    <cellStyle name="20% - Accent6 2 9 3" xfId="53298" xr:uid="{00000000-0005-0000-0000-000094300000}"/>
    <cellStyle name="20% - Accent6 2 9 4" xfId="13065" xr:uid="{00000000-0005-0000-0000-000095300000}"/>
    <cellStyle name="20% - Accent6 20" xfId="22860" xr:uid="{00000000-0005-0000-0000-000096300000}"/>
    <cellStyle name="20% - Accent6 20 2" xfId="32944" xr:uid="{00000000-0005-0000-0000-000097300000}"/>
    <cellStyle name="20% - Accent6 20 2 2" xfId="52130" xr:uid="{00000000-0005-0000-0000-000098300000}"/>
    <cellStyle name="20% - Accent6 20 3" xfId="23217" xr:uid="{00000000-0005-0000-0000-000099300000}"/>
    <cellStyle name="20% - Accent6 20 3 2" xfId="42785" xr:uid="{00000000-0005-0000-0000-00009A300000}"/>
    <cellStyle name="20% - Accent6 20 4" xfId="42432" xr:uid="{00000000-0005-0000-0000-00009B300000}"/>
    <cellStyle name="20% - Accent6 21" xfId="22743" xr:uid="{00000000-0005-0000-0000-00009C300000}"/>
    <cellStyle name="20% - Accent6 21 2" xfId="32827" xr:uid="{00000000-0005-0000-0000-00009D300000}"/>
    <cellStyle name="20% - Accent6 21 2 2" xfId="52013" xr:uid="{00000000-0005-0000-0000-00009E300000}"/>
    <cellStyle name="20% - Accent6 21 3" xfId="42315" xr:uid="{00000000-0005-0000-0000-00009F300000}"/>
    <cellStyle name="20% - Accent6 22" xfId="23100" xr:uid="{00000000-0005-0000-0000-0000A0300000}"/>
    <cellStyle name="20% - Accent6 22 2" xfId="42668" xr:uid="{00000000-0005-0000-0000-0000A1300000}"/>
    <cellStyle name="20% - Accent6 23" xfId="33132" xr:uid="{00000000-0005-0000-0000-0000A2300000}"/>
    <cellStyle name="20% - Accent6 3" xfId="124" xr:uid="{00000000-0005-0000-0000-0000A3300000}"/>
    <cellStyle name="20% - Accent6 3 2" xfId="1801" xr:uid="{00000000-0005-0000-0000-0000A4300000}"/>
    <cellStyle name="20% - Accent6 3 2 2" xfId="1802" xr:uid="{00000000-0005-0000-0000-0000A5300000}"/>
    <cellStyle name="20% - Accent6 3 2 2 2" xfId="1803" xr:uid="{00000000-0005-0000-0000-0000A6300000}"/>
    <cellStyle name="20% - Accent6 3 2 2 2 2" xfId="1804" xr:uid="{00000000-0005-0000-0000-0000A7300000}"/>
    <cellStyle name="20% - Accent6 3 2 2 3" xfId="1805" xr:uid="{00000000-0005-0000-0000-0000A8300000}"/>
    <cellStyle name="20% - Accent6 3 2 3" xfId="1806" xr:uid="{00000000-0005-0000-0000-0000A9300000}"/>
    <cellStyle name="20% - Accent6 3 2 3 2" xfId="1807" xr:uid="{00000000-0005-0000-0000-0000AA300000}"/>
    <cellStyle name="20% - Accent6 3 2 4" xfId="1808" xr:uid="{00000000-0005-0000-0000-0000AB300000}"/>
    <cellStyle name="20% - Accent6 3 2 5" xfId="13066" xr:uid="{00000000-0005-0000-0000-0000AC300000}"/>
    <cellStyle name="20% - Accent6 3 3" xfId="1809" xr:uid="{00000000-0005-0000-0000-0000AD300000}"/>
    <cellStyle name="20% - Accent6 3 3 2" xfId="1810" xr:uid="{00000000-0005-0000-0000-0000AE300000}"/>
    <cellStyle name="20% - Accent6 3 3 2 2" xfId="1811" xr:uid="{00000000-0005-0000-0000-0000AF300000}"/>
    <cellStyle name="20% - Accent6 3 3 2 2 2" xfId="1812" xr:uid="{00000000-0005-0000-0000-0000B0300000}"/>
    <cellStyle name="20% - Accent6 3 3 2 3" xfId="1813" xr:uid="{00000000-0005-0000-0000-0000B1300000}"/>
    <cellStyle name="20% - Accent6 3 3 3" xfId="1814" xr:uid="{00000000-0005-0000-0000-0000B2300000}"/>
    <cellStyle name="20% - Accent6 3 3 3 2" xfId="1815" xr:uid="{00000000-0005-0000-0000-0000B3300000}"/>
    <cellStyle name="20% - Accent6 3 3 4" xfId="1816" xr:uid="{00000000-0005-0000-0000-0000B4300000}"/>
    <cellStyle name="20% - Accent6 3 3 5" xfId="13527" xr:uid="{00000000-0005-0000-0000-0000B5300000}"/>
    <cellStyle name="20% - Accent6 3 4" xfId="1817" xr:uid="{00000000-0005-0000-0000-0000B6300000}"/>
    <cellStyle name="20% - Accent6 3 4 2" xfId="1818" xr:uid="{00000000-0005-0000-0000-0000B7300000}"/>
    <cellStyle name="20% - Accent6 3 4 2 2" xfId="1819" xr:uid="{00000000-0005-0000-0000-0000B8300000}"/>
    <cellStyle name="20% - Accent6 3 4 3" xfId="1820" xr:uid="{00000000-0005-0000-0000-0000B9300000}"/>
    <cellStyle name="20% - Accent6 3 4 4" xfId="22288" xr:uid="{00000000-0005-0000-0000-0000BA300000}"/>
    <cellStyle name="20% - Accent6 3 5" xfId="1821" xr:uid="{00000000-0005-0000-0000-0000BB300000}"/>
    <cellStyle name="20% - Accent6 3 5 2" xfId="1822" xr:uid="{00000000-0005-0000-0000-0000BC300000}"/>
    <cellStyle name="20% - Accent6 3 5 3" xfId="23308" xr:uid="{00000000-0005-0000-0000-0000BD300000}"/>
    <cellStyle name="20% - Accent6 3 6" xfId="1823" xr:uid="{00000000-0005-0000-0000-0000BE300000}"/>
    <cellStyle name="20% - Accent6 3 7" xfId="1800" xr:uid="{00000000-0005-0000-0000-0000BF300000}"/>
    <cellStyle name="20% - Accent6 3 8" xfId="12173" xr:uid="{00000000-0005-0000-0000-0000C0300000}"/>
    <cellStyle name="20% - Accent6 4" xfId="125" xr:uid="{00000000-0005-0000-0000-0000C1300000}"/>
    <cellStyle name="20% - Accent6 4 2" xfId="1824" xr:uid="{00000000-0005-0000-0000-0000C2300000}"/>
    <cellStyle name="20% - Accent6 4 2 2" xfId="13690" xr:uid="{00000000-0005-0000-0000-0000C3300000}"/>
    <cellStyle name="20% - Accent6 4 3" xfId="22289" xr:uid="{00000000-0005-0000-0000-0000C4300000}"/>
    <cellStyle name="20% - Accent6 4 4" xfId="23310" xr:uid="{00000000-0005-0000-0000-0000C5300000}"/>
    <cellStyle name="20% - Accent6 4 5" xfId="12175" xr:uid="{00000000-0005-0000-0000-0000C6300000}"/>
    <cellStyle name="20% - Accent6 5" xfId="126" xr:uid="{00000000-0005-0000-0000-0000C7300000}"/>
    <cellStyle name="20% - Accent6 5 2" xfId="1825" xr:uid="{00000000-0005-0000-0000-0000C8300000}"/>
    <cellStyle name="20% - Accent6 5 2 2" xfId="22290" xr:uid="{00000000-0005-0000-0000-0000C9300000}"/>
    <cellStyle name="20% - Accent6 5 3" xfId="23527" xr:uid="{00000000-0005-0000-0000-0000CA300000}"/>
    <cellStyle name="20% - Accent6 5 4" xfId="12629" xr:uid="{00000000-0005-0000-0000-0000CB300000}"/>
    <cellStyle name="20% - Accent6 6" xfId="127" xr:uid="{00000000-0005-0000-0000-0000CC300000}"/>
    <cellStyle name="20% - Accent6 6 2" xfId="1826" xr:uid="{00000000-0005-0000-0000-0000CD300000}"/>
    <cellStyle name="20% - Accent6 6 2 2" xfId="22291" xr:uid="{00000000-0005-0000-0000-0000CE300000}"/>
    <cellStyle name="20% - Accent6 6 3" xfId="23594" xr:uid="{00000000-0005-0000-0000-0000CF300000}"/>
    <cellStyle name="20% - Accent6 6 4" xfId="12791" xr:uid="{00000000-0005-0000-0000-0000D0300000}"/>
    <cellStyle name="20% - Accent6 7" xfId="128" xr:uid="{00000000-0005-0000-0000-0000D1300000}"/>
    <cellStyle name="20% - Accent6 7 2" xfId="1827" xr:uid="{00000000-0005-0000-0000-0000D2300000}"/>
    <cellStyle name="20% - Accent6 8" xfId="129" xr:uid="{00000000-0005-0000-0000-0000D3300000}"/>
    <cellStyle name="20% - Accent6 8 2" xfId="1828" xr:uid="{00000000-0005-0000-0000-0000D4300000}"/>
    <cellStyle name="20% - Accent6 9" xfId="130" xr:uid="{00000000-0005-0000-0000-0000D5300000}"/>
    <cellStyle name="40% - Accent1 10" xfId="131" xr:uid="{00000000-0005-0000-0000-0000D6300000}"/>
    <cellStyle name="40% - Accent1 11" xfId="132" xr:uid="{00000000-0005-0000-0000-0000D7300000}"/>
    <cellStyle name="40% - Accent1 12" xfId="133" xr:uid="{00000000-0005-0000-0000-0000D8300000}"/>
    <cellStyle name="40% - Accent1 13" xfId="134" xr:uid="{00000000-0005-0000-0000-0000D9300000}"/>
    <cellStyle name="40% - Accent1 14" xfId="135" xr:uid="{00000000-0005-0000-0000-0000DA300000}"/>
    <cellStyle name="40% - Accent1 15" xfId="136" xr:uid="{00000000-0005-0000-0000-0000DB300000}"/>
    <cellStyle name="40% - Accent1 16" xfId="137" xr:uid="{00000000-0005-0000-0000-0000DC300000}"/>
    <cellStyle name="40% - Accent1 17" xfId="22761" xr:uid="{00000000-0005-0000-0000-0000DD300000}"/>
    <cellStyle name="40% - Accent1 17 2" xfId="32845" xr:uid="{00000000-0005-0000-0000-0000DE300000}"/>
    <cellStyle name="40% - Accent1 17 2 2" xfId="52031" xr:uid="{00000000-0005-0000-0000-0000DF300000}"/>
    <cellStyle name="40% - Accent1 17 3" xfId="23118" xr:uid="{00000000-0005-0000-0000-0000E0300000}"/>
    <cellStyle name="40% - Accent1 17 3 2" xfId="42686" xr:uid="{00000000-0005-0000-0000-0000E1300000}"/>
    <cellStyle name="40% - Accent1 17 4" xfId="42333" xr:uid="{00000000-0005-0000-0000-0000E2300000}"/>
    <cellStyle name="40% - Accent1 18" xfId="22786" xr:uid="{00000000-0005-0000-0000-0000E3300000}"/>
    <cellStyle name="40% - Accent1 18 2" xfId="32870" xr:uid="{00000000-0005-0000-0000-0000E4300000}"/>
    <cellStyle name="40% - Accent1 18 2 2" xfId="52056" xr:uid="{00000000-0005-0000-0000-0000E5300000}"/>
    <cellStyle name="40% - Accent1 18 3" xfId="23143" xr:uid="{00000000-0005-0000-0000-0000E6300000}"/>
    <cellStyle name="40% - Accent1 18 3 2" xfId="42711" xr:uid="{00000000-0005-0000-0000-0000E7300000}"/>
    <cellStyle name="40% - Accent1 18 4" xfId="42358" xr:uid="{00000000-0005-0000-0000-0000E8300000}"/>
    <cellStyle name="40% - Accent1 19" xfId="22836" xr:uid="{00000000-0005-0000-0000-0000E9300000}"/>
    <cellStyle name="40% - Accent1 19 2" xfId="32920" xr:uid="{00000000-0005-0000-0000-0000EA300000}"/>
    <cellStyle name="40% - Accent1 19 2 2" xfId="52106" xr:uid="{00000000-0005-0000-0000-0000EB300000}"/>
    <cellStyle name="40% - Accent1 19 3" xfId="23193" xr:uid="{00000000-0005-0000-0000-0000EC300000}"/>
    <cellStyle name="40% - Accent1 19 3 2" xfId="42761" xr:uid="{00000000-0005-0000-0000-0000ED300000}"/>
    <cellStyle name="40% - Accent1 19 4" xfId="42408" xr:uid="{00000000-0005-0000-0000-0000EE300000}"/>
    <cellStyle name="40% - Accent1 2" xfId="138" xr:uid="{00000000-0005-0000-0000-0000EF300000}"/>
    <cellStyle name="40% - Accent1 2 10" xfId="1830" xr:uid="{00000000-0005-0000-0000-0000F0300000}"/>
    <cellStyle name="40% - Accent1 2 10 10" xfId="53322" xr:uid="{00000000-0005-0000-0000-0000F1300000}"/>
    <cellStyle name="40% - Accent1 2 10 11" xfId="13067" xr:uid="{00000000-0005-0000-0000-0000F2300000}"/>
    <cellStyle name="40% - Accent1 2 10 2" xfId="14011" xr:uid="{00000000-0005-0000-0000-0000F3300000}"/>
    <cellStyle name="40% - Accent1 2 10 2 2" xfId="16275" xr:uid="{00000000-0005-0000-0000-0000F4300000}"/>
    <cellStyle name="40% - Accent1 2 10 2 2 2" xfId="20739" xr:uid="{00000000-0005-0000-0000-0000F5300000}"/>
    <cellStyle name="40% - Accent1 2 10 2 2 2 2" xfId="31107" xr:uid="{00000000-0005-0000-0000-0000F6300000}"/>
    <cellStyle name="40% - Accent1 2 10 2 2 2 2 2" xfId="50296" xr:uid="{00000000-0005-0000-0000-0000F7300000}"/>
    <cellStyle name="40% - Accent1 2 10 2 2 2 3" xfId="40598" xr:uid="{00000000-0005-0000-0000-0000F8300000}"/>
    <cellStyle name="40% - Accent1 2 10 2 2 3" xfId="26652" xr:uid="{00000000-0005-0000-0000-0000F9300000}"/>
    <cellStyle name="40% - Accent1 2 10 2 2 3 2" xfId="45841" xr:uid="{00000000-0005-0000-0000-0000FA300000}"/>
    <cellStyle name="40% - Accent1 2 10 2 2 4" xfId="36143" xr:uid="{00000000-0005-0000-0000-0000FB300000}"/>
    <cellStyle name="40% - Accent1 2 10 2 3" xfId="18511" xr:uid="{00000000-0005-0000-0000-0000FC300000}"/>
    <cellStyle name="40% - Accent1 2 10 2 3 2" xfId="28879" xr:uid="{00000000-0005-0000-0000-0000FD300000}"/>
    <cellStyle name="40% - Accent1 2 10 2 3 2 2" xfId="48068" xr:uid="{00000000-0005-0000-0000-0000FE300000}"/>
    <cellStyle name="40% - Accent1 2 10 2 3 3" xfId="38370" xr:uid="{00000000-0005-0000-0000-0000FF300000}"/>
    <cellStyle name="40% - Accent1 2 10 2 4" xfId="24419" xr:uid="{00000000-0005-0000-0000-000000310000}"/>
    <cellStyle name="40% - Accent1 2 10 2 4 2" xfId="43613" xr:uid="{00000000-0005-0000-0000-000001310000}"/>
    <cellStyle name="40% - Accent1 2 10 2 5" xfId="33915" xr:uid="{00000000-0005-0000-0000-000002310000}"/>
    <cellStyle name="40% - Accent1 2 10 2 6" xfId="54174" xr:uid="{00000000-0005-0000-0000-000003310000}"/>
    <cellStyle name="40% - Accent1 2 10 3" xfId="14590" xr:uid="{00000000-0005-0000-0000-000004310000}"/>
    <cellStyle name="40% - Accent1 2 10 3 2" xfId="15719" xr:uid="{00000000-0005-0000-0000-000005310000}"/>
    <cellStyle name="40% - Accent1 2 10 3 2 2" xfId="20183" xr:uid="{00000000-0005-0000-0000-000006310000}"/>
    <cellStyle name="40% - Accent1 2 10 3 2 2 2" xfId="30551" xr:uid="{00000000-0005-0000-0000-000007310000}"/>
    <cellStyle name="40% - Accent1 2 10 3 2 2 2 2" xfId="49740" xr:uid="{00000000-0005-0000-0000-000008310000}"/>
    <cellStyle name="40% - Accent1 2 10 3 2 2 3" xfId="40042" xr:uid="{00000000-0005-0000-0000-000009310000}"/>
    <cellStyle name="40% - Accent1 2 10 3 2 3" xfId="26096" xr:uid="{00000000-0005-0000-0000-00000A310000}"/>
    <cellStyle name="40% - Accent1 2 10 3 2 3 2" xfId="45285" xr:uid="{00000000-0005-0000-0000-00000B310000}"/>
    <cellStyle name="40% - Accent1 2 10 3 2 4" xfId="35587" xr:uid="{00000000-0005-0000-0000-00000C310000}"/>
    <cellStyle name="40% - Accent1 2 10 3 3" xfId="19068" xr:uid="{00000000-0005-0000-0000-00000D310000}"/>
    <cellStyle name="40% - Accent1 2 10 3 3 2" xfId="29436" xr:uid="{00000000-0005-0000-0000-00000E310000}"/>
    <cellStyle name="40% - Accent1 2 10 3 3 2 2" xfId="48625" xr:uid="{00000000-0005-0000-0000-00000F310000}"/>
    <cellStyle name="40% - Accent1 2 10 3 3 3" xfId="38927" xr:uid="{00000000-0005-0000-0000-000010310000}"/>
    <cellStyle name="40% - Accent1 2 10 3 4" xfId="24981" xr:uid="{00000000-0005-0000-0000-000011310000}"/>
    <cellStyle name="40% - Accent1 2 10 3 4 2" xfId="44170" xr:uid="{00000000-0005-0000-0000-000012310000}"/>
    <cellStyle name="40% - Accent1 2 10 3 5" xfId="34472" xr:uid="{00000000-0005-0000-0000-000013310000}"/>
    <cellStyle name="40% - Accent1 2 10 4" xfId="15162" xr:uid="{00000000-0005-0000-0000-000014310000}"/>
    <cellStyle name="40% - Accent1 2 10 4 2" xfId="19626" xr:uid="{00000000-0005-0000-0000-000015310000}"/>
    <cellStyle name="40% - Accent1 2 10 4 2 2" xfId="29994" xr:uid="{00000000-0005-0000-0000-000016310000}"/>
    <cellStyle name="40% - Accent1 2 10 4 2 2 2" xfId="49183" xr:uid="{00000000-0005-0000-0000-000017310000}"/>
    <cellStyle name="40% - Accent1 2 10 4 2 3" xfId="39485" xr:uid="{00000000-0005-0000-0000-000018310000}"/>
    <cellStyle name="40% - Accent1 2 10 4 3" xfId="25539" xr:uid="{00000000-0005-0000-0000-000019310000}"/>
    <cellStyle name="40% - Accent1 2 10 4 3 2" xfId="44728" xr:uid="{00000000-0005-0000-0000-00001A310000}"/>
    <cellStyle name="40% - Accent1 2 10 4 4" xfId="35030" xr:uid="{00000000-0005-0000-0000-00001B310000}"/>
    <cellStyle name="40% - Accent1 2 10 5" xfId="16832" xr:uid="{00000000-0005-0000-0000-00001C310000}"/>
    <cellStyle name="40% - Accent1 2 10 5 2" xfId="21296" xr:uid="{00000000-0005-0000-0000-00001D310000}"/>
    <cellStyle name="40% - Accent1 2 10 5 2 2" xfId="31664" xr:uid="{00000000-0005-0000-0000-00001E310000}"/>
    <cellStyle name="40% - Accent1 2 10 5 2 2 2" xfId="50853" xr:uid="{00000000-0005-0000-0000-00001F310000}"/>
    <cellStyle name="40% - Accent1 2 10 5 2 3" xfId="41155" xr:uid="{00000000-0005-0000-0000-000020310000}"/>
    <cellStyle name="40% - Accent1 2 10 5 3" xfId="27209" xr:uid="{00000000-0005-0000-0000-000021310000}"/>
    <cellStyle name="40% - Accent1 2 10 5 3 2" xfId="46398" xr:uid="{00000000-0005-0000-0000-000022310000}"/>
    <cellStyle name="40% - Accent1 2 10 5 4" xfId="36700" xr:uid="{00000000-0005-0000-0000-000023310000}"/>
    <cellStyle name="40% - Accent1 2 10 6" xfId="17398" xr:uid="{00000000-0005-0000-0000-000024310000}"/>
    <cellStyle name="40% - Accent1 2 10 6 2" xfId="21853" xr:uid="{00000000-0005-0000-0000-000025310000}"/>
    <cellStyle name="40% - Accent1 2 10 6 2 2" xfId="32221" xr:uid="{00000000-0005-0000-0000-000026310000}"/>
    <cellStyle name="40% - Accent1 2 10 6 2 2 2" xfId="51410" xr:uid="{00000000-0005-0000-0000-000027310000}"/>
    <cellStyle name="40% - Accent1 2 10 6 2 3" xfId="41712" xr:uid="{00000000-0005-0000-0000-000028310000}"/>
    <cellStyle name="40% - Accent1 2 10 6 3" xfId="27766" xr:uid="{00000000-0005-0000-0000-000029310000}"/>
    <cellStyle name="40% - Accent1 2 10 6 3 2" xfId="46955" xr:uid="{00000000-0005-0000-0000-00002A310000}"/>
    <cellStyle name="40% - Accent1 2 10 6 4" xfId="37257" xr:uid="{00000000-0005-0000-0000-00002B310000}"/>
    <cellStyle name="40% - Accent1 2 10 7" xfId="17955" xr:uid="{00000000-0005-0000-0000-00002C310000}"/>
    <cellStyle name="40% - Accent1 2 10 7 2" xfId="28323" xr:uid="{00000000-0005-0000-0000-00002D310000}"/>
    <cellStyle name="40% - Accent1 2 10 7 2 2" xfId="47512" xr:uid="{00000000-0005-0000-0000-00002E310000}"/>
    <cellStyle name="40% - Accent1 2 10 7 3" xfId="37814" xr:uid="{00000000-0005-0000-0000-00002F310000}"/>
    <cellStyle name="40% - Accent1 2 10 8" xfId="23818" xr:uid="{00000000-0005-0000-0000-000030310000}"/>
    <cellStyle name="40% - Accent1 2 10 8 2" xfId="43057" xr:uid="{00000000-0005-0000-0000-000031310000}"/>
    <cellStyle name="40% - Accent1 2 10 9" xfId="33359" xr:uid="{00000000-0005-0000-0000-000032310000}"/>
    <cellStyle name="40% - Accent1 2 11" xfId="1829" xr:uid="{00000000-0005-0000-0000-000033310000}"/>
    <cellStyle name="40% - Accent1 2 11 2" xfId="32568" xr:uid="{00000000-0005-0000-0000-000034310000}"/>
    <cellStyle name="40% - Accent1 2 11 2 2" xfId="51756" xr:uid="{00000000-0005-0000-0000-000035310000}"/>
    <cellStyle name="40% - Accent1 2 11 3" xfId="42058" xr:uid="{00000000-0005-0000-0000-000036310000}"/>
    <cellStyle name="40% - Accent1 2 11 4" xfId="53349" xr:uid="{00000000-0005-0000-0000-000037310000}"/>
    <cellStyle name="40% - Accent1 2 11 5" xfId="22209" xr:uid="{00000000-0005-0000-0000-000038310000}"/>
    <cellStyle name="40% - Accent1 2 12" xfId="22237" xr:uid="{00000000-0005-0000-0000-000039310000}"/>
    <cellStyle name="40% - Accent1 2 12 2" xfId="32594" xr:uid="{00000000-0005-0000-0000-00003A310000}"/>
    <cellStyle name="40% - Accent1 2 12 2 2" xfId="51782" xr:uid="{00000000-0005-0000-0000-00003B310000}"/>
    <cellStyle name="40% - Accent1 2 12 3" xfId="42084" xr:uid="{00000000-0005-0000-0000-00003C310000}"/>
    <cellStyle name="40% - Accent1 2 13" xfId="12177" xr:uid="{00000000-0005-0000-0000-00003D310000}"/>
    <cellStyle name="40% - Accent1 2 14" xfId="23251" xr:uid="{00000000-0005-0000-0000-00003E310000}"/>
    <cellStyle name="40% - Accent1 2 14 2" xfId="42817" xr:uid="{00000000-0005-0000-0000-00003F310000}"/>
    <cellStyle name="40% - Accent1 2 15" xfId="32997" xr:uid="{00000000-0005-0000-0000-000040310000}"/>
    <cellStyle name="40% - Accent1 2 15 2" xfId="52183" xr:uid="{00000000-0005-0000-0000-000041310000}"/>
    <cellStyle name="40% - Accent1 2 16" xfId="33091" xr:uid="{00000000-0005-0000-0000-000042310000}"/>
    <cellStyle name="40% - Accent1 2 17" xfId="52277" xr:uid="{00000000-0005-0000-0000-000043310000}"/>
    <cellStyle name="40% - Accent1 2 18" xfId="52334" xr:uid="{00000000-0005-0000-0000-000044310000}"/>
    <cellStyle name="40% - Accent1 2 19" xfId="52383" xr:uid="{00000000-0005-0000-0000-000045310000}"/>
    <cellStyle name="40% - Accent1 2 2" xfId="139" xr:uid="{00000000-0005-0000-0000-000046310000}"/>
    <cellStyle name="40% - Accent1 2 2 2" xfId="1832" xr:uid="{00000000-0005-0000-0000-000047310000}"/>
    <cellStyle name="40% - Accent1 2 2 2 2" xfId="8323" xr:uid="{00000000-0005-0000-0000-000048310000}"/>
    <cellStyle name="40% - Accent1 2 2 2 2 2" xfId="11220" xr:uid="{00000000-0005-0000-0000-000049310000}"/>
    <cellStyle name="40% - Accent1 2 2 2 2 2 2" xfId="53974" xr:uid="{00000000-0005-0000-0000-00004A310000}"/>
    <cellStyle name="40% - Accent1 2 2 2 2 3" xfId="53121" xr:uid="{00000000-0005-0000-0000-00004B310000}"/>
    <cellStyle name="40% - Accent1 2 2 2 3" xfId="9780" xr:uid="{00000000-0005-0000-0000-00004C310000}"/>
    <cellStyle name="40% - Accent1 2 2 2 3 2" xfId="53578" xr:uid="{00000000-0005-0000-0000-00004D310000}"/>
    <cellStyle name="40% - Accent1 2 2 2 4" xfId="6843" xr:uid="{00000000-0005-0000-0000-00004E310000}"/>
    <cellStyle name="40% - Accent1 2 2 2 4 2" xfId="52693" xr:uid="{00000000-0005-0000-0000-00004F310000}"/>
    <cellStyle name="40% - Accent1 2 2 2 5" xfId="12711" xr:uid="{00000000-0005-0000-0000-000050310000}"/>
    <cellStyle name="40% - Accent1 2 2 3" xfId="1833" xr:uid="{00000000-0005-0000-0000-000051310000}"/>
    <cellStyle name="40% - Accent1 2 2 3 2" xfId="10562" xr:uid="{00000000-0005-0000-0000-000052310000}"/>
    <cellStyle name="40% - Accent1 2 2 3 2 2" xfId="53778" xr:uid="{00000000-0005-0000-0000-000053310000}"/>
    <cellStyle name="40% - Accent1 2 2 3 3" xfId="7662" xr:uid="{00000000-0005-0000-0000-000054310000}"/>
    <cellStyle name="40% - Accent1 2 2 3 3 2" xfId="52903" xr:uid="{00000000-0005-0000-0000-000055310000}"/>
    <cellStyle name="40% - Accent1 2 2 3 4" xfId="12179" xr:uid="{00000000-0005-0000-0000-000056310000}"/>
    <cellStyle name="40% - Accent1 2 2 4" xfId="1831" xr:uid="{00000000-0005-0000-0000-000057310000}"/>
    <cellStyle name="40% - Accent1 2 2 4 2" xfId="9122" xr:uid="{00000000-0005-0000-0000-000058310000}"/>
    <cellStyle name="40% - Accent1 2 2 4 2 2" xfId="51865" xr:uid="{00000000-0005-0000-0000-000059310000}"/>
    <cellStyle name="40% - Accent1 2 2 4 2 3" xfId="32678" xr:uid="{00000000-0005-0000-0000-00005A310000}"/>
    <cellStyle name="40% - Accent1 2 2 4 3" xfId="42167" xr:uid="{00000000-0005-0000-0000-00005B310000}"/>
    <cellStyle name="40% - Accent1 2 2 4 4" xfId="53382" xr:uid="{00000000-0005-0000-0000-00005C310000}"/>
    <cellStyle name="40% - Accent1 2 2 4 5" xfId="22572" xr:uid="{00000000-0005-0000-0000-00005D310000}"/>
    <cellStyle name="40% - Accent1 2 2 5" xfId="6136" xr:uid="{00000000-0005-0000-0000-00005E310000}"/>
    <cellStyle name="40% - Accent1 2 2 5 2" xfId="23285" xr:uid="{00000000-0005-0000-0000-00005F310000}"/>
    <cellStyle name="40% - Accent1 2 2 6" xfId="22951" xr:uid="{00000000-0005-0000-0000-000060310000}"/>
    <cellStyle name="40% - Accent1 2 2 6 2" xfId="42520" xr:uid="{00000000-0005-0000-0000-000061310000}"/>
    <cellStyle name="40% - Accent1 2 2 7" xfId="12140" xr:uid="{00000000-0005-0000-0000-000062310000}"/>
    <cellStyle name="40% - Accent1 2 2 8" xfId="52489" xr:uid="{00000000-0005-0000-0000-000063310000}"/>
    <cellStyle name="40% - Accent1 2 2 9" xfId="12010" xr:uid="{00000000-0005-0000-0000-000064310000}"/>
    <cellStyle name="40% - Accent1 2 20" xfId="12101" xr:uid="{00000000-0005-0000-0000-000065310000}"/>
    <cellStyle name="40% - Accent1 2 21" xfId="52425" xr:uid="{00000000-0005-0000-0000-000066310000}"/>
    <cellStyle name="40% - Accent1 2 22" xfId="52447" xr:uid="{00000000-0005-0000-0000-000067310000}"/>
    <cellStyle name="40% - Accent1 2 23" xfId="11958" xr:uid="{00000000-0005-0000-0000-000068310000}"/>
    <cellStyle name="40% - Accent1 2 3" xfId="140" xr:uid="{00000000-0005-0000-0000-000069310000}"/>
    <cellStyle name="40% - Accent1 2 3 10" xfId="52530" xr:uid="{00000000-0005-0000-0000-00006A310000}"/>
    <cellStyle name="40% - Accent1 2 3 11" xfId="12011" xr:uid="{00000000-0005-0000-0000-00006B310000}"/>
    <cellStyle name="40% - Accent1 2 3 2" xfId="1835" xr:uid="{00000000-0005-0000-0000-00006C310000}"/>
    <cellStyle name="40% - Accent1 2 3 2 10" xfId="17956" xr:uid="{00000000-0005-0000-0000-00006D310000}"/>
    <cellStyle name="40% - Accent1 2 3 2 10 2" xfId="28324" xr:uid="{00000000-0005-0000-0000-00006E310000}"/>
    <cellStyle name="40% - Accent1 2 3 2 10 2 2" xfId="47513" xr:uid="{00000000-0005-0000-0000-00006F310000}"/>
    <cellStyle name="40% - Accent1 2 3 2 10 3" xfId="37815" xr:uid="{00000000-0005-0000-0000-000070310000}"/>
    <cellStyle name="40% - Accent1 2 3 2 11" xfId="23819" xr:uid="{00000000-0005-0000-0000-000071310000}"/>
    <cellStyle name="40% - Accent1 2 3 2 11 2" xfId="43058" xr:uid="{00000000-0005-0000-0000-000072310000}"/>
    <cellStyle name="40% - Accent1 2 3 2 12" xfId="33360" xr:uid="{00000000-0005-0000-0000-000073310000}"/>
    <cellStyle name="40% - Accent1 2 3 2 13" xfId="52731" xr:uid="{00000000-0005-0000-0000-000074310000}"/>
    <cellStyle name="40% - Accent1 2 3 2 14" xfId="13068" xr:uid="{00000000-0005-0000-0000-000075310000}"/>
    <cellStyle name="40% - Accent1 2 3 2 2" xfId="13069" xr:uid="{00000000-0005-0000-0000-000076310000}"/>
    <cellStyle name="40% - Accent1 2 3 2 2 10" xfId="23820" xr:uid="{00000000-0005-0000-0000-000077310000}"/>
    <cellStyle name="40% - Accent1 2 3 2 2 10 2" xfId="43059" xr:uid="{00000000-0005-0000-0000-000078310000}"/>
    <cellStyle name="40% - Accent1 2 3 2 2 11" xfId="33361" xr:uid="{00000000-0005-0000-0000-000079310000}"/>
    <cellStyle name="40% - Accent1 2 3 2 2 12" xfId="53159" xr:uid="{00000000-0005-0000-0000-00007A310000}"/>
    <cellStyle name="40% - Accent1 2 3 2 2 2" xfId="13070" xr:uid="{00000000-0005-0000-0000-00007B310000}"/>
    <cellStyle name="40% - Accent1 2 3 2 2 2 10" xfId="54012" xr:uid="{00000000-0005-0000-0000-00007C310000}"/>
    <cellStyle name="40% - Accent1 2 3 2 2 2 2" xfId="14014" xr:uid="{00000000-0005-0000-0000-00007D310000}"/>
    <cellStyle name="40% - Accent1 2 3 2 2 2 2 2" xfId="16278" xr:uid="{00000000-0005-0000-0000-00007E310000}"/>
    <cellStyle name="40% - Accent1 2 3 2 2 2 2 2 2" xfId="20742" xr:uid="{00000000-0005-0000-0000-00007F310000}"/>
    <cellStyle name="40% - Accent1 2 3 2 2 2 2 2 2 2" xfId="31110" xr:uid="{00000000-0005-0000-0000-000080310000}"/>
    <cellStyle name="40% - Accent1 2 3 2 2 2 2 2 2 2 2" xfId="50299" xr:uid="{00000000-0005-0000-0000-000081310000}"/>
    <cellStyle name="40% - Accent1 2 3 2 2 2 2 2 2 3" xfId="40601" xr:uid="{00000000-0005-0000-0000-000082310000}"/>
    <cellStyle name="40% - Accent1 2 3 2 2 2 2 2 3" xfId="26655" xr:uid="{00000000-0005-0000-0000-000083310000}"/>
    <cellStyle name="40% - Accent1 2 3 2 2 2 2 2 3 2" xfId="45844" xr:uid="{00000000-0005-0000-0000-000084310000}"/>
    <cellStyle name="40% - Accent1 2 3 2 2 2 2 2 4" xfId="36146" xr:uid="{00000000-0005-0000-0000-000085310000}"/>
    <cellStyle name="40% - Accent1 2 3 2 2 2 2 3" xfId="18514" xr:uid="{00000000-0005-0000-0000-000086310000}"/>
    <cellStyle name="40% - Accent1 2 3 2 2 2 2 3 2" xfId="28882" xr:uid="{00000000-0005-0000-0000-000087310000}"/>
    <cellStyle name="40% - Accent1 2 3 2 2 2 2 3 2 2" xfId="48071" xr:uid="{00000000-0005-0000-0000-000088310000}"/>
    <cellStyle name="40% - Accent1 2 3 2 2 2 2 3 3" xfId="38373" xr:uid="{00000000-0005-0000-0000-000089310000}"/>
    <cellStyle name="40% - Accent1 2 3 2 2 2 2 4" xfId="24422" xr:uid="{00000000-0005-0000-0000-00008A310000}"/>
    <cellStyle name="40% - Accent1 2 3 2 2 2 2 4 2" xfId="43616" xr:uid="{00000000-0005-0000-0000-00008B310000}"/>
    <cellStyle name="40% - Accent1 2 3 2 2 2 2 5" xfId="33918" xr:uid="{00000000-0005-0000-0000-00008C310000}"/>
    <cellStyle name="40% - Accent1 2 3 2 2 2 3" xfId="14593" xr:uid="{00000000-0005-0000-0000-00008D310000}"/>
    <cellStyle name="40% - Accent1 2 3 2 2 2 3 2" xfId="15722" xr:uid="{00000000-0005-0000-0000-00008E310000}"/>
    <cellStyle name="40% - Accent1 2 3 2 2 2 3 2 2" xfId="20186" xr:uid="{00000000-0005-0000-0000-00008F310000}"/>
    <cellStyle name="40% - Accent1 2 3 2 2 2 3 2 2 2" xfId="30554" xr:uid="{00000000-0005-0000-0000-000090310000}"/>
    <cellStyle name="40% - Accent1 2 3 2 2 2 3 2 2 2 2" xfId="49743" xr:uid="{00000000-0005-0000-0000-000091310000}"/>
    <cellStyle name="40% - Accent1 2 3 2 2 2 3 2 2 3" xfId="40045" xr:uid="{00000000-0005-0000-0000-000092310000}"/>
    <cellStyle name="40% - Accent1 2 3 2 2 2 3 2 3" xfId="26099" xr:uid="{00000000-0005-0000-0000-000093310000}"/>
    <cellStyle name="40% - Accent1 2 3 2 2 2 3 2 3 2" xfId="45288" xr:uid="{00000000-0005-0000-0000-000094310000}"/>
    <cellStyle name="40% - Accent1 2 3 2 2 2 3 2 4" xfId="35590" xr:uid="{00000000-0005-0000-0000-000095310000}"/>
    <cellStyle name="40% - Accent1 2 3 2 2 2 3 3" xfId="19071" xr:uid="{00000000-0005-0000-0000-000096310000}"/>
    <cellStyle name="40% - Accent1 2 3 2 2 2 3 3 2" xfId="29439" xr:uid="{00000000-0005-0000-0000-000097310000}"/>
    <cellStyle name="40% - Accent1 2 3 2 2 2 3 3 2 2" xfId="48628" xr:uid="{00000000-0005-0000-0000-000098310000}"/>
    <cellStyle name="40% - Accent1 2 3 2 2 2 3 3 3" xfId="38930" xr:uid="{00000000-0005-0000-0000-000099310000}"/>
    <cellStyle name="40% - Accent1 2 3 2 2 2 3 4" xfId="24984" xr:uid="{00000000-0005-0000-0000-00009A310000}"/>
    <cellStyle name="40% - Accent1 2 3 2 2 2 3 4 2" xfId="44173" xr:uid="{00000000-0005-0000-0000-00009B310000}"/>
    <cellStyle name="40% - Accent1 2 3 2 2 2 3 5" xfId="34475" xr:uid="{00000000-0005-0000-0000-00009C310000}"/>
    <cellStyle name="40% - Accent1 2 3 2 2 2 4" xfId="15165" xr:uid="{00000000-0005-0000-0000-00009D310000}"/>
    <cellStyle name="40% - Accent1 2 3 2 2 2 4 2" xfId="19629" xr:uid="{00000000-0005-0000-0000-00009E310000}"/>
    <cellStyle name="40% - Accent1 2 3 2 2 2 4 2 2" xfId="29997" xr:uid="{00000000-0005-0000-0000-00009F310000}"/>
    <cellStyle name="40% - Accent1 2 3 2 2 2 4 2 2 2" xfId="49186" xr:uid="{00000000-0005-0000-0000-0000A0310000}"/>
    <cellStyle name="40% - Accent1 2 3 2 2 2 4 2 3" xfId="39488" xr:uid="{00000000-0005-0000-0000-0000A1310000}"/>
    <cellStyle name="40% - Accent1 2 3 2 2 2 4 3" xfId="25542" xr:uid="{00000000-0005-0000-0000-0000A2310000}"/>
    <cellStyle name="40% - Accent1 2 3 2 2 2 4 3 2" xfId="44731" xr:uid="{00000000-0005-0000-0000-0000A3310000}"/>
    <cellStyle name="40% - Accent1 2 3 2 2 2 4 4" xfId="35033" xr:uid="{00000000-0005-0000-0000-0000A4310000}"/>
    <cellStyle name="40% - Accent1 2 3 2 2 2 5" xfId="16835" xr:uid="{00000000-0005-0000-0000-0000A5310000}"/>
    <cellStyle name="40% - Accent1 2 3 2 2 2 5 2" xfId="21299" xr:uid="{00000000-0005-0000-0000-0000A6310000}"/>
    <cellStyle name="40% - Accent1 2 3 2 2 2 5 2 2" xfId="31667" xr:uid="{00000000-0005-0000-0000-0000A7310000}"/>
    <cellStyle name="40% - Accent1 2 3 2 2 2 5 2 2 2" xfId="50856" xr:uid="{00000000-0005-0000-0000-0000A8310000}"/>
    <cellStyle name="40% - Accent1 2 3 2 2 2 5 2 3" xfId="41158" xr:uid="{00000000-0005-0000-0000-0000A9310000}"/>
    <cellStyle name="40% - Accent1 2 3 2 2 2 5 3" xfId="27212" xr:uid="{00000000-0005-0000-0000-0000AA310000}"/>
    <cellStyle name="40% - Accent1 2 3 2 2 2 5 3 2" xfId="46401" xr:uid="{00000000-0005-0000-0000-0000AB310000}"/>
    <cellStyle name="40% - Accent1 2 3 2 2 2 5 4" xfId="36703" xr:uid="{00000000-0005-0000-0000-0000AC310000}"/>
    <cellStyle name="40% - Accent1 2 3 2 2 2 6" xfId="17401" xr:uid="{00000000-0005-0000-0000-0000AD310000}"/>
    <cellStyle name="40% - Accent1 2 3 2 2 2 6 2" xfId="21856" xr:uid="{00000000-0005-0000-0000-0000AE310000}"/>
    <cellStyle name="40% - Accent1 2 3 2 2 2 6 2 2" xfId="32224" xr:uid="{00000000-0005-0000-0000-0000AF310000}"/>
    <cellStyle name="40% - Accent1 2 3 2 2 2 6 2 2 2" xfId="51413" xr:uid="{00000000-0005-0000-0000-0000B0310000}"/>
    <cellStyle name="40% - Accent1 2 3 2 2 2 6 2 3" xfId="41715" xr:uid="{00000000-0005-0000-0000-0000B1310000}"/>
    <cellStyle name="40% - Accent1 2 3 2 2 2 6 3" xfId="27769" xr:uid="{00000000-0005-0000-0000-0000B2310000}"/>
    <cellStyle name="40% - Accent1 2 3 2 2 2 6 3 2" xfId="46958" xr:uid="{00000000-0005-0000-0000-0000B3310000}"/>
    <cellStyle name="40% - Accent1 2 3 2 2 2 6 4" xfId="37260" xr:uid="{00000000-0005-0000-0000-0000B4310000}"/>
    <cellStyle name="40% - Accent1 2 3 2 2 2 7" xfId="17958" xr:uid="{00000000-0005-0000-0000-0000B5310000}"/>
    <cellStyle name="40% - Accent1 2 3 2 2 2 7 2" xfId="28326" xr:uid="{00000000-0005-0000-0000-0000B6310000}"/>
    <cellStyle name="40% - Accent1 2 3 2 2 2 7 2 2" xfId="47515" xr:uid="{00000000-0005-0000-0000-0000B7310000}"/>
    <cellStyle name="40% - Accent1 2 3 2 2 2 7 3" xfId="37817" xr:uid="{00000000-0005-0000-0000-0000B8310000}"/>
    <cellStyle name="40% - Accent1 2 3 2 2 2 8" xfId="23821" xr:uid="{00000000-0005-0000-0000-0000B9310000}"/>
    <cellStyle name="40% - Accent1 2 3 2 2 2 8 2" xfId="43060" xr:uid="{00000000-0005-0000-0000-0000BA310000}"/>
    <cellStyle name="40% - Accent1 2 3 2 2 2 9" xfId="33362" xr:uid="{00000000-0005-0000-0000-0000BB310000}"/>
    <cellStyle name="40% - Accent1 2 3 2 2 3" xfId="13071" xr:uid="{00000000-0005-0000-0000-0000BC310000}"/>
    <cellStyle name="40% - Accent1 2 3 2 2 3 2" xfId="14015" xr:uid="{00000000-0005-0000-0000-0000BD310000}"/>
    <cellStyle name="40% - Accent1 2 3 2 2 3 2 2" xfId="16279" xr:uid="{00000000-0005-0000-0000-0000BE310000}"/>
    <cellStyle name="40% - Accent1 2 3 2 2 3 2 2 2" xfId="20743" xr:uid="{00000000-0005-0000-0000-0000BF310000}"/>
    <cellStyle name="40% - Accent1 2 3 2 2 3 2 2 2 2" xfId="31111" xr:uid="{00000000-0005-0000-0000-0000C0310000}"/>
    <cellStyle name="40% - Accent1 2 3 2 2 3 2 2 2 2 2" xfId="50300" xr:uid="{00000000-0005-0000-0000-0000C1310000}"/>
    <cellStyle name="40% - Accent1 2 3 2 2 3 2 2 2 3" xfId="40602" xr:uid="{00000000-0005-0000-0000-0000C2310000}"/>
    <cellStyle name="40% - Accent1 2 3 2 2 3 2 2 3" xfId="26656" xr:uid="{00000000-0005-0000-0000-0000C3310000}"/>
    <cellStyle name="40% - Accent1 2 3 2 2 3 2 2 3 2" xfId="45845" xr:uid="{00000000-0005-0000-0000-0000C4310000}"/>
    <cellStyle name="40% - Accent1 2 3 2 2 3 2 2 4" xfId="36147" xr:uid="{00000000-0005-0000-0000-0000C5310000}"/>
    <cellStyle name="40% - Accent1 2 3 2 2 3 2 3" xfId="18515" xr:uid="{00000000-0005-0000-0000-0000C6310000}"/>
    <cellStyle name="40% - Accent1 2 3 2 2 3 2 3 2" xfId="28883" xr:uid="{00000000-0005-0000-0000-0000C7310000}"/>
    <cellStyle name="40% - Accent1 2 3 2 2 3 2 3 2 2" xfId="48072" xr:uid="{00000000-0005-0000-0000-0000C8310000}"/>
    <cellStyle name="40% - Accent1 2 3 2 2 3 2 3 3" xfId="38374" xr:uid="{00000000-0005-0000-0000-0000C9310000}"/>
    <cellStyle name="40% - Accent1 2 3 2 2 3 2 4" xfId="24423" xr:uid="{00000000-0005-0000-0000-0000CA310000}"/>
    <cellStyle name="40% - Accent1 2 3 2 2 3 2 4 2" xfId="43617" xr:uid="{00000000-0005-0000-0000-0000CB310000}"/>
    <cellStyle name="40% - Accent1 2 3 2 2 3 2 5" xfId="33919" xr:uid="{00000000-0005-0000-0000-0000CC310000}"/>
    <cellStyle name="40% - Accent1 2 3 2 2 3 3" xfId="14594" xr:uid="{00000000-0005-0000-0000-0000CD310000}"/>
    <cellStyle name="40% - Accent1 2 3 2 2 3 3 2" xfId="15723" xr:uid="{00000000-0005-0000-0000-0000CE310000}"/>
    <cellStyle name="40% - Accent1 2 3 2 2 3 3 2 2" xfId="20187" xr:uid="{00000000-0005-0000-0000-0000CF310000}"/>
    <cellStyle name="40% - Accent1 2 3 2 2 3 3 2 2 2" xfId="30555" xr:uid="{00000000-0005-0000-0000-0000D0310000}"/>
    <cellStyle name="40% - Accent1 2 3 2 2 3 3 2 2 2 2" xfId="49744" xr:uid="{00000000-0005-0000-0000-0000D1310000}"/>
    <cellStyle name="40% - Accent1 2 3 2 2 3 3 2 2 3" xfId="40046" xr:uid="{00000000-0005-0000-0000-0000D2310000}"/>
    <cellStyle name="40% - Accent1 2 3 2 2 3 3 2 3" xfId="26100" xr:uid="{00000000-0005-0000-0000-0000D3310000}"/>
    <cellStyle name="40% - Accent1 2 3 2 2 3 3 2 3 2" xfId="45289" xr:uid="{00000000-0005-0000-0000-0000D4310000}"/>
    <cellStyle name="40% - Accent1 2 3 2 2 3 3 2 4" xfId="35591" xr:uid="{00000000-0005-0000-0000-0000D5310000}"/>
    <cellStyle name="40% - Accent1 2 3 2 2 3 3 3" xfId="19072" xr:uid="{00000000-0005-0000-0000-0000D6310000}"/>
    <cellStyle name="40% - Accent1 2 3 2 2 3 3 3 2" xfId="29440" xr:uid="{00000000-0005-0000-0000-0000D7310000}"/>
    <cellStyle name="40% - Accent1 2 3 2 2 3 3 3 2 2" xfId="48629" xr:uid="{00000000-0005-0000-0000-0000D8310000}"/>
    <cellStyle name="40% - Accent1 2 3 2 2 3 3 3 3" xfId="38931" xr:uid="{00000000-0005-0000-0000-0000D9310000}"/>
    <cellStyle name="40% - Accent1 2 3 2 2 3 3 4" xfId="24985" xr:uid="{00000000-0005-0000-0000-0000DA310000}"/>
    <cellStyle name="40% - Accent1 2 3 2 2 3 3 4 2" xfId="44174" xr:uid="{00000000-0005-0000-0000-0000DB310000}"/>
    <cellStyle name="40% - Accent1 2 3 2 2 3 3 5" xfId="34476" xr:uid="{00000000-0005-0000-0000-0000DC310000}"/>
    <cellStyle name="40% - Accent1 2 3 2 2 3 4" xfId="15166" xr:uid="{00000000-0005-0000-0000-0000DD310000}"/>
    <cellStyle name="40% - Accent1 2 3 2 2 3 4 2" xfId="19630" xr:uid="{00000000-0005-0000-0000-0000DE310000}"/>
    <cellStyle name="40% - Accent1 2 3 2 2 3 4 2 2" xfId="29998" xr:uid="{00000000-0005-0000-0000-0000DF310000}"/>
    <cellStyle name="40% - Accent1 2 3 2 2 3 4 2 2 2" xfId="49187" xr:uid="{00000000-0005-0000-0000-0000E0310000}"/>
    <cellStyle name="40% - Accent1 2 3 2 2 3 4 2 3" xfId="39489" xr:uid="{00000000-0005-0000-0000-0000E1310000}"/>
    <cellStyle name="40% - Accent1 2 3 2 2 3 4 3" xfId="25543" xr:uid="{00000000-0005-0000-0000-0000E2310000}"/>
    <cellStyle name="40% - Accent1 2 3 2 2 3 4 3 2" xfId="44732" xr:uid="{00000000-0005-0000-0000-0000E3310000}"/>
    <cellStyle name="40% - Accent1 2 3 2 2 3 4 4" xfId="35034" xr:uid="{00000000-0005-0000-0000-0000E4310000}"/>
    <cellStyle name="40% - Accent1 2 3 2 2 3 5" xfId="16836" xr:uid="{00000000-0005-0000-0000-0000E5310000}"/>
    <cellStyle name="40% - Accent1 2 3 2 2 3 5 2" xfId="21300" xr:uid="{00000000-0005-0000-0000-0000E6310000}"/>
    <cellStyle name="40% - Accent1 2 3 2 2 3 5 2 2" xfId="31668" xr:uid="{00000000-0005-0000-0000-0000E7310000}"/>
    <cellStyle name="40% - Accent1 2 3 2 2 3 5 2 2 2" xfId="50857" xr:uid="{00000000-0005-0000-0000-0000E8310000}"/>
    <cellStyle name="40% - Accent1 2 3 2 2 3 5 2 3" xfId="41159" xr:uid="{00000000-0005-0000-0000-0000E9310000}"/>
    <cellStyle name="40% - Accent1 2 3 2 2 3 5 3" xfId="27213" xr:uid="{00000000-0005-0000-0000-0000EA310000}"/>
    <cellStyle name="40% - Accent1 2 3 2 2 3 5 3 2" xfId="46402" xr:uid="{00000000-0005-0000-0000-0000EB310000}"/>
    <cellStyle name="40% - Accent1 2 3 2 2 3 5 4" xfId="36704" xr:uid="{00000000-0005-0000-0000-0000EC310000}"/>
    <cellStyle name="40% - Accent1 2 3 2 2 3 6" xfId="17402" xr:uid="{00000000-0005-0000-0000-0000ED310000}"/>
    <cellStyle name="40% - Accent1 2 3 2 2 3 6 2" xfId="21857" xr:uid="{00000000-0005-0000-0000-0000EE310000}"/>
    <cellStyle name="40% - Accent1 2 3 2 2 3 6 2 2" xfId="32225" xr:uid="{00000000-0005-0000-0000-0000EF310000}"/>
    <cellStyle name="40% - Accent1 2 3 2 2 3 6 2 2 2" xfId="51414" xr:uid="{00000000-0005-0000-0000-0000F0310000}"/>
    <cellStyle name="40% - Accent1 2 3 2 2 3 6 2 3" xfId="41716" xr:uid="{00000000-0005-0000-0000-0000F1310000}"/>
    <cellStyle name="40% - Accent1 2 3 2 2 3 6 3" xfId="27770" xr:uid="{00000000-0005-0000-0000-0000F2310000}"/>
    <cellStyle name="40% - Accent1 2 3 2 2 3 6 3 2" xfId="46959" xr:uid="{00000000-0005-0000-0000-0000F3310000}"/>
    <cellStyle name="40% - Accent1 2 3 2 2 3 6 4" xfId="37261" xr:uid="{00000000-0005-0000-0000-0000F4310000}"/>
    <cellStyle name="40% - Accent1 2 3 2 2 3 7" xfId="17959" xr:uid="{00000000-0005-0000-0000-0000F5310000}"/>
    <cellStyle name="40% - Accent1 2 3 2 2 3 7 2" xfId="28327" xr:uid="{00000000-0005-0000-0000-0000F6310000}"/>
    <cellStyle name="40% - Accent1 2 3 2 2 3 7 2 2" xfId="47516" xr:uid="{00000000-0005-0000-0000-0000F7310000}"/>
    <cellStyle name="40% - Accent1 2 3 2 2 3 7 3" xfId="37818" xr:uid="{00000000-0005-0000-0000-0000F8310000}"/>
    <cellStyle name="40% - Accent1 2 3 2 2 3 8" xfId="23822" xr:uid="{00000000-0005-0000-0000-0000F9310000}"/>
    <cellStyle name="40% - Accent1 2 3 2 2 3 8 2" xfId="43061" xr:uid="{00000000-0005-0000-0000-0000FA310000}"/>
    <cellStyle name="40% - Accent1 2 3 2 2 3 9" xfId="33363" xr:uid="{00000000-0005-0000-0000-0000FB310000}"/>
    <cellStyle name="40% - Accent1 2 3 2 2 4" xfId="14013" xr:uid="{00000000-0005-0000-0000-0000FC310000}"/>
    <cellStyle name="40% - Accent1 2 3 2 2 4 2" xfId="16277" xr:uid="{00000000-0005-0000-0000-0000FD310000}"/>
    <cellStyle name="40% - Accent1 2 3 2 2 4 2 2" xfId="20741" xr:uid="{00000000-0005-0000-0000-0000FE310000}"/>
    <cellStyle name="40% - Accent1 2 3 2 2 4 2 2 2" xfId="31109" xr:uid="{00000000-0005-0000-0000-0000FF310000}"/>
    <cellStyle name="40% - Accent1 2 3 2 2 4 2 2 2 2" xfId="50298" xr:uid="{00000000-0005-0000-0000-000000320000}"/>
    <cellStyle name="40% - Accent1 2 3 2 2 4 2 2 3" xfId="40600" xr:uid="{00000000-0005-0000-0000-000001320000}"/>
    <cellStyle name="40% - Accent1 2 3 2 2 4 2 3" xfId="26654" xr:uid="{00000000-0005-0000-0000-000002320000}"/>
    <cellStyle name="40% - Accent1 2 3 2 2 4 2 3 2" xfId="45843" xr:uid="{00000000-0005-0000-0000-000003320000}"/>
    <cellStyle name="40% - Accent1 2 3 2 2 4 2 4" xfId="36145" xr:uid="{00000000-0005-0000-0000-000004320000}"/>
    <cellStyle name="40% - Accent1 2 3 2 2 4 3" xfId="18513" xr:uid="{00000000-0005-0000-0000-000005320000}"/>
    <cellStyle name="40% - Accent1 2 3 2 2 4 3 2" xfId="28881" xr:uid="{00000000-0005-0000-0000-000006320000}"/>
    <cellStyle name="40% - Accent1 2 3 2 2 4 3 2 2" xfId="48070" xr:uid="{00000000-0005-0000-0000-000007320000}"/>
    <cellStyle name="40% - Accent1 2 3 2 2 4 3 3" xfId="38372" xr:uid="{00000000-0005-0000-0000-000008320000}"/>
    <cellStyle name="40% - Accent1 2 3 2 2 4 4" xfId="24421" xr:uid="{00000000-0005-0000-0000-000009320000}"/>
    <cellStyle name="40% - Accent1 2 3 2 2 4 4 2" xfId="43615" xr:uid="{00000000-0005-0000-0000-00000A320000}"/>
    <cellStyle name="40% - Accent1 2 3 2 2 4 5" xfId="33917" xr:uid="{00000000-0005-0000-0000-00000B320000}"/>
    <cellStyle name="40% - Accent1 2 3 2 2 5" xfId="14592" xr:uid="{00000000-0005-0000-0000-00000C320000}"/>
    <cellStyle name="40% - Accent1 2 3 2 2 5 2" xfId="15721" xr:uid="{00000000-0005-0000-0000-00000D320000}"/>
    <cellStyle name="40% - Accent1 2 3 2 2 5 2 2" xfId="20185" xr:uid="{00000000-0005-0000-0000-00000E320000}"/>
    <cellStyle name="40% - Accent1 2 3 2 2 5 2 2 2" xfId="30553" xr:uid="{00000000-0005-0000-0000-00000F320000}"/>
    <cellStyle name="40% - Accent1 2 3 2 2 5 2 2 2 2" xfId="49742" xr:uid="{00000000-0005-0000-0000-000010320000}"/>
    <cellStyle name="40% - Accent1 2 3 2 2 5 2 2 3" xfId="40044" xr:uid="{00000000-0005-0000-0000-000011320000}"/>
    <cellStyle name="40% - Accent1 2 3 2 2 5 2 3" xfId="26098" xr:uid="{00000000-0005-0000-0000-000012320000}"/>
    <cellStyle name="40% - Accent1 2 3 2 2 5 2 3 2" xfId="45287" xr:uid="{00000000-0005-0000-0000-000013320000}"/>
    <cellStyle name="40% - Accent1 2 3 2 2 5 2 4" xfId="35589" xr:uid="{00000000-0005-0000-0000-000014320000}"/>
    <cellStyle name="40% - Accent1 2 3 2 2 5 3" xfId="19070" xr:uid="{00000000-0005-0000-0000-000015320000}"/>
    <cellStyle name="40% - Accent1 2 3 2 2 5 3 2" xfId="29438" xr:uid="{00000000-0005-0000-0000-000016320000}"/>
    <cellStyle name="40% - Accent1 2 3 2 2 5 3 2 2" xfId="48627" xr:uid="{00000000-0005-0000-0000-000017320000}"/>
    <cellStyle name="40% - Accent1 2 3 2 2 5 3 3" xfId="38929" xr:uid="{00000000-0005-0000-0000-000018320000}"/>
    <cellStyle name="40% - Accent1 2 3 2 2 5 4" xfId="24983" xr:uid="{00000000-0005-0000-0000-000019320000}"/>
    <cellStyle name="40% - Accent1 2 3 2 2 5 4 2" xfId="44172" xr:uid="{00000000-0005-0000-0000-00001A320000}"/>
    <cellStyle name="40% - Accent1 2 3 2 2 5 5" xfId="34474" xr:uid="{00000000-0005-0000-0000-00001B320000}"/>
    <cellStyle name="40% - Accent1 2 3 2 2 6" xfId="15164" xr:uid="{00000000-0005-0000-0000-00001C320000}"/>
    <cellStyle name="40% - Accent1 2 3 2 2 6 2" xfId="19628" xr:uid="{00000000-0005-0000-0000-00001D320000}"/>
    <cellStyle name="40% - Accent1 2 3 2 2 6 2 2" xfId="29996" xr:uid="{00000000-0005-0000-0000-00001E320000}"/>
    <cellStyle name="40% - Accent1 2 3 2 2 6 2 2 2" xfId="49185" xr:uid="{00000000-0005-0000-0000-00001F320000}"/>
    <cellStyle name="40% - Accent1 2 3 2 2 6 2 3" xfId="39487" xr:uid="{00000000-0005-0000-0000-000020320000}"/>
    <cellStyle name="40% - Accent1 2 3 2 2 6 3" xfId="25541" xr:uid="{00000000-0005-0000-0000-000021320000}"/>
    <cellStyle name="40% - Accent1 2 3 2 2 6 3 2" xfId="44730" xr:uid="{00000000-0005-0000-0000-000022320000}"/>
    <cellStyle name="40% - Accent1 2 3 2 2 6 4" xfId="35032" xr:uid="{00000000-0005-0000-0000-000023320000}"/>
    <cellStyle name="40% - Accent1 2 3 2 2 7" xfId="16834" xr:uid="{00000000-0005-0000-0000-000024320000}"/>
    <cellStyle name="40% - Accent1 2 3 2 2 7 2" xfId="21298" xr:uid="{00000000-0005-0000-0000-000025320000}"/>
    <cellStyle name="40% - Accent1 2 3 2 2 7 2 2" xfId="31666" xr:uid="{00000000-0005-0000-0000-000026320000}"/>
    <cellStyle name="40% - Accent1 2 3 2 2 7 2 2 2" xfId="50855" xr:uid="{00000000-0005-0000-0000-000027320000}"/>
    <cellStyle name="40% - Accent1 2 3 2 2 7 2 3" xfId="41157" xr:uid="{00000000-0005-0000-0000-000028320000}"/>
    <cellStyle name="40% - Accent1 2 3 2 2 7 3" xfId="27211" xr:uid="{00000000-0005-0000-0000-000029320000}"/>
    <cellStyle name="40% - Accent1 2 3 2 2 7 3 2" xfId="46400" xr:uid="{00000000-0005-0000-0000-00002A320000}"/>
    <cellStyle name="40% - Accent1 2 3 2 2 7 4" xfId="36702" xr:uid="{00000000-0005-0000-0000-00002B320000}"/>
    <cellStyle name="40% - Accent1 2 3 2 2 8" xfId="17400" xr:uid="{00000000-0005-0000-0000-00002C320000}"/>
    <cellStyle name="40% - Accent1 2 3 2 2 8 2" xfId="21855" xr:uid="{00000000-0005-0000-0000-00002D320000}"/>
    <cellStyle name="40% - Accent1 2 3 2 2 8 2 2" xfId="32223" xr:uid="{00000000-0005-0000-0000-00002E320000}"/>
    <cellStyle name="40% - Accent1 2 3 2 2 8 2 2 2" xfId="51412" xr:uid="{00000000-0005-0000-0000-00002F320000}"/>
    <cellStyle name="40% - Accent1 2 3 2 2 8 2 3" xfId="41714" xr:uid="{00000000-0005-0000-0000-000030320000}"/>
    <cellStyle name="40% - Accent1 2 3 2 2 8 3" xfId="27768" xr:uid="{00000000-0005-0000-0000-000031320000}"/>
    <cellStyle name="40% - Accent1 2 3 2 2 8 3 2" xfId="46957" xr:uid="{00000000-0005-0000-0000-000032320000}"/>
    <cellStyle name="40% - Accent1 2 3 2 2 8 4" xfId="37259" xr:uid="{00000000-0005-0000-0000-000033320000}"/>
    <cellStyle name="40% - Accent1 2 3 2 2 9" xfId="17957" xr:uid="{00000000-0005-0000-0000-000034320000}"/>
    <cellStyle name="40% - Accent1 2 3 2 2 9 2" xfId="28325" xr:uid="{00000000-0005-0000-0000-000035320000}"/>
    <cellStyle name="40% - Accent1 2 3 2 2 9 2 2" xfId="47514" xr:uid="{00000000-0005-0000-0000-000036320000}"/>
    <cellStyle name="40% - Accent1 2 3 2 2 9 3" xfId="37816" xr:uid="{00000000-0005-0000-0000-000037320000}"/>
    <cellStyle name="40% - Accent1 2 3 2 3" xfId="13072" xr:uid="{00000000-0005-0000-0000-000038320000}"/>
    <cellStyle name="40% - Accent1 2 3 2 3 10" xfId="53616" xr:uid="{00000000-0005-0000-0000-000039320000}"/>
    <cellStyle name="40% - Accent1 2 3 2 3 2" xfId="14016" xr:uid="{00000000-0005-0000-0000-00003A320000}"/>
    <cellStyle name="40% - Accent1 2 3 2 3 2 2" xfId="16280" xr:uid="{00000000-0005-0000-0000-00003B320000}"/>
    <cellStyle name="40% - Accent1 2 3 2 3 2 2 2" xfId="20744" xr:uid="{00000000-0005-0000-0000-00003C320000}"/>
    <cellStyle name="40% - Accent1 2 3 2 3 2 2 2 2" xfId="31112" xr:uid="{00000000-0005-0000-0000-00003D320000}"/>
    <cellStyle name="40% - Accent1 2 3 2 3 2 2 2 2 2" xfId="50301" xr:uid="{00000000-0005-0000-0000-00003E320000}"/>
    <cellStyle name="40% - Accent1 2 3 2 3 2 2 2 3" xfId="40603" xr:uid="{00000000-0005-0000-0000-00003F320000}"/>
    <cellStyle name="40% - Accent1 2 3 2 3 2 2 3" xfId="26657" xr:uid="{00000000-0005-0000-0000-000040320000}"/>
    <cellStyle name="40% - Accent1 2 3 2 3 2 2 3 2" xfId="45846" xr:uid="{00000000-0005-0000-0000-000041320000}"/>
    <cellStyle name="40% - Accent1 2 3 2 3 2 2 4" xfId="36148" xr:uid="{00000000-0005-0000-0000-000042320000}"/>
    <cellStyle name="40% - Accent1 2 3 2 3 2 3" xfId="18516" xr:uid="{00000000-0005-0000-0000-000043320000}"/>
    <cellStyle name="40% - Accent1 2 3 2 3 2 3 2" xfId="28884" xr:uid="{00000000-0005-0000-0000-000044320000}"/>
    <cellStyle name="40% - Accent1 2 3 2 3 2 3 2 2" xfId="48073" xr:uid="{00000000-0005-0000-0000-000045320000}"/>
    <cellStyle name="40% - Accent1 2 3 2 3 2 3 3" xfId="38375" xr:uid="{00000000-0005-0000-0000-000046320000}"/>
    <cellStyle name="40% - Accent1 2 3 2 3 2 4" xfId="24424" xr:uid="{00000000-0005-0000-0000-000047320000}"/>
    <cellStyle name="40% - Accent1 2 3 2 3 2 4 2" xfId="43618" xr:uid="{00000000-0005-0000-0000-000048320000}"/>
    <cellStyle name="40% - Accent1 2 3 2 3 2 5" xfId="33920" xr:uid="{00000000-0005-0000-0000-000049320000}"/>
    <cellStyle name="40% - Accent1 2 3 2 3 3" xfId="14595" xr:uid="{00000000-0005-0000-0000-00004A320000}"/>
    <cellStyle name="40% - Accent1 2 3 2 3 3 2" xfId="15724" xr:uid="{00000000-0005-0000-0000-00004B320000}"/>
    <cellStyle name="40% - Accent1 2 3 2 3 3 2 2" xfId="20188" xr:uid="{00000000-0005-0000-0000-00004C320000}"/>
    <cellStyle name="40% - Accent1 2 3 2 3 3 2 2 2" xfId="30556" xr:uid="{00000000-0005-0000-0000-00004D320000}"/>
    <cellStyle name="40% - Accent1 2 3 2 3 3 2 2 2 2" xfId="49745" xr:uid="{00000000-0005-0000-0000-00004E320000}"/>
    <cellStyle name="40% - Accent1 2 3 2 3 3 2 2 3" xfId="40047" xr:uid="{00000000-0005-0000-0000-00004F320000}"/>
    <cellStyle name="40% - Accent1 2 3 2 3 3 2 3" xfId="26101" xr:uid="{00000000-0005-0000-0000-000050320000}"/>
    <cellStyle name="40% - Accent1 2 3 2 3 3 2 3 2" xfId="45290" xr:uid="{00000000-0005-0000-0000-000051320000}"/>
    <cellStyle name="40% - Accent1 2 3 2 3 3 2 4" xfId="35592" xr:uid="{00000000-0005-0000-0000-000052320000}"/>
    <cellStyle name="40% - Accent1 2 3 2 3 3 3" xfId="19073" xr:uid="{00000000-0005-0000-0000-000053320000}"/>
    <cellStyle name="40% - Accent1 2 3 2 3 3 3 2" xfId="29441" xr:uid="{00000000-0005-0000-0000-000054320000}"/>
    <cellStyle name="40% - Accent1 2 3 2 3 3 3 2 2" xfId="48630" xr:uid="{00000000-0005-0000-0000-000055320000}"/>
    <cellStyle name="40% - Accent1 2 3 2 3 3 3 3" xfId="38932" xr:uid="{00000000-0005-0000-0000-000056320000}"/>
    <cellStyle name="40% - Accent1 2 3 2 3 3 4" xfId="24986" xr:uid="{00000000-0005-0000-0000-000057320000}"/>
    <cellStyle name="40% - Accent1 2 3 2 3 3 4 2" xfId="44175" xr:uid="{00000000-0005-0000-0000-000058320000}"/>
    <cellStyle name="40% - Accent1 2 3 2 3 3 5" xfId="34477" xr:uid="{00000000-0005-0000-0000-000059320000}"/>
    <cellStyle name="40% - Accent1 2 3 2 3 4" xfId="15167" xr:uid="{00000000-0005-0000-0000-00005A320000}"/>
    <cellStyle name="40% - Accent1 2 3 2 3 4 2" xfId="19631" xr:uid="{00000000-0005-0000-0000-00005B320000}"/>
    <cellStyle name="40% - Accent1 2 3 2 3 4 2 2" xfId="29999" xr:uid="{00000000-0005-0000-0000-00005C320000}"/>
    <cellStyle name="40% - Accent1 2 3 2 3 4 2 2 2" xfId="49188" xr:uid="{00000000-0005-0000-0000-00005D320000}"/>
    <cellStyle name="40% - Accent1 2 3 2 3 4 2 3" xfId="39490" xr:uid="{00000000-0005-0000-0000-00005E320000}"/>
    <cellStyle name="40% - Accent1 2 3 2 3 4 3" xfId="25544" xr:uid="{00000000-0005-0000-0000-00005F320000}"/>
    <cellStyle name="40% - Accent1 2 3 2 3 4 3 2" xfId="44733" xr:uid="{00000000-0005-0000-0000-000060320000}"/>
    <cellStyle name="40% - Accent1 2 3 2 3 4 4" xfId="35035" xr:uid="{00000000-0005-0000-0000-000061320000}"/>
    <cellStyle name="40% - Accent1 2 3 2 3 5" xfId="16837" xr:uid="{00000000-0005-0000-0000-000062320000}"/>
    <cellStyle name="40% - Accent1 2 3 2 3 5 2" xfId="21301" xr:uid="{00000000-0005-0000-0000-000063320000}"/>
    <cellStyle name="40% - Accent1 2 3 2 3 5 2 2" xfId="31669" xr:uid="{00000000-0005-0000-0000-000064320000}"/>
    <cellStyle name="40% - Accent1 2 3 2 3 5 2 2 2" xfId="50858" xr:uid="{00000000-0005-0000-0000-000065320000}"/>
    <cellStyle name="40% - Accent1 2 3 2 3 5 2 3" xfId="41160" xr:uid="{00000000-0005-0000-0000-000066320000}"/>
    <cellStyle name="40% - Accent1 2 3 2 3 5 3" xfId="27214" xr:uid="{00000000-0005-0000-0000-000067320000}"/>
    <cellStyle name="40% - Accent1 2 3 2 3 5 3 2" xfId="46403" xr:uid="{00000000-0005-0000-0000-000068320000}"/>
    <cellStyle name="40% - Accent1 2 3 2 3 5 4" xfId="36705" xr:uid="{00000000-0005-0000-0000-000069320000}"/>
    <cellStyle name="40% - Accent1 2 3 2 3 6" xfId="17403" xr:uid="{00000000-0005-0000-0000-00006A320000}"/>
    <cellStyle name="40% - Accent1 2 3 2 3 6 2" xfId="21858" xr:uid="{00000000-0005-0000-0000-00006B320000}"/>
    <cellStyle name="40% - Accent1 2 3 2 3 6 2 2" xfId="32226" xr:uid="{00000000-0005-0000-0000-00006C320000}"/>
    <cellStyle name="40% - Accent1 2 3 2 3 6 2 2 2" xfId="51415" xr:uid="{00000000-0005-0000-0000-00006D320000}"/>
    <cellStyle name="40% - Accent1 2 3 2 3 6 2 3" xfId="41717" xr:uid="{00000000-0005-0000-0000-00006E320000}"/>
    <cellStyle name="40% - Accent1 2 3 2 3 6 3" xfId="27771" xr:uid="{00000000-0005-0000-0000-00006F320000}"/>
    <cellStyle name="40% - Accent1 2 3 2 3 6 3 2" xfId="46960" xr:uid="{00000000-0005-0000-0000-000070320000}"/>
    <cellStyle name="40% - Accent1 2 3 2 3 6 4" xfId="37262" xr:uid="{00000000-0005-0000-0000-000071320000}"/>
    <cellStyle name="40% - Accent1 2 3 2 3 7" xfId="17960" xr:uid="{00000000-0005-0000-0000-000072320000}"/>
    <cellStyle name="40% - Accent1 2 3 2 3 7 2" xfId="28328" xr:uid="{00000000-0005-0000-0000-000073320000}"/>
    <cellStyle name="40% - Accent1 2 3 2 3 7 2 2" xfId="47517" xr:uid="{00000000-0005-0000-0000-000074320000}"/>
    <cellStyle name="40% - Accent1 2 3 2 3 7 3" xfId="37819" xr:uid="{00000000-0005-0000-0000-000075320000}"/>
    <cellStyle name="40% - Accent1 2 3 2 3 8" xfId="23823" xr:uid="{00000000-0005-0000-0000-000076320000}"/>
    <cellStyle name="40% - Accent1 2 3 2 3 8 2" xfId="43062" xr:uid="{00000000-0005-0000-0000-000077320000}"/>
    <cellStyle name="40% - Accent1 2 3 2 3 9" xfId="33364" xr:uid="{00000000-0005-0000-0000-000078320000}"/>
    <cellStyle name="40% - Accent1 2 3 2 4" xfId="13073" xr:uid="{00000000-0005-0000-0000-000079320000}"/>
    <cellStyle name="40% - Accent1 2 3 2 4 2" xfId="14017" xr:uid="{00000000-0005-0000-0000-00007A320000}"/>
    <cellStyle name="40% - Accent1 2 3 2 4 2 2" xfId="16281" xr:uid="{00000000-0005-0000-0000-00007B320000}"/>
    <cellStyle name="40% - Accent1 2 3 2 4 2 2 2" xfId="20745" xr:uid="{00000000-0005-0000-0000-00007C320000}"/>
    <cellStyle name="40% - Accent1 2 3 2 4 2 2 2 2" xfId="31113" xr:uid="{00000000-0005-0000-0000-00007D320000}"/>
    <cellStyle name="40% - Accent1 2 3 2 4 2 2 2 2 2" xfId="50302" xr:uid="{00000000-0005-0000-0000-00007E320000}"/>
    <cellStyle name="40% - Accent1 2 3 2 4 2 2 2 3" xfId="40604" xr:uid="{00000000-0005-0000-0000-00007F320000}"/>
    <cellStyle name="40% - Accent1 2 3 2 4 2 2 3" xfId="26658" xr:uid="{00000000-0005-0000-0000-000080320000}"/>
    <cellStyle name="40% - Accent1 2 3 2 4 2 2 3 2" xfId="45847" xr:uid="{00000000-0005-0000-0000-000081320000}"/>
    <cellStyle name="40% - Accent1 2 3 2 4 2 2 4" xfId="36149" xr:uid="{00000000-0005-0000-0000-000082320000}"/>
    <cellStyle name="40% - Accent1 2 3 2 4 2 3" xfId="18517" xr:uid="{00000000-0005-0000-0000-000083320000}"/>
    <cellStyle name="40% - Accent1 2 3 2 4 2 3 2" xfId="28885" xr:uid="{00000000-0005-0000-0000-000084320000}"/>
    <cellStyle name="40% - Accent1 2 3 2 4 2 3 2 2" xfId="48074" xr:uid="{00000000-0005-0000-0000-000085320000}"/>
    <cellStyle name="40% - Accent1 2 3 2 4 2 3 3" xfId="38376" xr:uid="{00000000-0005-0000-0000-000086320000}"/>
    <cellStyle name="40% - Accent1 2 3 2 4 2 4" xfId="24425" xr:uid="{00000000-0005-0000-0000-000087320000}"/>
    <cellStyle name="40% - Accent1 2 3 2 4 2 4 2" xfId="43619" xr:uid="{00000000-0005-0000-0000-000088320000}"/>
    <cellStyle name="40% - Accent1 2 3 2 4 2 5" xfId="33921" xr:uid="{00000000-0005-0000-0000-000089320000}"/>
    <cellStyle name="40% - Accent1 2 3 2 4 3" xfId="14596" xr:uid="{00000000-0005-0000-0000-00008A320000}"/>
    <cellStyle name="40% - Accent1 2 3 2 4 3 2" xfId="15725" xr:uid="{00000000-0005-0000-0000-00008B320000}"/>
    <cellStyle name="40% - Accent1 2 3 2 4 3 2 2" xfId="20189" xr:uid="{00000000-0005-0000-0000-00008C320000}"/>
    <cellStyle name="40% - Accent1 2 3 2 4 3 2 2 2" xfId="30557" xr:uid="{00000000-0005-0000-0000-00008D320000}"/>
    <cellStyle name="40% - Accent1 2 3 2 4 3 2 2 2 2" xfId="49746" xr:uid="{00000000-0005-0000-0000-00008E320000}"/>
    <cellStyle name="40% - Accent1 2 3 2 4 3 2 2 3" xfId="40048" xr:uid="{00000000-0005-0000-0000-00008F320000}"/>
    <cellStyle name="40% - Accent1 2 3 2 4 3 2 3" xfId="26102" xr:uid="{00000000-0005-0000-0000-000090320000}"/>
    <cellStyle name="40% - Accent1 2 3 2 4 3 2 3 2" xfId="45291" xr:uid="{00000000-0005-0000-0000-000091320000}"/>
    <cellStyle name="40% - Accent1 2 3 2 4 3 2 4" xfId="35593" xr:uid="{00000000-0005-0000-0000-000092320000}"/>
    <cellStyle name="40% - Accent1 2 3 2 4 3 3" xfId="19074" xr:uid="{00000000-0005-0000-0000-000093320000}"/>
    <cellStyle name="40% - Accent1 2 3 2 4 3 3 2" xfId="29442" xr:uid="{00000000-0005-0000-0000-000094320000}"/>
    <cellStyle name="40% - Accent1 2 3 2 4 3 3 2 2" xfId="48631" xr:uid="{00000000-0005-0000-0000-000095320000}"/>
    <cellStyle name="40% - Accent1 2 3 2 4 3 3 3" xfId="38933" xr:uid="{00000000-0005-0000-0000-000096320000}"/>
    <cellStyle name="40% - Accent1 2 3 2 4 3 4" xfId="24987" xr:uid="{00000000-0005-0000-0000-000097320000}"/>
    <cellStyle name="40% - Accent1 2 3 2 4 3 4 2" xfId="44176" xr:uid="{00000000-0005-0000-0000-000098320000}"/>
    <cellStyle name="40% - Accent1 2 3 2 4 3 5" xfId="34478" xr:uid="{00000000-0005-0000-0000-000099320000}"/>
    <cellStyle name="40% - Accent1 2 3 2 4 4" xfId="15168" xr:uid="{00000000-0005-0000-0000-00009A320000}"/>
    <cellStyle name="40% - Accent1 2 3 2 4 4 2" xfId="19632" xr:uid="{00000000-0005-0000-0000-00009B320000}"/>
    <cellStyle name="40% - Accent1 2 3 2 4 4 2 2" xfId="30000" xr:uid="{00000000-0005-0000-0000-00009C320000}"/>
    <cellStyle name="40% - Accent1 2 3 2 4 4 2 2 2" xfId="49189" xr:uid="{00000000-0005-0000-0000-00009D320000}"/>
    <cellStyle name="40% - Accent1 2 3 2 4 4 2 3" xfId="39491" xr:uid="{00000000-0005-0000-0000-00009E320000}"/>
    <cellStyle name="40% - Accent1 2 3 2 4 4 3" xfId="25545" xr:uid="{00000000-0005-0000-0000-00009F320000}"/>
    <cellStyle name="40% - Accent1 2 3 2 4 4 3 2" xfId="44734" xr:uid="{00000000-0005-0000-0000-0000A0320000}"/>
    <cellStyle name="40% - Accent1 2 3 2 4 4 4" xfId="35036" xr:uid="{00000000-0005-0000-0000-0000A1320000}"/>
    <cellStyle name="40% - Accent1 2 3 2 4 5" xfId="16838" xr:uid="{00000000-0005-0000-0000-0000A2320000}"/>
    <cellStyle name="40% - Accent1 2 3 2 4 5 2" xfId="21302" xr:uid="{00000000-0005-0000-0000-0000A3320000}"/>
    <cellStyle name="40% - Accent1 2 3 2 4 5 2 2" xfId="31670" xr:uid="{00000000-0005-0000-0000-0000A4320000}"/>
    <cellStyle name="40% - Accent1 2 3 2 4 5 2 2 2" xfId="50859" xr:uid="{00000000-0005-0000-0000-0000A5320000}"/>
    <cellStyle name="40% - Accent1 2 3 2 4 5 2 3" xfId="41161" xr:uid="{00000000-0005-0000-0000-0000A6320000}"/>
    <cellStyle name="40% - Accent1 2 3 2 4 5 3" xfId="27215" xr:uid="{00000000-0005-0000-0000-0000A7320000}"/>
    <cellStyle name="40% - Accent1 2 3 2 4 5 3 2" xfId="46404" xr:uid="{00000000-0005-0000-0000-0000A8320000}"/>
    <cellStyle name="40% - Accent1 2 3 2 4 5 4" xfId="36706" xr:uid="{00000000-0005-0000-0000-0000A9320000}"/>
    <cellStyle name="40% - Accent1 2 3 2 4 6" xfId="17404" xr:uid="{00000000-0005-0000-0000-0000AA320000}"/>
    <cellStyle name="40% - Accent1 2 3 2 4 6 2" xfId="21859" xr:uid="{00000000-0005-0000-0000-0000AB320000}"/>
    <cellStyle name="40% - Accent1 2 3 2 4 6 2 2" xfId="32227" xr:uid="{00000000-0005-0000-0000-0000AC320000}"/>
    <cellStyle name="40% - Accent1 2 3 2 4 6 2 2 2" xfId="51416" xr:uid="{00000000-0005-0000-0000-0000AD320000}"/>
    <cellStyle name="40% - Accent1 2 3 2 4 6 2 3" xfId="41718" xr:uid="{00000000-0005-0000-0000-0000AE320000}"/>
    <cellStyle name="40% - Accent1 2 3 2 4 6 3" xfId="27772" xr:uid="{00000000-0005-0000-0000-0000AF320000}"/>
    <cellStyle name="40% - Accent1 2 3 2 4 6 3 2" xfId="46961" xr:uid="{00000000-0005-0000-0000-0000B0320000}"/>
    <cellStyle name="40% - Accent1 2 3 2 4 6 4" xfId="37263" xr:uid="{00000000-0005-0000-0000-0000B1320000}"/>
    <cellStyle name="40% - Accent1 2 3 2 4 7" xfId="17961" xr:uid="{00000000-0005-0000-0000-0000B2320000}"/>
    <cellStyle name="40% - Accent1 2 3 2 4 7 2" xfId="28329" xr:uid="{00000000-0005-0000-0000-0000B3320000}"/>
    <cellStyle name="40% - Accent1 2 3 2 4 7 2 2" xfId="47518" xr:uid="{00000000-0005-0000-0000-0000B4320000}"/>
    <cellStyle name="40% - Accent1 2 3 2 4 7 3" xfId="37820" xr:uid="{00000000-0005-0000-0000-0000B5320000}"/>
    <cellStyle name="40% - Accent1 2 3 2 4 8" xfId="23824" xr:uid="{00000000-0005-0000-0000-0000B6320000}"/>
    <cellStyle name="40% - Accent1 2 3 2 4 8 2" xfId="43063" xr:uid="{00000000-0005-0000-0000-0000B7320000}"/>
    <cellStyle name="40% - Accent1 2 3 2 4 9" xfId="33365" xr:uid="{00000000-0005-0000-0000-0000B8320000}"/>
    <cellStyle name="40% - Accent1 2 3 2 5" xfId="14012" xr:uid="{00000000-0005-0000-0000-0000B9320000}"/>
    <cellStyle name="40% - Accent1 2 3 2 5 2" xfId="16276" xr:uid="{00000000-0005-0000-0000-0000BA320000}"/>
    <cellStyle name="40% - Accent1 2 3 2 5 2 2" xfId="20740" xr:uid="{00000000-0005-0000-0000-0000BB320000}"/>
    <cellStyle name="40% - Accent1 2 3 2 5 2 2 2" xfId="31108" xr:uid="{00000000-0005-0000-0000-0000BC320000}"/>
    <cellStyle name="40% - Accent1 2 3 2 5 2 2 2 2" xfId="50297" xr:uid="{00000000-0005-0000-0000-0000BD320000}"/>
    <cellStyle name="40% - Accent1 2 3 2 5 2 2 3" xfId="40599" xr:uid="{00000000-0005-0000-0000-0000BE320000}"/>
    <cellStyle name="40% - Accent1 2 3 2 5 2 3" xfId="26653" xr:uid="{00000000-0005-0000-0000-0000BF320000}"/>
    <cellStyle name="40% - Accent1 2 3 2 5 2 3 2" xfId="45842" xr:uid="{00000000-0005-0000-0000-0000C0320000}"/>
    <cellStyle name="40% - Accent1 2 3 2 5 2 4" xfId="36144" xr:uid="{00000000-0005-0000-0000-0000C1320000}"/>
    <cellStyle name="40% - Accent1 2 3 2 5 3" xfId="18512" xr:uid="{00000000-0005-0000-0000-0000C2320000}"/>
    <cellStyle name="40% - Accent1 2 3 2 5 3 2" xfId="28880" xr:uid="{00000000-0005-0000-0000-0000C3320000}"/>
    <cellStyle name="40% - Accent1 2 3 2 5 3 2 2" xfId="48069" xr:uid="{00000000-0005-0000-0000-0000C4320000}"/>
    <cellStyle name="40% - Accent1 2 3 2 5 3 3" xfId="38371" xr:uid="{00000000-0005-0000-0000-0000C5320000}"/>
    <cellStyle name="40% - Accent1 2 3 2 5 4" xfId="24420" xr:uid="{00000000-0005-0000-0000-0000C6320000}"/>
    <cellStyle name="40% - Accent1 2 3 2 5 4 2" xfId="43614" xr:uid="{00000000-0005-0000-0000-0000C7320000}"/>
    <cellStyle name="40% - Accent1 2 3 2 5 5" xfId="33916" xr:uid="{00000000-0005-0000-0000-0000C8320000}"/>
    <cellStyle name="40% - Accent1 2 3 2 6" xfId="14591" xr:uid="{00000000-0005-0000-0000-0000C9320000}"/>
    <cellStyle name="40% - Accent1 2 3 2 6 2" xfId="15720" xr:uid="{00000000-0005-0000-0000-0000CA320000}"/>
    <cellStyle name="40% - Accent1 2 3 2 6 2 2" xfId="20184" xr:uid="{00000000-0005-0000-0000-0000CB320000}"/>
    <cellStyle name="40% - Accent1 2 3 2 6 2 2 2" xfId="30552" xr:uid="{00000000-0005-0000-0000-0000CC320000}"/>
    <cellStyle name="40% - Accent1 2 3 2 6 2 2 2 2" xfId="49741" xr:uid="{00000000-0005-0000-0000-0000CD320000}"/>
    <cellStyle name="40% - Accent1 2 3 2 6 2 2 3" xfId="40043" xr:uid="{00000000-0005-0000-0000-0000CE320000}"/>
    <cellStyle name="40% - Accent1 2 3 2 6 2 3" xfId="26097" xr:uid="{00000000-0005-0000-0000-0000CF320000}"/>
    <cellStyle name="40% - Accent1 2 3 2 6 2 3 2" xfId="45286" xr:uid="{00000000-0005-0000-0000-0000D0320000}"/>
    <cellStyle name="40% - Accent1 2 3 2 6 2 4" xfId="35588" xr:uid="{00000000-0005-0000-0000-0000D1320000}"/>
    <cellStyle name="40% - Accent1 2 3 2 6 3" xfId="19069" xr:uid="{00000000-0005-0000-0000-0000D2320000}"/>
    <cellStyle name="40% - Accent1 2 3 2 6 3 2" xfId="29437" xr:uid="{00000000-0005-0000-0000-0000D3320000}"/>
    <cellStyle name="40% - Accent1 2 3 2 6 3 2 2" xfId="48626" xr:uid="{00000000-0005-0000-0000-0000D4320000}"/>
    <cellStyle name="40% - Accent1 2 3 2 6 3 3" xfId="38928" xr:uid="{00000000-0005-0000-0000-0000D5320000}"/>
    <cellStyle name="40% - Accent1 2 3 2 6 4" xfId="24982" xr:uid="{00000000-0005-0000-0000-0000D6320000}"/>
    <cellStyle name="40% - Accent1 2 3 2 6 4 2" xfId="44171" xr:uid="{00000000-0005-0000-0000-0000D7320000}"/>
    <cellStyle name="40% - Accent1 2 3 2 6 5" xfId="34473" xr:uid="{00000000-0005-0000-0000-0000D8320000}"/>
    <cellStyle name="40% - Accent1 2 3 2 7" xfId="15163" xr:uid="{00000000-0005-0000-0000-0000D9320000}"/>
    <cellStyle name="40% - Accent1 2 3 2 7 2" xfId="19627" xr:uid="{00000000-0005-0000-0000-0000DA320000}"/>
    <cellStyle name="40% - Accent1 2 3 2 7 2 2" xfId="29995" xr:uid="{00000000-0005-0000-0000-0000DB320000}"/>
    <cellStyle name="40% - Accent1 2 3 2 7 2 2 2" xfId="49184" xr:uid="{00000000-0005-0000-0000-0000DC320000}"/>
    <cellStyle name="40% - Accent1 2 3 2 7 2 3" xfId="39486" xr:uid="{00000000-0005-0000-0000-0000DD320000}"/>
    <cellStyle name="40% - Accent1 2 3 2 7 3" xfId="25540" xr:uid="{00000000-0005-0000-0000-0000DE320000}"/>
    <cellStyle name="40% - Accent1 2 3 2 7 3 2" xfId="44729" xr:uid="{00000000-0005-0000-0000-0000DF320000}"/>
    <cellStyle name="40% - Accent1 2 3 2 7 4" xfId="35031" xr:uid="{00000000-0005-0000-0000-0000E0320000}"/>
    <cellStyle name="40% - Accent1 2 3 2 8" xfId="16833" xr:uid="{00000000-0005-0000-0000-0000E1320000}"/>
    <cellStyle name="40% - Accent1 2 3 2 8 2" xfId="21297" xr:uid="{00000000-0005-0000-0000-0000E2320000}"/>
    <cellStyle name="40% - Accent1 2 3 2 8 2 2" xfId="31665" xr:uid="{00000000-0005-0000-0000-0000E3320000}"/>
    <cellStyle name="40% - Accent1 2 3 2 8 2 2 2" xfId="50854" xr:uid="{00000000-0005-0000-0000-0000E4320000}"/>
    <cellStyle name="40% - Accent1 2 3 2 8 2 3" xfId="41156" xr:uid="{00000000-0005-0000-0000-0000E5320000}"/>
    <cellStyle name="40% - Accent1 2 3 2 8 3" xfId="27210" xr:uid="{00000000-0005-0000-0000-0000E6320000}"/>
    <cellStyle name="40% - Accent1 2 3 2 8 3 2" xfId="46399" xr:uid="{00000000-0005-0000-0000-0000E7320000}"/>
    <cellStyle name="40% - Accent1 2 3 2 8 4" xfId="36701" xr:uid="{00000000-0005-0000-0000-0000E8320000}"/>
    <cellStyle name="40% - Accent1 2 3 2 9" xfId="17399" xr:uid="{00000000-0005-0000-0000-0000E9320000}"/>
    <cellStyle name="40% - Accent1 2 3 2 9 2" xfId="21854" xr:uid="{00000000-0005-0000-0000-0000EA320000}"/>
    <cellStyle name="40% - Accent1 2 3 2 9 2 2" xfId="32222" xr:uid="{00000000-0005-0000-0000-0000EB320000}"/>
    <cellStyle name="40% - Accent1 2 3 2 9 2 2 2" xfId="51411" xr:uid="{00000000-0005-0000-0000-0000EC320000}"/>
    <cellStyle name="40% - Accent1 2 3 2 9 2 3" xfId="41713" xr:uid="{00000000-0005-0000-0000-0000ED320000}"/>
    <cellStyle name="40% - Accent1 2 3 2 9 3" xfId="27767" xr:uid="{00000000-0005-0000-0000-0000EE320000}"/>
    <cellStyle name="40% - Accent1 2 3 2 9 3 2" xfId="46956" xr:uid="{00000000-0005-0000-0000-0000EF320000}"/>
    <cellStyle name="40% - Accent1 2 3 2 9 4" xfId="37258" xr:uid="{00000000-0005-0000-0000-0000F0320000}"/>
    <cellStyle name="40% - Accent1 2 3 3" xfId="1834" xr:uid="{00000000-0005-0000-0000-0000F1320000}"/>
    <cellStyle name="40% - Accent1 2 3 3 10" xfId="23825" xr:uid="{00000000-0005-0000-0000-0000F2320000}"/>
    <cellStyle name="40% - Accent1 2 3 3 10 2" xfId="43064" xr:uid="{00000000-0005-0000-0000-0000F3320000}"/>
    <cellStyle name="40% - Accent1 2 3 3 11" xfId="33366" xr:uid="{00000000-0005-0000-0000-0000F4320000}"/>
    <cellStyle name="40% - Accent1 2 3 3 12" xfId="52941" xr:uid="{00000000-0005-0000-0000-0000F5320000}"/>
    <cellStyle name="40% - Accent1 2 3 3 13" xfId="13074" xr:uid="{00000000-0005-0000-0000-0000F6320000}"/>
    <cellStyle name="40% - Accent1 2 3 3 2" xfId="13075" xr:uid="{00000000-0005-0000-0000-0000F7320000}"/>
    <cellStyle name="40% - Accent1 2 3 3 2 10" xfId="53816" xr:uid="{00000000-0005-0000-0000-0000F8320000}"/>
    <cellStyle name="40% - Accent1 2 3 3 2 2" xfId="14019" xr:uid="{00000000-0005-0000-0000-0000F9320000}"/>
    <cellStyle name="40% - Accent1 2 3 3 2 2 2" xfId="16283" xr:uid="{00000000-0005-0000-0000-0000FA320000}"/>
    <cellStyle name="40% - Accent1 2 3 3 2 2 2 2" xfId="20747" xr:uid="{00000000-0005-0000-0000-0000FB320000}"/>
    <cellStyle name="40% - Accent1 2 3 3 2 2 2 2 2" xfId="31115" xr:uid="{00000000-0005-0000-0000-0000FC320000}"/>
    <cellStyle name="40% - Accent1 2 3 3 2 2 2 2 2 2" xfId="50304" xr:uid="{00000000-0005-0000-0000-0000FD320000}"/>
    <cellStyle name="40% - Accent1 2 3 3 2 2 2 2 3" xfId="40606" xr:uid="{00000000-0005-0000-0000-0000FE320000}"/>
    <cellStyle name="40% - Accent1 2 3 3 2 2 2 3" xfId="26660" xr:uid="{00000000-0005-0000-0000-0000FF320000}"/>
    <cellStyle name="40% - Accent1 2 3 3 2 2 2 3 2" xfId="45849" xr:uid="{00000000-0005-0000-0000-000000330000}"/>
    <cellStyle name="40% - Accent1 2 3 3 2 2 2 4" xfId="36151" xr:uid="{00000000-0005-0000-0000-000001330000}"/>
    <cellStyle name="40% - Accent1 2 3 3 2 2 3" xfId="18519" xr:uid="{00000000-0005-0000-0000-000002330000}"/>
    <cellStyle name="40% - Accent1 2 3 3 2 2 3 2" xfId="28887" xr:uid="{00000000-0005-0000-0000-000003330000}"/>
    <cellStyle name="40% - Accent1 2 3 3 2 2 3 2 2" xfId="48076" xr:uid="{00000000-0005-0000-0000-000004330000}"/>
    <cellStyle name="40% - Accent1 2 3 3 2 2 3 3" xfId="38378" xr:uid="{00000000-0005-0000-0000-000005330000}"/>
    <cellStyle name="40% - Accent1 2 3 3 2 2 4" xfId="24427" xr:uid="{00000000-0005-0000-0000-000006330000}"/>
    <cellStyle name="40% - Accent1 2 3 3 2 2 4 2" xfId="43621" xr:uid="{00000000-0005-0000-0000-000007330000}"/>
    <cellStyle name="40% - Accent1 2 3 3 2 2 5" xfId="33923" xr:uid="{00000000-0005-0000-0000-000008330000}"/>
    <cellStyle name="40% - Accent1 2 3 3 2 3" xfId="14598" xr:uid="{00000000-0005-0000-0000-000009330000}"/>
    <cellStyle name="40% - Accent1 2 3 3 2 3 2" xfId="15727" xr:uid="{00000000-0005-0000-0000-00000A330000}"/>
    <cellStyle name="40% - Accent1 2 3 3 2 3 2 2" xfId="20191" xr:uid="{00000000-0005-0000-0000-00000B330000}"/>
    <cellStyle name="40% - Accent1 2 3 3 2 3 2 2 2" xfId="30559" xr:uid="{00000000-0005-0000-0000-00000C330000}"/>
    <cellStyle name="40% - Accent1 2 3 3 2 3 2 2 2 2" xfId="49748" xr:uid="{00000000-0005-0000-0000-00000D330000}"/>
    <cellStyle name="40% - Accent1 2 3 3 2 3 2 2 3" xfId="40050" xr:uid="{00000000-0005-0000-0000-00000E330000}"/>
    <cellStyle name="40% - Accent1 2 3 3 2 3 2 3" xfId="26104" xr:uid="{00000000-0005-0000-0000-00000F330000}"/>
    <cellStyle name="40% - Accent1 2 3 3 2 3 2 3 2" xfId="45293" xr:uid="{00000000-0005-0000-0000-000010330000}"/>
    <cellStyle name="40% - Accent1 2 3 3 2 3 2 4" xfId="35595" xr:uid="{00000000-0005-0000-0000-000011330000}"/>
    <cellStyle name="40% - Accent1 2 3 3 2 3 3" xfId="19076" xr:uid="{00000000-0005-0000-0000-000012330000}"/>
    <cellStyle name="40% - Accent1 2 3 3 2 3 3 2" xfId="29444" xr:uid="{00000000-0005-0000-0000-000013330000}"/>
    <cellStyle name="40% - Accent1 2 3 3 2 3 3 2 2" xfId="48633" xr:uid="{00000000-0005-0000-0000-000014330000}"/>
    <cellStyle name="40% - Accent1 2 3 3 2 3 3 3" xfId="38935" xr:uid="{00000000-0005-0000-0000-000015330000}"/>
    <cellStyle name="40% - Accent1 2 3 3 2 3 4" xfId="24989" xr:uid="{00000000-0005-0000-0000-000016330000}"/>
    <cellStyle name="40% - Accent1 2 3 3 2 3 4 2" xfId="44178" xr:uid="{00000000-0005-0000-0000-000017330000}"/>
    <cellStyle name="40% - Accent1 2 3 3 2 3 5" xfId="34480" xr:uid="{00000000-0005-0000-0000-000018330000}"/>
    <cellStyle name="40% - Accent1 2 3 3 2 4" xfId="15170" xr:uid="{00000000-0005-0000-0000-000019330000}"/>
    <cellStyle name="40% - Accent1 2 3 3 2 4 2" xfId="19634" xr:uid="{00000000-0005-0000-0000-00001A330000}"/>
    <cellStyle name="40% - Accent1 2 3 3 2 4 2 2" xfId="30002" xr:uid="{00000000-0005-0000-0000-00001B330000}"/>
    <cellStyle name="40% - Accent1 2 3 3 2 4 2 2 2" xfId="49191" xr:uid="{00000000-0005-0000-0000-00001C330000}"/>
    <cellStyle name="40% - Accent1 2 3 3 2 4 2 3" xfId="39493" xr:uid="{00000000-0005-0000-0000-00001D330000}"/>
    <cellStyle name="40% - Accent1 2 3 3 2 4 3" xfId="25547" xr:uid="{00000000-0005-0000-0000-00001E330000}"/>
    <cellStyle name="40% - Accent1 2 3 3 2 4 3 2" xfId="44736" xr:uid="{00000000-0005-0000-0000-00001F330000}"/>
    <cellStyle name="40% - Accent1 2 3 3 2 4 4" xfId="35038" xr:uid="{00000000-0005-0000-0000-000020330000}"/>
    <cellStyle name="40% - Accent1 2 3 3 2 5" xfId="16840" xr:uid="{00000000-0005-0000-0000-000021330000}"/>
    <cellStyle name="40% - Accent1 2 3 3 2 5 2" xfId="21304" xr:uid="{00000000-0005-0000-0000-000022330000}"/>
    <cellStyle name="40% - Accent1 2 3 3 2 5 2 2" xfId="31672" xr:uid="{00000000-0005-0000-0000-000023330000}"/>
    <cellStyle name="40% - Accent1 2 3 3 2 5 2 2 2" xfId="50861" xr:uid="{00000000-0005-0000-0000-000024330000}"/>
    <cellStyle name="40% - Accent1 2 3 3 2 5 2 3" xfId="41163" xr:uid="{00000000-0005-0000-0000-000025330000}"/>
    <cellStyle name="40% - Accent1 2 3 3 2 5 3" xfId="27217" xr:uid="{00000000-0005-0000-0000-000026330000}"/>
    <cellStyle name="40% - Accent1 2 3 3 2 5 3 2" xfId="46406" xr:uid="{00000000-0005-0000-0000-000027330000}"/>
    <cellStyle name="40% - Accent1 2 3 3 2 5 4" xfId="36708" xr:uid="{00000000-0005-0000-0000-000028330000}"/>
    <cellStyle name="40% - Accent1 2 3 3 2 6" xfId="17406" xr:uid="{00000000-0005-0000-0000-000029330000}"/>
    <cellStyle name="40% - Accent1 2 3 3 2 6 2" xfId="21861" xr:uid="{00000000-0005-0000-0000-00002A330000}"/>
    <cellStyle name="40% - Accent1 2 3 3 2 6 2 2" xfId="32229" xr:uid="{00000000-0005-0000-0000-00002B330000}"/>
    <cellStyle name="40% - Accent1 2 3 3 2 6 2 2 2" xfId="51418" xr:uid="{00000000-0005-0000-0000-00002C330000}"/>
    <cellStyle name="40% - Accent1 2 3 3 2 6 2 3" xfId="41720" xr:uid="{00000000-0005-0000-0000-00002D330000}"/>
    <cellStyle name="40% - Accent1 2 3 3 2 6 3" xfId="27774" xr:uid="{00000000-0005-0000-0000-00002E330000}"/>
    <cellStyle name="40% - Accent1 2 3 3 2 6 3 2" xfId="46963" xr:uid="{00000000-0005-0000-0000-00002F330000}"/>
    <cellStyle name="40% - Accent1 2 3 3 2 6 4" xfId="37265" xr:uid="{00000000-0005-0000-0000-000030330000}"/>
    <cellStyle name="40% - Accent1 2 3 3 2 7" xfId="17963" xr:uid="{00000000-0005-0000-0000-000031330000}"/>
    <cellStyle name="40% - Accent1 2 3 3 2 7 2" xfId="28331" xr:uid="{00000000-0005-0000-0000-000032330000}"/>
    <cellStyle name="40% - Accent1 2 3 3 2 7 2 2" xfId="47520" xr:uid="{00000000-0005-0000-0000-000033330000}"/>
    <cellStyle name="40% - Accent1 2 3 3 2 7 3" xfId="37822" xr:uid="{00000000-0005-0000-0000-000034330000}"/>
    <cellStyle name="40% - Accent1 2 3 3 2 8" xfId="23826" xr:uid="{00000000-0005-0000-0000-000035330000}"/>
    <cellStyle name="40% - Accent1 2 3 3 2 8 2" xfId="43065" xr:uid="{00000000-0005-0000-0000-000036330000}"/>
    <cellStyle name="40% - Accent1 2 3 3 2 9" xfId="33367" xr:uid="{00000000-0005-0000-0000-000037330000}"/>
    <cellStyle name="40% - Accent1 2 3 3 3" xfId="13076" xr:uid="{00000000-0005-0000-0000-000038330000}"/>
    <cellStyle name="40% - Accent1 2 3 3 3 2" xfId="14020" xr:uid="{00000000-0005-0000-0000-000039330000}"/>
    <cellStyle name="40% - Accent1 2 3 3 3 2 2" xfId="16284" xr:uid="{00000000-0005-0000-0000-00003A330000}"/>
    <cellStyle name="40% - Accent1 2 3 3 3 2 2 2" xfId="20748" xr:uid="{00000000-0005-0000-0000-00003B330000}"/>
    <cellStyle name="40% - Accent1 2 3 3 3 2 2 2 2" xfId="31116" xr:uid="{00000000-0005-0000-0000-00003C330000}"/>
    <cellStyle name="40% - Accent1 2 3 3 3 2 2 2 2 2" xfId="50305" xr:uid="{00000000-0005-0000-0000-00003D330000}"/>
    <cellStyle name="40% - Accent1 2 3 3 3 2 2 2 3" xfId="40607" xr:uid="{00000000-0005-0000-0000-00003E330000}"/>
    <cellStyle name="40% - Accent1 2 3 3 3 2 2 3" xfId="26661" xr:uid="{00000000-0005-0000-0000-00003F330000}"/>
    <cellStyle name="40% - Accent1 2 3 3 3 2 2 3 2" xfId="45850" xr:uid="{00000000-0005-0000-0000-000040330000}"/>
    <cellStyle name="40% - Accent1 2 3 3 3 2 2 4" xfId="36152" xr:uid="{00000000-0005-0000-0000-000041330000}"/>
    <cellStyle name="40% - Accent1 2 3 3 3 2 3" xfId="18520" xr:uid="{00000000-0005-0000-0000-000042330000}"/>
    <cellStyle name="40% - Accent1 2 3 3 3 2 3 2" xfId="28888" xr:uid="{00000000-0005-0000-0000-000043330000}"/>
    <cellStyle name="40% - Accent1 2 3 3 3 2 3 2 2" xfId="48077" xr:uid="{00000000-0005-0000-0000-000044330000}"/>
    <cellStyle name="40% - Accent1 2 3 3 3 2 3 3" xfId="38379" xr:uid="{00000000-0005-0000-0000-000045330000}"/>
    <cellStyle name="40% - Accent1 2 3 3 3 2 4" xfId="24428" xr:uid="{00000000-0005-0000-0000-000046330000}"/>
    <cellStyle name="40% - Accent1 2 3 3 3 2 4 2" xfId="43622" xr:uid="{00000000-0005-0000-0000-000047330000}"/>
    <cellStyle name="40% - Accent1 2 3 3 3 2 5" xfId="33924" xr:uid="{00000000-0005-0000-0000-000048330000}"/>
    <cellStyle name="40% - Accent1 2 3 3 3 3" xfId="14599" xr:uid="{00000000-0005-0000-0000-000049330000}"/>
    <cellStyle name="40% - Accent1 2 3 3 3 3 2" xfId="15728" xr:uid="{00000000-0005-0000-0000-00004A330000}"/>
    <cellStyle name="40% - Accent1 2 3 3 3 3 2 2" xfId="20192" xr:uid="{00000000-0005-0000-0000-00004B330000}"/>
    <cellStyle name="40% - Accent1 2 3 3 3 3 2 2 2" xfId="30560" xr:uid="{00000000-0005-0000-0000-00004C330000}"/>
    <cellStyle name="40% - Accent1 2 3 3 3 3 2 2 2 2" xfId="49749" xr:uid="{00000000-0005-0000-0000-00004D330000}"/>
    <cellStyle name="40% - Accent1 2 3 3 3 3 2 2 3" xfId="40051" xr:uid="{00000000-0005-0000-0000-00004E330000}"/>
    <cellStyle name="40% - Accent1 2 3 3 3 3 2 3" xfId="26105" xr:uid="{00000000-0005-0000-0000-00004F330000}"/>
    <cellStyle name="40% - Accent1 2 3 3 3 3 2 3 2" xfId="45294" xr:uid="{00000000-0005-0000-0000-000050330000}"/>
    <cellStyle name="40% - Accent1 2 3 3 3 3 2 4" xfId="35596" xr:uid="{00000000-0005-0000-0000-000051330000}"/>
    <cellStyle name="40% - Accent1 2 3 3 3 3 3" xfId="19077" xr:uid="{00000000-0005-0000-0000-000052330000}"/>
    <cellStyle name="40% - Accent1 2 3 3 3 3 3 2" xfId="29445" xr:uid="{00000000-0005-0000-0000-000053330000}"/>
    <cellStyle name="40% - Accent1 2 3 3 3 3 3 2 2" xfId="48634" xr:uid="{00000000-0005-0000-0000-000054330000}"/>
    <cellStyle name="40% - Accent1 2 3 3 3 3 3 3" xfId="38936" xr:uid="{00000000-0005-0000-0000-000055330000}"/>
    <cellStyle name="40% - Accent1 2 3 3 3 3 4" xfId="24990" xr:uid="{00000000-0005-0000-0000-000056330000}"/>
    <cellStyle name="40% - Accent1 2 3 3 3 3 4 2" xfId="44179" xr:uid="{00000000-0005-0000-0000-000057330000}"/>
    <cellStyle name="40% - Accent1 2 3 3 3 3 5" xfId="34481" xr:uid="{00000000-0005-0000-0000-000058330000}"/>
    <cellStyle name="40% - Accent1 2 3 3 3 4" xfId="15171" xr:uid="{00000000-0005-0000-0000-000059330000}"/>
    <cellStyle name="40% - Accent1 2 3 3 3 4 2" xfId="19635" xr:uid="{00000000-0005-0000-0000-00005A330000}"/>
    <cellStyle name="40% - Accent1 2 3 3 3 4 2 2" xfId="30003" xr:uid="{00000000-0005-0000-0000-00005B330000}"/>
    <cellStyle name="40% - Accent1 2 3 3 3 4 2 2 2" xfId="49192" xr:uid="{00000000-0005-0000-0000-00005C330000}"/>
    <cellStyle name="40% - Accent1 2 3 3 3 4 2 3" xfId="39494" xr:uid="{00000000-0005-0000-0000-00005D330000}"/>
    <cellStyle name="40% - Accent1 2 3 3 3 4 3" xfId="25548" xr:uid="{00000000-0005-0000-0000-00005E330000}"/>
    <cellStyle name="40% - Accent1 2 3 3 3 4 3 2" xfId="44737" xr:uid="{00000000-0005-0000-0000-00005F330000}"/>
    <cellStyle name="40% - Accent1 2 3 3 3 4 4" xfId="35039" xr:uid="{00000000-0005-0000-0000-000060330000}"/>
    <cellStyle name="40% - Accent1 2 3 3 3 5" xfId="16841" xr:uid="{00000000-0005-0000-0000-000061330000}"/>
    <cellStyle name="40% - Accent1 2 3 3 3 5 2" xfId="21305" xr:uid="{00000000-0005-0000-0000-000062330000}"/>
    <cellStyle name="40% - Accent1 2 3 3 3 5 2 2" xfId="31673" xr:uid="{00000000-0005-0000-0000-000063330000}"/>
    <cellStyle name="40% - Accent1 2 3 3 3 5 2 2 2" xfId="50862" xr:uid="{00000000-0005-0000-0000-000064330000}"/>
    <cellStyle name="40% - Accent1 2 3 3 3 5 2 3" xfId="41164" xr:uid="{00000000-0005-0000-0000-000065330000}"/>
    <cellStyle name="40% - Accent1 2 3 3 3 5 3" xfId="27218" xr:uid="{00000000-0005-0000-0000-000066330000}"/>
    <cellStyle name="40% - Accent1 2 3 3 3 5 3 2" xfId="46407" xr:uid="{00000000-0005-0000-0000-000067330000}"/>
    <cellStyle name="40% - Accent1 2 3 3 3 5 4" xfId="36709" xr:uid="{00000000-0005-0000-0000-000068330000}"/>
    <cellStyle name="40% - Accent1 2 3 3 3 6" xfId="17407" xr:uid="{00000000-0005-0000-0000-000069330000}"/>
    <cellStyle name="40% - Accent1 2 3 3 3 6 2" xfId="21862" xr:uid="{00000000-0005-0000-0000-00006A330000}"/>
    <cellStyle name="40% - Accent1 2 3 3 3 6 2 2" xfId="32230" xr:uid="{00000000-0005-0000-0000-00006B330000}"/>
    <cellStyle name="40% - Accent1 2 3 3 3 6 2 2 2" xfId="51419" xr:uid="{00000000-0005-0000-0000-00006C330000}"/>
    <cellStyle name="40% - Accent1 2 3 3 3 6 2 3" xfId="41721" xr:uid="{00000000-0005-0000-0000-00006D330000}"/>
    <cellStyle name="40% - Accent1 2 3 3 3 6 3" xfId="27775" xr:uid="{00000000-0005-0000-0000-00006E330000}"/>
    <cellStyle name="40% - Accent1 2 3 3 3 6 3 2" xfId="46964" xr:uid="{00000000-0005-0000-0000-00006F330000}"/>
    <cellStyle name="40% - Accent1 2 3 3 3 6 4" xfId="37266" xr:uid="{00000000-0005-0000-0000-000070330000}"/>
    <cellStyle name="40% - Accent1 2 3 3 3 7" xfId="17964" xr:uid="{00000000-0005-0000-0000-000071330000}"/>
    <cellStyle name="40% - Accent1 2 3 3 3 7 2" xfId="28332" xr:uid="{00000000-0005-0000-0000-000072330000}"/>
    <cellStyle name="40% - Accent1 2 3 3 3 7 2 2" xfId="47521" xr:uid="{00000000-0005-0000-0000-000073330000}"/>
    <cellStyle name="40% - Accent1 2 3 3 3 7 3" xfId="37823" xr:uid="{00000000-0005-0000-0000-000074330000}"/>
    <cellStyle name="40% - Accent1 2 3 3 3 8" xfId="23827" xr:uid="{00000000-0005-0000-0000-000075330000}"/>
    <cellStyle name="40% - Accent1 2 3 3 3 8 2" xfId="43066" xr:uid="{00000000-0005-0000-0000-000076330000}"/>
    <cellStyle name="40% - Accent1 2 3 3 3 9" xfId="33368" xr:uid="{00000000-0005-0000-0000-000077330000}"/>
    <cellStyle name="40% - Accent1 2 3 3 4" xfId="14018" xr:uid="{00000000-0005-0000-0000-000078330000}"/>
    <cellStyle name="40% - Accent1 2 3 3 4 2" xfId="16282" xr:uid="{00000000-0005-0000-0000-000079330000}"/>
    <cellStyle name="40% - Accent1 2 3 3 4 2 2" xfId="20746" xr:uid="{00000000-0005-0000-0000-00007A330000}"/>
    <cellStyle name="40% - Accent1 2 3 3 4 2 2 2" xfId="31114" xr:uid="{00000000-0005-0000-0000-00007B330000}"/>
    <cellStyle name="40% - Accent1 2 3 3 4 2 2 2 2" xfId="50303" xr:uid="{00000000-0005-0000-0000-00007C330000}"/>
    <cellStyle name="40% - Accent1 2 3 3 4 2 2 3" xfId="40605" xr:uid="{00000000-0005-0000-0000-00007D330000}"/>
    <cellStyle name="40% - Accent1 2 3 3 4 2 3" xfId="26659" xr:uid="{00000000-0005-0000-0000-00007E330000}"/>
    <cellStyle name="40% - Accent1 2 3 3 4 2 3 2" xfId="45848" xr:uid="{00000000-0005-0000-0000-00007F330000}"/>
    <cellStyle name="40% - Accent1 2 3 3 4 2 4" xfId="36150" xr:uid="{00000000-0005-0000-0000-000080330000}"/>
    <cellStyle name="40% - Accent1 2 3 3 4 3" xfId="18518" xr:uid="{00000000-0005-0000-0000-000081330000}"/>
    <cellStyle name="40% - Accent1 2 3 3 4 3 2" xfId="28886" xr:uid="{00000000-0005-0000-0000-000082330000}"/>
    <cellStyle name="40% - Accent1 2 3 3 4 3 2 2" xfId="48075" xr:uid="{00000000-0005-0000-0000-000083330000}"/>
    <cellStyle name="40% - Accent1 2 3 3 4 3 3" xfId="38377" xr:uid="{00000000-0005-0000-0000-000084330000}"/>
    <cellStyle name="40% - Accent1 2 3 3 4 4" xfId="24426" xr:uid="{00000000-0005-0000-0000-000085330000}"/>
    <cellStyle name="40% - Accent1 2 3 3 4 4 2" xfId="43620" xr:uid="{00000000-0005-0000-0000-000086330000}"/>
    <cellStyle name="40% - Accent1 2 3 3 4 5" xfId="33922" xr:uid="{00000000-0005-0000-0000-000087330000}"/>
    <cellStyle name="40% - Accent1 2 3 3 5" xfId="14597" xr:uid="{00000000-0005-0000-0000-000088330000}"/>
    <cellStyle name="40% - Accent1 2 3 3 5 2" xfId="15726" xr:uid="{00000000-0005-0000-0000-000089330000}"/>
    <cellStyle name="40% - Accent1 2 3 3 5 2 2" xfId="20190" xr:uid="{00000000-0005-0000-0000-00008A330000}"/>
    <cellStyle name="40% - Accent1 2 3 3 5 2 2 2" xfId="30558" xr:uid="{00000000-0005-0000-0000-00008B330000}"/>
    <cellStyle name="40% - Accent1 2 3 3 5 2 2 2 2" xfId="49747" xr:uid="{00000000-0005-0000-0000-00008C330000}"/>
    <cellStyle name="40% - Accent1 2 3 3 5 2 2 3" xfId="40049" xr:uid="{00000000-0005-0000-0000-00008D330000}"/>
    <cellStyle name="40% - Accent1 2 3 3 5 2 3" xfId="26103" xr:uid="{00000000-0005-0000-0000-00008E330000}"/>
    <cellStyle name="40% - Accent1 2 3 3 5 2 3 2" xfId="45292" xr:uid="{00000000-0005-0000-0000-00008F330000}"/>
    <cellStyle name="40% - Accent1 2 3 3 5 2 4" xfId="35594" xr:uid="{00000000-0005-0000-0000-000090330000}"/>
    <cellStyle name="40% - Accent1 2 3 3 5 3" xfId="19075" xr:uid="{00000000-0005-0000-0000-000091330000}"/>
    <cellStyle name="40% - Accent1 2 3 3 5 3 2" xfId="29443" xr:uid="{00000000-0005-0000-0000-000092330000}"/>
    <cellStyle name="40% - Accent1 2 3 3 5 3 2 2" xfId="48632" xr:uid="{00000000-0005-0000-0000-000093330000}"/>
    <cellStyle name="40% - Accent1 2 3 3 5 3 3" xfId="38934" xr:uid="{00000000-0005-0000-0000-000094330000}"/>
    <cellStyle name="40% - Accent1 2 3 3 5 4" xfId="24988" xr:uid="{00000000-0005-0000-0000-000095330000}"/>
    <cellStyle name="40% - Accent1 2 3 3 5 4 2" xfId="44177" xr:uid="{00000000-0005-0000-0000-000096330000}"/>
    <cellStyle name="40% - Accent1 2 3 3 5 5" xfId="34479" xr:uid="{00000000-0005-0000-0000-000097330000}"/>
    <cellStyle name="40% - Accent1 2 3 3 6" xfId="15169" xr:uid="{00000000-0005-0000-0000-000098330000}"/>
    <cellStyle name="40% - Accent1 2 3 3 6 2" xfId="19633" xr:uid="{00000000-0005-0000-0000-000099330000}"/>
    <cellStyle name="40% - Accent1 2 3 3 6 2 2" xfId="30001" xr:uid="{00000000-0005-0000-0000-00009A330000}"/>
    <cellStyle name="40% - Accent1 2 3 3 6 2 2 2" xfId="49190" xr:uid="{00000000-0005-0000-0000-00009B330000}"/>
    <cellStyle name="40% - Accent1 2 3 3 6 2 3" xfId="39492" xr:uid="{00000000-0005-0000-0000-00009C330000}"/>
    <cellStyle name="40% - Accent1 2 3 3 6 3" xfId="25546" xr:uid="{00000000-0005-0000-0000-00009D330000}"/>
    <cellStyle name="40% - Accent1 2 3 3 6 3 2" xfId="44735" xr:uid="{00000000-0005-0000-0000-00009E330000}"/>
    <cellStyle name="40% - Accent1 2 3 3 6 4" xfId="35037" xr:uid="{00000000-0005-0000-0000-00009F330000}"/>
    <cellStyle name="40% - Accent1 2 3 3 7" xfId="16839" xr:uid="{00000000-0005-0000-0000-0000A0330000}"/>
    <cellStyle name="40% - Accent1 2 3 3 7 2" xfId="21303" xr:uid="{00000000-0005-0000-0000-0000A1330000}"/>
    <cellStyle name="40% - Accent1 2 3 3 7 2 2" xfId="31671" xr:uid="{00000000-0005-0000-0000-0000A2330000}"/>
    <cellStyle name="40% - Accent1 2 3 3 7 2 2 2" xfId="50860" xr:uid="{00000000-0005-0000-0000-0000A3330000}"/>
    <cellStyle name="40% - Accent1 2 3 3 7 2 3" xfId="41162" xr:uid="{00000000-0005-0000-0000-0000A4330000}"/>
    <cellStyle name="40% - Accent1 2 3 3 7 3" xfId="27216" xr:uid="{00000000-0005-0000-0000-0000A5330000}"/>
    <cellStyle name="40% - Accent1 2 3 3 7 3 2" xfId="46405" xr:uid="{00000000-0005-0000-0000-0000A6330000}"/>
    <cellStyle name="40% - Accent1 2 3 3 7 4" xfId="36707" xr:uid="{00000000-0005-0000-0000-0000A7330000}"/>
    <cellStyle name="40% - Accent1 2 3 3 8" xfId="17405" xr:uid="{00000000-0005-0000-0000-0000A8330000}"/>
    <cellStyle name="40% - Accent1 2 3 3 8 2" xfId="21860" xr:uid="{00000000-0005-0000-0000-0000A9330000}"/>
    <cellStyle name="40% - Accent1 2 3 3 8 2 2" xfId="32228" xr:uid="{00000000-0005-0000-0000-0000AA330000}"/>
    <cellStyle name="40% - Accent1 2 3 3 8 2 2 2" xfId="51417" xr:uid="{00000000-0005-0000-0000-0000AB330000}"/>
    <cellStyle name="40% - Accent1 2 3 3 8 2 3" xfId="41719" xr:uid="{00000000-0005-0000-0000-0000AC330000}"/>
    <cellStyle name="40% - Accent1 2 3 3 8 3" xfId="27773" xr:uid="{00000000-0005-0000-0000-0000AD330000}"/>
    <cellStyle name="40% - Accent1 2 3 3 8 3 2" xfId="46962" xr:uid="{00000000-0005-0000-0000-0000AE330000}"/>
    <cellStyle name="40% - Accent1 2 3 3 8 4" xfId="37264" xr:uid="{00000000-0005-0000-0000-0000AF330000}"/>
    <cellStyle name="40% - Accent1 2 3 3 9" xfId="17962" xr:uid="{00000000-0005-0000-0000-0000B0330000}"/>
    <cellStyle name="40% - Accent1 2 3 3 9 2" xfId="28330" xr:uid="{00000000-0005-0000-0000-0000B1330000}"/>
    <cellStyle name="40% - Accent1 2 3 3 9 2 2" xfId="47519" xr:uid="{00000000-0005-0000-0000-0000B2330000}"/>
    <cellStyle name="40% - Accent1 2 3 3 9 3" xfId="37821" xr:uid="{00000000-0005-0000-0000-0000B3330000}"/>
    <cellStyle name="40% - Accent1 2 3 4" xfId="13077" xr:uid="{00000000-0005-0000-0000-0000B4330000}"/>
    <cellStyle name="40% - Accent1 2 3 4 10" xfId="53420" xr:uid="{00000000-0005-0000-0000-0000B5330000}"/>
    <cellStyle name="40% - Accent1 2 3 4 2" xfId="14021" xr:uid="{00000000-0005-0000-0000-0000B6330000}"/>
    <cellStyle name="40% - Accent1 2 3 4 2 2" xfId="16285" xr:uid="{00000000-0005-0000-0000-0000B7330000}"/>
    <cellStyle name="40% - Accent1 2 3 4 2 2 2" xfId="20749" xr:uid="{00000000-0005-0000-0000-0000B8330000}"/>
    <cellStyle name="40% - Accent1 2 3 4 2 2 2 2" xfId="31117" xr:uid="{00000000-0005-0000-0000-0000B9330000}"/>
    <cellStyle name="40% - Accent1 2 3 4 2 2 2 2 2" xfId="50306" xr:uid="{00000000-0005-0000-0000-0000BA330000}"/>
    <cellStyle name="40% - Accent1 2 3 4 2 2 2 3" xfId="40608" xr:uid="{00000000-0005-0000-0000-0000BB330000}"/>
    <cellStyle name="40% - Accent1 2 3 4 2 2 3" xfId="26662" xr:uid="{00000000-0005-0000-0000-0000BC330000}"/>
    <cellStyle name="40% - Accent1 2 3 4 2 2 3 2" xfId="45851" xr:uid="{00000000-0005-0000-0000-0000BD330000}"/>
    <cellStyle name="40% - Accent1 2 3 4 2 2 4" xfId="36153" xr:uid="{00000000-0005-0000-0000-0000BE330000}"/>
    <cellStyle name="40% - Accent1 2 3 4 2 3" xfId="18521" xr:uid="{00000000-0005-0000-0000-0000BF330000}"/>
    <cellStyle name="40% - Accent1 2 3 4 2 3 2" xfId="28889" xr:uid="{00000000-0005-0000-0000-0000C0330000}"/>
    <cellStyle name="40% - Accent1 2 3 4 2 3 2 2" xfId="48078" xr:uid="{00000000-0005-0000-0000-0000C1330000}"/>
    <cellStyle name="40% - Accent1 2 3 4 2 3 3" xfId="38380" xr:uid="{00000000-0005-0000-0000-0000C2330000}"/>
    <cellStyle name="40% - Accent1 2 3 4 2 4" xfId="24429" xr:uid="{00000000-0005-0000-0000-0000C3330000}"/>
    <cellStyle name="40% - Accent1 2 3 4 2 4 2" xfId="43623" xr:uid="{00000000-0005-0000-0000-0000C4330000}"/>
    <cellStyle name="40% - Accent1 2 3 4 2 5" xfId="33925" xr:uid="{00000000-0005-0000-0000-0000C5330000}"/>
    <cellStyle name="40% - Accent1 2 3 4 3" xfId="14600" xr:uid="{00000000-0005-0000-0000-0000C6330000}"/>
    <cellStyle name="40% - Accent1 2 3 4 3 2" xfId="15729" xr:uid="{00000000-0005-0000-0000-0000C7330000}"/>
    <cellStyle name="40% - Accent1 2 3 4 3 2 2" xfId="20193" xr:uid="{00000000-0005-0000-0000-0000C8330000}"/>
    <cellStyle name="40% - Accent1 2 3 4 3 2 2 2" xfId="30561" xr:uid="{00000000-0005-0000-0000-0000C9330000}"/>
    <cellStyle name="40% - Accent1 2 3 4 3 2 2 2 2" xfId="49750" xr:uid="{00000000-0005-0000-0000-0000CA330000}"/>
    <cellStyle name="40% - Accent1 2 3 4 3 2 2 3" xfId="40052" xr:uid="{00000000-0005-0000-0000-0000CB330000}"/>
    <cellStyle name="40% - Accent1 2 3 4 3 2 3" xfId="26106" xr:uid="{00000000-0005-0000-0000-0000CC330000}"/>
    <cellStyle name="40% - Accent1 2 3 4 3 2 3 2" xfId="45295" xr:uid="{00000000-0005-0000-0000-0000CD330000}"/>
    <cellStyle name="40% - Accent1 2 3 4 3 2 4" xfId="35597" xr:uid="{00000000-0005-0000-0000-0000CE330000}"/>
    <cellStyle name="40% - Accent1 2 3 4 3 3" xfId="19078" xr:uid="{00000000-0005-0000-0000-0000CF330000}"/>
    <cellStyle name="40% - Accent1 2 3 4 3 3 2" xfId="29446" xr:uid="{00000000-0005-0000-0000-0000D0330000}"/>
    <cellStyle name="40% - Accent1 2 3 4 3 3 2 2" xfId="48635" xr:uid="{00000000-0005-0000-0000-0000D1330000}"/>
    <cellStyle name="40% - Accent1 2 3 4 3 3 3" xfId="38937" xr:uid="{00000000-0005-0000-0000-0000D2330000}"/>
    <cellStyle name="40% - Accent1 2 3 4 3 4" xfId="24991" xr:uid="{00000000-0005-0000-0000-0000D3330000}"/>
    <cellStyle name="40% - Accent1 2 3 4 3 4 2" xfId="44180" xr:uid="{00000000-0005-0000-0000-0000D4330000}"/>
    <cellStyle name="40% - Accent1 2 3 4 3 5" xfId="34482" xr:uid="{00000000-0005-0000-0000-0000D5330000}"/>
    <cellStyle name="40% - Accent1 2 3 4 4" xfId="15172" xr:uid="{00000000-0005-0000-0000-0000D6330000}"/>
    <cellStyle name="40% - Accent1 2 3 4 4 2" xfId="19636" xr:uid="{00000000-0005-0000-0000-0000D7330000}"/>
    <cellStyle name="40% - Accent1 2 3 4 4 2 2" xfId="30004" xr:uid="{00000000-0005-0000-0000-0000D8330000}"/>
    <cellStyle name="40% - Accent1 2 3 4 4 2 2 2" xfId="49193" xr:uid="{00000000-0005-0000-0000-0000D9330000}"/>
    <cellStyle name="40% - Accent1 2 3 4 4 2 3" xfId="39495" xr:uid="{00000000-0005-0000-0000-0000DA330000}"/>
    <cellStyle name="40% - Accent1 2 3 4 4 3" xfId="25549" xr:uid="{00000000-0005-0000-0000-0000DB330000}"/>
    <cellStyle name="40% - Accent1 2 3 4 4 3 2" xfId="44738" xr:uid="{00000000-0005-0000-0000-0000DC330000}"/>
    <cellStyle name="40% - Accent1 2 3 4 4 4" xfId="35040" xr:uid="{00000000-0005-0000-0000-0000DD330000}"/>
    <cellStyle name="40% - Accent1 2 3 4 5" xfId="16842" xr:uid="{00000000-0005-0000-0000-0000DE330000}"/>
    <cellStyle name="40% - Accent1 2 3 4 5 2" xfId="21306" xr:uid="{00000000-0005-0000-0000-0000DF330000}"/>
    <cellStyle name="40% - Accent1 2 3 4 5 2 2" xfId="31674" xr:uid="{00000000-0005-0000-0000-0000E0330000}"/>
    <cellStyle name="40% - Accent1 2 3 4 5 2 2 2" xfId="50863" xr:uid="{00000000-0005-0000-0000-0000E1330000}"/>
    <cellStyle name="40% - Accent1 2 3 4 5 2 3" xfId="41165" xr:uid="{00000000-0005-0000-0000-0000E2330000}"/>
    <cellStyle name="40% - Accent1 2 3 4 5 3" xfId="27219" xr:uid="{00000000-0005-0000-0000-0000E3330000}"/>
    <cellStyle name="40% - Accent1 2 3 4 5 3 2" xfId="46408" xr:uid="{00000000-0005-0000-0000-0000E4330000}"/>
    <cellStyle name="40% - Accent1 2 3 4 5 4" xfId="36710" xr:uid="{00000000-0005-0000-0000-0000E5330000}"/>
    <cellStyle name="40% - Accent1 2 3 4 6" xfId="17408" xr:uid="{00000000-0005-0000-0000-0000E6330000}"/>
    <cellStyle name="40% - Accent1 2 3 4 6 2" xfId="21863" xr:uid="{00000000-0005-0000-0000-0000E7330000}"/>
    <cellStyle name="40% - Accent1 2 3 4 6 2 2" xfId="32231" xr:uid="{00000000-0005-0000-0000-0000E8330000}"/>
    <cellStyle name="40% - Accent1 2 3 4 6 2 2 2" xfId="51420" xr:uid="{00000000-0005-0000-0000-0000E9330000}"/>
    <cellStyle name="40% - Accent1 2 3 4 6 2 3" xfId="41722" xr:uid="{00000000-0005-0000-0000-0000EA330000}"/>
    <cellStyle name="40% - Accent1 2 3 4 6 3" xfId="27776" xr:uid="{00000000-0005-0000-0000-0000EB330000}"/>
    <cellStyle name="40% - Accent1 2 3 4 6 3 2" xfId="46965" xr:uid="{00000000-0005-0000-0000-0000EC330000}"/>
    <cellStyle name="40% - Accent1 2 3 4 6 4" xfId="37267" xr:uid="{00000000-0005-0000-0000-0000ED330000}"/>
    <cellStyle name="40% - Accent1 2 3 4 7" xfId="17965" xr:uid="{00000000-0005-0000-0000-0000EE330000}"/>
    <cellStyle name="40% - Accent1 2 3 4 7 2" xfId="28333" xr:uid="{00000000-0005-0000-0000-0000EF330000}"/>
    <cellStyle name="40% - Accent1 2 3 4 7 2 2" xfId="47522" xr:uid="{00000000-0005-0000-0000-0000F0330000}"/>
    <cellStyle name="40% - Accent1 2 3 4 7 3" xfId="37824" xr:uid="{00000000-0005-0000-0000-0000F1330000}"/>
    <cellStyle name="40% - Accent1 2 3 4 8" xfId="23828" xr:uid="{00000000-0005-0000-0000-0000F2330000}"/>
    <cellStyle name="40% - Accent1 2 3 4 8 2" xfId="43067" xr:uid="{00000000-0005-0000-0000-0000F3330000}"/>
    <cellStyle name="40% - Accent1 2 3 4 9" xfId="33369" xr:uid="{00000000-0005-0000-0000-0000F4330000}"/>
    <cellStyle name="40% - Accent1 2 3 5" xfId="13078" xr:uid="{00000000-0005-0000-0000-0000F5330000}"/>
    <cellStyle name="40% - Accent1 2 3 5 2" xfId="14022" xr:uid="{00000000-0005-0000-0000-0000F6330000}"/>
    <cellStyle name="40% - Accent1 2 3 5 2 2" xfId="16286" xr:uid="{00000000-0005-0000-0000-0000F7330000}"/>
    <cellStyle name="40% - Accent1 2 3 5 2 2 2" xfId="20750" xr:uid="{00000000-0005-0000-0000-0000F8330000}"/>
    <cellStyle name="40% - Accent1 2 3 5 2 2 2 2" xfId="31118" xr:uid="{00000000-0005-0000-0000-0000F9330000}"/>
    <cellStyle name="40% - Accent1 2 3 5 2 2 2 2 2" xfId="50307" xr:uid="{00000000-0005-0000-0000-0000FA330000}"/>
    <cellStyle name="40% - Accent1 2 3 5 2 2 2 3" xfId="40609" xr:uid="{00000000-0005-0000-0000-0000FB330000}"/>
    <cellStyle name="40% - Accent1 2 3 5 2 2 3" xfId="26663" xr:uid="{00000000-0005-0000-0000-0000FC330000}"/>
    <cellStyle name="40% - Accent1 2 3 5 2 2 3 2" xfId="45852" xr:uid="{00000000-0005-0000-0000-0000FD330000}"/>
    <cellStyle name="40% - Accent1 2 3 5 2 2 4" xfId="36154" xr:uid="{00000000-0005-0000-0000-0000FE330000}"/>
    <cellStyle name="40% - Accent1 2 3 5 2 3" xfId="18522" xr:uid="{00000000-0005-0000-0000-0000FF330000}"/>
    <cellStyle name="40% - Accent1 2 3 5 2 3 2" xfId="28890" xr:uid="{00000000-0005-0000-0000-000000340000}"/>
    <cellStyle name="40% - Accent1 2 3 5 2 3 2 2" xfId="48079" xr:uid="{00000000-0005-0000-0000-000001340000}"/>
    <cellStyle name="40% - Accent1 2 3 5 2 3 3" xfId="38381" xr:uid="{00000000-0005-0000-0000-000002340000}"/>
    <cellStyle name="40% - Accent1 2 3 5 2 4" xfId="24430" xr:uid="{00000000-0005-0000-0000-000003340000}"/>
    <cellStyle name="40% - Accent1 2 3 5 2 4 2" xfId="43624" xr:uid="{00000000-0005-0000-0000-000004340000}"/>
    <cellStyle name="40% - Accent1 2 3 5 2 5" xfId="33926" xr:uid="{00000000-0005-0000-0000-000005340000}"/>
    <cellStyle name="40% - Accent1 2 3 5 3" xfId="14601" xr:uid="{00000000-0005-0000-0000-000006340000}"/>
    <cellStyle name="40% - Accent1 2 3 5 3 2" xfId="15730" xr:uid="{00000000-0005-0000-0000-000007340000}"/>
    <cellStyle name="40% - Accent1 2 3 5 3 2 2" xfId="20194" xr:uid="{00000000-0005-0000-0000-000008340000}"/>
    <cellStyle name="40% - Accent1 2 3 5 3 2 2 2" xfId="30562" xr:uid="{00000000-0005-0000-0000-000009340000}"/>
    <cellStyle name="40% - Accent1 2 3 5 3 2 2 2 2" xfId="49751" xr:uid="{00000000-0005-0000-0000-00000A340000}"/>
    <cellStyle name="40% - Accent1 2 3 5 3 2 2 3" xfId="40053" xr:uid="{00000000-0005-0000-0000-00000B340000}"/>
    <cellStyle name="40% - Accent1 2 3 5 3 2 3" xfId="26107" xr:uid="{00000000-0005-0000-0000-00000C340000}"/>
    <cellStyle name="40% - Accent1 2 3 5 3 2 3 2" xfId="45296" xr:uid="{00000000-0005-0000-0000-00000D340000}"/>
    <cellStyle name="40% - Accent1 2 3 5 3 2 4" xfId="35598" xr:uid="{00000000-0005-0000-0000-00000E340000}"/>
    <cellStyle name="40% - Accent1 2 3 5 3 3" xfId="19079" xr:uid="{00000000-0005-0000-0000-00000F340000}"/>
    <cellStyle name="40% - Accent1 2 3 5 3 3 2" xfId="29447" xr:uid="{00000000-0005-0000-0000-000010340000}"/>
    <cellStyle name="40% - Accent1 2 3 5 3 3 2 2" xfId="48636" xr:uid="{00000000-0005-0000-0000-000011340000}"/>
    <cellStyle name="40% - Accent1 2 3 5 3 3 3" xfId="38938" xr:uid="{00000000-0005-0000-0000-000012340000}"/>
    <cellStyle name="40% - Accent1 2 3 5 3 4" xfId="24992" xr:uid="{00000000-0005-0000-0000-000013340000}"/>
    <cellStyle name="40% - Accent1 2 3 5 3 4 2" xfId="44181" xr:uid="{00000000-0005-0000-0000-000014340000}"/>
    <cellStyle name="40% - Accent1 2 3 5 3 5" xfId="34483" xr:uid="{00000000-0005-0000-0000-000015340000}"/>
    <cellStyle name="40% - Accent1 2 3 5 4" xfId="15173" xr:uid="{00000000-0005-0000-0000-000016340000}"/>
    <cellStyle name="40% - Accent1 2 3 5 4 2" xfId="19637" xr:uid="{00000000-0005-0000-0000-000017340000}"/>
    <cellStyle name="40% - Accent1 2 3 5 4 2 2" xfId="30005" xr:uid="{00000000-0005-0000-0000-000018340000}"/>
    <cellStyle name="40% - Accent1 2 3 5 4 2 2 2" xfId="49194" xr:uid="{00000000-0005-0000-0000-000019340000}"/>
    <cellStyle name="40% - Accent1 2 3 5 4 2 3" xfId="39496" xr:uid="{00000000-0005-0000-0000-00001A340000}"/>
    <cellStyle name="40% - Accent1 2 3 5 4 3" xfId="25550" xr:uid="{00000000-0005-0000-0000-00001B340000}"/>
    <cellStyle name="40% - Accent1 2 3 5 4 3 2" xfId="44739" xr:uid="{00000000-0005-0000-0000-00001C340000}"/>
    <cellStyle name="40% - Accent1 2 3 5 4 4" xfId="35041" xr:uid="{00000000-0005-0000-0000-00001D340000}"/>
    <cellStyle name="40% - Accent1 2 3 5 5" xfId="16843" xr:uid="{00000000-0005-0000-0000-00001E340000}"/>
    <cellStyle name="40% - Accent1 2 3 5 5 2" xfId="21307" xr:uid="{00000000-0005-0000-0000-00001F340000}"/>
    <cellStyle name="40% - Accent1 2 3 5 5 2 2" xfId="31675" xr:uid="{00000000-0005-0000-0000-000020340000}"/>
    <cellStyle name="40% - Accent1 2 3 5 5 2 2 2" xfId="50864" xr:uid="{00000000-0005-0000-0000-000021340000}"/>
    <cellStyle name="40% - Accent1 2 3 5 5 2 3" xfId="41166" xr:uid="{00000000-0005-0000-0000-000022340000}"/>
    <cellStyle name="40% - Accent1 2 3 5 5 3" xfId="27220" xr:uid="{00000000-0005-0000-0000-000023340000}"/>
    <cellStyle name="40% - Accent1 2 3 5 5 3 2" xfId="46409" xr:uid="{00000000-0005-0000-0000-000024340000}"/>
    <cellStyle name="40% - Accent1 2 3 5 5 4" xfId="36711" xr:uid="{00000000-0005-0000-0000-000025340000}"/>
    <cellStyle name="40% - Accent1 2 3 5 6" xfId="17409" xr:uid="{00000000-0005-0000-0000-000026340000}"/>
    <cellStyle name="40% - Accent1 2 3 5 6 2" xfId="21864" xr:uid="{00000000-0005-0000-0000-000027340000}"/>
    <cellStyle name="40% - Accent1 2 3 5 6 2 2" xfId="32232" xr:uid="{00000000-0005-0000-0000-000028340000}"/>
    <cellStyle name="40% - Accent1 2 3 5 6 2 2 2" xfId="51421" xr:uid="{00000000-0005-0000-0000-000029340000}"/>
    <cellStyle name="40% - Accent1 2 3 5 6 2 3" xfId="41723" xr:uid="{00000000-0005-0000-0000-00002A340000}"/>
    <cellStyle name="40% - Accent1 2 3 5 6 3" xfId="27777" xr:uid="{00000000-0005-0000-0000-00002B340000}"/>
    <cellStyle name="40% - Accent1 2 3 5 6 3 2" xfId="46966" xr:uid="{00000000-0005-0000-0000-00002C340000}"/>
    <cellStyle name="40% - Accent1 2 3 5 6 4" xfId="37268" xr:uid="{00000000-0005-0000-0000-00002D340000}"/>
    <cellStyle name="40% - Accent1 2 3 5 7" xfId="17966" xr:uid="{00000000-0005-0000-0000-00002E340000}"/>
    <cellStyle name="40% - Accent1 2 3 5 7 2" xfId="28334" xr:uid="{00000000-0005-0000-0000-00002F340000}"/>
    <cellStyle name="40% - Accent1 2 3 5 7 2 2" xfId="47523" xr:uid="{00000000-0005-0000-0000-000030340000}"/>
    <cellStyle name="40% - Accent1 2 3 5 7 3" xfId="37825" xr:uid="{00000000-0005-0000-0000-000031340000}"/>
    <cellStyle name="40% - Accent1 2 3 5 8" xfId="23829" xr:uid="{00000000-0005-0000-0000-000032340000}"/>
    <cellStyle name="40% - Accent1 2 3 5 8 2" xfId="43068" xr:uid="{00000000-0005-0000-0000-000033340000}"/>
    <cellStyle name="40% - Accent1 2 3 5 9" xfId="33370" xr:uid="{00000000-0005-0000-0000-000034340000}"/>
    <cellStyle name="40% - Accent1 2 3 6" xfId="22865" xr:uid="{00000000-0005-0000-0000-000035340000}"/>
    <cellStyle name="40% - Accent1 2 3 6 2" xfId="32949" xr:uid="{00000000-0005-0000-0000-000036340000}"/>
    <cellStyle name="40% - Accent1 2 3 6 2 2" xfId="52135" xr:uid="{00000000-0005-0000-0000-000037340000}"/>
    <cellStyle name="40% - Accent1 2 3 6 3" xfId="42437" xr:uid="{00000000-0005-0000-0000-000038340000}"/>
    <cellStyle name="40% - Accent1 2 3 7" xfId="23314" xr:uid="{00000000-0005-0000-0000-000039340000}"/>
    <cellStyle name="40% - Accent1 2 3 8" xfId="23222" xr:uid="{00000000-0005-0000-0000-00003A340000}"/>
    <cellStyle name="40% - Accent1 2 3 8 2" xfId="42790" xr:uid="{00000000-0005-0000-0000-00003B340000}"/>
    <cellStyle name="40% - Accent1 2 3 9" xfId="12181" xr:uid="{00000000-0005-0000-0000-00003C340000}"/>
    <cellStyle name="40% - Accent1 2 4" xfId="1836" xr:uid="{00000000-0005-0000-0000-00003D340000}"/>
    <cellStyle name="40% - Accent1 2 4 2" xfId="13079" xr:uid="{00000000-0005-0000-0000-00003E340000}"/>
    <cellStyle name="40% - Accent1 2 4 2 10" xfId="23830" xr:uid="{00000000-0005-0000-0000-00003F340000}"/>
    <cellStyle name="40% - Accent1 2 4 2 10 2" xfId="43069" xr:uid="{00000000-0005-0000-0000-000040340000}"/>
    <cellStyle name="40% - Accent1 2 4 2 11" xfId="33371" xr:uid="{00000000-0005-0000-0000-000041340000}"/>
    <cellStyle name="40% - Accent1 2 4 2 12" xfId="52762" xr:uid="{00000000-0005-0000-0000-000042340000}"/>
    <cellStyle name="40% - Accent1 2 4 2 2" xfId="13080" xr:uid="{00000000-0005-0000-0000-000043340000}"/>
    <cellStyle name="40% - Accent1 2 4 2 2 10" xfId="53190" xr:uid="{00000000-0005-0000-0000-000044340000}"/>
    <cellStyle name="40% - Accent1 2 4 2 2 2" xfId="14024" xr:uid="{00000000-0005-0000-0000-000045340000}"/>
    <cellStyle name="40% - Accent1 2 4 2 2 2 2" xfId="16288" xr:uid="{00000000-0005-0000-0000-000046340000}"/>
    <cellStyle name="40% - Accent1 2 4 2 2 2 2 2" xfId="20752" xr:uid="{00000000-0005-0000-0000-000047340000}"/>
    <cellStyle name="40% - Accent1 2 4 2 2 2 2 2 2" xfId="31120" xr:uid="{00000000-0005-0000-0000-000048340000}"/>
    <cellStyle name="40% - Accent1 2 4 2 2 2 2 2 2 2" xfId="50309" xr:uid="{00000000-0005-0000-0000-000049340000}"/>
    <cellStyle name="40% - Accent1 2 4 2 2 2 2 2 3" xfId="40611" xr:uid="{00000000-0005-0000-0000-00004A340000}"/>
    <cellStyle name="40% - Accent1 2 4 2 2 2 2 3" xfId="26665" xr:uid="{00000000-0005-0000-0000-00004B340000}"/>
    <cellStyle name="40% - Accent1 2 4 2 2 2 2 3 2" xfId="45854" xr:uid="{00000000-0005-0000-0000-00004C340000}"/>
    <cellStyle name="40% - Accent1 2 4 2 2 2 2 4" xfId="36156" xr:uid="{00000000-0005-0000-0000-00004D340000}"/>
    <cellStyle name="40% - Accent1 2 4 2 2 2 3" xfId="18524" xr:uid="{00000000-0005-0000-0000-00004E340000}"/>
    <cellStyle name="40% - Accent1 2 4 2 2 2 3 2" xfId="28892" xr:uid="{00000000-0005-0000-0000-00004F340000}"/>
    <cellStyle name="40% - Accent1 2 4 2 2 2 3 2 2" xfId="48081" xr:uid="{00000000-0005-0000-0000-000050340000}"/>
    <cellStyle name="40% - Accent1 2 4 2 2 2 3 3" xfId="38383" xr:uid="{00000000-0005-0000-0000-000051340000}"/>
    <cellStyle name="40% - Accent1 2 4 2 2 2 4" xfId="24432" xr:uid="{00000000-0005-0000-0000-000052340000}"/>
    <cellStyle name="40% - Accent1 2 4 2 2 2 4 2" xfId="43626" xr:uid="{00000000-0005-0000-0000-000053340000}"/>
    <cellStyle name="40% - Accent1 2 4 2 2 2 5" xfId="33928" xr:uid="{00000000-0005-0000-0000-000054340000}"/>
    <cellStyle name="40% - Accent1 2 4 2 2 2 6" xfId="54043" xr:uid="{00000000-0005-0000-0000-000055340000}"/>
    <cellStyle name="40% - Accent1 2 4 2 2 3" xfId="14603" xr:uid="{00000000-0005-0000-0000-000056340000}"/>
    <cellStyle name="40% - Accent1 2 4 2 2 3 2" xfId="15732" xr:uid="{00000000-0005-0000-0000-000057340000}"/>
    <cellStyle name="40% - Accent1 2 4 2 2 3 2 2" xfId="20196" xr:uid="{00000000-0005-0000-0000-000058340000}"/>
    <cellStyle name="40% - Accent1 2 4 2 2 3 2 2 2" xfId="30564" xr:uid="{00000000-0005-0000-0000-000059340000}"/>
    <cellStyle name="40% - Accent1 2 4 2 2 3 2 2 2 2" xfId="49753" xr:uid="{00000000-0005-0000-0000-00005A340000}"/>
    <cellStyle name="40% - Accent1 2 4 2 2 3 2 2 3" xfId="40055" xr:uid="{00000000-0005-0000-0000-00005B340000}"/>
    <cellStyle name="40% - Accent1 2 4 2 2 3 2 3" xfId="26109" xr:uid="{00000000-0005-0000-0000-00005C340000}"/>
    <cellStyle name="40% - Accent1 2 4 2 2 3 2 3 2" xfId="45298" xr:uid="{00000000-0005-0000-0000-00005D340000}"/>
    <cellStyle name="40% - Accent1 2 4 2 2 3 2 4" xfId="35600" xr:uid="{00000000-0005-0000-0000-00005E340000}"/>
    <cellStyle name="40% - Accent1 2 4 2 2 3 3" xfId="19081" xr:uid="{00000000-0005-0000-0000-00005F340000}"/>
    <cellStyle name="40% - Accent1 2 4 2 2 3 3 2" xfId="29449" xr:uid="{00000000-0005-0000-0000-000060340000}"/>
    <cellStyle name="40% - Accent1 2 4 2 2 3 3 2 2" xfId="48638" xr:uid="{00000000-0005-0000-0000-000061340000}"/>
    <cellStyle name="40% - Accent1 2 4 2 2 3 3 3" xfId="38940" xr:uid="{00000000-0005-0000-0000-000062340000}"/>
    <cellStyle name="40% - Accent1 2 4 2 2 3 4" xfId="24994" xr:uid="{00000000-0005-0000-0000-000063340000}"/>
    <cellStyle name="40% - Accent1 2 4 2 2 3 4 2" xfId="44183" xr:uid="{00000000-0005-0000-0000-000064340000}"/>
    <cellStyle name="40% - Accent1 2 4 2 2 3 5" xfId="34485" xr:uid="{00000000-0005-0000-0000-000065340000}"/>
    <cellStyle name="40% - Accent1 2 4 2 2 4" xfId="15175" xr:uid="{00000000-0005-0000-0000-000066340000}"/>
    <cellStyle name="40% - Accent1 2 4 2 2 4 2" xfId="19639" xr:uid="{00000000-0005-0000-0000-000067340000}"/>
    <cellStyle name="40% - Accent1 2 4 2 2 4 2 2" xfId="30007" xr:uid="{00000000-0005-0000-0000-000068340000}"/>
    <cellStyle name="40% - Accent1 2 4 2 2 4 2 2 2" xfId="49196" xr:uid="{00000000-0005-0000-0000-000069340000}"/>
    <cellStyle name="40% - Accent1 2 4 2 2 4 2 3" xfId="39498" xr:uid="{00000000-0005-0000-0000-00006A340000}"/>
    <cellStyle name="40% - Accent1 2 4 2 2 4 3" xfId="25552" xr:uid="{00000000-0005-0000-0000-00006B340000}"/>
    <cellStyle name="40% - Accent1 2 4 2 2 4 3 2" xfId="44741" xr:uid="{00000000-0005-0000-0000-00006C340000}"/>
    <cellStyle name="40% - Accent1 2 4 2 2 4 4" xfId="35043" xr:uid="{00000000-0005-0000-0000-00006D340000}"/>
    <cellStyle name="40% - Accent1 2 4 2 2 5" xfId="16845" xr:uid="{00000000-0005-0000-0000-00006E340000}"/>
    <cellStyle name="40% - Accent1 2 4 2 2 5 2" xfId="21309" xr:uid="{00000000-0005-0000-0000-00006F340000}"/>
    <cellStyle name="40% - Accent1 2 4 2 2 5 2 2" xfId="31677" xr:uid="{00000000-0005-0000-0000-000070340000}"/>
    <cellStyle name="40% - Accent1 2 4 2 2 5 2 2 2" xfId="50866" xr:uid="{00000000-0005-0000-0000-000071340000}"/>
    <cellStyle name="40% - Accent1 2 4 2 2 5 2 3" xfId="41168" xr:uid="{00000000-0005-0000-0000-000072340000}"/>
    <cellStyle name="40% - Accent1 2 4 2 2 5 3" xfId="27222" xr:uid="{00000000-0005-0000-0000-000073340000}"/>
    <cellStyle name="40% - Accent1 2 4 2 2 5 3 2" xfId="46411" xr:uid="{00000000-0005-0000-0000-000074340000}"/>
    <cellStyle name="40% - Accent1 2 4 2 2 5 4" xfId="36713" xr:uid="{00000000-0005-0000-0000-000075340000}"/>
    <cellStyle name="40% - Accent1 2 4 2 2 6" xfId="17411" xr:uid="{00000000-0005-0000-0000-000076340000}"/>
    <cellStyle name="40% - Accent1 2 4 2 2 6 2" xfId="21866" xr:uid="{00000000-0005-0000-0000-000077340000}"/>
    <cellStyle name="40% - Accent1 2 4 2 2 6 2 2" xfId="32234" xr:uid="{00000000-0005-0000-0000-000078340000}"/>
    <cellStyle name="40% - Accent1 2 4 2 2 6 2 2 2" xfId="51423" xr:uid="{00000000-0005-0000-0000-000079340000}"/>
    <cellStyle name="40% - Accent1 2 4 2 2 6 2 3" xfId="41725" xr:uid="{00000000-0005-0000-0000-00007A340000}"/>
    <cellStyle name="40% - Accent1 2 4 2 2 6 3" xfId="27779" xr:uid="{00000000-0005-0000-0000-00007B340000}"/>
    <cellStyle name="40% - Accent1 2 4 2 2 6 3 2" xfId="46968" xr:uid="{00000000-0005-0000-0000-00007C340000}"/>
    <cellStyle name="40% - Accent1 2 4 2 2 6 4" xfId="37270" xr:uid="{00000000-0005-0000-0000-00007D340000}"/>
    <cellStyle name="40% - Accent1 2 4 2 2 7" xfId="17968" xr:uid="{00000000-0005-0000-0000-00007E340000}"/>
    <cellStyle name="40% - Accent1 2 4 2 2 7 2" xfId="28336" xr:uid="{00000000-0005-0000-0000-00007F340000}"/>
    <cellStyle name="40% - Accent1 2 4 2 2 7 2 2" xfId="47525" xr:uid="{00000000-0005-0000-0000-000080340000}"/>
    <cellStyle name="40% - Accent1 2 4 2 2 7 3" xfId="37827" xr:uid="{00000000-0005-0000-0000-000081340000}"/>
    <cellStyle name="40% - Accent1 2 4 2 2 8" xfId="23831" xr:uid="{00000000-0005-0000-0000-000082340000}"/>
    <cellStyle name="40% - Accent1 2 4 2 2 8 2" xfId="43070" xr:uid="{00000000-0005-0000-0000-000083340000}"/>
    <cellStyle name="40% - Accent1 2 4 2 2 9" xfId="33372" xr:uid="{00000000-0005-0000-0000-000084340000}"/>
    <cellStyle name="40% - Accent1 2 4 2 3" xfId="13081" xr:uid="{00000000-0005-0000-0000-000085340000}"/>
    <cellStyle name="40% - Accent1 2 4 2 3 10" xfId="53647" xr:uid="{00000000-0005-0000-0000-000086340000}"/>
    <cellStyle name="40% - Accent1 2 4 2 3 2" xfId="14025" xr:uid="{00000000-0005-0000-0000-000087340000}"/>
    <cellStyle name="40% - Accent1 2 4 2 3 2 2" xfId="16289" xr:uid="{00000000-0005-0000-0000-000088340000}"/>
    <cellStyle name="40% - Accent1 2 4 2 3 2 2 2" xfId="20753" xr:uid="{00000000-0005-0000-0000-000089340000}"/>
    <cellStyle name="40% - Accent1 2 4 2 3 2 2 2 2" xfId="31121" xr:uid="{00000000-0005-0000-0000-00008A340000}"/>
    <cellStyle name="40% - Accent1 2 4 2 3 2 2 2 2 2" xfId="50310" xr:uid="{00000000-0005-0000-0000-00008B340000}"/>
    <cellStyle name="40% - Accent1 2 4 2 3 2 2 2 3" xfId="40612" xr:uid="{00000000-0005-0000-0000-00008C340000}"/>
    <cellStyle name="40% - Accent1 2 4 2 3 2 2 3" xfId="26666" xr:uid="{00000000-0005-0000-0000-00008D340000}"/>
    <cellStyle name="40% - Accent1 2 4 2 3 2 2 3 2" xfId="45855" xr:uid="{00000000-0005-0000-0000-00008E340000}"/>
    <cellStyle name="40% - Accent1 2 4 2 3 2 2 4" xfId="36157" xr:uid="{00000000-0005-0000-0000-00008F340000}"/>
    <cellStyle name="40% - Accent1 2 4 2 3 2 3" xfId="18525" xr:uid="{00000000-0005-0000-0000-000090340000}"/>
    <cellStyle name="40% - Accent1 2 4 2 3 2 3 2" xfId="28893" xr:uid="{00000000-0005-0000-0000-000091340000}"/>
    <cellStyle name="40% - Accent1 2 4 2 3 2 3 2 2" xfId="48082" xr:uid="{00000000-0005-0000-0000-000092340000}"/>
    <cellStyle name="40% - Accent1 2 4 2 3 2 3 3" xfId="38384" xr:uid="{00000000-0005-0000-0000-000093340000}"/>
    <cellStyle name="40% - Accent1 2 4 2 3 2 4" xfId="24433" xr:uid="{00000000-0005-0000-0000-000094340000}"/>
    <cellStyle name="40% - Accent1 2 4 2 3 2 4 2" xfId="43627" xr:uid="{00000000-0005-0000-0000-000095340000}"/>
    <cellStyle name="40% - Accent1 2 4 2 3 2 5" xfId="33929" xr:uid="{00000000-0005-0000-0000-000096340000}"/>
    <cellStyle name="40% - Accent1 2 4 2 3 3" xfId="14604" xr:uid="{00000000-0005-0000-0000-000097340000}"/>
    <cellStyle name="40% - Accent1 2 4 2 3 3 2" xfId="15733" xr:uid="{00000000-0005-0000-0000-000098340000}"/>
    <cellStyle name="40% - Accent1 2 4 2 3 3 2 2" xfId="20197" xr:uid="{00000000-0005-0000-0000-000099340000}"/>
    <cellStyle name="40% - Accent1 2 4 2 3 3 2 2 2" xfId="30565" xr:uid="{00000000-0005-0000-0000-00009A340000}"/>
    <cellStyle name="40% - Accent1 2 4 2 3 3 2 2 2 2" xfId="49754" xr:uid="{00000000-0005-0000-0000-00009B340000}"/>
    <cellStyle name="40% - Accent1 2 4 2 3 3 2 2 3" xfId="40056" xr:uid="{00000000-0005-0000-0000-00009C340000}"/>
    <cellStyle name="40% - Accent1 2 4 2 3 3 2 3" xfId="26110" xr:uid="{00000000-0005-0000-0000-00009D340000}"/>
    <cellStyle name="40% - Accent1 2 4 2 3 3 2 3 2" xfId="45299" xr:uid="{00000000-0005-0000-0000-00009E340000}"/>
    <cellStyle name="40% - Accent1 2 4 2 3 3 2 4" xfId="35601" xr:uid="{00000000-0005-0000-0000-00009F340000}"/>
    <cellStyle name="40% - Accent1 2 4 2 3 3 3" xfId="19082" xr:uid="{00000000-0005-0000-0000-0000A0340000}"/>
    <cellStyle name="40% - Accent1 2 4 2 3 3 3 2" xfId="29450" xr:uid="{00000000-0005-0000-0000-0000A1340000}"/>
    <cellStyle name="40% - Accent1 2 4 2 3 3 3 2 2" xfId="48639" xr:uid="{00000000-0005-0000-0000-0000A2340000}"/>
    <cellStyle name="40% - Accent1 2 4 2 3 3 3 3" xfId="38941" xr:uid="{00000000-0005-0000-0000-0000A3340000}"/>
    <cellStyle name="40% - Accent1 2 4 2 3 3 4" xfId="24995" xr:uid="{00000000-0005-0000-0000-0000A4340000}"/>
    <cellStyle name="40% - Accent1 2 4 2 3 3 4 2" xfId="44184" xr:uid="{00000000-0005-0000-0000-0000A5340000}"/>
    <cellStyle name="40% - Accent1 2 4 2 3 3 5" xfId="34486" xr:uid="{00000000-0005-0000-0000-0000A6340000}"/>
    <cellStyle name="40% - Accent1 2 4 2 3 4" xfId="15176" xr:uid="{00000000-0005-0000-0000-0000A7340000}"/>
    <cellStyle name="40% - Accent1 2 4 2 3 4 2" xfId="19640" xr:uid="{00000000-0005-0000-0000-0000A8340000}"/>
    <cellStyle name="40% - Accent1 2 4 2 3 4 2 2" xfId="30008" xr:uid="{00000000-0005-0000-0000-0000A9340000}"/>
    <cellStyle name="40% - Accent1 2 4 2 3 4 2 2 2" xfId="49197" xr:uid="{00000000-0005-0000-0000-0000AA340000}"/>
    <cellStyle name="40% - Accent1 2 4 2 3 4 2 3" xfId="39499" xr:uid="{00000000-0005-0000-0000-0000AB340000}"/>
    <cellStyle name="40% - Accent1 2 4 2 3 4 3" xfId="25553" xr:uid="{00000000-0005-0000-0000-0000AC340000}"/>
    <cellStyle name="40% - Accent1 2 4 2 3 4 3 2" xfId="44742" xr:uid="{00000000-0005-0000-0000-0000AD340000}"/>
    <cellStyle name="40% - Accent1 2 4 2 3 4 4" xfId="35044" xr:uid="{00000000-0005-0000-0000-0000AE340000}"/>
    <cellStyle name="40% - Accent1 2 4 2 3 5" xfId="16846" xr:uid="{00000000-0005-0000-0000-0000AF340000}"/>
    <cellStyle name="40% - Accent1 2 4 2 3 5 2" xfId="21310" xr:uid="{00000000-0005-0000-0000-0000B0340000}"/>
    <cellStyle name="40% - Accent1 2 4 2 3 5 2 2" xfId="31678" xr:uid="{00000000-0005-0000-0000-0000B1340000}"/>
    <cellStyle name="40% - Accent1 2 4 2 3 5 2 2 2" xfId="50867" xr:uid="{00000000-0005-0000-0000-0000B2340000}"/>
    <cellStyle name="40% - Accent1 2 4 2 3 5 2 3" xfId="41169" xr:uid="{00000000-0005-0000-0000-0000B3340000}"/>
    <cellStyle name="40% - Accent1 2 4 2 3 5 3" xfId="27223" xr:uid="{00000000-0005-0000-0000-0000B4340000}"/>
    <cellStyle name="40% - Accent1 2 4 2 3 5 3 2" xfId="46412" xr:uid="{00000000-0005-0000-0000-0000B5340000}"/>
    <cellStyle name="40% - Accent1 2 4 2 3 5 4" xfId="36714" xr:uid="{00000000-0005-0000-0000-0000B6340000}"/>
    <cellStyle name="40% - Accent1 2 4 2 3 6" xfId="17412" xr:uid="{00000000-0005-0000-0000-0000B7340000}"/>
    <cellStyle name="40% - Accent1 2 4 2 3 6 2" xfId="21867" xr:uid="{00000000-0005-0000-0000-0000B8340000}"/>
    <cellStyle name="40% - Accent1 2 4 2 3 6 2 2" xfId="32235" xr:uid="{00000000-0005-0000-0000-0000B9340000}"/>
    <cellStyle name="40% - Accent1 2 4 2 3 6 2 2 2" xfId="51424" xr:uid="{00000000-0005-0000-0000-0000BA340000}"/>
    <cellStyle name="40% - Accent1 2 4 2 3 6 2 3" xfId="41726" xr:uid="{00000000-0005-0000-0000-0000BB340000}"/>
    <cellStyle name="40% - Accent1 2 4 2 3 6 3" xfId="27780" xr:uid="{00000000-0005-0000-0000-0000BC340000}"/>
    <cellStyle name="40% - Accent1 2 4 2 3 6 3 2" xfId="46969" xr:uid="{00000000-0005-0000-0000-0000BD340000}"/>
    <cellStyle name="40% - Accent1 2 4 2 3 6 4" xfId="37271" xr:uid="{00000000-0005-0000-0000-0000BE340000}"/>
    <cellStyle name="40% - Accent1 2 4 2 3 7" xfId="17969" xr:uid="{00000000-0005-0000-0000-0000BF340000}"/>
    <cellStyle name="40% - Accent1 2 4 2 3 7 2" xfId="28337" xr:uid="{00000000-0005-0000-0000-0000C0340000}"/>
    <cellStyle name="40% - Accent1 2 4 2 3 7 2 2" xfId="47526" xr:uid="{00000000-0005-0000-0000-0000C1340000}"/>
    <cellStyle name="40% - Accent1 2 4 2 3 7 3" xfId="37828" xr:uid="{00000000-0005-0000-0000-0000C2340000}"/>
    <cellStyle name="40% - Accent1 2 4 2 3 8" xfId="23832" xr:uid="{00000000-0005-0000-0000-0000C3340000}"/>
    <cellStyle name="40% - Accent1 2 4 2 3 8 2" xfId="43071" xr:uid="{00000000-0005-0000-0000-0000C4340000}"/>
    <cellStyle name="40% - Accent1 2 4 2 3 9" xfId="33373" xr:uid="{00000000-0005-0000-0000-0000C5340000}"/>
    <cellStyle name="40% - Accent1 2 4 2 4" xfId="14023" xr:uid="{00000000-0005-0000-0000-0000C6340000}"/>
    <cellStyle name="40% - Accent1 2 4 2 4 2" xfId="16287" xr:uid="{00000000-0005-0000-0000-0000C7340000}"/>
    <cellStyle name="40% - Accent1 2 4 2 4 2 2" xfId="20751" xr:uid="{00000000-0005-0000-0000-0000C8340000}"/>
    <cellStyle name="40% - Accent1 2 4 2 4 2 2 2" xfId="31119" xr:uid="{00000000-0005-0000-0000-0000C9340000}"/>
    <cellStyle name="40% - Accent1 2 4 2 4 2 2 2 2" xfId="50308" xr:uid="{00000000-0005-0000-0000-0000CA340000}"/>
    <cellStyle name="40% - Accent1 2 4 2 4 2 2 3" xfId="40610" xr:uid="{00000000-0005-0000-0000-0000CB340000}"/>
    <cellStyle name="40% - Accent1 2 4 2 4 2 3" xfId="26664" xr:uid="{00000000-0005-0000-0000-0000CC340000}"/>
    <cellStyle name="40% - Accent1 2 4 2 4 2 3 2" xfId="45853" xr:uid="{00000000-0005-0000-0000-0000CD340000}"/>
    <cellStyle name="40% - Accent1 2 4 2 4 2 4" xfId="36155" xr:uid="{00000000-0005-0000-0000-0000CE340000}"/>
    <cellStyle name="40% - Accent1 2 4 2 4 3" xfId="18523" xr:uid="{00000000-0005-0000-0000-0000CF340000}"/>
    <cellStyle name="40% - Accent1 2 4 2 4 3 2" xfId="28891" xr:uid="{00000000-0005-0000-0000-0000D0340000}"/>
    <cellStyle name="40% - Accent1 2 4 2 4 3 2 2" xfId="48080" xr:uid="{00000000-0005-0000-0000-0000D1340000}"/>
    <cellStyle name="40% - Accent1 2 4 2 4 3 3" xfId="38382" xr:uid="{00000000-0005-0000-0000-0000D2340000}"/>
    <cellStyle name="40% - Accent1 2 4 2 4 4" xfId="24431" xr:uid="{00000000-0005-0000-0000-0000D3340000}"/>
    <cellStyle name="40% - Accent1 2 4 2 4 4 2" xfId="43625" xr:uid="{00000000-0005-0000-0000-0000D4340000}"/>
    <cellStyle name="40% - Accent1 2 4 2 4 5" xfId="33927" xr:uid="{00000000-0005-0000-0000-0000D5340000}"/>
    <cellStyle name="40% - Accent1 2 4 2 5" xfId="14602" xr:uid="{00000000-0005-0000-0000-0000D6340000}"/>
    <cellStyle name="40% - Accent1 2 4 2 5 2" xfId="15731" xr:uid="{00000000-0005-0000-0000-0000D7340000}"/>
    <cellStyle name="40% - Accent1 2 4 2 5 2 2" xfId="20195" xr:uid="{00000000-0005-0000-0000-0000D8340000}"/>
    <cellStyle name="40% - Accent1 2 4 2 5 2 2 2" xfId="30563" xr:uid="{00000000-0005-0000-0000-0000D9340000}"/>
    <cellStyle name="40% - Accent1 2 4 2 5 2 2 2 2" xfId="49752" xr:uid="{00000000-0005-0000-0000-0000DA340000}"/>
    <cellStyle name="40% - Accent1 2 4 2 5 2 2 3" xfId="40054" xr:uid="{00000000-0005-0000-0000-0000DB340000}"/>
    <cellStyle name="40% - Accent1 2 4 2 5 2 3" xfId="26108" xr:uid="{00000000-0005-0000-0000-0000DC340000}"/>
    <cellStyle name="40% - Accent1 2 4 2 5 2 3 2" xfId="45297" xr:uid="{00000000-0005-0000-0000-0000DD340000}"/>
    <cellStyle name="40% - Accent1 2 4 2 5 2 4" xfId="35599" xr:uid="{00000000-0005-0000-0000-0000DE340000}"/>
    <cellStyle name="40% - Accent1 2 4 2 5 3" xfId="19080" xr:uid="{00000000-0005-0000-0000-0000DF340000}"/>
    <cellStyle name="40% - Accent1 2 4 2 5 3 2" xfId="29448" xr:uid="{00000000-0005-0000-0000-0000E0340000}"/>
    <cellStyle name="40% - Accent1 2 4 2 5 3 2 2" xfId="48637" xr:uid="{00000000-0005-0000-0000-0000E1340000}"/>
    <cellStyle name="40% - Accent1 2 4 2 5 3 3" xfId="38939" xr:uid="{00000000-0005-0000-0000-0000E2340000}"/>
    <cellStyle name="40% - Accent1 2 4 2 5 4" xfId="24993" xr:uid="{00000000-0005-0000-0000-0000E3340000}"/>
    <cellStyle name="40% - Accent1 2 4 2 5 4 2" xfId="44182" xr:uid="{00000000-0005-0000-0000-0000E4340000}"/>
    <cellStyle name="40% - Accent1 2 4 2 5 5" xfId="34484" xr:uid="{00000000-0005-0000-0000-0000E5340000}"/>
    <cellStyle name="40% - Accent1 2 4 2 6" xfId="15174" xr:uid="{00000000-0005-0000-0000-0000E6340000}"/>
    <cellStyle name="40% - Accent1 2 4 2 6 2" xfId="19638" xr:uid="{00000000-0005-0000-0000-0000E7340000}"/>
    <cellStyle name="40% - Accent1 2 4 2 6 2 2" xfId="30006" xr:uid="{00000000-0005-0000-0000-0000E8340000}"/>
    <cellStyle name="40% - Accent1 2 4 2 6 2 2 2" xfId="49195" xr:uid="{00000000-0005-0000-0000-0000E9340000}"/>
    <cellStyle name="40% - Accent1 2 4 2 6 2 3" xfId="39497" xr:uid="{00000000-0005-0000-0000-0000EA340000}"/>
    <cellStyle name="40% - Accent1 2 4 2 6 3" xfId="25551" xr:uid="{00000000-0005-0000-0000-0000EB340000}"/>
    <cellStyle name="40% - Accent1 2 4 2 6 3 2" xfId="44740" xr:uid="{00000000-0005-0000-0000-0000EC340000}"/>
    <cellStyle name="40% - Accent1 2 4 2 6 4" xfId="35042" xr:uid="{00000000-0005-0000-0000-0000ED340000}"/>
    <cellStyle name="40% - Accent1 2 4 2 7" xfId="16844" xr:uid="{00000000-0005-0000-0000-0000EE340000}"/>
    <cellStyle name="40% - Accent1 2 4 2 7 2" xfId="21308" xr:uid="{00000000-0005-0000-0000-0000EF340000}"/>
    <cellStyle name="40% - Accent1 2 4 2 7 2 2" xfId="31676" xr:uid="{00000000-0005-0000-0000-0000F0340000}"/>
    <cellStyle name="40% - Accent1 2 4 2 7 2 2 2" xfId="50865" xr:uid="{00000000-0005-0000-0000-0000F1340000}"/>
    <cellStyle name="40% - Accent1 2 4 2 7 2 3" xfId="41167" xr:uid="{00000000-0005-0000-0000-0000F2340000}"/>
    <cellStyle name="40% - Accent1 2 4 2 7 3" xfId="27221" xr:uid="{00000000-0005-0000-0000-0000F3340000}"/>
    <cellStyle name="40% - Accent1 2 4 2 7 3 2" xfId="46410" xr:uid="{00000000-0005-0000-0000-0000F4340000}"/>
    <cellStyle name="40% - Accent1 2 4 2 7 4" xfId="36712" xr:uid="{00000000-0005-0000-0000-0000F5340000}"/>
    <cellStyle name="40% - Accent1 2 4 2 8" xfId="17410" xr:uid="{00000000-0005-0000-0000-0000F6340000}"/>
    <cellStyle name="40% - Accent1 2 4 2 8 2" xfId="21865" xr:uid="{00000000-0005-0000-0000-0000F7340000}"/>
    <cellStyle name="40% - Accent1 2 4 2 8 2 2" xfId="32233" xr:uid="{00000000-0005-0000-0000-0000F8340000}"/>
    <cellStyle name="40% - Accent1 2 4 2 8 2 2 2" xfId="51422" xr:uid="{00000000-0005-0000-0000-0000F9340000}"/>
    <cellStyle name="40% - Accent1 2 4 2 8 2 3" xfId="41724" xr:uid="{00000000-0005-0000-0000-0000FA340000}"/>
    <cellStyle name="40% - Accent1 2 4 2 8 3" xfId="27778" xr:uid="{00000000-0005-0000-0000-0000FB340000}"/>
    <cellStyle name="40% - Accent1 2 4 2 8 3 2" xfId="46967" xr:uid="{00000000-0005-0000-0000-0000FC340000}"/>
    <cellStyle name="40% - Accent1 2 4 2 8 4" xfId="37269" xr:uid="{00000000-0005-0000-0000-0000FD340000}"/>
    <cellStyle name="40% - Accent1 2 4 2 9" xfId="17967" xr:uid="{00000000-0005-0000-0000-0000FE340000}"/>
    <cellStyle name="40% - Accent1 2 4 2 9 2" xfId="28335" xr:uid="{00000000-0005-0000-0000-0000FF340000}"/>
    <cellStyle name="40% - Accent1 2 4 2 9 2 2" xfId="47524" xr:uid="{00000000-0005-0000-0000-000000350000}"/>
    <cellStyle name="40% - Accent1 2 4 2 9 3" xfId="37826" xr:uid="{00000000-0005-0000-0000-000001350000}"/>
    <cellStyle name="40% - Accent1 2 4 3" xfId="13082" xr:uid="{00000000-0005-0000-0000-000002350000}"/>
    <cellStyle name="40% - Accent1 2 4 3 10" xfId="23833" xr:uid="{00000000-0005-0000-0000-000003350000}"/>
    <cellStyle name="40% - Accent1 2 4 3 10 2" xfId="43072" xr:uid="{00000000-0005-0000-0000-000004350000}"/>
    <cellStyle name="40% - Accent1 2 4 3 11" xfId="33374" xr:uid="{00000000-0005-0000-0000-000005350000}"/>
    <cellStyle name="40% - Accent1 2 4 3 12" xfId="52972" xr:uid="{00000000-0005-0000-0000-000006350000}"/>
    <cellStyle name="40% - Accent1 2 4 3 2" xfId="13083" xr:uid="{00000000-0005-0000-0000-000007350000}"/>
    <cellStyle name="40% - Accent1 2 4 3 2 10" xfId="53847" xr:uid="{00000000-0005-0000-0000-000008350000}"/>
    <cellStyle name="40% - Accent1 2 4 3 2 2" xfId="14027" xr:uid="{00000000-0005-0000-0000-000009350000}"/>
    <cellStyle name="40% - Accent1 2 4 3 2 2 2" xfId="16291" xr:uid="{00000000-0005-0000-0000-00000A350000}"/>
    <cellStyle name="40% - Accent1 2 4 3 2 2 2 2" xfId="20755" xr:uid="{00000000-0005-0000-0000-00000B350000}"/>
    <cellStyle name="40% - Accent1 2 4 3 2 2 2 2 2" xfId="31123" xr:uid="{00000000-0005-0000-0000-00000C350000}"/>
    <cellStyle name="40% - Accent1 2 4 3 2 2 2 2 2 2" xfId="50312" xr:uid="{00000000-0005-0000-0000-00000D350000}"/>
    <cellStyle name="40% - Accent1 2 4 3 2 2 2 2 3" xfId="40614" xr:uid="{00000000-0005-0000-0000-00000E350000}"/>
    <cellStyle name="40% - Accent1 2 4 3 2 2 2 3" xfId="26668" xr:uid="{00000000-0005-0000-0000-00000F350000}"/>
    <cellStyle name="40% - Accent1 2 4 3 2 2 2 3 2" xfId="45857" xr:uid="{00000000-0005-0000-0000-000010350000}"/>
    <cellStyle name="40% - Accent1 2 4 3 2 2 2 4" xfId="36159" xr:uid="{00000000-0005-0000-0000-000011350000}"/>
    <cellStyle name="40% - Accent1 2 4 3 2 2 3" xfId="18527" xr:uid="{00000000-0005-0000-0000-000012350000}"/>
    <cellStyle name="40% - Accent1 2 4 3 2 2 3 2" xfId="28895" xr:uid="{00000000-0005-0000-0000-000013350000}"/>
    <cellStyle name="40% - Accent1 2 4 3 2 2 3 2 2" xfId="48084" xr:uid="{00000000-0005-0000-0000-000014350000}"/>
    <cellStyle name="40% - Accent1 2 4 3 2 2 3 3" xfId="38386" xr:uid="{00000000-0005-0000-0000-000015350000}"/>
    <cellStyle name="40% - Accent1 2 4 3 2 2 4" xfId="24435" xr:uid="{00000000-0005-0000-0000-000016350000}"/>
    <cellStyle name="40% - Accent1 2 4 3 2 2 4 2" xfId="43629" xr:uid="{00000000-0005-0000-0000-000017350000}"/>
    <cellStyle name="40% - Accent1 2 4 3 2 2 5" xfId="33931" xr:uid="{00000000-0005-0000-0000-000018350000}"/>
    <cellStyle name="40% - Accent1 2 4 3 2 3" xfId="14606" xr:uid="{00000000-0005-0000-0000-000019350000}"/>
    <cellStyle name="40% - Accent1 2 4 3 2 3 2" xfId="15735" xr:uid="{00000000-0005-0000-0000-00001A350000}"/>
    <cellStyle name="40% - Accent1 2 4 3 2 3 2 2" xfId="20199" xr:uid="{00000000-0005-0000-0000-00001B350000}"/>
    <cellStyle name="40% - Accent1 2 4 3 2 3 2 2 2" xfId="30567" xr:uid="{00000000-0005-0000-0000-00001C350000}"/>
    <cellStyle name="40% - Accent1 2 4 3 2 3 2 2 2 2" xfId="49756" xr:uid="{00000000-0005-0000-0000-00001D350000}"/>
    <cellStyle name="40% - Accent1 2 4 3 2 3 2 2 3" xfId="40058" xr:uid="{00000000-0005-0000-0000-00001E350000}"/>
    <cellStyle name="40% - Accent1 2 4 3 2 3 2 3" xfId="26112" xr:uid="{00000000-0005-0000-0000-00001F350000}"/>
    <cellStyle name="40% - Accent1 2 4 3 2 3 2 3 2" xfId="45301" xr:uid="{00000000-0005-0000-0000-000020350000}"/>
    <cellStyle name="40% - Accent1 2 4 3 2 3 2 4" xfId="35603" xr:uid="{00000000-0005-0000-0000-000021350000}"/>
    <cellStyle name="40% - Accent1 2 4 3 2 3 3" xfId="19084" xr:uid="{00000000-0005-0000-0000-000022350000}"/>
    <cellStyle name="40% - Accent1 2 4 3 2 3 3 2" xfId="29452" xr:uid="{00000000-0005-0000-0000-000023350000}"/>
    <cellStyle name="40% - Accent1 2 4 3 2 3 3 2 2" xfId="48641" xr:uid="{00000000-0005-0000-0000-000024350000}"/>
    <cellStyle name="40% - Accent1 2 4 3 2 3 3 3" xfId="38943" xr:uid="{00000000-0005-0000-0000-000025350000}"/>
    <cellStyle name="40% - Accent1 2 4 3 2 3 4" xfId="24997" xr:uid="{00000000-0005-0000-0000-000026350000}"/>
    <cellStyle name="40% - Accent1 2 4 3 2 3 4 2" xfId="44186" xr:uid="{00000000-0005-0000-0000-000027350000}"/>
    <cellStyle name="40% - Accent1 2 4 3 2 3 5" xfId="34488" xr:uid="{00000000-0005-0000-0000-000028350000}"/>
    <cellStyle name="40% - Accent1 2 4 3 2 4" xfId="15178" xr:uid="{00000000-0005-0000-0000-000029350000}"/>
    <cellStyle name="40% - Accent1 2 4 3 2 4 2" xfId="19642" xr:uid="{00000000-0005-0000-0000-00002A350000}"/>
    <cellStyle name="40% - Accent1 2 4 3 2 4 2 2" xfId="30010" xr:uid="{00000000-0005-0000-0000-00002B350000}"/>
    <cellStyle name="40% - Accent1 2 4 3 2 4 2 2 2" xfId="49199" xr:uid="{00000000-0005-0000-0000-00002C350000}"/>
    <cellStyle name="40% - Accent1 2 4 3 2 4 2 3" xfId="39501" xr:uid="{00000000-0005-0000-0000-00002D350000}"/>
    <cellStyle name="40% - Accent1 2 4 3 2 4 3" xfId="25555" xr:uid="{00000000-0005-0000-0000-00002E350000}"/>
    <cellStyle name="40% - Accent1 2 4 3 2 4 3 2" xfId="44744" xr:uid="{00000000-0005-0000-0000-00002F350000}"/>
    <cellStyle name="40% - Accent1 2 4 3 2 4 4" xfId="35046" xr:uid="{00000000-0005-0000-0000-000030350000}"/>
    <cellStyle name="40% - Accent1 2 4 3 2 5" xfId="16848" xr:uid="{00000000-0005-0000-0000-000031350000}"/>
    <cellStyle name="40% - Accent1 2 4 3 2 5 2" xfId="21312" xr:uid="{00000000-0005-0000-0000-000032350000}"/>
    <cellStyle name="40% - Accent1 2 4 3 2 5 2 2" xfId="31680" xr:uid="{00000000-0005-0000-0000-000033350000}"/>
    <cellStyle name="40% - Accent1 2 4 3 2 5 2 2 2" xfId="50869" xr:uid="{00000000-0005-0000-0000-000034350000}"/>
    <cellStyle name="40% - Accent1 2 4 3 2 5 2 3" xfId="41171" xr:uid="{00000000-0005-0000-0000-000035350000}"/>
    <cellStyle name="40% - Accent1 2 4 3 2 5 3" xfId="27225" xr:uid="{00000000-0005-0000-0000-000036350000}"/>
    <cellStyle name="40% - Accent1 2 4 3 2 5 3 2" xfId="46414" xr:uid="{00000000-0005-0000-0000-000037350000}"/>
    <cellStyle name="40% - Accent1 2 4 3 2 5 4" xfId="36716" xr:uid="{00000000-0005-0000-0000-000038350000}"/>
    <cellStyle name="40% - Accent1 2 4 3 2 6" xfId="17414" xr:uid="{00000000-0005-0000-0000-000039350000}"/>
    <cellStyle name="40% - Accent1 2 4 3 2 6 2" xfId="21869" xr:uid="{00000000-0005-0000-0000-00003A350000}"/>
    <cellStyle name="40% - Accent1 2 4 3 2 6 2 2" xfId="32237" xr:uid="{00000000-0005-0000-0000-00003B350000}"/>
    <cellStyle name="40% - Accent1 2 4 3 2 6 2 2 2" xfId="51426" xr:uid="{00000000-0005-0000-0000-00003C350000}"/>
    <cellStyle name="40% - Accent1 2 4 3 2 6 2 3" xfId="41728" xr:uid="{00000000-0005-0000-0000-00003D350000}"/>
    <cellStyle name="40% - Accent1 2 4 3 2 6 3" xfId="27782" xr:uid="{00000000-0005-0000-0000-00003E350000}"/>
    <cellStyle name="40% - Accent1 2 4 3 2 6 3 2" xfId="46971" xr:uid="{00000000-0005-0000-0000-00003F350000}"/>
    <cellStyle name="40% - Accent1 2 4 3 2 6 4" xfId="37273" xr:uid="{00000000-0005-0000-0000-000040350000}"/>
    <cellStyle name="40% - Accent1 2 4 3 2 7" xfId="17971" xr:uid="{00000000-0005-0000-0000-000041350000}"/>
    <cellStyle name="40% - Accent1 2 4 3 2 7 2" xfId="28339" xr:uid="{00000000-0005-0000-0000-000042350000}"/>
    <cellStyle name="40% - Accent1 2 4 3 2 7 2 2" xfId="47528" xr:uid="{00000000-0005-0000-0000-000043350000}"/>
    <cellStyle name="40% - Accent1 2 4 3 2 7 3" xfId="37830" xr:uid="{00000000-0005-0000-0000-000044350000}"/>
    <cellStyle name="40% - Accent1 2 4 3 2 8" xfId="23834" xr:uid="{00000000-0005-0000-0000-000045350000}"/>
    <cellStyle name="40% - Accent1 2 4 3 2 8 2" xfId="43073" xr:uid="{00000000-0005-0000-0000-000046350000}"/>
    <cellStyle name="40% - Accent1 2 4 3 2 9" xfId="33375" xr:uid="{00000000-0005-0000-0000-000047350000}"/>
    <cellStyle name="40% - Accent1 2 4 3 3" xfId="13084" xr:uid="{00000000-0005-0000-0000-000048350000}"/>
    <cellStyle name="40% - Accent1 2 4 3 3 2" xfId="14028" xr:uid="{00000000-0005-0000-0000-000049350000}"/>
    <cellStyle name="40% - Accent1 2 4 3 3 2 2" xfId="16292" xr:uid="{00000000-0005-0000-0000-00004A350000}"/>
    <cellStyle name="40% - Accent1 2 4 3 3 2 2 2" xfId="20756" xr:uid="{00000000-0005-0000-0000-00004B350000}"/>
    <cellStyle name="40% - Accent1 2 4 3 3 2 2 2 2" xfId="31124" xr:uid="{00000000-0005-0000-0000-00004C350000}"/>
    <cellStyle name="40% - Accent1 2 4 3 3 2 2 2 2 2" xfId="50313" xr:uid="{00000000-0005-0000-0000-00004D350000}"/>
    <cellStyle name="40% - Accent1 2 4 3 3 2 2 2 3" xfId="40615" xr:uid="{00000000-0005-0000-0000-00004E350000}"/>
    <cellStyle name="40% - Accent1 2 4 3 3 2 2 3" xfId="26669" xr:uid="{00000000-0005-0000-0000-00004F350000}"/>
    <cellStyle name="40% - Accent1 2 4 3 3 2 2 3 2" xfId="45858" xr:uid="{00000000-0005-0000-0000-000050350000}"/>
    <cellStyle name="40% - Accent1 2 4 3 3 2 2 4" xfId="36160" xr:uid="{00000000-0005-0000-0000-000051350000}"/>
    <cellStyle name="40% - Accent1 2 4 3 3 2 3" xfId="18528" xr:uid="{00000000-0005-0000-0000-000052350000}"/>
    <cellStyle name="40% - Accent1 2 4 3 3 2 3 2" xfId="28896" xr:uid="{00000000-0005-0000-0000-000053350000}"/>
    <cellStyle name="40% - Accent1 2 4 3 3 2 3 2 2" xfId="48085" xr:uid="{00000000-0005-0000-0000-000054350000}"/>
    <cellStyle name="40% - Accent1 2 4 3 3 2 3 3" xfId="38387" xr:uid="{00000000-0005-0000-0000-000055350000}"/>
    <cellStyle name="40% - Accent1 2 4 3 3 2 4" xfId="24436" xr:uid="{00000000-0005-0000-0000-000056350000}"/>
    <cellStyle name="40% - Accent1 2 4 3 3 2 4 2" xfId="43630" xr:uid="{00000000-0005-0000-0000-000057350000}"/>
    <cellStyle name="40% - Accent1 2 4 3 3 2 5" xfId="33932" xr:uid="{00000000-0005-0000-0000-000058350000}"/>
    <cellStyle name="40% - Accent1 2 4 3 3 3" xfId="14607" xr:uid="{00000000-0005-0000-0000-000059350000}"/>
    <cellStyle name="40% - Accent1 2 4 3 3 3 2" xfId="15736" xr:uid="{00000000-0005-0000-0000-00005A350000}"/>
    <cellStyle name="40% - Accent1 2 4 3 3 3 2 2" xfId="20200" xr:uid="{00000000-0005-0000-0000-00005B350000}"/>
    <cellStyle name="40% - Accent1 2 4 3 3 3 2 2 2" xfId="30568" xr:uid="{00000000-0005-0000-0000-00005C350000}"/>
    <cellStyle name="40% - Accent1 2 4 3 3 3 2 2 2 2" xfId="49757" xr:uid="{00000000-0005-0000-0000-00005D350000}"/>
    <cellStyle name="40% - Accent1 2 4 3 3 3 2 2 3" xfId="40059" xr:uid="{00000000-0005-0000-0000-00005E350000}"/>
    <cellStyle name="40% - Accent1 2 4 3 3 3 2 3" xfId="26113" xr:uid="{00000000-0005-0000-0000-00005F350000}"/>
    <cellStyle name="40% - Accent1 2 4 3 3 3 2 3 2" xfId="45302" xr:uid="{00000000-0005-0000-0000-000060350000}"/>
    <cellStyle name="40% - Accent1 2 4 3 3 3 2 4" xfId="35604" xr:uid="{00000000-0005-0000-0000-000061350000}"/>
    <cellStyle name="40% - Accent1 2 4 3 3 3 3" xfId="19085" xr:uid="{00000000-0005-0000-0000-000062350000}"/>
    <cellStyle name="40% - Accent1 2 4 3 3 3 3 2" xfId="29453" xr:uid="{00000000-0005-0000-0000-000063350000}"/>
    <cellStyle name="40% - Accent1 2 4 3 3 3 3 2 2" xfId="48642" xr:uid="{00000000-0005-0000-0000-000064350000}"/>
    <cellStyle name="40% - Accent1 2 4 3 3 3 3 3" xfId="38944" xr:uid="{00000000-0005-0000-0000-000065350000}"/>
    <cellStyle name="40% - Accent1 2 4 3 3 3 4" xfId="24998" xr:uid="{00000000-0005-0000-0000-000066350000}"/>
    <cellStyle name="40% - Accent1 2 4 3 3 3 4 2" xfId="44187" xr:uid="{00000000-0005-0000-0000-000067350000}"/>
    <cellStyle name="40% - Accent1 2 4 3 3 3 5" xfId="34489" xr:uid="{00000000-0005-0000-0000-000068350000}"/>
    <cellStyle name="40% - Accent1 2 4 3 3 4" xfId="15179" xr:uid="{00000000-0005-0000-0000-000069350000}"/>
    <cellStyle name="40% - Accent1 2 4 3 3 4 2" xfId="19643" xr:uid="{00000000-0005-0000-0000-00006A350000}"/>
    <cellStyle name="40% - Accent1 2 4 3 3 4 2 2" xfId="30011" xr:uid="{00000000-0005-0000-0000-00006B350000}"/>
    <cellStyle name="40% - Accent1 2 4 3 3 4 2 2 2" xfId="49200" xr:uid="{00000000-0005-0000-0000-00006C350000}"/>
    <cellStyle name="40% - Accent1 2 4 3 3 4 2 3" xfId="39502" xr:uid="{00000000-0005-0000-0000-00006D350000}"/>
    <cellStyle name="40% - Accent1 2 4 3 3 4 3" xfId="25556" xr:uid="{00000000-0005-0000-0000-00006E350000}"/>
    <cellStyle name="40% - Accent1 2 4 3 3 4 3 2" xfId="44745" xr:uid="{00000000-0005-0000-0000-00006F350000}"/>
    <cellStyle name="40% - Accent1 2 4 3 3 4 4" xfId="35047" xr:uid="{00000000-0005-0000-0000-000070350000}"/>
    <cellStyle name="40% - Accent1 2 4 3 3 5" xfId="16849" xr:uid="{00000000-0005-0000-0000-000071350000}"/>
    <cellStyle name="40% - Accent1 2 4 3 3 5 2" xfId="21313" xr:uid="{00000000-0005-0000-0000-000072350000}"/>
    <cellStyle name="40% - Accent1 2 4 3 3 5 2 2" xfId="31681" xr:uid="{00000000-0005-0000-0000-000073350000}"/>
    <cellStyle name="40% - Accent1 2 4 3 3 5 2 2 2" xfId="50870" xr:uid="{00000000-0005-0000-0000-000074350000}"/>
    <cellStyle name="40% - Accent1 2 4 3 3 5 2 3" xfId="41172" xr:uid="{00000000-0005-0000-0000-000075350000}"/>
    <cellStyle name="40% - Accent1 2 4 3 3 5 3" xfId="27226" xr:uid="{00000000-0005-0000-0000-000076350000}"/>
    <cellStyle name="40% - Accent1 2 4 3 3 5 3 2" xfId="46415" xr:uid="{00000000-0005-0000-0000-000077350000}"/>
    <cellStyle name="40% - Accent1 2 4 3 3 5 4" xfId="36717" xr:uid="{00000000-0005-0000-0000-000078350000}"/>
    <cellStyle name="40% - Accent1 2 4 3 3 6" xfId="17415" xr:uid="{00000000-0005-0000-0000-000079350000}"/>
    <cellStyle name="40% - Accent1 2 4 3 3 6 2" xfId="21870" xr:uid="{00000000-0005-0000-0000-00007A350000}"/>
    <cellStyle name="40% - Accent1 2 4 3 3 6 2 2" xfId="32238" xr:uid="{00000000-0005-0000-0000-00007B350000}"/>
    <cellStyle name="40% - Accent1 2 4 3 3 6 2 2 2" xfId="51427" xr:uid="{00000000-0005-0000-0000-00007C350000}"/>
    <cellStyle name="40% - Accent1 2 4 3 3 6 2 3" xfId="41729" xr:uid="{00000000-0005-0000-0000-00007D350000}"/>
    <cellStyle name="40% - Accent1 2 4 3 3 6 3" xfId="27783" xr:uid="{00000000-0005-0000-0000-00007E350000}"/>
    <cellStyle name="40% - Accent1 2 4 3 3 6 3 2" xfId="46972" xr:uid="{00000000-0005-0000-0000-00007F350000}"/>
    <cellStyle name="40% - Accent1 2 4 3 3 6 4" xfId="37274" xr:uid="{00000000-0005-0000-0000-000080350000}"/>
    <cellStyle name="40% - Accent1 2 4 3 3 7" xfId="17972" xr:uid="{00000000-0005-0000-0000-000081350000}"/>
    <cellStyle name="40% - Accent1 2 4 3 3 7 2" xfId="28340" xr:uid="{00000000-0005-0000-0000-000082350000}"/>
    <cellStyle name="40% - Accent1 2 4 3 3 7 2 2" xfId="47529" xr:uid="{00000000-0005-0000-0000-000083350000}"/>
    <cellStyle name="40% - Accent1 2 4 3 3 7 3" xfId="37831" xr:uid="{00000000-0005-0000-0000-000084350000}"/>
    <cellStyle name="40% - Accent1 2 4 3 3 8" xfId="23835" xr:uid="{00000000-0005-0000-0000-000085350000}"/>
    <cellStyle name="40% - Accent1 2 4 3 3 8 2" xfId="43074" xr:uid="{00000000-0005-0000-0000-000086350000}"/>
    <cellStyle name="40% - Accent1 2 4 3 3 9" xfId="33376" xr:uid="{00000000-0005-0000-0000-000087350000}"/>
    <cellStyle name="40% - Accent1 2 4 3 4" xfId="14026" xr:uid="{00000000-0005-0000-0000-000088350000}"/>
    <cellStyle name="40% - Accent1 2 4 3 4 2" xfId="16290" xr:uid="{00000000-0005-0000-0000-000089350000}"/>
    <cellStyle name="40% - Accent1 2 4 3 4 2 2" xfId="20754" xr:uid="{00000000-0005-0000-0000-00008A350000}"/>
    <cellStyle name="40% - Accent1 2 4 3 4 2 2 2" xfId="31122" xr:uid="{00000000-0005-0000-0000-00008B350000}"/>
    <cellStyle name="40% - Accent1 2 4 3 4 2 2 2 2" xfId="50311" xr:uid="{00000000-0005-0000-0000-00008C350000}"/>
    <cellStyle name="40% - Accent1 2 4 3 4 2 2 3" xfId="40613" xr:uid="{00000000-0005-0000-0000-00008D350000}"/>
    <cellStyle name="40% - Accent1 2 4 3 4 2 3" xfId="26667" xr:uid="{00000000-0005-0000-0000-00008E350000}"/>
    <cellStyle name="40% - Accent1 2 4 3 4 2 3 2" xfId="45856" xr:uid="{00000000-0005-0000-0000-00008F350000}"/>
    <cellStyle name="40% - Accent1 2 4 3 4 2 4" xfId="36158" xr:uid="{00000000-0005-0000-0000-000090350000}"/>
    <cellStyle name="40% - Accent1 2 4 3 4 3" xfId="18526" xr:uid="{00000000-0005-0000-0000-000091350000}"/>
    <cellStyle name="40% - Accent1 2 4 3 4 3 2" xfId="28894" xr:uid="{00000000-0005-0000-0000-000092350000}"/>
    <cellStyle name="40% - Accent1 2 4 3 4 3 2 2" xfId="48083" xr:uid="{00000000-0005-0000-0000-000093350000}"/>
    <cellStyle name="40% - Accent1 2 4 3 4 3 3" xfId="38385" xr:uid="{00000000-0005-0000-0000-000094350000}"/>
    <cellStyle name="40% - Accent1 2 4 3 4 4" xfId="24434" xr:uid="{00000000-0005-0000-0000-000095350000}"/>
    <cellStyle name="40% - Accent1 2 4 3 4 4 2" xfId="43628" xr:uid="{00000000-0005-0000-0000-000096350000}"/>
    <cellStyle name="40% - Accent1 2 4 3 4 5" xfId="33930" xr:uid="{00000000-0005-0000-0000-000097350000}"/>
    <cellStyle name="40% - Accent1 2 4 3 5" xfId="14605" xr:uid="{00000000-0005-0000-0000-000098350000}"/>
    <cellStyle name="40% - Accent1 2 4 3 5 2" xfId="15734" xr:uid="{00000000-0005-0000-0000-000099350000}"/>
    <cellStyle name="40% - Accent1 2 4 3 5 2 2" xfId="20198" xr:uid="{00000000-0005-0000-0000-00009A350000}"/>
    <cellStyle name="40% - Accent1 2 4 3 5 2 2 2" xfId="30566" xr:uid="{00000000-0005-0000-0000-00009B350000}"/>
    <cellStyle name="40% - Accent1 2 4 3 5 2 2 2 2" xfId="49755" xr:uid="{00000000-0005-0000-0000-00009C350000}"/>
    <cellStyle name="40% - Accent1 2 4 3 5 2 2 3" xfId="40057" xr:uid="{00000000-0005-0000-0000-00009D350000}"/>
    <cellStyle name="40% - Accent1 2 4 3 5 2 3" xfId="26111" xr:uid="{00000000-0005-0000-0000-00009E350000}"/>
    <cellStyle name="40% - Accent1 2 4 3 5 2 3 2" xfId="45300" xr:uid="{00000000-0005-0000-0000-00009F350000}"/>
    <cellStyle name="40% - Accent1 2 4 3 5 2 4" xfId="35602" xr:uid="{00000000-0005-0000-0000-0000A0350000}"/>
    <cellStyle name="40% - Accent1 2 4 3 5 3" xfId="19083" xr:uid="{00000000-0005-0000-0000-0000A1350000}"/>
    <cellStyle name="40% - Accent1 2 4 3 5 3 2" xfId="29451" xr:uid="{00000000-0005-0000-0000-0000A2350000}"/>
    <cellStyle name="40% - Accent1 2 4 3 5 3 2 2" xfId="48640" xr:uid="{00000000-0005-0000-0000-0000A3350000}"/>
    <cellStyle name="40% - Accent1 2 4 3 5 3 3" xfId="38942" xr:uid="{00000000-0005-0000-0000-0000A4350000}"/>
    <cellStyle name="40% - Accent1 2 4 3 5 4" xfId="24996" xr:uid="{00000000-0005-0000-0000-0000A5350000}"/>
    <cellStyle name="40% - Accent1 2 4 3 5 4 2" xfId="44185" xr:uid="{00000000-0005-0000-0000-0000A6350000}"/>
    <cellStyle name="40% - Accent1 2 4 3 5 5" xfId="34487" xr:uid="{00000000-0005-0000-0000-0000A7350000}"/>
    <cellStyle name="40% - Accent1 2 4 3 6" xfId="15177" xr:uid="{00000000-0005-0000-0000-0000A8350000}"/>
    <cellStyle name="40% - Accent1 2 4 3 6 2" xfId="19641" xr:uid="{00000000-0005-0000-0000-0000A9350000}"/>
    <cellStyle name="40% - Accent1 2 4 3 6 2 2" xfId="30009" xr:uid="{00000000-0005-0000-0000-0000AA350000}"/>
    <cellStyle name="40% - Accent1 2 4 3 6 2 2 2" xfId="49198" xr:uid="{00000000-0005-0000-0000-0000AB350000}"/>
    <cellStyle name="40% - Accent1 2 4 3 6 2 3" xfId="39500" xr:uid="{00000000-0005-0000-0000-0000AC350000}"/>
    <cellStyle name="40% - Accent1 2 4 3 6 3" xfId="25554" xr:uid="{00000000-0005-0000-0000-0000AD350000}"/>
    <cellStyle name="40% - Accent1 2 4 3 6 3 2" xfId="44743" xr:uid="{00000000-0005-0000-0000-0000AE350000}"/>
    <cellStyle name="40% - Accent1 2 4 3 6 4" xfId="35045" xr:uid="{00000000-0005-0000-0000-0000AF350000}"/>
    <cellStyle name="40% - Accent1 2 4 3 7" xfId="16847" xr:uid="{00000000-0005-0000-0000-0000B0350000}"/>
    <cellStyle name="40% - Accent1 2 4 3 7 2" xfId="21311" xr:uid="{00000000-0005-0000-0000-0000B1350000}"/>
    <cellStyle name="40% - Accent1 2 4 3 7 2 2" xfId="31679" xr:uid="{00000000-0005-0000-0000-0000B2350000}"/>
    <cellStyle name="40% - Accent1 2 4 3 7 2 2 2" xfId="50868" xr:uid="{00000000-0005-0000-0000-0000B3350000}"/>
    <cellStyle name="40% - Accent1 2 4 3 7 2 3" xfId="41170" xr:uid="{00000000-0005-0000-0000-0000B4350000}"/>
    <cellStyle name="40% - Accent1 2 4 3 7 3" xfId="27224" xr:uid="{00000000-0005-0000-0000-0000B5350000}"/>
    <cellStyle name="40% - Accent1 2 4 3 7 3 2" xfId="46413" xr:uid="{00000000-0005-0000-0000-0000B6350000}"/>
    <cellStyle name="40% - Accent1 2 4 3 7 4" xfId="36715" xr:uid="{00000000-0005-0000-0000-0000B7350000}"/>
    <cellStyle name="40% - Accent1 2 4 3 8" xfId="17413" xr:uid="{00000000-0005-0000-0000-0000B8350000}"/>
    <cellStyle name="40% - Accent1 2 4 3 8 2" xfId="21868" xr:uid="{00000000-0005-0000-0000-0000B9350000}"/>
    <cellStyle name="40% - Accent1 2 4 3 8 2 2" xfId="32236" xr:uid="{00000000-0005-0000-0000-0000BA350000}"/>
    <cellStyle name="40% - Accent1 2 4 3 8 2 2 2" xfId="51425" xr:uid="{00000000-0005-0000-0000-0000BB350000}"/>
    <cellStyle name="40% - Accent1 2 4 3 8 2 3" xfId="41727" xr:uid="{00000000-0005-0000-0000-0000BC350000}"/>
    <cellStyle name="40% - Accent1 2 4 3 8 3" xfId="27781" xr:uid="{00000000-0005-0000-0000-0000BD350000}"/>
    <cellStyle name="40% - Accent1 2 4 3 8 3 2" xfId="46970" xr:uid="{00000000-0005-0000-0000-0000BE350000}"/>
    <cellStyle name="40% - Accent1 2 4 3 8 4" xfId="37272" xr:uid="{00000000-0005-0000-0000-0000BF350000}"/>
    <cellStyle name="40% - Accent1 2 4 3 9" xfId="17970" xr:uid="{00000000-0005-0000-0000-0000C0350000}"/>
    <cellStyle name="40% - Accent1 2 4 3 9 2" xfId="28338" xr:uid="{00000000-0005-0000-0000-0000C1350000}"/>
    <cellStyle name="40% - Accent1 2 4 3 9 2 2" xfId="47527" xr:uid="{00000000-0005-0000-0000-0000C2350000}"/>
    <cellStyle name="40% - Accent1 2 4 3 9 3" xfId="37829" xr:uid="{00000000-0005-0000-0000-0000C3350000}"/>
    <cellStyle name="40% - Accent1 2 4 4" xfId="13085" xr:uid="{00000000-0005-0000-0000-0000C4350000}"/>
    <cellStyle name="40% - Accent1 2 4 4 10" xfId="53451" xr:uid="{00000000-0005-0000-0000-0000C5350000}"/>
    <cellStyle name="40% - Accent1 2 4 4 2" xfId="14029" xr:uid="{00000000-0005-0000-0000-0000C6350000}"/>
    <cellStyle name="40% - Accent1 2 4 4 2 2" xfId="16293" xr:uid="{00000000-0005-0000-0000-0000C7350000}"/>
    <cellStyle name="40% - Accent1 2 4 4 2 2 2" xfId="20757" xr:uid="{00000000-0005-0000-0000-0000C8350000}"/>
    <cellStyle name="40% - Accent1 2 4 4 2 2 2 2" xfId="31125" xr:uid="{00000000-0005-0000-0000-0000C9350000}"/>
    <cellStyle name="40% - Accent1 2 4 4 2 2 2 2 2" xfId="50314" xr:uid="{00000000-0005-0000-0000-0000CA350000}"/>
    <cellStyle name="40% - Accent1 2 4 4 2 2 2 3" xfId="40616" xr:uid="{00000000-0005-0000-0000-0000CB350000}"/>
    <cellStyle name="40% - Accent1 2 4 4 2 2 3" xfId="26670" xr:uid="{00000000-0005-0000-0000-0000CC350000}"/>
    <cellStyle name="40% - Accent1 2 4 4 2 2 3 2" xfId="45859" xr:uid="{00000000-0005-0000-0000-0000CD350000}"/>
    <cellStyle name="40% - Accent1 2 4 4 2 2 4" xfId="36161" xr:uid="{00000000-0005-0000-0000-0000CE350000}"/>
    <cellStyle name="40% - Accent1 2 4 4 2 3" xfId="18529" xr:uid="{00000000-0005-0000-0000-0000CF350000}"/>
    <cellStyle name="40% - Accent1 2 4 4 2 3 2" xfId="28897" xr:uid="{00000000-0005-0000-0000-0000D0350000}"/>
    <cellStyle name="40% - Accent1 2 4 4 2 3 2 2" xfId="48086" xr:uid="{00000000-0005-0000-0000-0000D1350000}"/>
    <cellStyle name="40% - Accent1 2 4 4 2 3 3" xfId="38388" xr:uid="{00000000-0005-0000-0000-0000D2350000}"/>
    <cellStyle name="40% - Accent1 2 4 4 2 4" xfId="24437" xr:uid="{00000000-0005-0000-0000-0000D3350000}"/>
    <cellStyle name="40% - Accent1 2 4 4 2 4 2" xfId="43631" xr:uid="{00000000-0005-0000-0000-0000D4350000}"/>
    <cellStyle name="40% - Accent1 2 4 4 2 5" xfId="33933" xr:uid="{00000000-0005-0000-0000-0000D5350000}"/>
    <cellStyle name="40% - Accent1 2 4 4 3" xfId="14608" xr:uid="{00000000-0005-0000-0000-0000D6350000}"/>
    <cellStyle name="40% - Accent1 2 4 4 3 2" xfId="15737" xr:uid="{00000000-0005-0000-0000-0000D7350000}"/>
    <cellStyle name="40% - Accent1 2 4 4 3 2 2" xfId="20201" xr:uid="{00000000-0005-0000-0000-0000D8350000}"/>
    <cellStyle name="40% - Accent1 2 4 4 3 2 2 2" xfId="30569" xr:uid="{00000000-0005-0000-0000-0000D9350000}"/>
    <cellStyle name="40% - Accent1 2 4 4 3 2 2 2 2" xfId="49758" xr:uid="{00000000-0005-0000-0000-0000DA350000}"/>
    <cellStyle name="40% - Accent1 2 4 4 3 2 2 3" xfId="40060" xr:uid="{00000000-0005-0000-0000-0000DB350000}"/>
    <cellStyle name="40% - Accent1 2 4 4 3 2 3" xfId="26114" xr:uid="{00000000-0005-0000-0000-0000DC350000}"/>
    <cellStyle name="40% - Accent1 2 4 4 3 2 3 2" xfId="45303" xr:uid="{00000000-0005-0000-0000-0000DD350000}"/>
    <cellStyle name="40% - Accent1 2 4 4 3 2 4" xfId="35605" xr:uid="{00000000-0005-0000-0000-0000DE350000}"/>
    <cellStyle name="40% - Accent1 2 4 4 3 3" xfId="19086" xr:uid="{00000000-0005-0000-0000-0000DF350000}"/>
    <cellStyle name="40% - Accent1 2 4 4 3 3 2" xfId="29454" xr:uid="{00000000-0005-0000-0000-0000E0350000}"/>
    <cellStyle name="40% - Accent1 2 4 4 3 3 2 2" xfId="48643" xr:uid="{00000000-0005-0000-0000-0000E1350000}"/>
    <cellStyle name="40% - Accent1 2 4 4 3 3 3" xfId="38945" xr:uid="{00000000-0005-0000-0000-0000E2350000}"/>
    <cellStyle name="40% - Accent1 2 4 4 3 4" xfId="24999" xr:uid="{00000000-0005-0000-0000-0000E3350000}"/>
    <cellStyle name="40% - Accent1 2 4 4 3 4 2" xfId="44188" xr:uid="{00000000-0005-0000-0000-0000E4350000}"/>
    <cellStyle name="40% - Accent1 2 4 4 3 5" xfId="34490" xr:uid="{00000000-0005-0000-0000-0000E5350000}"/>
    <cellStyle name="40% - Accent1 2 4 4 4" xfId="15180" xr:uid="{00000000-0005-0000-0000-0000E6350000}"/>
    <cellStyle name="40% - Accent1 2 4 4 4 2" xfId="19644" xr:uid="{00000000-0005-0000-0000-0000E7350000}"/>
    <cellStyle name="40% - Accent1 2 4 4 4 2 2" xfId="30012" xr:uid="{00000000-0005-0000-0000-0000E8350000}"/>
    <cellStyle name="40% - Accent1 2 4 4 4 2 2 2" xfId="49201" xr:uid="{00000000-0005-0000-0000-0000E9350000}"/>
    <cellStyle name="40% - Accent1 2 4 4 4 2 3" xfId="39503" xr:uid="{00000000-0005-0000-0000-0000EA350000}"/>
    <cellStyle name="40% - Accent1 2 4 4 4 3" xfId="25557" xr:uid="{00000000-0005-0000-0000-0000EB350000}"/>
    <cellStyle name="40% - Accent1 2 4 4 4 3 2" xfId="44746" xr:uid="{00000000-0005-0000-0000-0000EC350000}"/>
    <cellStyle name="40% - Accent1 2 4 4 4 4" xfId="35048" xr:uid="{00000000-0005-0000-0000-0000ED350000}"/>
    <cellStyle name="40% - Accent1 2 4 4 5" xfId="16850" xr:uid="{00000000-0005-0000-0000-0000EE350000}"/>
    <cellStyle name="40% - Accent1 2 4 4 5 2" xfId="21314" xr:uid="{00000000-0005-0000-0000-0000EF350000}"/>
    <cellStyle name="40% - Accent1 2 4 4 5 2 2" xfId="31682" xr:uid="{00000000-0005-0000-0000-0000F0350000}"/>
    <cellStyle name="40% - Accent1 2 4 4 5 2 2 2" xfId="50871" xr:uid="{00000000-0005-0000-0000-0000F1350000}"/>
    <cellStyle name="40% - Accent1 2 4 4 5 2 3" xfId="41173" xr:uid="{00000000-0005-0000-0000-0000F2350000}"/>
    <cellStyle name="40% - Accent1 2 4 4 5 3" xfId="27227" xr:uid="{00000000-0005-0000-0000-0000F3350000}"/>
    <cellStyle name="40% - Accent1 2 4 4 5 3 2" xfId="46416" xr:uid="{00000000-0005-0000-0000-0000F4350000}"/>
    <cellStyle name="40% - Accent1 2 4 4 5 4" xfId="36718" xr:uid="{00000000-0005-0000-0000-0000F5350000}"/>
    <cellStyle name="40% - Accent1 2 4 4 6" xfId="17416" xr:uid="{00000000-0005-0000-0000-0000F6350000}"/>
    <cellStyle name="40% - Accent1 2 4 4 6 2" xfId="21871" xr:uid="{00000000-0005-0000-0000-0000F7350000}"/>
    <cellStyle name="40% - Accent1 2 4 4 6 2 2" xfId="32239" xr:uid="{00000000-0005-0000-0000-0000F8350000}"/>
    <cellStyle name="40% - Accent1 2 4 4 6 2 2 2" xfId="51428" xr:uid="{00000000-0005-0000-0000-0000F9350000}"/>
    <cellStyle name="40% - Accent1 2 4 4 6 2 3" xfId="41730" xr:uid="{00000000-0005-0000-0000-0000FA350000}"/>
    <cellStyle name="40% - Accent1 2 4 4 6 3" xfId="27784" xr:uid="{00000000-0005-0000-0000-0000FB350000}"/>
    <cellStyle name="40% - Accent1 2 4 4 6 3 2" xfId="46973" xr:uid="{00000000-0005-0000-0000-0000FC350000}"/>
    <cellStyle name="40% - Accent1 2 4 4 6 4" xfId="37275" xr:uid="{00000000-0005-0000-0000-0000FD350000}"/>
    <cellStyle name="40% - Accent1 2 4 4 7" xfId="17973" xr:uid="{00000000-0005-0000-0000-0000FE350000}"/>
    <cellStyle name="40% - Accent1 2 4 4 7 2" xfId="28341" xr:uid="{00000000-0005-0000-0000-0000FF350000}"/>
    <cellStyle name="40% - Accent1 2 4 4 7 2 2" xfId="47530" xr:uid="{00000000-0005-0000-0000-000000360000}"/>
    <cellStyle name="40% - Accent1 2 4 4 7 3" xfId="37832" xr:uid="{00000000-0005-0000-0000-000001360000}"/>
    <cellStyle name="40% - Accent1 2 4 4 8" xfId="23836" xr:uid="{00000000-0005-0000-0000-000002360000}"/>
    <cellStyle name="40% - Accent1 2 4 4 8 2" xfId="43075" xr:uid="{00000000-0005-0000-0000-000003360000}"/>
    <cellStyle name="40% - Accent1 2 4 4 9" xfId="33377" xr:uid="{00000000-0005-0000-0000-000004360000}"/>
    <cellStyle name="40% - Accent1 2 4 5" xfId="13086" xr:uid="{00000000-0005-0000-0000-000005360000}"/>
    <cellStyle name="40% - Accent1 2 4 5 2" xfId="14030" xr:uid="{00000000-0005-0000-0000-000006360000}"/>
    <cellStyle name="40% - Accent1 2 4 5 2 2" xfId="16294" xr:uid="{00000000-0005-0000-0000-000007360000}"/>
    <cellStyle name="40% - Accent1 2 4 5 2 2 2" xfId="20758" xr:uid="{00000000-0005-0000-0000-000008360000}"/>
    <cellStyle name="40% - Accent1 2 4 5 2 2 2 2" xfId="31126" xr:uid="{00000000-0005-0000-0000-000009360000}"/>
    <cellStyle name="40% - Accent1 2 4 5 2 2 2 2 2" xfId="50315" xr:uid="{00000000-0005-0000-0000-00000A360000}"/>
    <cellStyle name="40% - Accent1 2 4 5 2 2 2 3" xfId="40617" xr:uid="{00000000-0005-0000-0000-00000B360000}"/>
    <cellStyle name="40% - Accent1 2 4 5 2 2 3" xfId="26671" xr:uid="{00000000-0005-0000-0000-00000C360000}"/>
    <cellStyle name="40% - Accent1 2 4 5 2 2 3 2" xfId="45860" xr:uid="{00000000-0005-0000-0000-00000D360000}"/>
    <cellStyle name="40% - Accent1 2 4 5 2 2 4" xfId="36162" xr:uid="{00000000-0005-0000-0000-00000E360000}"/>
    <cellStyle name="40% - Accent1 2 4 5 2 3" xfId="18530" xr:uid="{00000000-0005-0000-0000-00000F360000}"/>
    <cellStyle name="40% - Accent1 2 4 5 2 3 2" xfId="28898" xr:uid="{00000000-0005-0000-0000-000010360000}"/>
    <cellStyle name="40% - Accent1 2 4 5 2 3 2 2" xfId="48087" xr:uid="{00000000-0005-0000-0000-000011360000}"/>
    <cellStyle name="40% - Accent1 2 4 5 2 3 3" xfId="38389" xr:uid="{00000000-0005-0000-0000-000012360000}"/>
    <cellStyle name="40% - Accent1 2 4 5 2 4" xfId="24438" xr:uid="{00000000-0005-0000-0000-000013360000}"/>
    <cellStyle name="40% - Accent1 2 4 5 2 4 2" xfId="43632" xr:uid="{00000000-0005-0000-0000-000014360000}"/>
    <cellStyle name="40% - Accent1 2 4 5 2 5" xfId="33934" xr:uid="{00000000-0005-0000-0000-000015360000}"/>
    <cellStyle name="40% - Accent1 2 4 5 3" xfId="14609" xr:uid="{00000000-0005-0000-0000-000016360000}"/>
    <cellStyle name="40% - Accent1 2 4 5 3 2" xfId="15738" xr:uid="{00000000-0005-0000-0000-000017360000}"/>
    <cellStyle name="40% - Accent1 2 4 5 3 2 2" xfId="20202" xr:uid="{00000000-0005-0000-0000-000018360000}"/>
    <cellStyle name="40% - Accent1 2 4 5 3 2 2 2" xfId="30570" xr:uid="{00000000-0005-0000-0000-000019360000}"/>
    <cellStyle name="40% - Accent1 2 4 5 3 2 2 2 2" xfId="49759" xr:uid="{00000000-0005-0000-0000-00001A360000}"/>
    <cellStyle name="40% - Accent1 2 4 5 3 2 2 3" xfId="40061" xr:uid="{00000000-0005-0000-0000-00001B360000}"/>
    <cellStyle name="40% - Accent1 2 4 5 3 2 3" xfId="26115" xr:uid="{00000000-0005-0000-0000-00001C360000}"/>
    <cellStyle name="40% - Accent1 2 4 5 3 2 3 2" xfId="45304" xr:uid="{00000000-0005-0000-0000-00001D360000}"/>
    <cellStyle name="40% - Accent1 2 4 5 3 2 4" xfId="35606" xr:uid="{00000000-0005-0000-0000-00001E360000}"/>
    <cellStyle name="40% - Accent1 2 4 5 3 3" xfId="19087" xr:uid="{00000000-0005-0000-0000-00001F360000}"/>
    <cellStyle name="40% - Accent1 2 4 5 3 3 2" xfId="29455" xr:uid="{00000000-0005-0000-0000-000020360000}"/>
    <cellStyle name="40% - Accent1 2 4 5 3 3 2 2" xfId="48644" xr:uid="{00000000-0005-0000-0000-000021360000}"/>
    <cellStyle name="40% - Accent1 2 4 5 3 3 3" xfId="38946" xr:uid="{00000000-0005-0000-0000-000022360000}"/>
    <cellStyle name="40% - Accent1 2 4 5 3 4" xfId="25000" xr:uid="{00000000-0005-0000-0000-000023360000}"/>
    <cellStyle name="40% - Accent1 2 4 5 3 4 2" xfId="44189" xr:uid="{00000000-0005-0000-0000-000024360000}"/>
    <cellStyle name="40% - Accent1 2 4 5 3 5" xfId="34491" xr:uid="{00000000-0005-0000-0000-000025360000}"/>
    <cellStyle name="40% - Accent1 2 4 5 4" xfId="15181" xr:uid="{00000000-0005-0000-0000-000026360000}"/>
    <cellStyle name="40% - Accent1 2 4 5 4 2" xfId="19645" xr:uid="{00000000-0005-0000-0000-000027360000}"/>
    <cellStyle name="40% - Accent1 2 4 5 4 2 2" xfId="30013" xr:uid="{00000000-0005-0000-0000-000028360000}"/>
    <cellStyle name="40% - Accent1 2 4 5 4 2 2 2" xfId="49202" xr:uid="{00000000-0005-0000-0000-000029360000}"/>
    <cellStyle name="40% - Accent1 2 4 5 4 2 3" xfId="39504" xr:uid="{00000000-0005-0000-0000-00002A360000}"/>
    <cellStyle name="40% - Accent1 2 4 5 4 3" xfId="25558" xr:uid="{00000000-0005-0000-0000-00002B360000}"/>
    <cellStyle name="40% - Accent1 2 4 5 4 3 2" xfId="44747" xr:uid="{00000000-0005-0000-0000-00002C360000}"/>
    <cellStyle name="40% - Accent1 2 4 5 4 4" xfId="35049" xr:uid="{00000000-0005-0000-0000-00002D360000}"/>
    <cellStyle name="40% - Accent1 2 4 5 5" xfId="16851" xr:uid="{00000000-0005-0000-0000-00002E360000}"/>
    <cellStyle name="40% - Accent1 2 4 5 5 2" xfId="21315" xr:uid="{00000000-0005-0000-0000-00002F360000}"/>
    <cellStyle name="40% - Accent1 2 4 5 5 2 2" xfId="31683" xr:uid="{00000000-0005-0000-0000-000030360000}"/>
    <cellStyle name="40% - Accent1 2 4 5 5 2 2 2" xfId="50872" xr:uid="{00000000-0005-0000-0000-000031360000}"/>
    <cellStyle name="40% - Accent1 2 4 5 5 2 3" xfId="41174" xr:uid="{00000000-0005-0000-0000-000032360000}"/>
    <cellStyle name="40% - Accent1 2 4 5 5 3" xfId="27228" xr:uid="{00000000-0005-0000-0000-000033360000}"/>
    <cellStyle name="40% - Accent1 2 4 5 5 3 2" xfId="46417" xr:uid="{00000000-0005-0000-0000-000034360000}"/>
    <cellStyle name="40% - Accent1 2 4 5 5 4" xfId="36719" xr:uid="{00000000-0005-0000-0000-000035360000}"/>
    <cellStyle name="40% - Accent1 2 4 5 6" xfId="17417" xr:uid="{00000000-0005-0000-0000-000036360000}"/>
    <cellStyle name="40% - Accent1 2 4 5 6 2" xfId="21872" xr:uid="{00000000-0005-0000-0000-000037360000}"/>
    <cellStyle name="40% - Accent1 2 4 5 6 2 2" xfId="32240" xr:uid="{00000000-0005-0000-0000-000038360000}"/>
    <cellStyle name="40% - Accent1 2 4 5 6 2 2 2" xfId="51429" xr:uid="{00000000-0005-0000-0000-000039360000}"/>
    <cellStyle name="40% - Accent1 2 4 5 6 2 3" xfId="41731" xr:uid="{00000000-0005-0000-0000-00003A360000}"/>
    <cellStyle name="40% - Accent1 2 4 5 6 3" xfId="27785" xr:uid="{00000000-0005-0000-0000-00003B360000}"/>
    <cellStyle name="40% - Accent1 2 4 5 6 3 2" xfId="46974" xr:uid="{00000000-0005-0000-0000-00003C360000}"/>
    <cellStyle name="40% - Accent1 2 4 5 6 4" xfId="37276" xr:uid="{00000000-0005-0000-0000-00003D360000}"/>
    <cellStyle name="40% - Accent1 2 4 5 7" xfId="17974" xr:uid="{00000000-0005-0000-0000-00003E360000}"/>
    <cellStyle name="40% - Accent1 2 4 5 7 2" xfId="28342" xr:uid="{00000000-0005-0000-0000-00003F360000}"/>
    <cellStyle name="40% - Accent1 2 4 5 7 2 2" xfId="47531" xr:uid="{00000000-0005-0000-0000-000040360000}"/>
    <cellStyle name="40% - Accent1 2 4 5 7 3" xfId="37833" xr:uid="{00000000-0005-0000-0000-000041360000}"/>
    <cellStyle name="40% - Accent1 2 4 5 8" xfId="23837" xr:uid="{00000000-0005-0000-0000-000042360000}"/>
    <cellStyle name="40% - Accent1 2 4 5 8 2" xfId="43076" xr:uid="{00000000-0005-0000-0000-000043360000}"/>
    <cellStyle name="40% - Accent1 2 4 5 9" xfId="33378" xr:uid="{00000000-0005-0000-0000-000044360000}"/>
    <cellStyle name="40% - Accent1 2 4 6" xfId="12183" xr:uid="{00000000-0005-0000-0000-000045360000}"/>
    <cellStyle name="40% - Accent1 2 4 7" xfId="52562" xr:uid="{00000000-0005-0000-0000-000046360000}"/>
    <cellStyle name="40% - Accent1 2 4 8" xfId="12012" xr:uid="{00000000-0005-0000-0000-000047360000}"/>
    <cellStyle name="40% - Accent1 2 5" xfId="1837" xr:uid="{00000000-0005-0000-0000-000048360000}"/>
    <cellStyle name="40% - Accent1 2 5 2" xfId="13087" xr:uid="{00000000-0005-0000-0000-000049360000}"/>
    <cellStyle name="40% - Accent1 2 5 2 10" xfId="23838" xr:uid="{00000000-0005-0000-0000-00004A360000}"/>
    <cellStyle name="40% - Accent1 2 5 2 10 2" xfId="43077" xr:uid="{00000000-0005-0000-0000-00004B360000}"/>
    <cellStyle name="40% - Accent1 2 5 2 11" xfId="33379" xr:uid="{00000000-0005-0000-0000-00004C360000}"/>
    <cellStyle name="40% - Accent1 2 5 2 12" xfId="52796" xr:uid="{00000000-0005-0000-0000-00004D360000}"/>
    <cellStyle name="40% - Accent1 2 5 2 2" xfId="13088" xr:uid="{00000000-0005-0000-0000-00004E360000}"/>
    <cellStyle name="40% - Accent1 2 5 2 2 10" xfId="53224" xr:uid="{00000000-0005-0000-0000-00004F360000}"/>
    <cellStyle name="40% - Accent1 2 5 2 2 2" xfId="14032" xr:uid="{00000000-0005-0000-0000-000050360000}"/>
    <cellStyle name="40% - Accent1 2 5 2 2 2 2" xfId="16296" xr:uid="{00000000-0005-0000-0000-000051360000}"/>
    <cellStyle name="40% - Accent1 2 5 2 2 2 2 2" xfId="20760" xr:uid="{00000000-0005-0000-0000-000052360000}"/>
    <cellStyle name="40% - Accent1 2 5 2 2 2 2 2 2" xfId="31128" xr:uid="{00000000-0005-0000-0000-000053360000}"/>
    <cellStyle name="40% - Accent1 2 5 2 2 2 2 2 2 2" xfId="50317" xr:uid="{00000000-0005-0000-0000-000054360000}"/>
    <cellStyle name="40% - Accent1 2 5 2 2 2 2 2 3" xfId="40619" xr:uid="{00000000-0005-0000-0000-000055360000}"/>
    <cellStyle name="40% - Accent1 2 5 2 2 2 2 3" xfId="26673" xr:uid="{00000000-0005-0000-0000-000056360000}"/>
    <cellStyle name="40% - Accent1 2 5 2 2 2 2 3 2" xfId="45862" xr:uid="{00000000-0005-0000-0000-000057360000}"/>
    <cellStyle name="40% - Accent1 2 5 2 2 2 2 4" xfId="36164" xr:uid="{00000000-0005-0000-0000-000058360000}"/>
    <cellStyle name="40% - Accent1 2 5 2 2 2 3" xfId="18532" xr:uid="{00000000-0005-0000-0000-000059360000}"/>
    <cellStyle name="40% - Accent1 2 5 2 2 2 3 2" xfId="28900" xr:uid="{00000000-0005-0000-0000-00005A360000}"/>
    <cellStyle name="40% - Accent1 2 5 2 2 2 3 2 2" xfId="48089" xr:uid="{00000000-0005-0000-0000-00005B360000}"/>
    <cellStyle name="40% - Accent1 2 5 2 2 2 3 3" xfId="38391" xr:uid="{00000000-0005-0000-0000-00005C360000}"/>
    <cellStyle name="40% - Accent1 2 5 2 2 2 4" xfId="24440" xr:uid="{00000000-0005-0000-0000-00005D360000}"/>
    <cellStyle name="40% - Accent1 2 5 2 2 2 4 2" xfId="43634" xr:uid="{00000000-0005-0000-0000-00005E360000}"/>
    <cellStyle name="40% - Accent1 2 5 2 2 2 5" xfId="33936" xr:uid="{00000000-0005-0000-0000-00005F360000}"/>
    <cellStyle name="40% - Accent1 2 5 2 2 2 6" xfId="54077" xr:uid="{00000000-0005-0000-0000-000060360000}"/>
    <cellStyle name="40% - Accent1 2 5 2 2 3" xfId="14611" xr:uid="{00000000-0005-0000-0000-000061360000}"/>
    <cellStyle name="40% - Accent1 2 5 2 2 3 2" xfId="15740" xr:uid="{00000000-0005-0000-0000-000062360000}"/>
    <cellStyle name="40% - Accent1 2 5 2 2 3 2 2" xfId="20204" xr:uid="{00000000-0005-0000-0000-000063360000}"/>
    <cellStyle name="40% - Accent1 2 5 2 2 3 2 2 2" xfId="30572" xr:uid="{00000000-0005-0000-0000-000064360000}"/>
    <cellStyle name="40% - Accent1 2 5 2 2 3 2 2 2 2" xfId="49761" xr:uid="{00000000-0005-0000-0000-000065360000}"/>
    <cellStyle name="40% - Accent1 2 5 2 2 3 2 2 3" xfId="40063" xr:uid="{00000000-0005-0000-0000-000066360000}"/>
    <cellStyle name="40% - Accent1 2 5 2 2 3 2 3" xfId="26117" xr:uid="{00000000-0005-0000-0000-000067360000}"/>
    <cellStyle name="40% - Accent1 2 5 2 2 3 2 3 2" xfId="45306" xr:uid="{00000000-0005-0000-0000-000068360000}"/>
    <cellStyle name="40% - Accent1 2 5 2 2 3 2 4" xfId="35608" xr:uid="{00000000-0005-0000-0000-000069360000}"/>
    <cellStyle name="40% - Accent1 2 5 2 2 3 3" xfId="19089" xr:uid="{00000000-0005-0000-0000-00006A360000}"/>
    <cellStyle name="40% - Accent1 2 5 2 2 3 3 2" xfId="29457" xr:uid="{00000000-0005-0000-0000-00006B360000}"/>
    <cellStyle name="40% - Accent1 2 5 2 2 3 3 2 2" xfId="48646" xr:uid="{00000000-0005-0000-0000-00006C360000}"/>
    <cellStyle name="40% - Accent1 2 5 2 2 3 3 3" xfId="38948" xr:uid="{00000000-0005-0000-0000-00006D360000}"/>
    <cellStyle name="40% - Accent1 2 5 2 2 3 4" xfId="25002" xr:uid="{00000000-0005-0000-0000-00006E360000}"/>
    <cellStyle name="40% - Accent1 2 5 2 2 3 4 2" xfId="44191" xr:uid="{00000000-0005-0000-0000-00006F360000}"/>
    <cellStyle name="40% - Accent1 2 5 2 2 3 5" xfId="34493" xr:uid="{00000000-0005-0000-0000-000070360000}"/>
    <cellStyle name="40% - Accent1 2 5 2 2 4" xfId="15183" xr:uid="{00000000-0005-0000-0000-000071360000}"/>
    <cellStyle name="40% - Accent1 2 5 2 2 4 2" xfId="19647" xr:uid="{00000000-0005-0000-0000-000072360000}"/>
    <cellStyle name="40% - Accent1 2 5 2 2 4 2 2" xfId="30015" xr:uid="{00000000-0005-0000-0000-000073360000}"/>
    <cellStyle name="40% - Accent1 2 5 2 2 4 2 2 2" xfId="49204" xr:uid="{00000000-0005-0000-0000-000074360000}"/>
    <cellStyle name="40% - Accent1 2 5 2 2 4 2 3" xfId="39506" xr:uid="{00000000-0005-0000-0000-000075360000}"/>
    <cellStyle name="40% - Accent1 2 5 2 2 4 3" xfId="25560" xr:uid="{00000000-0005-0000-0000-000076360000}"/>
    <cellStyle name="40% - Accent1 2 5 2 2 4 3 2" xfId="44749" xr:uid="{00000000-0005-0000-0000-000077360000}"/>
    <cellStyle name="40% - Accent1 2 5 2 2 4 4" xfId="35051" xr:uid="{00000000-0005-0000-0000-000078360000}"/>
    <cellStyle name="40% - Accent1 2 5 2 2 5" xfId="16853" xr:uid="{00000000-0005-0000-0000-000079360000}"/>
    <cellStyle name="40% - Accent1 2 5 2 2 5 2" xfId="21317" xr:uid="{00000000-0005-0000-0000-00007A360000}"/>
    <cellStyle name="40% - Accent1 2 5 2 2 5 2 2" xfId="31685" xr:uid="{00000000-0005-0000-0000-00007B360000}"/>
    <cellStyle name="40% - Accent1 2 5 2 2 5 2 2 2" xfId="50874" xr:uid="{00000000-0005-0000-0000-00007C360000}"/>
    <cellStyle name="40% - Accent1 2 5 2 2 5 2 3" xfId="41176" xr:uid="{00000000-0005-0000-0000-00007D360000}"/>
    <cellStyle name="40% - Accent1 2 5 2 2 5 3" xfId="27230" xr:uid="{00000000-0005-0000-0000-00007E360000}"/>
    <cellStyle name="40% - Accent1 2 5 2 2 5 3 2" xfId="46419" xr:uid="{00000000-0005-0000-0000-00007F360000}"/>
    <cellStyle name="40% - Accent1 2 5 2 2 5 4" xfId="36721" xr:uid="{00000000-0005-0000-0000-000080360000}"/>
    <cellStyle name="40% - Accent1 2 5 2 2 6" xfId="17419" xr:uid="{00000000-0005-0000-0000-000081360000}"/>
    <cellStyle name="40% - Accent1 2 5 2 2 6 2" xfId="21874" xr:uid="{00000000-0005-0000-0000-000082360000}"/>
    <cellStyle name="40% - Accent1 2 5 2 2 6 2 2" xfId="32242" xr:uid="{00000000-0005-0000-0000-000083360000}"/>
    <cellStyle name="40% - Accent1 2 5 2 2 6 2 2 2" xfId="51431" xr:uid="{00000000-0005-0000-0000-000084360000}"/>
    <cellStyle name="40% - Accent1 2 5 2 2 6 2 3" xfId="41733" xr:uid="{00000000-0005-0000-0000-000085360000}"/>
    <cellStyle name="40% - Accent1 2 5 2 2 6 3" xfId="27787" xr:uid="{00000000-0005-0000-0000-000086360000}"/>
    <cellStyle name="40% - Accent1 2 5 2 2 6 3 2" xfId="46976" xr:uid="{00000000-0005-0000-0000-000087360000}"/>
    <cellStyle name="40% - Accent1 2 5 2 2 6 4" xfId="37278" xr:uid="{00000000-0005-0000-0000-000088360000}"/>
    <cellStyle name="40% - Accent1 2 5 2 2 7" xfId="17976" xr:uid="{00000000-0005-0000-0000-000089360000}"/>
    <cellStyle name="40% - Accent1 2 5 2 2 7 2" xfId="28344" xr:uid="{00000000-0005-0000-0000-00008A360000}"/>
    <cellStyle name="40% - Accent1 2 5 2 2 7 2 2" xfId="47533" xr:uid="{00000000-0005-0000-0000-00008B360000}"/>
    <cellStyle name="40% - Accent1 2 5 2 2 7 3" xfId="37835" xr:uid="{00000000-0005-0000-0000-00008C360000}"/>
    <cellStyle name="40% - Accent1 2 5 2 2 8" xfId="23839" xr:uid="{00000000-0005-0000-0000-00008D360000}"/>
    <cellStyle name="40% - Accent1 2 5 2 2 8 2" xfId="43078" xr:uid="{00000000-0005-0000-0000-00008E360000}"/>
    <cellStyle name="40% - Accent1 2 5 2 2 9" xfId="33380" xr:uid="{00000000-0005-0000-0000-00008F360000}"/>
    <cellStyle name="40% - Accent1 2 5 2 3" xfId="13089" xr:uid="{00000000-0005-0000-0000-000090360000}"/>
    <cellStyle name="40% - Accent1 2 5 2 3 10" xfId="53681" xr:uid="{00000000-0005-0000-0000-000091360000}"/>
    <cellStyle name="40% - Accent1 2 5 2 3 2" xfId="14033" xr:uid="{00000000-0005-0000-0000-000092360000}"/>
    <cellStyle name="40% - Accent1 2 5 2 3 2 2" xfId="16297" xr:uid="{00000000-0005-0000-0000-000093360000}"/>
    <cellStyle name="40% - Accent1 2 5 2 3 2 2 2" xfId="20761" xr:uid="{00000000-0005-0000-0000-000094360000}"/>
    <cellStyle name="40% - Accent1 2 5 2 3 2 2 2 2" xfId="31129" xr:uid="{00000000-0005-0000-0000-000095360000}"/>
    <cellStyle name="40% - Accent1 2 5 2 3 2 2 2 2 2" xfId="50318" xr:uid="{00000000-0005-0000-0000-000096360000}"/>
    <cellStyle name="40% - Accent1 2 5 2 3 2 2 2 3" xfId="40620" xr:uid="{00000000-0005-0000-0000-000097360000}"/>
    <cellStyle name="40% - Accent1 2 5 2 3 2 2 3" xfId="26674" xr:uid="{00000000-0005-0000-0000-000098360000}"/>
    <cellStyle name="40% - Accent1 2 5 2 3 2 2 3 2" xfId="45863" xr:uid="{00000000-0005-0000-0000-000099360000}"/>
    <cellStyle name="40% - Accent1 2 5 2 3 2 2 4" xfId="36165" xr:uid="{00000000-0005-0000-0000-00009A360000}"/>
    <cellStyle name="40% - Accent1 2 5 2 3 2 3" xfId="18533" xr:uid="{00000000-0005-0000-0000-00009B360000}"/>
    <cellStyle name="40% - Accent1 2 5 2 3 2 3 2" xfId="28901" xr:uid="{00000000-0005-0000-0000-00009C360000}"/>
    <cellStyle name="40% - Accent1 2 5 2 3 2 3 2 2" xfId="48090" xr:uid="{00000000-0005-0000-0000-00009D360000}"/>
    <cellStyle name="40% - Accent1 2 5 2 3 2 3 3" xfId="38392" xr:uid="{00000000-0005-0000-0000-00009E360000}"/>
    <cellStyle name="40% - Accent1 2 5 2 3 2 4" xfId="24441" xr:uid="{00000000-0005-0000-0000-00009F360000}"/>
    <cellStyle name="40% - Accent1 2 5 2 3 2 4 2" xfId="43635" xr:uid="{00000000-0005-0000-0000-0000A0360000}"/>
    <cellStyle name="40% - Accent1 2 5 2 3 2 5" xfId="33937" xr:uid="{00000000-0005-0000-0000-0000A1360000}"/>
    <cellStyle name="40% - Accent1 2 5 2 3 3" xfId="14612" xr:uid="{00000000-0005-0000-0000-0000A2360000}"/>
    <cellStyle name="40% - Accent1 2 5 2 3 3 2" xfId="15741" xr:uid="{00000000-0005-0000-0000-0000A3360000}"/>
    <cellStyle name="40% - Accent1 2 5 2 3 3 2 2" xfId="20205" xr:uid="{00000000-0005-0000-0000-0000A4360000}"/>
    <cellStyle name="40% - Accent1 2 5 2 3 3 2 2 2" xfId="30573" xr:uid="{00000000-0005-0000-0000-0000A5360000}"/>
    <cellStyle name="40% - Accent1 2 5 2 3 3 2 2 2 2" xfId="49762" xr:uid="{00000000-0005-0000-0000-0000A6360000}"/>
    <cellStyle name="40% - Accent1 2 5 2 3 3 2 2 3" xfId="40064" xr:uid="{00000000-0005-0000-0000-0000A7360000}"/>
    <cellStyle name="40% - Accent1 2 5 2 3 3 2 3" xfId="26118" xr:uid="{00000000-0005-0000-0000-0000A8360000}"/>
    <cellStyle name="40% - Accent1 2 5 2 3 3 2 3 2" xfId="45307" xr:uid="{00000000-0005-0000-0000-0000A9360000}"/>
    <cellStyle name="40% - Accent1 2 5 2 3 3 2 4" xfId="35609" xr:uid="{00000000-0005-0000-0000-0000AA360000}"/>
    <cellStyle name="40% - Accent1 2 5 2 3 3 3" xfId="19090" xr:uid="{00000000-0005-0000-0000-0000AB360000}"/>
    <cellStyle name="40% - Accent1 2 5 2 3 3 3 2" xfId="29458" xr:uid="{00000000-0005-0000-0000-0000AC360000}"/>
    <cellStyle name="40% - Accent1 2 5 2 3 3 3 2 2" xfId="48647" xr:uid="{00000000-0005-0000-0000-0000AD360000}"/>
    <cellStyle name="40% - Accent1 2 5 2 3 3 3 3" xfId="38949" xr:uid="{00000000-0005-0000-0000-0000AE360000}"/>
    <cellStyle name="40% - Accent1 2 5 2 3 3 4" xfId="25003" xr:uid="{00000000-0005-0000-0000-0000AF360000}"/>
    <cellStyle name="40% - Accent1 2 5 2 3 3 4 2" xfId="44192" xr:uid="{00000000-0005-0000-0000-0000B0360000}"/>
    <cellStyle name="40% - Accent1 2 5 2 3 3 5" xfId="34494" xr:uid="{00000000-0005-0000-0000-0000B1360000}"/>
    <cellStyle name="40% - Accent1 2 5 2 3 4" xfId="15184" xr:uid="{00000000-0005-0000-0000-0000B2360000}"/>
    <cellStyle name="40% - Accent1 2 5 2 3 4 2" xfId="19648" xr:uid="{00000000-0005-0000-0000-0000B3360000}"/>
    <cellStyle name="40% - Accent1 2 5 2 3 4 2 2" xfId="30016" xr:uid="{00000000-0005-0000-0000-0000B4360000}"/>
    <cellStyle name="40% - Accent1 2 5 2 3 4 2 2 2" xfId="49205" xr:uid="{00000000-0005-0000-0000-0000B5360000}"/>
    <cellStyle name="40% - Accent1 2 5 2 3 4 2 3" xfId="39507" xr:uid="{00000000-0005-0000-0000-0000B6360000}"/>
    <cellStyle name="40% - Accent1 2 5 2 3 4 3" xfId="25561" xr:uid="{00000000-0005-0000-0000-0000B7360000}"/>
    <cellStyle name="40% - Accent1 2 5 2 3 4 3 2" xfId="44750" xr:uid="{00000000-0005-0000-0000-0000B8360000}"/>
    <cellStyle name="40% - Accent1 2 5 2 3 4 4" xfId="35052" xr:uid="{00000000-0005-0000-0000-0000B9360000}"/>
    <cellStyle name="40% - Accent1 2 5 2 3 5" xfId="16854" xr:uid="{00000000-0005-0000-0000-0000BA360000}"/>
    <cellStyle name="40% - Accent1 2 5 2 3 5 2" xfId="21318" xr:uid="{00000000-0005-0000-0000-0000BB360000}"/>
    <cellStyle name="40% - Accent1 2 5 2 3 5 2 2" xfId="31686" xr:uid="{00000000-0005-0000-0000-0000BC360000}"/>
    <cellStyle name="40% - Accent1 2 5 2 3 5 2 2 2" xfId="50875" xr:uid="{00000000-0005-0000-0000-0000BD360000}"/>
    <cellStyle name="40% - Accent1 2 5 2 3 5 2 3" xfId="41177" xr:uid="{00000000-0005-0000-0000-0000BE360000}"/>
    <cellStyle name="40% - Accent1 2 5 2 3 5 3" xfId="27231" xr:uid="{00000000-0005-0000-0000-0000BF360000}"/>
    <cellStyle name="40% - Accent1 2 5 2 3 5 3 2" xfId="46420" xr:uid="{00000000-0005-0000-0000-0000C0360000}"/>
    <cellStyle name="40% - Accent1 2 5 2 3 5 4" xfId="36722" xr:uid="{00000000-0005-0000-0000-0000C1360000}"/>
    <cellStyle name="40% - Accent1 2 5 2 3 6" xfId="17420" xr:uid="{00000000-0005-0000-0000-0000C2360000}"/>
    <cellStyle name="40% - Accent1 2 5 2 3 6 2" xfId="21875" xr:uid="{00000000-0005-0000-0000-0000C3360000}"/>
    <cellStyle name="40% - Accent1 2 5 2 3 6 2 2" xfId="32243" xr:uid="{00000000-0005-0000-0000-0000C4360000}"/>
    <cellStyle name="40% - Accent1 2 5 2 3 6 2 2 2" xfId="51432" xr:uid="{00000000-0005-0000-0000-0000C5360000}"/>
    <cellStyle name="40% - Accent1 2 5 2 3 6 2 3" xfId="41734" xr:uid="{00000000-0005-0000-0000-0000C6360000}"/>
    <cellStyle name="40% - Accent1 2 5 2 3 6 3" xfId="27788" xr:uid="{00000000-0005-0000-0000-0000C7360000}"/>
    <cellStyle name="40% - Accent1 2 5 2 3 6 3 2" xfId="46977" xr:uid="{00000000-0005-0000-0000-0000C8360000}"/>
    <cellStyle name="40% - Accent1 2 5 2 3 6 4" xfId="37279" xr:uid="{00000000-0005-0000-0000-0000C9360000}"/>
    <cellStyle name="40% - Accent1 2 5 2 3 7" xfId="17977" xr:uid="{00000000-0005-0000-0000-0000CA360000}"/>
    <cellStyle name="40% - Accent1 2 5 2 3 7 2" xfId="28345" xr:uid="{00000000-0005-0000-0000-0000CB360000}"/>
    <cellStyle name="40% - Accent1 2 5 2 3 7 2 2" xfId="47534" xr:uid="{00000000-0005-0000-0000-0000CC360000}"/>
    <cellStyle name="40% - Accent1 2 5 2 3 7 3" xfId="37836" xr:uid="{00000000-0005-0000-0000-0000CD360000}"/>
    <cellStyle name="40% - Accent1 2 5 2 3 8" xfId="23840" xr:uid="{00000000-0005-0000-0000-0000CE360000}"/>
    <cellStyle name="40% - Accent1 2 5 2 3 8 2" xfId="43079" xr:uid="{00000000-0005-0000-0000-0000CF360000}"/>
    <cellStyle name="40% - Accent1 2 5 2 3 9" xfId="33381" xr:uid="{00000000-0005-0000-0000-0000D0360000}"/>
    <cellStyle name="40% - Accent1 2 5 2 4" xfId="14031" xr:uid="{00000000-0005-0000-0000-0000D1360000}"/>
    <cellStyle name="40% - Accent1 2 5 2 4 2" xfId="16295" xr:uid="{00000000-0005-0000-0000-0000D2360000}"/>
    <cellStyle name="40% - Accent1 2 5 2 4 2 2" xfId="20759" xr:uid="{00000000-0005-0000-0000-0000D3360000}"/>
    <cellStyle name="40% - Accent1 2 5 2 4 2 2 2" xfId="31127" xr:uid="{00000000-0005-0000-0000-0000D4360000}"/>
    <cellStyle name="40% - Accent1 2 5 2 4 2 2 2 2" xfId="50316" xr:uid="{00000000-0005-0000-0000-0000D5360000}"/>
    <cellStyle name="40% - Accent1 2 5 2 4 2 2 3" xfId="40618" xr:uid="{00000000-0005-0000-0000-0000D6360000}"/>
    <cellStyle name="40% - Accent1 2 5 2 4 2 3" xfId="26672" xr:uid="{00000000-0005-0000-0000-0000D7360000}"/>
    <cellStyle name="40% - Accent1 2 5 2 4 2 3 2" xfId="45861" xr:uid="{00000000-0005-0000-0000-0000D8360000}"/>
    <cellStyle name="40% - Accent1 2 5 2 4 2 4" xfId="36163" xr:uid="{00000000-0005-0000-0000-0000D9360000}"/>
    <cellStyle name="40% - Accent1 2 5 2 4 3" xfId="18531" xr:uid="{00000000-0005-0000-0000-0000DA360000}"/>
    <cellStyle name="40% - Accent1 2 5 2 4 3 2" xfId="28899" xr:uid="{00000000-0005-0000-0000-0000DB360000}"/>
    <cellStyle name="40% - Accent1 2 5 2 4 3 2 2" xfId="48088" xr:uid="{00000000-0005-0000-0000-0000DC360000}"/>
    <cellStyle name="40% - Accent1 2 5 2 4 3 3" xfId="38390" xr:uid="{00000000-0005-0000-0000-0000DD360000}"/>
    <cellStyle name="40% - Accent1 2 5 2 4 4" xfId="24439" xr:uid="{00000000-0005-0000-0000-0000DE360000}"/>
    <cellStyle name="40% - Accent1 2 5 2 4 4 2" xfId="43633" xr:uid="{00000000-0005-0000-0000-0000DF360000}"/>
    <cellStyle name="40% - Accent1 2 5 2 4 5" xfId="33935" xr:uid="{00000000-0005-0000-0000-0000E0360000}"/>
    <cellStyle name="40% - Accent1 2 5 2 5" xfId="14610" xr:uid="{00000000-0005-0000-0000-0000E1360000}"/>
    <cellStyle name="40% - Accent1 2 5 2 5 2" xfId="15739" xr:uid="{00000000-0005-0000-0000-0000E2360000}"/>
    <cellStyle name="40% - Accent1 2 5 2 5 2 2" xfId="20203" xr:uid="{00000000-0005-0000-0000-0000E3360000}"/>
    <cellStyle name="40% - Accent1 2 5 2 5 2 2 2" xfId="30571" xr:uid="{00000000-0005-0000-0000-0000E4360000}"/>
    <cellStyle name="40% - Accent1 2 5 2 5 2 2 2 2" xfId="49760" xr:uid="{00000000-0005-0000-0000-0000E5360000}"/>
    <cellStyle name="40% - Accent1 2 5 2 5 2 2 3" xfId="40062" xr:uid="{00000000-0005-0000-0000-0000E6360000}"/>
    <cellStyle name="40% - Accent1 2 5 2 5 2 3" xfId="26116" xr:uid="{00000000-0005-0000-0000-0000E7360000}"/>
    <cellStyle name="40% - Accent1 2 5 2 5 2 3 2" xfId="45305" xr:uid="{00000000-0005-0000-0000-0000E8360000}"/>
    <cellStyle name="40% - Accent1 2 5 2 5 2 4" xfId="35607" xr:uid="{00000000-0005-0000-0000-0000E9360000}"/>
    <cellStyle name="40% - Accent1 2 5 2 5 3" xfId="19088" xr:uid="{00000000-0005-0000-0000-0000EA360000}"/>
    <cellStyle name="40% - Accent1 2 5 2 5 3 2" xfId="29456" xr:uid="{00000000-0005-0000-0000-0000EB360000}"/>
    <cellStyle name="40% - Accent1 2 5 2 5 3 2 2" xfId="48645" xr:uid="{00000000-0005-0000-0000-0000EC360000}"/>
    <cellStyle name="40% - Accent1 2 5 2 5 3 3" xfId="38947" xr:uid="{00000000-0005-0000-0000-0000ED360000}"/>
    <cellStyle name="40% - Accent1 2 5 2 5 4" xfId="25001" xr:uid="{00000000-0005-0000-0000-0000EE360000}"/>
    <cellStyle name="40% - Accent1 2 5 2 5 4 2" xfId="44190" xr:uid="{00000000-0005-0000-0000-0000EF360000}"/>
    <cellStyle name="40% - Accent1 2 5 2 5 5" xfId="34492" xr:uid="{00000000-0005-0000-0000-0000F0360000}"/>
    <cellStyle name="40% - Accent1 2 5 2 6" xfId="15182" xr:uid="{00000000-0005-0000-0000-0000F1360000}"/>
    <cellStyle name="40% - Accent1 2 5 2 6 2" xfId="19646" xr:uid="{00000000-0005-0000-0000-0000F2360000}"/>
    <cellStyle name="40% - Accent1 2 5 2 6 2 2" xfId="30014" xr:uid="{00000000-0005-0000-0000-0000F3360000}"/>
    <cellStyle name="40% - Accent1 2 5 2 6 2 2 2" xfId="49203" xr:uid="{00000000-0005-0000-0000-0000F4360000}"/>
    <cellStyle name="40% - Accent1 2 5 2 6 2 3" xfId="39505" xr:uid="{00000000-0005-0000-0000-0000F5360000}"/>
    <cellStyle name="40% - Accent1 2 5 2 6 3" xfId="25559" xr:uid="{00000000-0005-0000-0000-0000F6360000}"/>
    <cellStyle name="40% - Accent1 2 5 2 6 3 2" xfId="44748" xr:uid="{00000000-0005-0000-0000-0000F7360000}"/>
    <cellStyle name="40% - Accent1 2 5 2 6 4" xfId="35050" xr:uid="{00000000-0005-0000-0000-0000F8360000}"/>
    <cellStyle name="40% - Accent1 2 5 2 7" xfId="16852" xr:uid="{00000000-0005-0000-0000-0000F9360000}"/>
    <cellStyle name="40% - Accent1 2 5 2 7 2" xfId="21316" xr:uid="{00000000-0005-0000-0000-0000FA360000}"/>
    <cellStyle name="40% - Accent1 2 5 2 7 2 2" xfId="31684" xr:uid="{00000000-0005-0000-0000-0000FB360000}"/>
    <cellStyle name="40% - Accent1 2 5 2 7 2 2 2" xfId="50873" xr:uid="{00000000-0005-0000-0000-0000FC360000}"/>
    <cellStyle name="40% - Accent1 2 5 2 7 2 3" xfId="41175" xr:uid="{00000000-0005-0000-0000-0000FD360000}"/>
    <cellStyle name="40% - Accent1 2 5 2 7 3" xfId="27229" xr:uid="{00000000-0005-0000-0000-0000FE360000}"/>
    <cellStyle name="40% - Accent1 2 5 2 7 3 2" xfId="46418" xr:uid="{00000000-0005-0000-0000-0000FF360000}"/>
    <cellStyle name="40% - Accent1 2 5 2 7 4" xfId="36720" xr:uid="{00000000-0005-0000-0000-000000370000}"/>
    <cellStyle name="40% - Accent1 2 5 2 8" xfId="17418" xr:uid="{00000000-0005-0000-0000-000001370000}"/>
    <cellStyle name="40% - Accent1 2 5 2 8 2" xfId="21873" xr:uid="{00000000-0005-0000-0000-000002370000}"/>
    <cellStyle name="40% - Accent1 2 5 2 8 2 2" xfId="32241" xr:uid="{00000000-0005-0000-0000-000003370000}"/>
    <cellStyle name="40% - Accent1 2 5 2 8 2 2 2" xfId="51430" xr:uid="{00000000-0005-0000-0000-000004370000}"/>
    <cellStyle name="40% - Accent1 2 5 2 8 2 3" xfId="41732" xr:uid="{00000000-0005-0000-0000-000005370000}"/>
    <cellStyle name="40% - Accent1 2 5 2 8 3" xfId="27786" xr:uid="{00000000-0005-0000-0000-000006370000}"/>
    <cellStyle name="40% - Accent1 2 5 2 8 3 2" xfId="46975" xr:uid="{00000000-0005-0000-0000-000007370000}"/>
    <cellStyle name="40% - Accent1 2 5 2 8 4" xfId="37277" xr:uid="{00000000-0005-0000-0000-000008370000}"/>
    <cellStyle name="40% - Accent1 2 5 2 9" xfId="17975" xr:uid="{00000000-0005-0000-0000-000009370000}"/>
    <cellStyle name="40% - Accent1 2 5 2 9 2" xfId="28343" xr:uid="{00000000-0005-0000-0000-00000A370000}"/>
    <cellStyle name="40% - Accent1 2 5 2 9 2 2" xfId="47532" xr:uid="{00000000-0005-0000-0000-00000B370000}"/>
    <cellStyle name="40% - Accent1 2 5 2 9 3" xfId="37834" xr:uid="{00000000-0005-0000-0000-00000C370000}"/>
    <cellStyle name="40% - Accent1 2 5 3" xfId="13090" xr:uid="{00000000-0005-0000-0000-00000D370000}"/>
    <cellStyle name="40% - Accent1 2 5 3 10" xfId="53006" xr:uid="{00000000-0005-0000-0000-00000E370000}"/>
    <cellStyle name="40% - Accent1 2 5 3 2" xfId="14034" xr:uid="{00000000-0005-0000-0000-00000F370000}"/>
    <cellStyle name="40% - Accent1 2 5 3 2 2" xfId="16298" xr:uid="{00000000-0005-0000-0000-000010370000}"/>
    <cellStyle name="40% - Accent1 2 5 3 2 2 2" xfId="20762" xr:uid="{00000000-0005-0000-0000-000011370000}"/>
    <cellStyle name="40% - Accent1 2 5 3 2 2 2 2" xfId="31130" xr:uid="{00000000-0005-0000-0000-000012370000}"/>
    <cellStyle name="40% - Accent1 2 5 3 2 2 2 2 2" xfId="50319" xr:uid="{00000000-0005-0000-0000-000013370000}"/>
    <cellStyle name="40% - Accent1 2 5 3 2 2 2 3" xfId="40621" xr:uid="{00000000-0005-0000-0000-000014370000}"/>
    <cellStyle name="40% - Accent1 2 5 3 2 2 3" xfId="26675" xr:uid="{00000000-0005-0000-0000-000015370000}"/>
    <cellStyle name="40% - Accent1 2 5 3 2 2 3 2" xfId="45864" xr:uid="{00000000-0005-0000-0000-000016370000}"/>
    <cellStyle name="40% - Accent1 2 5 3 2 2 4" xfId="36166" xr:uid="{00000000-0005-0000-0000-000017370000}"/>
    <cellStyle name="40% - Accent1 2 5 3 2 3" xfId="18534" xr:uid="{00000000-0005-0000-0000-000018370000}"/>
    <cellStyle name="40% - Accent1 2 5 3 2 3 2" xfId="28902" xr:uid="{00000000-0005-0000-0000-000019370000}"/>
    <cellStyle name="40% - Accent1 2 5 3 2 3 2 2" xfId="48091" xr:uid="{00000000-0005-0000-0000-00001A370000}"/>
    <cellStyle name="40% - Accent1 2 5 3 2 3 3" xfId="38393" xr:uid="{00000000-0005-0000-0000-00001B370000}"/>
    <cellStyle name="40% - Accent1 2 5 3 2 4" xfId="24442" xr:uid="{00000000-0005-0000-0000-00001C370000}"/>
    <cellStyle name="40% - Accent1 2 5 3 2 4 2" xfId="43636" xr:uid="{00000000-0005-0000-0000-00001D370000}"/>
    <cellStyle name="40% - Accent1 2 5 3 2 5" xfId="33938" xr:uid="{00000000-0005-0000-0000-00001E370000}"/>
    <cellStyle name="40% - Accent1 2 5 3 2 6" xfId="53881" xr:uid="{00000000-0005-0000-0000-00001F370000}"/>
    <cellStyle name="40% - Accent1 2 5 3 3" xfId="14613" xr:uid="{00000000-0005-0000-0000-000020370000}"/>
    <cellStyle name="40% - Accent1 2 5 3 3 2" xfId="15742" xr:uid="{00000000-0005-0000-0000-000021370000}"/>
    <cellStyle name="40% - Accent1 2 5 3 3 2 2" xfId="20206" xr:uid="{00000000-0005-0000-0000-000022370000}"/>
    <cellStyle name="40% - Accent1 2 5 3 3 2 2 2" xfId="30574" xr:uid="{00000000-0005-0000-0000-000023370000}"/>
    <cellStyle name="40% - Accent1 2 5 3 3 2 2 2 2" xfId="49763" xr:uid="{00000000-0005-0000-0000-000024370000}"/>
    <cellStyle name="40% - Accent1 2 5 3 3 2 2 3" xfId="40065" xr:uid="{00000000-0005-0000-0000-000025370000}"/>
    <cellStyle name="40% - Accent1 2 5 3 3 2 3" xfId="26119" xr:uid="{00000000-0005-0000-0000-000026370000}"/>
    <cellStyle name="40% - Accent1 2 5 3 3 2 3 2" xfId="45308" xr:uid="{00000000-0005-0000-0000-000027370000}"/>
    <cellStyle name="40% - Accent1 2 5 3 3 2 4" xfId="35610" xr:uid="{00000000-0005-0000-0000-000028370000}"/>
    <cellStyle name="40% - Accent1 2 5 3 3 3" xfId="19091" xr:uid="{00000000-0005-0000-0000-000029370000}"/>
    <cellStyle name="40% - Accent1 2 5 3 3 3 2" xfId="29459" xr:uid="{00000000-0005-0000-0000-00002A370000}"/>
    <cellStyle name="40% - Accent1 2 5 3 3 3 2 2" xfId="48648" xr:uid="{00000000-0005-0000-0000-00002B370000}"/>
    <cellStyle name="40% - Accent1 2 5 3 3 3 3" xfId="38950" xr:uid="{00000000-0005-0000-0000-00002C370000}"/>
    <cellStyle name="40% - Accent1 2 5 3 3 4" xfId="25004" xr:uid="{00000000-0005-0000-0000-00002D370000}"/>
    <cellStyle name="40% - Accent1 2 5 3 3 4 2" xfId="44193" xr:uid="{00000000-0005-0000-0000-00002E370000}"/>
    <cellStyle name="40% - Accent1 2 5 3 3 5" xfId="34495" xr:uid="{00000000-0005-0000-0000-00002F370000}"/>
    <cellStyle name="40% - Accent1 2 5 3 4" xfId="15185" xr:uid="{00000000-0005-0000-0000-000030370000}"/>
    <cellStyle name="40% - Accent1 2 5 3 4 2" xfId="19649" xr:uid="{00000000-0005-0000-0000-000031370000}"/>
    <cellStyle name="40% - Accent1 2 5 3 4 2 2" xfId="30017" xr:uid="{00000000-0005-0000-0000-000032370000}"/>
    <cellStyle name="40% - Accent1 2 5 3 4 2 2 2" xfId="49206" xr:uid="{00000000-0005-0000-0000-000033370000}"/>
    <cellStyle name="40% - Accent1 2 5 3 4 2 3" xfId="39508" xr:uid="{00000000-0005-0000-0000-000034370000}"/>
    <cellStyle name="40% - Accent1 2 5 3 4 3" xfId="25562" xr:uid="{00000000-0005-0000-0000-000035370000}"/>
    <cellStyle name="40% - Accent1 2 5 3 4 3 2" xfId="44751" xr:uid="{00000000-0005-0000-0000-000036370000}"/>
    <cellStyle name="40% - Accent1 2 5 3 4 4" xfId="35053" xr:uid="{00000000-0005-0000-0000-000037370000}"/>
    <cellStyle name="40% - Accent1 2 5 3 5" xfId="16855" xr:uid="{00000000-0005-0000-0000-000038370000}"/>
    <cellStyle name="40% - Accent1 2 5 3 5 2" xfId="21319" xr:uid="{00000000-0005-0000-0000-000039370000}"/>
    <cellStyle name="40% - Accent1 2 5 3 5 2 2" xfId="31687" xr:uid="{00000000-0005-0000-0000-00003A370000}"/>
    <cellStyle name="40% - Accent1 2 5 3 5 2 2 2" xfId="50876" xr:uid="{00000000-0005-0000-0000-00003B370000}"/>
    <cellStyle name="40% - Accent1 2 5 3 5 2 3" xfId="41178" xr:uid="{00000000-0005-0000-0000-00003C370000}"/>
    <cellStyle name="40% - Accent1 2 5 3 5 3" xfId="27232" xr:uid="{00000000-0005-0000-0000-00003D370000}"/>
    <cellStyle name="40% - Accent1 2 5 3 5 3 2" xfId="46421" xr:uid="{00000000-0005-0000-0000-00003E370000}"/>
    <cellStyle name="40% - Accent1 2 5 3 5 4" xfId="36723" xr:uid="{00000000-0005-0000-0000-00003F370000}"/>
    <cellStyle name="40% - Accent1 2 5 3 6" xfId="17421" xr:uid="{00000000-0005-0000-0000-000040370000}"/>
    <cellStyle name="40% - Accent1 2 5 3 6 2" xfId="21876" xr:uid="{00000000-0005-0000-0000-000041370000}"/>
    <cellStyle name="40% - Accent1 2 5 3 6 2 2" xfId="32244" xr:uid="{00000000-0005-0000-0000-000042370000}"/>
    <cellStyle name="40% - Accent1 2 5 3 6 2 2 2" xfId="51433" xr:uid="{00000000-0005-0000-0000-000043370000}"/>
    <cellStyle name="40% - Accent1 2 5 3 6 2 3" xfId="41735" xr:uid="{00000000-0005-0000-0000-000044370000}"/>
    <cellStyle name="40% - Accent1 2 5 3 6 3" xfId="27789" xr:uid="{00000000-0005-0000-0000-000045370000}"/>
    <cellStyle name="40% - Accent1 2 5 3 6 3 2" xfId="46978" xr:uid="{00000000-0005-0000-0000-000046370000}"/>
    <cellStyle name="40% - Accent1 2 5 3 6 4" xfId="37280" xr:uid="{00000000-0005-0000-0000-000047370000}"/>
    <cellStyle name="40% - Accent1 2 5 3 7" xfId="17978" xr:uid="{00000000-0005-0000-0000-000048370000}"/>
    <cellStyle name="40% - Accent1 2 5 3 7 2" xfId="28346" xr:uid="{00000000-0005-0000-0000-000049370000}"/>
    <cellStyle name="40% - Accent1 2 5 3 7 2 2" xfId="47535" xr:uid="{00000000-0005-0000-0000-00004A370000}"/>
    <cellStyle name="40% - Accent1 2 5 3 7 3" xfId="37837" xr:uid="{00000000-0005-0000-0000-00004B370000}"/>
    <cellStyle name="40% - Accent1 2 5 3 8" xfId="23841" xr:uid="{00000000-0005-0000-0000-00004C370000}"/>
    <cellStyle name="40% - Accent1 2 5 3 8 2" xfId="43080" xr:uid="{00000000-0005-0000-0000-00004D370000}"/>
    <cellStyle name="40% - Accent1 2 5 3 9" xfId="33382" xr:uid="{00000000-0005-0000-0000-00004E370000}"/>
    <cellStyle name="40% - Accent1 2 5 4" xfId="13091" xr:uid="{00000000-0005-0000-0000-00004F370000}"/>
    <cellStyle name="40% - Accent1 2 5 4 10" xfId="53485" xr:uid="{00000000-0005-0000-0000-000050370000}"/>
    <cellStyle name="40% - Accent1 2 5 4 2" xfId="14035" xr:uid="{00000000-0005-0000-0000-000051370000}"/>
    <cellStyle name="40% - Accent1 2 5 4 2 2" xfId="16299" xr:uid="{00000000-0005-0000-0000-000052370000}"/>
    <cellStyle name="40% - Accent1 2 5 4 2 2 2" xfId="20763" xr:uid="{00000000-0005-0000-0000-000053370000}"/>
    <cellStyle name="40% - Accent1 2 5 4 2 2 2 2" xfId="31131" xr:uid="{00000000-0005-0000-0000-000054370000}"/>
    <cellStyle name="40% - Accent1 2 5 4 2 2 2 2 2" xfId="50320" xr:uid="{00000000-0005-0000-0000-000055370000}"/>
    <cellStyle name="40% - Accent1 2 5 4 2 2 2 3" xfId="40622" xr:uid="{00000000-0005-0000-0000-000056370000}"/>
    <cellStyle name="40% - Accent1 2 5 4 2 2 3" xfId="26676" xr:uid="{00000000-0005-0000-0000-000057370000}"/>
    <cellStyle name="40% - Accent1 2 5 4 2 2 3 2" xfId="45865" xr:uid="{00000000-0005-0000-0000-000058370000}"/>
    <cellStyle name="40% - Accent1 2 5 4 2 2 4" xfId="36167" xr:uid="{00000000-0005-0000-0000-000059370000}"/>
    <cellStyle name="40% - Accent1 2 5 4 2 3" xfId="18535" xr:uid="{00000000-0005-0000-0000-00005A370000}"/>
    <cellStyle name="40% - Accent1 2 5 4 2 3 2" xfId="28903" xr:uid="{00000000-0005-0000-0000-00005B370000}"/>
    <cellStyle name="40% - Accent1 2 5 4 2 3 2 2" xfId="48092" xr:uid="{00000000-0005-0000-0000-00005C370000}"/>
    <cellStyle name="40% - Accent1 2 5 4 2 3 3" xfId="38394" xr:uid="{00000000-0005-0000-0000-00005D370000}"/>
    <cellStyle name="40% - Accent1 2 5 4 2 4" xfId="24443" xr:uid="{00000000-0005-0000-0000-00005E370000}"/>
    <cellStyle name="40% - Accent1 2 5 4 2 4 2" xfId="43637" xr:uid="{00000000-0005-0000-0000-00005F370000}"/>
    <cellStyle name="40% - Accent1 2 5 4 2 5" xfId="33939" xr:uid="{00000000-0005-0000-0000-000060370000}"/>
    <cellStyle name="40% - Accent1 2 5 4 3" xfId="14614" xr:uid="{00000000-0005-0000-0000-000061370000}"/>
    <cellStyle name="40% - Accent1 2 5 4 3 2" xfId="15743" xr:uid="{00000000-0005-0000-0000-000062370000}"/>
    <cellStyle name="40% - Accent1 2 5 4 3 2 2" xfId="20207" xr:uid="{00000000-0005-0000-0000-000063370000}"/>
    <cellStyle name="40% - Accent1 2 5 4 3 2 2 2" xfId="30575" xr:uid="{00000000-0005-0000-0000-000064370000}"/>
    <cellStyle name="40% - Accent1 2 5 4 3 2 2 2 2" xfId="49764" xr:uid="{00000000-0005-0000-0000-000065370000}"/>
    <cellStyle name="40% - Accent1 2 5 4 3 2 2 3" xfId="40066" xr:uid="{00000000-0005-0000-0000-000066370000}"/>
    <cellStyle name="40% - Accent1 2 5 4 3 2 3" xfId="26120" xr:uid="{00000000-0005-0000-0000-000067370000}"/>
    <cellStyle name="40% - Accent1 2 5 4 3 2 3 2" xfId="45309" xr:uid="{00000000-0005-0000-0000-000068370000}"/>
    <cellStyle name="40% - Accent1 2 5 4 3 2 4" xfId="35611" xr:uid="{00000000-0005-0000-0000-000069370000}"/>
    <cellStyle name="40% - Accent1 2 5 4 3 3" xfId="19092" xr:uid="{00000000-0005-0000-0000-00006A370000}"/>
    <cellStyle name="40% - Accent1 2 5 4 3 3 2" xfId="29460" xr:uid="{00000000-0005-0000-0000-00006B370000}"/>
    <cellStyle name="40% - Accent1 2 5 4 3 3 2 2" xfId="48649" xr:uid="{00000000-0005-0000-0000-00006C370000}"/>
    <cellStyle name="40% - Accent1 2 5 4 3 3 3" xfId="38951" xr:uid="{00000000-0005-0000-0000-00006D370000}"/>
    <cellStyle name="40% - Accent1 2 5 4 3 4" xfId="25005" xr:uid="{00000000-0005-0000-0000-00006E370000}"/>
    <cellStyle name="40% - Accent1 2 5 4 3 4 2" xfId="44194" xr:uid="{00000000-0005-0000-0000-00006F370000}"/>
    <cellStyle name="40% - Accent1 2 5 4 3 5" xfId="34496" xr:uid="{00000000-0005-0000-0000-000070370000}"/>
    <cellStyle name="40% - Accent1 2 5 4 4" xfId="15186" xr:uid="{00000000-0005-0000-0000-000071370000}"/>
    <cellStyle name="40% - Accent1 2 5 4 4 2" xfId="19650" xr:uid="{00000000-0005-0000-0000-000072370000}"/>
    <cellStyle name="40% - Accent1 2 5 4 4 2 2" xfId="30018" xr:uid="{00000000-0005-0000-0000-000073370000}"/>
    <cellStyle name="40% - Accent1 2 5 4 4 2 2 2" xfId="49207" xr:uid="{00000000-0005-0000-0000-000074370000}"/>
    <cellStyle name="40% - Accent1 2 5 4 4 2 3" xfId="39509" xr:uid="{00000000-0005-0000-0000-000075370000}"/>
    <cellStyle name="40% - Accent1 2 5 4 4 3" xfId="25563" xr:uid="{00000000-0005-0000-0000-000076370000}"/>
    <cellStyle name="40% - Accent1 2 5 4 4 3 2" xfId="44752" xr:uid="{00000000-0005-0000-0000-000077370000}"/>
    <cellStyle name="40% - Accent1 2 5 4 4 4" xfId="35054" xr:uid="{00000000-0005-0000-0000-000078370000}"/>
    <cellStyle name="40% - Accent1 2 5 4 5" xfId="16856" xr:uid="{00000000-0005-0000-0000-000079370000}"/>
    <cellStyle name="40% - Accent1 2 5 4 5 2" xfId="21320" xr:uid="{00000000-0005-0000-0000-00007A370000}"/>
    <cellStyle name="40% - Accent1 2 5 4 5 2 2" xfId="31688" xr:uid="{00000000-0005-0000-0000-00007B370000}"/>
    <cellStyle name="40% - Accent1 2 5 4 5 2 2 2" xfId="50877" xr:uid="{00000000-0005-0000-0000-00007C370000}"/>
    <cellStyle name="40% - Accent1 2 5 4 5 2 3" xfId="41179" xr:uid="{00000000-0005-0000-0000-00007D370000}"/>
    <cellStyle name="40% - Accent1 2 5 4 5 3" xfId="27233" xr:uid="{00000000-0005-0000-0000-00007E370000}"/>
    <cellStyle name="40% - Accent1 2 5 4 5 3 2" xfId="46422" xr:uid="{00000000-0005-0000-0000-00007F370000}"/>
    <cellStyle name="40% - Accent1 2 5 4 5 4" xfId="36724" xr:uid="{00000000-0005-0000-0000-000080370000}"/>
    <cellStyle name="40% - Accent1 2 5 4 6" xfId="17422" xr:uid="{00000000-0005-0000-0000-000081370000}"/>
    <cellStyle name="40% - Accent1 2 5 4 6 2" xfId="21877" xr:uid="{00000000-0005-0000-0000-000082370000}"/>
    <cellStyle name="40% - Accent1 2 5 4 6 2 2" xfId="32245" xr:uid="{00000000-0005-0000-0000-000083370000}"/>
    <cellStyle name="40% - Accent1 2 5 4 6 2 2 2" xfId="51434" xr:uid="{00000000-0005-0000-0000-000084370000}"/>
    <cellStyle name="40% - Accent1 2 5 4 6 2 3" xfId="41736" xr:uid="{00000000-0005-0000-0000-000085370000}"/>
    <cellStyle name="40% - Accent1 2 5 4 6 3" xfId="27790" xr:uid="{00000000-0005-0000-0000-000086370000}"/>
    <cellStyle name="40% - Accent1 2 5 4 6 3 2" xfId="46979" xr:uid="{00000000-0005-0000-0000-000087370000}"/>
    <cellStyle name="40% - Accent1 2 5 4 6 4" xfId="37281" xr:uid="{00000000-0005-0000-0000-000088370000}"/>
    <cellStyle name="40% - Accent1 2 5 4 7" xfId="17979" xr:uid="{00000000-0005-0000-0000-000089370000}"/>
    <cellStyle name="40% - Accent1 2 5 4 7 2" xfId="28347" xr:uid="{00000000-0005-0000-0000-00008A370000}"/>
    <cellStyle name="40% - Accent1 2 5 4 7 2 2" xfId="47536" xr:uid="{00000000-0005-0000-0000-00008B370000}"/>
    <cellStyle name="40% - Accent1 2 5 4 7 3" xfId="37838" xr:uid="{00000000-0005-0000-0000-00008C370000}"/>
    <cellStyle name="40% - Accent1 2 5 4 8" xfId="23842" xr:uid="{00000000-0005-0000-0000-00008D370000}"/>
    <cellStyle name="40% - Accent1 2 5 4 8 2" xfId="43081" xr:uid="{00000000-0005-0000-0000-00008E370000}"/>
    <cellStyle name="40% - Accent1 2 5 4 9" xfId="33383" xr:uid="{00000000-0005-0000-0000-00008F370000}"/>
    <cellStyle name="40% - Accent1 2 5 5" xfId="12184" xr:uid="{00000000-0005-0000-0000-000090370000}"/>
    <cellStyle name="40% - Accent1 2 5 6" xfId="52596" xr:uid="{00000000-0005-0000-0000-000091370000}"/>
    <cellStyle name="40% - Accent1 2 5 7" xfId="12009" xr:uid="{00000000-0005-0000-0000-000092370000}"/>
    <cellStyle name="40% - Accent1 2 6" xfId="1838" xr:uid="{00000000-0005-0000-0000-000093370000}"/>
    <cellStyle name="40% - Accent1 2 6 2" xfId="13092" xr:uid="{00000000-0005-0000-0000-000094370000}"/>
    <cellStyle name="40% - Accent1 2 6 2 10" xfId="52829" xr:uid="{00000000-0005-0000-0000-000095370000}"/>
    <cellStyle name="40% - Accent1 2 6 2 2" xfId="14036" xr:uid="{00000000-0005-0000-0000-000096370000}"/>
    <cellStyle name="40% - Accent1 2 6 2 2 2" xfId="16300" xr:uid="{00000000-0005-0000-0000-000097370000}"/>
    <cellStyle name="40% - Accent1 2 6 2 2 2 2" xfId="20764" xr:uid="{00000000-0005-0000-0000-000098370000}"/>
    <cellStyle name="40% - Accent1 2 6 2 2 2 2 2" xfId="31132" xr:uid="{00000000-0005-0000-0000-000099370000}"/>
    <cellStyle name="40% - Accent1 2 6 2 2 2 2 2 2" xfId="50321" xr:uid="{00000000-0005-0000-0000-00009A370000}"/>
    <cellStyle name="40% - Accent1 2 6 2 2 2 2 3" xfId="40623" xr:uid="{00000000-0005-0000-0000-00009B370000}"/>
    <cellStyle name="40% - Accent1 2 6 2 2 2 3" xfId="26677" xr:uid="{00000000-0005-0000-0000-00009C370000}"/>
    <cellStyle name="40% - Accent1 2 6 2 2 2 3 2" xfId="45866" xr:uid="{00000000-0005-0000-0000-00009D370000}"/>
    <cellStyle name="40% - Accent1 2 6 2 2 2 4" xfId="36168" xr:uid="{00000000-0005-0000-0000-00009E370000}"/>
    <cellStyle name="40% - Accent1 2 6 2 2 2 5" xfId="54110" xr:uid="{00000000-0005-0000-0000-00009F370000}"/>
    <cellStyle name="40% - Accent1 2 6 2 2 3" xfId="18536" xr:uid="{00000000-0005-0000-0000-0000A0370000}"/>
    <cellStyle name="40% - Accent1 2 6 2 2 3 2" xfId="28904" xr:uid="{00000000-0005-0000-0000-0000A1370000}"/>
    <cellStyle name="40% - Accent1 2 6 2 2 3 2 2" xfId="48093" xr:uid="{00000000-0005-0000-0000-0000A2370000}"/>
    <cellStyle name="40% - Accent1 2 6 2 2 3 3" xfId="38395" xr:uid="{00000000-0005-0000-0000-0000A3370000}"/>
    <cellStyle name="40% - Accent1 2 6 2 2 4" xfId="24444" xr:uid="{00000000-0005-0000-0000-0000A4370000}"/>
    <cellStyle name="40% - Accent1 2 6 2 2 4 2" xfId="43638" xr:uid="{00000000-0005-0000-0000-0000A5370000}"/>
    <cellStyle name="40% - Accent1 2 6 2 2 5" xfId="33940" xr:uid="{00000000-0005-0000-0000-0000A6370000}"/>
    <cellStyle name="40% - Accent1 2 6 2 2 6" xfId="53257" xr:uid="{00000000-0005-0000-0000-0000A7370000}"/>
    <cellStyle name="40% - Accent1 2 6 2 3" xfId="14615" xr:uid="{00000000-0005-0000-0000-0000A8370000}"/>
    <cellStyle name="40% - Accent1 2 6 2 3 2" xfId="15744" xr:uid="{00000000-0005-0000-0000-0000A9370000}"/>
    <cellStyle name="40% - Accent1 2 6 2 3 2 2" xfId="20208" xr:uid="{00000000-0005-0000-0000-0000AA370000}"/>
    <cellStyle name="40% - Accent1 2 6 2 3 2 2 2" xfId="30576" xr:uid="{00000000-0005-0000-0000-0000AB370000}"/>
    <cellStyle name="40% - Accent1 2 6 2 3 2 2 2 2" xfId="49765" xr:uid="{00000000-0005-0000-0000-0000AC370000}"/>
    <cellStyle name="40% - Accent1 2 6 2 3 2 2 3" xfId="40067" xr:uid="{00000000-0005-0000-0000-0000AD370000}"/>
    <cellStyle name="40% - Accent1 2 6 2 3 2 3" xfId="26121" xr:uid="{00000000-0005-0000-0000-0000AE370000}"/>
    <cellStyle name="40% - Accent1 2 6 2 3 2 3 2" xfId="45310" xr:uid="{00000000-0005-0000-0000-0000AF370000}"/>
    <cellStyle name="40% - Accent1 2 6 2 3 2 4" xfId="35612" xr:uid="{00000000-0005-0000-0000-0000B0370000}"/>
    <cellStyle name="40% - Accent1 2 6 2 3 3" xfId="19093" xr:uid="{00000000-0005-0000-0000-0000B1370000}"/>
    <cellStyle name="40% - Accent1 2 6 2 3 3 2" xfId="29461" xr:uid="{00000000-0005-0000-0000-0000B2370000}"/>
    <cellStyle name="40% - Accent1 2 6 2 3 3 2 2" xfId="48650" xr:uid="{00000000-0005-0000-0000-0000B3370000}"/>
    <cellStyle name="40% - Accent1 2 6 2 3 3 3" xfId="38952" xr:uid="{00000000-0005-0000-0000-0000B4370000}"/>
    <cellStyle name="40% - Accent1 2 6 2 3 4" xfId="25006" xr:uid="{00000000-0005-0000-0000-0000B5370000}"/>
    <cellStyle name="40% - Accent1 2 6 2 3 4 2" xfId="44195" xr:uid="{00000000-0005-0000-0000-0000B6370000}"/>
    <cellStyle name="40% - Accent1 2 6 2 3 5" xfId="34497" xr:uid="{00000000-0005-0000-0000-0000B7370000}"/>
    <cellStyle name="40% - Accent1 2 6 2 3 6" xfId="53714" xr:uid="{00000000-0005-0000-0000-0000B8370000}"/>
    <cellStyle name="40% - Accent1 2 6 2 4" xfId="15187" xr:uid="{00000000-0005-0000-0000-0000B9370000}"/>
    <cellStyle name="40% - Accent1 2 6 2 4 2" xfId="19651" xr:uid="{00000000-0005-0000-0000-0000BA370000}"/>
    <cellStyle name="40% - Accent1 2 6 2 4 2 2" xfId="30019" xr:uid="{00000000-0005-0000-0000-0000BB370000}"/>
    <cellStyle name="40% - Accent1 2 6 2 4 2 2 2" xfId="49208" xr:uid="{00000000-0005-0000-0000-0000BC370000}"/>
    <cellStyle name="40% - Accent1 2 6 2 4 2 3" xfId="39510" xr:uid="{00000000-0005-0000-0000-0000BD370000}"/>
    <cellStyle name="40% - Accent1 2 6 2 4 3" xfId="25564" xr:uid="{00000000-0005-0000-0000-0000BE370000}"/>
    <cellStyle name="40% - Accent1 2 6 2 4 3 2" xfId="44753" xr:uid="{00000000-0005-0000-0000-0000BF370000}"/>
    <cellStyle name="40% - Accent1 2 6 2 4 4" xfId="35055" xr:uid="{00000000-0005-0000-0000-0000C0370000}"/>
    <cellStyle name="40% - Accent1 2 6 2 5" xfId="16857" xr:uid="{00000000-0005-0000-0000-0000C1370000}"/>
    <cellStyle name="40% - Accent1 2 6 2 5 2" xfId="21321" xr:uid="{00000000-0005-0000-0000-0000C2370000}"/>
    <cellStyle name="40% - Accent1 2 6 2 5 2 2" xfId="31689" xr:uid="{00000000-0005-0000-0000-0000C3370000}"/>
    <cellStyle name="40% - Accent1 2 6 2 5 2 2 2" xfId="50878" xr:uid="{00000000-0005-0000-0000-0000C4370000}"/>
    <cellStyle name="40% - Accent1 2 6 2 5 2 3" xfId="41180" xr:uid="{00000000-0005-0000-0000-0000C5370000}"/>
    <cellStyle name="40% - Accent1 2 6 2 5 3" xfId="27234" xr:uid="{00000000-0005-0000-0000-0000C6370000}"/>
    <cellStyle name="40% - Accent1 2 6 2 5 3 2" xfId="46423" xr:uid="{00000000-0005-0000-0000-0000C7370000}"/>
    <cellStyle name="40% - Accent1 2 6 2 5 4" xfId="36725" xr:uid="{00000000-0005-0000-0000-0000C8370000}"/>
    <cellStyle name="40% - Accent1 2 6 2 6" xfId="17423" xr:uid="{00000000-0005-0000-0000-0000C9370000}"/>
    <cellStyle name="40% - Accent1 2 6 2 6 2" xfId="21878" xr:uid="{00000000-0005-0000-0000-0000CA370000}"/>
    <cellStyle name="40% - Accent1 2 6 2 6 2 2" xfId="32246" xr:uid="{00000000-0005-0000-0000-0000CB370000}"/>
    <cellStyle name="40% - Accent1 2 6 2 6 2 2 2" xfId="51435" xr:uid="{00000000-0005-0000-0000-0000CC370000}"/>
    <cellStyle name="40% - Accent1 2 6 2 6 2 3" xfId="41737" xr:uid="{00000000-0005-0000-0000-0000CD370000}"/>
    <cellStyle name="40% - Accent1 2 6 2 6 3" xfId="27791" xr:uid="{00000000-0005-0000-0000-0000CE370000}"/>
    <cellStyle name="40% - Accent1 2 6 2 6 3 2" xfId="46980" xr:uid="{00000000-0005-0000-0000-0000CF370000}"/>
    <cellStyle name="40% - Accent1 2 6 2 6 4" xfId="37282" xr:uid="{00000000-0005-0000-0000-0000D0370000}"/>
    <cellStyle name="40% - Accent1 2 6 2 7" xfId="17980" xr:uid="{00000000-0005-0000-0000-0000D1370000}"/>
    <cellStyle name="40% - Accent1 2 6 2 7 2" xfId="28348" xr:uid="{00000000-0005-0000-0000-0000D2370000}"/>
    <cellStyle name="40% - Accent1 2 6 2 7 2 2" xfId="47537" xr:uid="{00000000-0005-0000-0000-0000D3370000}"/>
    <cellStyle name="40% - Accent1 2 6 2 7 3" xfId="37839" xr:uid="{00000000-0005-0000-0000-0000D4370000}"/>
    <cellStyle name="40% - Accent1 2 6 2 8" xfId="23843" xr:uid="{00000000-0005-0000-0000-0000D5370000}"/>
    <cellStyle name="40% - Accent1 2 6 2 8 2" xfId="43082" xr:uid="{00000000-0005-0000-0000-0000D6370000}"/>
    <cellStyle name="40% - Accent1 2 6 2 9" xfId="33384" xr:uid="{00000000-0005-0000-0000-0000D7370000}"/>
    <cellStyle name="40% - Accent1 2 6 3" xfId="13093" xr:uid="{00000000-0005-0000-0000-0000D8370000}"/>
    <cellStyle name="40% - Accent1 2 6 3 10" xfId="53039" xr:uid="{00000000-0005-0000-0000-0000D9370000}"/>
    <cellStyle name="40% - Accent1 2 6 3 2" xfId="14037" xr:uid="{00000000-0005-0000-0000-0000DA370000}"/>
    <cellStyle name="40% - Accent1 2 6 3 2 2" xfId="16301" xr:uid="{00000000-0005-0000-0000-0000DB370000}"/>
    <cellStyle name="40% - Accent1 2 6 3 2 2 2" xfId="20765" xr:uid="{00000000-0005-0000-0000-0000DC370000}"/>
    <cellStyle name="40% - Accent1 2 6 3 2 2 2 2" xfId="31133" xr:uid="{00000000-0005-0000-0000-0000DD370000}"/>
    <cellStyle name="40% - Accent1 2 6 3 2 2 2 2 2" xfId="50322" xr:uid="{00000000-0005-0000-0000-0000DE370000}"/>
    <cellStyle name="40% - Accent1 2 6 3 2 2 2 3" xfId="40624" xr:uid="{00000000-0005-0000-0000-0000DF370000}"/>
    <cellStyle name="40% - Accent1 2 6 3 2 2 3" xfId="26678" xr:uid="{00000000-0005-0000-0000-0000E0370000}"/>
    <cellStyle name="40% - Accent1 2 6 3 2 2 3 2" xfId="45867" xr:uid="{00000000-0005-0000-0000-0000E1370000}"/>
    <cellStyle name="40% - Accent1 2 6 3 2 2 4" xfId="36169" xr:uid="{00000000-0005-0000-0000-0000E2370000}"/>
    <cellStyle name="40% - Accent1 2 6 3 2 3" xfId="18537" xr:uid="{00000000-0005-0000-0000-0000E3370000}"/>
    <cellStyle name="40% - Accent1 2 6 3 2 3 2" xfId="28905" xr:uid="{00000000-0005-0000-0000-0000E4370000}"/>
    <cellStyle name="40% - Accent1 2 6 3 2 3 2 2" xfId="48094" xr:uid="{00000000-0005-0000-0000-0000E5370000}"/>
    <cellStyle name="40% - Accent1 2 6 3 2 3 3" xfId="38396" xr:uid="{00000000-0005-0000-0000-0000E6370000}"/>
    <cellStyle name="40% - Accent1 2 6 3 2 4" xfId="24445" xr:uid="{00000000-0005-0000-0000-0000E7370000}"/>
    <cellStyle name="40% - Accent1 2 6 3 2 4 2" xfId="43639" xr:uid="{00000000-0005-0000-0000-0000E8370000}"/>
    <cellStyle name="40% - Accent1 2 6 3 2 5" xfId="33941" xr:uid="{00000000-0005-0000-0000-0000E9370000}"/>
    <cellStyle name="40% - Accent1 2 6 3 2 6" xfId="53914" xr:uid="{00000000-0005-0000-0000-0000EA370000}"/>
    <cellStyle name="40% - Accent1 2 6 3 3" xfId="14616" xr:uid="{00000000-0005-0000-0000-0000EB370000}"/>
    <cellStyle name="40% - Accent1 2 6 3 3 2" xfId="15745" xr:uid="{00000000-0005-0000-0000-0000EC370000}"/>
    <cellStyle name="40% - Accent1 2 6 3 3 2 2" xfId="20209" xr:uid="{00000000-0005-0000-0000-0000ED370000}"/>
    <cellStyle name="40% - Accent1 2 6 3 3 2 2 2" xfId="30577" xr:uid="{00000000-0005-0000-0000-0000EE370000}"/>
    <cellStyle name="40% - Accent1 2 6 3 3 2 2 2 2" xfId="49766" xr:uid="{00000000-0005-0000-0000-0000EF370000}"/>
    <cellStyle name="40% - Accent1 2 6 3 3 2 2 3" xfId="40068" xr:uid="{00000000-0005-0000-0000-0000F0370000}"/>
    <cellStyle name="40% - Accent1 2 6 3 3 2 3" xfId="26122" xr:uid="{00000000-0005-0000-0000-0000F1370000}"/>
    <cellStyle name="40% - Accent1 2 6 3 3 2 3 2" xfId="45311" xr:uid="{00000000-0005-0000-0000-0000F2370000}"/>
    <cellStyle name="40% - Accent1 2 6 3 3 2 4" xfId="35613" xr:uid="{00000000-0005-0000-0000-0000F3370000}"/>
    <cellStyle name="40% - Accent1 2 6 3 3 3" xfId="19094" xr:uid="{00000000-0005-0000-0000-0000F4370000}"/>
    <cellStyle name="40% - Accent1 2 6 3 3 3 2" xfId="29462" xr:uid="{00000000-0005-0000-0000-0000F5370000}"/>
    <cellStyle name="40% - Accent1 2 6 3 3 3 2 2" xfId="48651" xr:uid="{00000000-0005-0000-0000-0000F6370000}"/>
    <cellStyle name="40% - Accent1 2 6 3 3 3 3" xfId="38953" xr:uid="{00000000-0005-0000-0000-0000F7370000}"/>
    <cellStyle name="40% - Accent1 2 6 3 3 4" xfId="25007" xr:uid="{00000000-0005-0000-0000-0000F8370000}"/>
    <cellStyle name="40% - Accent1 2 6 3 3 4 2" xfId="44196" xr:uid="{00000000-0005-0000-0000-0000F9370000}"/>
    <cellStyle name="40% - Accent1 2 6 3 3 5" xfId="34498" xr:uid="{00000000-0005-0000-0000-0000FA370000}"/>
    <cellStyle name="40% - Accent1 2 6 3 4" xfId="15188" xr:uid="{00000000-0005-0000-0000-0000FB370000}"/>
    <cellStyle name="40% - Accent1 2 6 3 4 2" xfId="19652" xr:uid="{00000000-0005-0000-0000-0000FC370000}"/>
    <cellStyle name="40% - Accent1 2 6 3 4 2 2" xfId="30020" xr:uid="{00000000-0005-0000-0000-0000FD370000}"/>
    <cellStyle name="40% - Accent1 2 6 3 4 2 2 2" xfId="49209" xr:uid="{00000000-0005-0000-0000-0000FE370000}"/>
    <cellStyle name="40% - Accent1 2 6 3 4 2 3" xfId="39511" xr:uid="{00000000-0005-0000-0000-0000FF370000}"/>
    <cellStyle name="40% - Accent1 2 6 3 4 3" xfId="25565" xr:uid="{00000000-0005-0000-0000-000000380000}"/>
    <cellStyle name="40% - Accent1 2 6 3 4 3 2" xfId="44754" xr:uid="{00000000-0005-0000-0000-000001380000}"/>
    <cellStyle name="40% - Accent1 2 6 3 4 4" xfId="35056" xr:uid="{00000000-0005-0000-0000-000002380000}"/>
    <cellStyle name="40% - Accent1 2 6 3 5" xfId="16858" xr:uid="{00000000-0005-0000-0000-000003380000}"/>
    <cellStyle name="40% - Accent1 2 6 3 5 2" xfId="21322" xr:uid="{00000000-0005-0000-0000-000004380000}"/>
    <cellStyle name="40% - Accent1 2 6 3 5 2 2" xfId="31690" xr:uid="{00000000-0005-0000-0000-000005380000}"/>
    <cellStyle name="40% - Accent1 2 6 3 5 2 2 2" xfId="50879" xr:uid="{00000000-0005-0000-0000-000006380000}"/>
    <cellStyle name="40% - Accent1 2 6 3 5 2 3" xfId="41181" xr:uid="{00000000-0005-0000-0000-000007380000}"/>
    <cellStyle name="40% - Accent1 2 6 3 5 3" xfId="27235" xr:uid="{00000000-0005-0000-0000-000008380000}"/>
    <cellStyle name="40% - Accent1 2 6 3 5 3 2" xfId="46424" xr:uid="{00000000-0005-0000-0000-000009380000}"/>
    <cellStyle name="40% - Accent1 2 6 3 5 4" xfId="36726" xr:uid="{00000000-0005-0000-0000-00000A380000}"/>
    <cellStyle name="40% - Accent1 2 6 3 6" xfId="17424" xr:uid="{00000000-0005-0000-0000-00000B380000}"/>
    <cellStyle name="40% - Accent1 2 6 3 6 2" xfId="21879" xr:uid="{00000000-0005-0000-0000-00000C380000}"/>
    <cellStyle name="40% - Accent1 2 6 3 6 2 2" xfId="32247" xr:uid="{00000000-0005-0000-0000-00000D380000}"/>
    <cellStyle name="40% - Accent1 2 6 3 6 2 2 2" xfId="51436" xr:uid="{00000000-0005-0000-0000-00000E380000}"/>
    <cellStyle name="40% - Accent1 2 6 3 6 2 3" xfId="41738" xr:uid="{00000000-0005-0000-0000-00000F380000}"/>
    <cellStyle name="40% - Accent1 2 6 3 6 3" xfId="27792" xr:uid="{00000000-0005-0000-0000-000010380000}"/>
    <cellStyle name="40% - Accent1 2 6 3 6 3 2" xfId="46981" xr:uid="{00000000-0005-0000-0000-000011380000}"/>
    <cellStyle name="40% - Accent1 2 6 3 6 4" xfId="37283" xr:uid="{00000000-0005-0000-0000-000012380000}"/>
    <cellStyle name="40% - Accent1 2 6 3 7" xfId="17981" xr:uid="{00000000-0005-0000-0000-000013380000}"/>
    <cellStyle name="40% - Accent1 2 6 3 7 2" xfId="28349" xr:uid="{00000000-0005-0000-0000-000014380000}"/>
    <cellStyle name="40% - Accent1 2 6 3 7 2 2" xfId="47538" xr:uid="{00000000-0005-0000-0000-000015380000}"/>
    <cellStyle name="40% - Accent1 2 6 3 7 3" xfId="37840" xr:uid="{00000000-0005-0000-0000-000016380000}"/>
    <cellStyle name="40% - Accent1 2 6 3 8" xfId="23844" xr:uid="{00000000-0005-0000-0000-000017380000}"/>
    <cellStyle name="40% - Accent1 2 6 3 8 2" xfId="43083" xr:uid="{00000000-0005-0000-0000-000018380000}"/>
    <cellStyle name="40% - Accent1 2 6 3 9" xfId="33385" xr:uid="{00000000-0005-0000-0000-000019380000}"/>
    <cellStyle name="40% - Accent1 2 6 4" xfId="53518" xr:uid="{00000000-0005-0000-0000-00001A380000}"/>
    <cellStyle name="40% - Accent1 2 6 5" xfId="52633" xr:uid="{00000000-0005-0000-0000-00001B380000}"/>
    <cellStyle name="40% - Accent1 2 6 6" xfId="12185" xr:uid="{00000000-0005-0000-0000-00001C380000}"/>
    <cellStyle name="40% - Accent1 2 7" xfId="1839" xr:uid="{00000000-0005-0000-0000-00001D380000}"/>
    <cellStyle name="40% - Accent1 2 7 10" xfId="52660" xr:uid="{00000000-0005-0000-0000-00001E380000}"/>
    <cellStyle name="40% - Accent1 2 7 11" xfId="12683" xr:uid="{00000000-0005-0000-0000-00001F380000}"/>
    <cellStyle name="40% - Accent1 2 7 2" xfId="13804" xr:uid="{00000000-0005-0000-0000-000020380000}"/>
    <cellStyle name="40% - Accent1 2 7 2 2" xfId="16068" xr:uid="{00000000-0005-0000-0000-000021380000}"/>
    <cellStyle name="40% - Accent1 2 7 2 2 2" xfId="20532" xr:uid="{00000000-0005-0000-0000-000022380000}"/>
    <cellStyle name="40% - Accent1 2 7 2 2 2 2" xfId="30900" xr:uid="{00000000-0005-0000-0000-000023380000}"/>
    <cellStyle name="40% - Accent1 2 7 2 2 2 2 2" xfId="50089" xr:uid="{00000000-0005-0000-0000-000024380000}"/>
    <cellStyle name="40% - Accent1 2 7 2 2 2 3" xfId="40391" xr:uid="{00000000-0005-0000-0000-000025380000}"/>
    <cellStyle name="40% - Accent1 2 7 2 2 3" xfId="26445" xr:uid="{00000000-0005-0000-0000-000026380000}"/>
    <cellStyle name="40% - Accent1 2 7 2 2 3 2" xfId="45634" xr:uid="{00000000-0005-0000-0000-000027380000}"/>
    <cellStyle name="40% - Accent1 2 7 2 2 4" xfId="35936" xr:uid="{00000000-0005-0000-0000-000028380000}"/>
    <cellStyle name="40% - Accent1 2 7 2 2 5" xfId="53941" xr:uid="{00000000-0005-0000-0000-000029380000}"/>
    <cellStyle name="40% - Accent1 2 7 2 3" xfId="18304" xr:uid="{00000000-0005-0000-0000-00002A380000}"/>
    <cellStyle name="40% - Accent1 2 7 2 3 2" xfId="28672" xr:uid="{00000000-0005-0000-0000-00002B380000}"/>
    <cellStyle name="40% - Accent1 2 7 2 3 2 2" xfId="47861" xr:uid="{00000000-0005-0000-0000-00002C380000}"/>
    <cellStyle name="40% - Accent1 2 7 2 3 3" xfId="38163" xr:uid="{00000000-0005-0000-0000-00002D380000}"/>
    <cellStyle name="40% - Accent1 2 7 2 4" xfId="24212" xr:uid="{00000000-0005-0000-0000-00002E380000}"/>
    <cellStyle name="40% - Accent1 2 7 2 4 2" xfId="43406" xr:uid="{00000000-0005-0000-0000-00002F380000}"/>
    <cellStyle name="40% - Accent1 2 7 2 5" xfId="33708" xr:uid="{00000000-0005-0000-0000-000030380000}"/>
    <cellStyle name="40% - Accent1 2 7 2 6" xfId="53088" xr:uid="{00000000-0005-0000-0000-000031380000}"/>
    <cellStyle name="40% - Accent1 2 7 3" xfId="14383" xr:uid="{00000000-0005-0000-0000-000032380000}"/>
    <cellStyle name="40% - Accent1 2 7 3 2" xfId="15512" xr:uid="{00000000-0005-0000-0000-000033380000}"/>
    <cellStyle name="40% - Accent1 2 7 3 2 2" xfId="19976" xr:uid="{00000000-0005-0000-0000-000034380000}"/>
    <cellStyle name="40% - Accent1 2 7 3 2 2 2" xfId="30344" xr:uid="{00000000-0005-0000-0000-000035380000}"/>
    <cellStyle name="40% - Accent1 2 7 3 2 2 2 2" xfId="49533" xr:uid="{00000000-0005-0000-0000-000036380000}"/>
    <cellStyle name="40% - Accent1 2 7 3 2 2 3" xfId="39835" xr:uid="{00000000-0005-0000-0000-000037380000}"/>
    <cellStyle name="40% - Accent1 2 7 3 2 3" xfId="25889" xr:uid="{00000000-0005-0000-0000-000038380000}"/>
    <cellStyle name="40% - Accent1 2 7 3 2 3 2" xfId="45078" xr:uid="{00000000-0005-0000-0000-000039380000}"/>
    <cellStyle name="40% - Accent1 2 7 3 2 4" xfId="35380" xr:uid="{00000000-0005-0000-0000-00003A380000}"/>
    <cellStyle name="40% - Accent1 2 7 3 3" xfId="18861" xr:uid="{00000000-0005-0000-0000-00003B380000}"/>
    <cellStyle name="40% - Accent1 2 7 3 3 2" xfId="29229" xr:uid="{00000000-0005-0000-0000-00003C380000}"/>
    <cellStyle name="40% - Accent1 2 7 3 3 2 2" xfId="48418" xr:uid="{00000000-0005-0000-0000-00003D380000}"/>
    <cellStyle name="40% - Accent1 2 7 3 3 3" xfId="38720" xr:uid="{00000000-0005-0000-0000-00003E380000}"/>
    <cellStyle name="40% - Accent1 2 7 3 4" xfId="24774" xr:uid="{00000000-0005-0000-0000-00003F380000}"/>
    <cellStyle name="40% - Accent1 2 7 3 4 2" xfId="43963" xr:uid="{00000000-0005-0000-0000-000040380000}"/>
    <cellStyle name="40% - Accent1 2 7 3 5" xfId="34265" xr:uid="{00000000-0005-0000-0000-000041380000}"/>
    <cellStyle name="40% - Accent1 2 7 3 6" xfId="53545" xr:uid="{00000000-0005-0000-0000-000042380000}"/>
    <cellStyle name="40% - Accent1 2 7 4" xfId="14955" xr:uid="{00000000-0005-0000-0000-000043380000}"/>
    <cellStyle name="40% - Accent1 2 7 4 2" xfId="19419" xr:uid="{00000000-0005-0000-0000-000044380000}"/>
    <cellStyle name="40% - Accent1 2 7 4 2 2" xfId="29787" xr:uid="{00000000-0005-0000-0000-000045380000}"/>
    <cellStyle name="40% - Accent1 2 7 4 2 2 2" xfId="48976" xr:uid="{00000000-0005-0000-0000-000046380000}"/>
    <cellStyle name="40% - Accent1 2 7 4 2 3" xfId="39278" xr:uid="{00000000-0005-0000-0000-000047380000}"/>
    <cellStyle name="40% - Accent1 2 7 4 3" xfId="25332" xr:uid="{00000000-0005-0000-0000-000048380000}"/>
    <cellStyle name="40% - Accent1 2 7 4 3 2" xfId="44521" xr:uid="{00000000-0005-0000-0000-000049380000}"/>
    <cellStyle name="40% - Accent1 2 7 4 4" xfId="34823" xr:uid="{00000000-0005-0000-0000-00004A380000}"/>
    <cellStyle name="40% - Accent1 2 7 5" xfId="16625" xr:uid="{00000000-0005-0000-0000-00004B380000}"/>
    <cellStyle name="40% - Accent1 2 7 5 2" xfId="21089" xr:uid="{00000000-0005-0000-0000-00004C380000}"/>
    <cellStyle name="40% - Accent1 2 7 5 2 2" xfId="31457" xr:uid="{00000000-0005-0000-0000-00004D380000}"/>
    <cellStyle name="40% - Accent1 2 7 5 2 2 2" xfId="50646" xr:uid="{00000000-0005-0000-0000-00004E380000}"/>
    <cellStyle name="40% - Accent1 2 7 5 2 3" xfId="40948" xr:uid="{00000000-0005-0000-0000-00004F380000}"/>
    <cellStyle name="40% - Accent1 2 7 5 3" xfId="27002" xr:uid="{00000000-0005-0000-0000-000050380000}"/>
    <cellStyle name="40% - Accent1 2 7 5 3 2" xfId="46191" xr:uid="{00000000-0005-0000-0000-000051380000}"/>
    <cellStyle name="40% - Accent1 2 7 5 4" xfId="36493" xr:uid="{00000000-0005-0000-0000-000052380000}"/>
    <cellStyle name="40% - Accent1 2 7 6" xfId="17191" xr:uid="{00000000-0005-0000-0000-000053380000}"/>
    <cellStyle name="40% - Accent1 2 7 6 2" xfId="21646" xr:uid="{00000000-0005-0000-0000-000054380000}"/>
    <cellStyle name="40% - Accent1 2 7 6 2 2" xfId="32014" xr:uid="{00000000-0005-0000-0000-000055380000}"/>
    <cellStyle name="40% - Accent1 2 7 6 2 2 2" xfId="51203" xr:uid="{00000000-0005-0000-0000-000056380000}"/>
    <cellStyle name="40% - Accent1 2 7 6 2 3" xfId="41505" xr:uid="{00000000-0005-0000-0000-000057380000}"/>
    <cellStyle name="40% - Accent1 2 7 6 3" xfId="27559" xr:uid="{00000000-0005-0000-0000-000058380000}"/>
    <cellStyle name="40% - Accent1 2 7 6 3 2" xfId="46748" xr:uid="{00000000-0005-0000-0000-000059380000}"/>
    <cellStyle name="40% - Accent1 2 7 6 4" xfId="37050" xr:uid="{00000000-0005-0000-0000-00005A380000}"/>
    <cellStyle name="40% - Accent1 2 7 7" xfId="17748" xr:uid="{00000000-0005-0000-0000-00005B380000}"/>
    <cellStyle name="40% - Accent1 2 7 7 2" xfId="28116" xr:uid="{00000000-0005-0000-0000-00005C380000}"/>
    <cellStyle name="40% - Accent1 2 7 7 2 2" xfId="47305" xr:uid="{00000000-0005-0000-0000-00005D380000}"/>
    <cellStyle name="40% - Accent1 2 7 7 3" xfId="37607" xr:uid="{00000000-0005-0000-0000-00005E380000}"/>
    <cellStyle name="40% - Accent1 2 7 8" xfId="23563" xr:uid="{00000000-0005-0000-0000-00005F380000}"/>
    <cellStyle name="40% - Accent1 2 7 8 2" xfId="42850" xr:uid="{00000000-0005-0000-0000-000060380000}"/>
    <cellStyle name="40% - Accent1 2 7 9" xfId="33152" xr:uid="{00000000-0005-0000-0000-000061380000}"/>
    <cellStyle name="40% - Accent1 2 8" xfId="1840" xr:uid="{00000000-0005-0000-0000-000062380000}"/>
    <cellStyle name="40% - Accent1 2 8 10" xfId="52860" xr:uid="{00000000-0005-0000-0000-000063380000}"/>
    <cellStyle name="40% - Accent1 2 8 11" xfId="12794" xr:uid="{00000000-0005-0000-0000-000064380000}"/>
    <cellStyle name="40% - Accent1 2 8 2" xfId="13823" xr:uid="{00000000-0005-0000-0000-000065380000}"/>
    <cellStyle name="40% - Accent1 2 8 2 2" xfId="16087" xr:uid="{00000000-0005-0000-0000-000066380000}"/>
    <cellStyle name="40% - Accent1 2 8 2 2 2" xfId="20551" xr:uid="{00000000-0005-0000-0000-000067380000}"/>
    <cellStyle name="40% - Accent1 2 8 2 2 2 2" xfId="30919" xr:uid="{00000000-0005-0000-0000-000068380000}"/>
    <cellStyle name="40% - Accent1 2 8 2 2 2 2 2" xfId="50108" xr:uid="{00000000-0005-0000-0000-000069380000}"/>
    <cellStyle name="40% - Accent1 2 8 2 2 2 3" xfId="40410" xr:uid="{00000000-0005-0000-0000-00006A380000}"/>
    <cellStyle name="40% - Accent1 2 8 2 2 3" xfId="26464" xr:uid="{00000000-0005-0000-0000-00006B380000}"/>
    <cellStyle name="40% - Accent1 2 8 2 2 3 2" xfId="45653" xr:uid="{00000000-0005-0000-0000-00006C380000}"/>
    <cellStyle name="40% - Accent1 2 8 2 2 4" xfId="35955" xr:uid="{00000000-0005-0000-0000-00006D380000}"/>
    <cellStyle name="40% - Accent1 2 8 2 3" xfId="18323" xr:uid="{00000000-0005-0000-0000-00006E380000}"/>
    <cellStyle name="40% - Accent1 2 8 2 3 2" xfId="28691" xr:uid="{00000000-0005-0000-0000-00006F380000}"/>
    <cellStyle name="40% - Accent1 2 8 2 3 2 2" xfId="47880" xr:uid="{00000000-0005-0000-0000-000070380000}"/>
    <cellStyle name="40% - Accent1 2 8 2 3 3" xfId="38182" xr:uid="{00000000-0005-0000-0000-000071380000}"/>
    <cellStyle name="40% - Accent1 2 8 2 4" xfId="24231" xr:uid="{00000000-0005-0000-0000-000072380000}"/>
    <cellStyle name="40% - Accent1 2 8 2 4 2" xfId="43425" xr:uid="{00000000-0005-0000-0000-000073380000}"/>
    <cellStyle name="40% - Accent1 2 8 2 5" xfId="33727" xr:uid="{00000000-0005-0000-0000-000074380000}"/>
    <cellStyle name="40% - Accent1 2 8 2 6" xfId="53744" xr:uid="{00000000-0005-0000-0000-000075380000}"/>
    <cellStyle name="40% - Accent1 2 8 3" xfId="14402" xr:uid="{00000000-0005-0000-0000-000076380000}"/>
    <cellStyle name="40% - Accent1 2 8 3 2" xfId="15531" xr:uid="{00000000-0005-0000-0000-000077380000}"/>
    <cellStyle name="40% - Accent1 2 8 3 2 2" xfId="19995" xr:uid="{00000000-0005-0000-0000-000078380000}"/>
    <cellStyle name="40% - Accent1 2 8 3 2 2 2" xfId="30363" xr:uid="{00000000-0005-0000-0000-000079380000}"/>
    <cellStyle name="40% - Accent1 2 8 3 2 2 2 2" xfId="49552" xr:uid="{00000000-0005-0000-0000-00007A380000}"/>
    <cellStyle name="40% - Accent1 2 8 3 2 2 3" xfId="39854" xr:uid="{00000000-0005-0000-0000-00007B380000}"/>
    <cellStyle name="40% - Accent1 2 8 3 2 3" xfId="25908" xr:uid="{00000000-0005-0000-0000-00007C380000}"/>
    <cellStyle name="40% - Accent1 2 8 3 2 3 2" xfId="45097" xr:uid="{00000000-0005-0000-0000-00007D380000}"/>
    <cellStyle name="40% - Accent1 2 8 3 2 4" xfId="35399" xr:uid="{00000000-0005-0000-0000-00007E380000}"/>
    <cellStyle name="40% - Accent1 2 8 3 3" xfId="18880" xr:uid="{00000000-0005-0000-0000-00007F380000}"/>
    <cellStyle name="40% - Accent1 2 8 3 3 2" xfId="29248" xr:uid="{00000000-0005-0000-0000-000080380000}"/>
    <cellStyle name="40% - Accent1 2 8 3 3 2 2" xfId="48437" xr:uid="{00000000-0005-0000-0000-000081380000}"/>
    <cellStyle name="40% - Accent1 2 8 3 3 3" xfId="38739" xr:uid="{00000000-0005-0000-0000-000082380000}"/>
    <cellStyle name="40% - Accent1 2 8 3 4" xfId="24793" xr:uid="{00000000-0005-0000-0000-000083380000}"/>
    <cellStyle name="40% - Accent1 2 8 3 4 2" xfId="43982" xr:uid="{00000000-0005-0000-0000-000084380000}"/>
    <cellStyle name="40% - Accent1 2 8 3 5" xfId="34284" xr:uid="{00000000-0005-0000-0000-000085380000}"/>
    <cellStyle name="40% - Accent1 2 8 4" xfId="14974" xr:uid="{00000000-0005-0000-0000-000086380000}"/>
    <cellStyle name="40% - Accent1 2 8 4 2" xfId="19438" xr:uid="{00000000-0005-0000-0000-000087380000}"/>
    <cellStyle name="40% - Accent1 2 8 4 2 2" xfId="29806" xr:uid="{00000000-0005-0000-0000-000088380000}"/>
    <cellStyle name="40% - Accent1 2 8 4 2 2 2" xfId="48995" xr:uid="{00000000-0005-0000-0000-000089380000}"/>
    <cellStyle name="40% - Accent1 2 8 4 2 3" xfId="39297" xr:uid="{00000000-0005-0000-0000-00008A380000}"/>
    <cellStyle name="40% - Accent1 2 8 4 3" xfId="25351" xr:uid="{00000000-0005-0000-0000-00008B380000}"/>
    <cellStyle name="40% - Accent1 2 8 4 3 2" xfId="44540" xr:uid="{00000000-0005-0000-0000-00008C380000}"/>
    <cellStyle name="40% - Accent1 2 8 4 4" xfId="34842" xr:uid="{00000000-0005-0000-0000-00008D380000}"/>
    <cellStyle name="40% - Accent1 2 8 5" xfId="16644" xr:uid="{00000000-0005-0000-0000-00008E380000}"/>
    <cellStyle name="40% - Accent1 2 8 5 2" xfId="21108" xr:uid="{00000000-0005-0000-0000-00008F380000}"/>
    <cellStyle name="40% - Accent1 2 8 5 2 2" xfId="31476" xr:uid="{00000000-0005-0000-0000-000090380000}"/>
    <cellStyle name="40% - Accent1 2 8 5 2 2 2" xfId="50665" xr:uid="{00000000-0005-0000-0000-000091380000}"/>
    <cellStyle name="40% - Accent1 2 8 5 2 3" xfId="40967" xr:uid="{00000000-0005-0000-0000-000092380000}"/>
    <cellStyle name="40% - Accent1 2 8 5 3" xfId="27021" xr:uid="{00000000-0005-0000-0000-000093380000}"/>
    <cellStyle name="40% - Accent1 2 8 5 3 2" xfId="46210" xr:uid="{00000000-0005-0000-0000-000094380000}"/>
    <cellStyle name="40% - Accent1 2 8 5 4" xfId="36512" xr:uid="{00000000-0005-0000-0000-000095380000}"/>
    <cellStyle name="40% - Accent1 2 8 6" xfId="17210" xr:uid="{00000000-0005-0000-0000-000096380000}"/>
    <cellStyle name="40% - Accent1 2 8 6 2" xfId="21665" xr:uid="{00000000-0005-0000-0000-000097380000}"/>
    <cellStyle name="40% - Accent1 2 8 6 2 2" xfId="32033" xr:uid="{00000000-0005-0000-0000-000098380000}"/>
    <cellStyle name="40% - Accent1 2 8 6 2 2 2" xfId="51222" xr:uid="{00000000-0005-0000-0000-000099380000}"/>
    <cellStyle name="40% - Accent1 2 8 6 2 3" xfId="41524" xr:uid="{00000000-0005-0000-0000-00009A380000}"/>
    <cellStyle name="40% - Accent1 2 8 6 3" xfId="27578" xr:uid="{00000000-0005-0000-0000-00009B380000}"/>
    <cellStyle name="40% - Accent1 2 8 6 3 2" xfId="46767" xr:uid="{00000000-0005-0000-0000-00009C380000}"/>
    <cellStyle name="40% - Accent1 2 8 6 4" xfId="37069" xr:uid="{00000000-0005-0000-0000-00009D380000}"/>
    <cellStyle name="40% - Accent1 2 8 7" xfId="17767" xr:uid="{00000000-0005-0000-0000-00009E380000}"/>
    <cellStyle name="40% - Accent1 2 8 7 2" xfId="28135" xr:uid="{00000000-0005-0000-0000-00009F380000}"/>
    <cellStyle name="40% - Accent1 2 8 7 2 2" xfId="47324" xr:uid="{00000000-0005-0000-0000-0000A0380000}"/>
    <cellStyle name="40% - Accent1 2 8 7 3" xfId="37626" xr:uid="{00000000-0005-0000-0000-0000A1380000}"/>
    <cellStyle name="40% - Accent1 2 8 8" xfId="23597" xr:uid="{00000000-0005-0000-0000-0000A2380000}"/>
    <cellStyle name="40% - Accent1 2 8 8 2" xfId="42869" xr:uid="{00000000-0005-0000-0000-0000A3380000}"/>
    <cellStyle name="40% - Accent1 2 8 9" xfId="33171" xr:uid="{00000000-0005-0000-0000-0000A4380000}"/>
    <cellStyle name="40% - Accent1 2 9" xfId="1841" xr:uid="{00000000-0005-0000-0000-0000A5380000}"/>
    <cellStyle name="40% - Accent1 2 9 2" xfId="54141" xr:uid="{00000000-0005-0000-0000-0000A6380000}"/>
    <cellStyle name="40% - Accent1 2 9 3" xfId="53289" xr:uid="{00000000-0005-0000-0000-0000A7380000}"/>
    <cellStyle name="40% - Accent1 2 9 4" xfId="13094" xr:uid="{00000000-0005-0000-0000-0000A8380000}"/>
    <cellStyle name="40% - Accent1 20" xfId="22851" xr:uid="{00000000-0005-0000-0000-0000A9380000}"/>
    <cellStyle name="40% - Accent1 20 2" xfId="32935" xr:uid="{00000000-0005-0000-0000-0000AA380000}"/>
    <cellStyle name="40% - Accent1 20 2 2" xfId="52121" xr:uid="{00000000-0005-0000-0000-0000AB380000}"/>
    <cellStyle name="40% - Accent1 20 3" xfId="23208" xr:uid="{00000000-0005-0000-0000-0000AC380000}"/>
    <cellStyle name="40% - Accent1 20 3 2" xfId="42776" xr:uid="{00000000-0005-0000-0000-0000AD380000}"/>
    <cellStyle name="40% - Accent1 20 4" xfId="42423" xr:uid="{00000000-0005-0000-0000-0000AE380000}"/>
    <cellStyle name="40% - Accent1 21" xfId="22734" xr:uid="{00000000-0005-0000-0000-0000AF380000}"/>
    <cellStyle name="40% - Accent1 21 2" xfId="32818" xr:uid="{00000000-0005-0000-0000-0000B0380000}"/>
    <cellStyle name="40% - Accent1 21 2 2" xfId="52004" xr:uid="{00000000-0005-0000-0000-0000B1380000}"/>
    <cellStyle name="40% - Accent1 21 3" xfId="42306" xr:uid="{00000000-0005-0000-0000-0000B2380000}"/>
    <cellStyle name="40% - Accent1 22" xfId="23091" xr:uid="{00000000-0005-0000-0000-0000B3380000}"/>
    <cellStyle name="40% - Accent1 22 2" xfId="42659" xr:uid="{00000000-0005-0000-0000-0000B4380000}"/>
    <cellStyle name="40% - Accent1 23" xfId="33116" xr:uid="{00000000-0005-0000-0000-0000B5380000}"/>
    <cellStyle name="40% - Accent1 3" xfId="141" xr:uid="{00000000-0005-0000-0000-0000B6380000}"/>
    <cellStyle name="40% - Accent1 3 2" xfId="1843" xr:uid="{00000000-0005-0000-0000-0000B7380000}"/>
    <cellStyle name="40% - Accent1 3 2 2" xfId="1844" xr:uid="{00000000-0005-0000-0000-0000B8380000}"/>
    <cellStyle name="40% - Accent1 3 2 2 2" xfId="1845" xr:uid="{00000000-0005-0000-0000-0000B9380000}"/>
    <cellStyle name="40% - Accent1 3 2 2 2 2" xfId="1846" xr:uid="{00000000-0005-0000-0000-0000BA380000}"/>
    <cellStyle name="40% - Accent1 3 2 2 3" xfId="1847" xr:uid="{00000000-0005-0000-0000-0000BB380000}"/>
    <cellStyle name="40% - Accent1 3 2 3" xfId="1848" xr:uid="{00000000-0005-0000-0000-0000BC380000}"/>
    <cellStyle name="40% - Accent1 3 2 3 2" xfId="1849" xr:uid="{00000000-0005-0000-0000-0000BD380000}"/>
    <cellStyle name="40% - Accent1 3 2 4" xfId="1850" xr:uid="{00000000-0005-0000-0000-0000BE380000}"/>
    <cellStyle name="40% - Accent1 3 2 5" xfId="13095" xr:uid="{00000000-0005-0000-0000-0000BF380000}"/>
    <cellStyle name="40% - Accent1 3 3" xfId="1851" xr:uid="{00000000-0005-0000-0000-0000C0380000}"/>
    <cellStyle name="40% - Accent1 3 3 2" xfId="1852" xr:uid="{00000000-0005-0000-0000-0000C1380000}"/>
    <cellStyle name="40% - Accent1 3 3 2 2" xfId="1853" xr:uid="{00000000-0005-0000-0000-0000C2380000}"/>
    <cellStyle name="40% - Accent1 3 3 2 2 2" xfId="1854" xr:uid="{00000000-0005-0000-0000-0000C3380000}"/>
    <cellStyle name="40% - Accent1 3 3 2 3" xfId="1855" xr:uid="{00000000-0005-0000-0000-0000C4380000}"/>
    <cellStyle name="40% - Accent1 3 3 3" xfId="1856" xr:uid="{00000000-0005-0000-0000-0000C5380000}"/>
    <cellStyle name="40% - Accent1 3 3 3 2" xfId="1857" xr:uid="{00000000-0005-0000-0000-0000C6380000}"/>
    <cellStyle name="40% - Accent1 3 3 4" xfId="1858" xr:uid="{00000000-0005-0000-0000-0000C7380000}"/>
    <cellStyle name="40% - Accent1 3 3 5" xfId="13528" xr:uid="{00000000-0005-0000-0000-0000C8380000}"/>
    <cellStyle name="40% - Accent1 3 4" xfId="1859" xr:uid="{00000000-0005-0000-0000-0000C9380000}"/>
    <cellStyle name="40% - Accent1 3 4 2" xfId="1860" xr:uid="{00000000-0005-0000-0000-0000CA380000}"/>
    <cellStyle name="40% - Accent1 3 4 2 2" xfId="1861" xr:uid="{00000000-0005-0000-0000-0000CB380000}"/>
    <cellStyle name="40% - Accent1 3 4 3" xfId="1862" xr:uid="{00000000-0005-0000-0000-0000CC380000}"/>
    <cellStyle name="40% - Accent1 3 4 4" xfId="22292" xr:uid="{00000000-0005-0000-0000-0000CD380000}"/>
    <cellStyle name="40% - Accent1 3 5" xfId="1863" xr:uid="{00000000-0005-0000-0000-0000CE380000}"/>
    <cellStyle name="40% - Accent1 3 5 2" xfId="1864" xr:uid="{00000000-0005-0000-0000-0000CF380000}"/>
    <cellStyle name="40% - Accent1 3 5 3" xfId="23317" xr:uid="{00000000-0005-0000-0000-0000D0380000}"/>
    <cellStyle name="40% - Accent1 3 6" xfId="1865" xr:uid="{00000000-0005-0000-0000-0000D1380000}"/>
    <cellStyle name="40% - Accent1 3 7" xfId="1842" xr:uid="{00000000-0005-0000-0000-0000D2380000}"/>
    <cellStyle name="40% - Accent1 3 8" xfId="12187" xr:uid="{00000000-0005-0000-0000-0000D3380000}"/>
    <cellStyle name="40% - Accent1 4" xfId="142" xr:uid="{00000000-0005-0000-0000-0000D4380000}"/>
    <cellStyle name="40% - Accent1 4 2" xfId="1866" xr:uid="{00000000-0005-0000-0000-0000D5380000}"/>
    <cellStyle name="40% - Accent1 4 2 2" xfId="13691" xr:uid="{00000000-0005-0000-0000-0000D6380000}"/>
    <cellStyle name="40% - Accent1 4 3" xfId="22293" xr:uid="{00000000-0005-0000-0000-0000D7380000}"/>
    <cellStyle name="40% - Accent1 4 4" xfId="23319" xr:uid="{00000000-0005-0000-0000-0000D8380000}"/>
    <cellStyle name="40% - Accent1 4 5" xfId="12189" xr:uid="{00000000-0005-0000-0000-0000D9380000}"/>
    <cellStyle name="40% - Accent1 5" xfId="143" xr:uid="{00000000-0005-0000-0000-0000DA380000}"/>
    <cellStyle name="40% - Accent1 5 2" xfId="1867" xr:uid="{00000000-0005-0000-0000-0000DB380000}"/>
    <cellStyle name="40% - Accent1 5 2 2" xfId="22294" xr:uid="{00000000-0005-0000-0000-0000DC380000}"/>
    <cellStyle name="40% - Accent1 5 3" xfId="23528" xr:uid="{00000000-0005-0000-0000-0000DD380000}"/>
    <cellStyle name="40% - Accent1 5 4" xfId="12630" xr:uid="{00000000-0005-0000-0000-0000DE380000}"/>
    <cellStyle name="40% - Accent1 6" xfId="144" xr:uid="{00000000-0005-0000-0000-0000DF380000}"/>
    <cellStyle name="40% - Accent1 6 2" xfId="1868" xr:uid="{00000000-0005-0000-0000-0000E0380000}"/>
    <cellStyle name="40% - Accent1 6 2 2" xfId="22295" xr:uid="{00000000-0005-0000-0000-0000E1380000}"/>
    <cellStyle name="40% - Accent1 6 3" xfId="23596" xr:uid="{00000000-0005-0000-0000-0000E2380000}"/>
    <cellStyle name="40% - Accent1 6 4" xfId="12793" xr:uid="{00000000-0005-0000-0000-0000E3380000}"/>
    <cellStyle name="40% - Accent1 7" xfId="145" xr:uid="{00000000-0005-0000-0000-0000E4380000}"/>
    <cellStyle name="40% - Accent1 7 2" xfId="1869" xr:uid="{00000000-0005-0000-0000-0000E5380000}"/>
    <cellStyle name="40% - Accent1 8" xfId="146" xr:uid="{00000000-0005-0000-0000-0000E6380000}"/>
    <cellStyle name="40% - Accent1 8 2" xfId="1870" xr:uid="{00000000-0005-0000-0000-0000E7380000}"/>
    <cellStyle name="40% - Accent1 9" xfId="147" xr:uid="{00000000-0005-0000-0000-0000E8380000}"/>
    <cellStyle name="40% - Accent2 10" xfId="148" xr:uid="{00000000-0005-0000-0000-0000E9380000}"/>
    <cellStyle name="40% - Accent2 11" xfId="149" xr:uid="{00000000-0005-0000-0000-0000EA380000}"/>
    <cellStyle name="40% - Accent2 12" xfId="150" xr:uid="{00000000-0005-0000-0000-0000EB380000}"/>
    <cellStyle name="40% - Accent2 13" xfId="151" xr:uid="{00000000-0005-0000-0000-0000EC380000}"/>
    <cellStyle name="40% - Accent2 14" xfId="152" xr:uid="{00000000-0005-0000-0000-0000ED380000}"/>
    <cellStyle name="40% - Accent2 15" xfId="153" xr:uid="{00000000-0005-0000-0000-0000EE380000}"/>
    <cellStyle name="40% - Accent2 16" xfId="154" xr:uid="{00000000-0005-0000-0000-0000EF380000}"/>
    <cellStyle name="40% - Accent2 17" xfId="22763" xr:uid="{00000000-0005-0000-0000-0000F0380000}"/>
    <cellStyle name="40% - Accent2 17 2" xfId="32847" xr:uid="{00000000-0005-0000-0000-0000F1380000}"/>
    <cellStyle name="40% - Accent2 17 2 2" xfId="52033" xr:uid="{00000000-0005-0000-0000-0000F2380000}"/>
    <cellStyle name="40% - Accent2 17 3" xfId="23120" xr:uid="{00000000-0005-0000-0000-0000F3380000}"/>
    <cellStyle name="40% - Accent2 17 3 2" xfId="42688" xr:uid="{00000000-0005-0000-0000-0000F4380000}"/>
    <cellStyle name="40% - Accent2 17 4" xfId="42335" xr:uid="{00000000-0005-0000-0000-0000F5380000}"/>
    <cellStyle name="40% - Accent2 18" xfId="22790" xr:uid="{00000000-0005-0000-0000-0000F6380000}"/>
    <cellStyle name="40% - Accent2 18 2" xfId="32874" xr:uid="{00000000-0005-0000-0000-0000F7380000}"/>
    <cellStyle name="40% - Accent2 18 2 2" xfId="52060" xr:uid="{00000000-0005-0000-0000-0000F8380000}"/>
    <cellStyle name="40% - Accent2 18 3" xfId="23147" xr:uid="{00000000-0005-0000-0000-0000F9380000}"/>
    <cellStyle name="40% - Accent2 18 3 2" xfId="42715" xr:uid="{00000000-0005-0000-0000-0000FA380000}"/>
    <cellStyle name="40% - Accent2 18 4" xfId="42362" xr:uid="{00000000-0005-0000-0000-0000FB380000}"/>
    <cellStyle name="40% - Accent2 19" xfId="22838" xr:uid="{00000000-0005-0000-0000-0000FC380000}"/>
    <cellStyle name="40% - Accent2 19 2" xfId="32922" xr:uid="{00000000-0005-0000-0000-0000FD380000}"/>
    <cellStyle name="40% - Accent2 19 2 2" xfId="52108" xr:uid="{00000000-0005-0000-0000-0000FE380000}"/>
    <cellStyle name="40% - Accent2 19 3" xfId="23195" xr:uid="{00000000-0005-0000-0000-0000FF380000}"/>
    <cellStyle name="40% - Accent2 19 3 2" xfId="42763" xr:uid="{00000000-0005-0000-0000-000000390000}"/>
    <cellStyle name="40% - Accent2 19 4" xfId="42410" xr:uid="{00000000-0005-0000-0000-000001390000}"/>
    <cellStyle name="40% - Accent2 2" xfId="155" xr:uid="{00000000-0005-0000-0000-000002390000}"/>
    <cellStyle name="40% - Accent2 2 10" xfId="1872" xr:uid="{00000000-0005-0000-0000-000003390000}"/>
    <cellStyle name="40% - Accent2 2 10 10" xfId="53324" xr:uid="{00000000-0005-0000-0000-000004390000}"/>
    <cellStyle name="40% - Accent2 2 10 11" xfId="13096" xr:uid="{00000000-0005-0000-0000-000005390000}"/>
    <cellStyle name="40% - Accent2 2 10 2" xfId="14038" xr:uid="{00000000-0005-0000-0000-000006390000}"/>
    <cellStyle name="40% - Accent2 2 10 2 2" xfId="16302" xr:uid="{00000000-0005-0000-0000-000007390000}"/>
    <cellStyle name="40% - Accent2 2 10 2 2 2" xfId="20766" xr:uid="{00000000-0005-0000-0000-000008390000}"/>
    <cellStyle name="40% - Accent2 2 10 2 2 2 2" xfId="31134" xr:uid="{00000000-0005-0000-0000-000009390000}"/>
    <cellStyle name="40% - Accent2 2 10 2 2 2 2 2" xfId="50323" xr:uid="{00000000-0005-0000-0000-00000A390000}"/>
    <cellStyle name="40% - Accent2 2 10 2 2 2 3" xfId="40625" xr:uid="{00000000-0005-0000-0000-00000B390000}"/>
    <cellStyle name="40% - Accent2 2 10 2 2 3" xfId="26679" xr:uid="{00000000-0005-0000-0000-00000C390000}"/>
    <cellStyle name="40% - Accent2 2 10 2 2 3 2" xfId="45868" xr:uid="{00000000-0005-0000-0000-00000D390000}"/>
    <cellStyle name="40% - Accent2 2 10 2 2 4" xfId="36170" xr:uid="{00000000-0005-0000-0000-00000E390000}"/>
    <cellStyle name="40% - Accent2 2 10 2 3" xfId="18538" xr:uid="{00000000-0005-0000-0000-00000F390000}"/>
    <cellStyle name="40% - Accent2 2 10 2 3 2" xfId="28906" xr:uid="{00000000-0005-0000-0000-000010390000}"/>
    <cellStyle name="40% - Accent2 2 10 2 3 2 2" xfId="48095" xr:uid="{00000000-0005-0000-0000-000011390000}"/>
    <cellStyle name="40% - Accent2 2 10 2 3 3" xfId="38397" xr:uid="{00000000-0005-0000-0000-000012390000}"/>
    <cellStyle name="40% - Accent2 2 10 2 4" xfId="24446" xr:uid="{00000000-0005-0000-0000-000013390000}"/>
    <cellStyle name="40% - Accent2 2 10 2 4 2" xfId="43640" xr:uid="{00000000-0005-0000-0000-000014390000}"/>
    <cellStyle name="40% - Accent2 2 10 2 5" xfId="33942" xr:uid="{00000000-0005-0000-0000-000015390000}"/>
    <cellStyle name="40% - Accent2 2 10 2 6" xfId="54176" xr:uid="{00000000-0005-0000-0000-000016390000}"/>
    <cellStyle name="40% - Accent2 2 10 3" xfId="14617" xr:uid="{00000000-0005-0000-0000-000017390000}"/>
    <cellStyle name="40% - Accent2 2 10 3 2" xfId="15746" xr:uid="{00000000-0005-0000-0000-000018390000}"/>
    <cellStyle name="40% - Accent2 2 10 3 2 2" xfId="20210" xr:uid="{00000000-0005-0000-0000-000019390000}"/>
    <cellStyle name="40% - Accent2 2 10 3 2 2 2" xfId="30578" xr:uid="{00000000-0005-0000-0000-00001A390000}"/>
    <cellStyle name="40% - Accent2 2 10 3 2 2 2 2" xfId="49767" xr:uid="{00000000-0005-0000-0000-00001B390000}"/>
    <cellStyle name="40% - Accent2 2 10 3 2 2 3" xfId="40069" xr:uid="{00000000-0005-0000-0000-00001C390000}"/>
    <cellStyle name="40% - Accent2 2 10 3 2 3" xfId="26123" xr:uid="{00000000-0005-0000-0000-00001D390000}"/>
    <cellStyle name="40% - Accent2 2 10 3 2 3 2" xfId="45312" xr:uid="{00000000-0005-0000-0000-00001E390000}"/>
    <cellStyle name="40% - Accent2 2 10 3 2 4" xfId="35614" xr:uid="{00000000-0005-0000-0000-00001F390000}"/>
    <cellStyle name="40% - Accent2 2 10 3 3" xfId="19095" xr:uid="{00000000-0005-0000-0000-000020390000}"/>
    <cellStyle name="40% - Accent2 2 10 3 3 2" xfId="29463" xr:uid="{00000000-0005-0000-0000-000021390000}"/>
    <cellStyle name="40% - Accent2 2 10 3 3 2 2" xfId="48652" xr:uid="{00000000-0005-0000-0000-000022390000}"/>
    <cellStyle name="40% - Accent2 2 10 3 3 3" xfId="38954" xr:uid="{00000000-0005-0000-0000-000023390000}"/>
    <cellStyle name="40% - Accent2 2 10 3 4" xfId="25008" xr:uid="{00000000-0005-0000-0000-000024390000}"/>
    <cellStyle name="40% - Accent2 2 10 3 4 2" xfId="44197" xr:uid="{00000000-0005-0000-0000-000025390000}"/>
    <cellStyle name="40% - Accent2 2 10 3 5" xfId="34499" xr:uid="{00000000-0005-0000-0000-000026390000}"/>
    <cellStyle name="40% - Accent2 2 10 4" xfId="15189" xr:uid="{00000000-0005-0000-0000-000027390000}"/>
    <cellStyle name="40% - Accent2 2 10 4 2" xfId="19653" xr:uid="{00000000-0005-0000-0000-000028390000}"/>
    <cellStyle name="40% - Accent2 2 10 4 2 2" xfId="30021" xr:uid="{00000000-0005-0000-0000-000029390000}"/>
    <cellStyle name="40% - Accent2 2 10 4 2 2 2" xfId="49210" xr:uid="{00000000-0005-0000-0000-00002A390000}"/>
    <cellStyle name="40% - Accent2 2 10 4 2 3" xfId="39512" xr:uid="{00000000-0005-0000-0000-00002B390000}"/>
    <cellStyle name="40% - Accent2 2 10 4 3" xfId="25566" xr:uid="{00000000-0005-0000-0000-00002C390000}"/>
    <cellStyle name="40% - Accent2 2 10 4 3 2" xfId="44755" xr:uid="{00000000-0005-0000-0000-00002D390000}"/>
    <cellStyle name="40% - Accent2 2 10 4 4" xfId="35057" xr:uid="{00000000-0005-0000-0000-00002E390000}"/>
    <cellStyle name="40% - Accent2 2 10 5" xfId="16859" xr:uid="{00000000-0005-0000-0000-00002F390000}"/>
    <cellStyle name="40% - Accent2 2 10 5 2" xfId="21323" xr:uid="{00000000-0005-0000-0000-000030390000}"/>
    <cellStyle name="40% - Accent2 2 10 5 2 2" xfId="31691" xr:uid="{00000000-0005-0000-0000-000031390000}"/>
    <cellStyle name="40% - Accent2 2 10 5 2 2 2" xfId="50880" xr:uid="{00000000-0005-0000-0000-000032390000}"/>
    <cellStyle name="40% - Accent2 2 10 5 2 3" xfId="41182" xr:uid="{00000000-0005-0000-0000-000033390000}"/>
    <cellStyle name="40% - Accent2 2 10 5 3" xfId="27236" xr:uid="{00000000-0005-0000-0000-000034390000}"/>
    <cellStyle name="40% - Accent2 2 10 5 3 2" xfId="46425" xr:uid="{00000000-0005-0000-0000-000035390000}"/>
    <cellStyle name="40% - Accent2 2 10 5 4" xfId="36727" xr:uid="{00000000-0005-0000-0000-000036390000}"/>
    <cellStyle name="40% - Accent2 2 10 6" xfId="17425" xr:uid="{00000000-0005-0000-0000-000037390000}"/>
    <cellStyle name="40% - Accent2 2 10 6 2" xfId="21880" xr:uid="{00000000-0005-0000-0000-000038390000}"/>
    <cellStyle name="40% - Accent2 2 10 6 2 2" xfId="32248" xr:uid="{00000000-0005-0000-0000-000039390000}"/>
    <cellStyle name="40% - Accent2 2 10 6 2 2 2" xfId="51437" xr:uid="{00000000-0005-0000-0000-00003A390000}"/>
    <cellStyle name="40% - Accent2 2 10 6 2 3" xfId="41739" xr:uid="{00000000-0005-0000-0000-00003B390000}"/>
    <cellStyle name="40% - Accent2 2 10 6 3" xfId="27793" xr:uid="{00000000-0005-0000-0000-00003C390000}"/>
    <cellStyle name="40% - Accent2 2 10 6 3 2" xfId="46982" xr:uid="{00000000-0005-0000-0000-00003D390000}"/>
    <cellStyle name="40% - Accent2 2 10 6 4" xfId="37284" xr:uid="{00000000-0005-0000-0000-00003E390000}"/>
    <cellStyle name="40% - Accent2 2 10 7" xfId="17982" xr:uid="{00000000-0005-0000-0000-00003F390000}"/>
    <cellStyle name="40% - Accent2 2 10 7 2" xfId="28350" xr:uid="{00000000-0005-0000-0000-000040390000}"/>
    <cellStyle name="40% - Accent2 2 10 7 2 2" xfId="47539" xr:uid="{00000000-0005-0000-0000-000041390000}"/>
    <cellStyle name="40% - Accent2 2 10 7 3" xfId="37841" xr:uid="{00000000-0005-0000-0000-000042390000}"/>
    <cellStyle name="40% - Accent2 2 10 8" xfId="23845" xr:uid="{00000000-0005-0000-0000-000043390000}"/>
    <cellStyle name="40% - Accent2 2 10 8 2" xfId="43084" xr:uid="{00000000-0005-0000-0000-000044390000}"/>
    <cellStyle name="40% - Accent2 2 10 9" xfId="33386" xr:uid="{00000000-0005-0000-0000-000045390000}"/>
    <cellStyle name="40% - Accent2 2 11" xfId="1871" xr:uid="{00000000-0005-0000-0000-000046390000}"/>
    <cellStyle name="40% - Accent2 2 11 2" xfId="32570" xr:uid="{00000000-0005-0000-0000-000047390000}"/>
    <cellStyle name="40% - Accent2 2 11 2 2" xfId="51758" xr:uid="{00000000-0005-0000-0000-000048390000}"/>
    <cellStyle name="40% - Accent2 2 11 3" xfId="42060" xr:uid="{00000000-0005-0000-0000-000049390000}"/>
    <cellStyle name="40% - Accent2 2 11 4" xfId="53351" xr:uid="{00000000-0005-0000-0000-00004A390000}"/>
    <cellStyle name="40% - Accent2 2 11 5" xfId="22211" xr:uid="{00000000-0005-0000-0000-00004B390000}"/>
    <cellStyle name="40% - Accent2 2 12" xfId="22239" xr:uid="{00000000-0005-0000-0000-00004C390000}"/>
    <cellStyle name="40% - Accent2 2 12 2" xfId="32596" xr:uid="{00000000-0005-0000-0000-00004D390000}"/>
    <cellStyle name="40% - Accent2 2 12 2 2" xfId="51784" xr:uid="{00000000-0005-0000-0000-00004E390000}"/>
    <cellStyle name="40% - Accent2 2 12 3" xfId="42086" xr:uid="{00000000-0005-0000-0000-00004F390000}"/>
    <cellStyle name="40% - Accent2 2 13" xfId="12191" xr:uid="{00000000-0005-0000-0000-000050390000}"/>
    <cellStyle name="40% - Accent2 2 14" xfId="23253" xr:uid="{00000000-0005-0000-0000-000051390000}"/>
    <cellStyle name="40% - Accent2 2 14 2" xfId="42819" xr:uid="{00000000-0005-0000-0000-000052390000}"/>
    <cellStyle name="40% - Accent2 2 15" xfId="32998" xr:uid="{00000000-0005-0000-0000-000053390000}"/>
    <cellStyle name="40% - Accent2 2 15 2" xfId="52184" xr:uid="{00000000-0005-0000-0000-000054390000}"/>
    <cellStyle name="40% - Accent2 2 16" xfId="33092" xr:uid="{00000000-0005-0000-0000-000055390000}"/>
    <cellStyle name="40% - Accent2 2 17" xfId="52278" xr:uid="{00000000-0005-0000-0000-000056390000}"/>
    <cellStyle name="40% - Accent2 2 18" xfId="52335" xr:uid="{00000000-0005-0000-0000-000057390000}"/>
    <cellStyle name="40% - Accent2 2 19" xfId="52384" xr:uid="{00000000-0005-0000-0000-000058390000}"/>
    <cellStyle name="40% - Accent2 2 2" xfId="156" xr:uid="{00000000-0005-0000-0000-000059390000}"/>
    <cellStyle name="40% - Accent2 2 2 2" xfId="1874" xr:uid="{00000000-0005-0000-0000-00005A390000}"/>
    <cellStyle name="40% - Accent2 2 2 2 2" xfId="8325" xr:uid="{00000000-0005-0000-0000-00005B390000}"/>
    <cellStyle name="40% - Accent2 2 2 2 2 2" xfId="11222" xr:uid="{00000000-0005-0000-0000-00005C390000}"/>
    <cellStyle name="40% - Accent2 2 2 2 2 2 2" xfId="53976" xr:uid="{00000000-0005-0000-0000-00005D390000}"/>
    <cellStyle name="40% - Accent2 2 2 2 2 3" xfId="53123" xr:uid="{00000000-0005-0000-0000-00005E390000}"/>
    <cellStyle name="40% - Accent2 2 2 2 3" xfId="9782" xr:uid="{00000000-0005-0000-0000-00005F390000}"/>
    <cellStyle name="40% - Accent2 2 2 2 3 2" xfId="53580" xr:uid="{00000000-0005-0000-0000-000060390000}"/>
    <cellStyle name="40% - Accent2 2 2 2 4" xfId="6845" xr:uid="{00000000-0005-0000-0000-000061390000}"/>
    <cellStyle name="40% - Accent2 2 2 2 4 2" xfId="52695" xr:uid="{00000000-0005-0000-0000-000062390000}"/>
    <cellStyle name="40% - Accent2 2 2 2 5" xfId="12712" xr:uid="{00000000-0005-0000-0000-000063390000}"/>
    <cellStyle name="40% - Accent2 2 2 3" xfId="1875" xr:uid="{00000000-0005-0000-0000-000064390000}"/>
    <cellStyle name="40% - Accent2 2 2 3 2" xfId="10564" xr:uid="{00000000-0005-0000-0000-000065390000}"/>
    <cellStyle name="40% - Accent2 2 2 3 2 2" xfId="53780" xr:uid="{00000000-0005-0000-0000-000066390000}"/>
    <cellStyle name="40% - Accent2 2 2 3 3" xfId="7664" xr:uid="{00000000-0005-0000-0000-000067390000}"/>
    <cellStyle name="40% - Accent2 2 2 3 3 2" xfId="52905" xr:uid="{00000000-0005-0000-0000-000068390000}"/>
    <cellStyle name="40% - Accent2 2 2 3 4" xfId="12193" xr:uid="{00000000-0005-0000-0000-000069390000}"/>
    <cellStyle name="40% - Accent2 2 2 4" xfId="1873" xr:uid="{00000000-0005-0000-0000-00006A390000}"/>
    <cellStyle name="40% - Accent2 2 2 4 2" xfId="9124" xr:uid="{00000000-0005-0000-0000-00006B390000}"/>
    <cellStyle name="40% - Accent2 2 2 4 2 2" xfId="51867" xr:uid="{00000000-0005-0000-0000-00006C390000}"/>
    <cellStyle name="40% - Accent2 2 2 4 2 3" xfId="32680" xr:uid="{00000000-0005-0000-0000-00006D390000}"/>
    <cellStyle name="40% - Accent2 2 2 4 3" xfId="42169" xr:uid="{00000000-0005-0000-0000-00006E390000}"/>
    <cellStyle name="40% - Accent2 2 2 4 4" xfId="53384" xr:uid="{00000000-0005-0000-0000-00006F390000}"/>
    <cellStyle name="40% - Accent2 2 2 4 5" xfId="22576" xr:uid="{00000000-0005-0000-0000-000070390000}"/>
    <cellStyle name="40% - Accent2 2 2 5" xfId="6138" xr:uid="{00000000-0005-0000-0000-000071390000}"/>
    <cellStyle name="40% - Accent2 2 2 5 2" xfId="23287" xr:uid="{00000000-0005-0000-0000-000072390000}"/>
    <cellStyle name="40% - Accent2 2 2 6" xfId="22953" xr:uid="{00000000-0005-0000-0000-000073390000}"/>
    <cellStyle name="40% - Accent2 2 2 6 2" xfId="42522" xr:uid="{00000000-0005-0000-0000-000074390000}"/>
    <cellStyle name="40% - Accent2 2 2 7" xfId="12142" xr:uid="{00000000-0005-0000-0000-000075390000}"/>
    <cellStyle name="40% - Accent2 2 2 8" xfId="52491" xr:uid="{00000000-0005-0000-0000-000076390000}"/>
    <cellStyle name="40% - Accent2 2 2 9" xfId="12014" xr:uid="{00000000-0005-0000-0000-000077390000}"/>
    <cellStyle name="40% - Accent2 2 20" xfId="12103" xr:uid="{00000000-0005-0000-0000-000078390000}"/>
    <cellStyle name="40% - Accent2 2 21" xfId="52426" xr:uid="{00000000-0005-0000-0000-000079390000}"/>
    <cellStyle name="40% - Accent2 2 22" xfId="52449" xr:uid="{00000000-0005-0000-0000-00007A390000}"/>
    <cellStyle name="40% - Accent2 2 23" xfId="11960" xr:uid="{00000000-0005-0000-0000-00007B390000}"/>
    <cellStyle name="40% - Accent2 2 3" xfId="157" xr:uid="{00000000-0005-0000-0000-00007C390000}"/>
    <cellStyle name="40% - Accent2 2 3 10" xfId="52532" xr:uid="{00000000-0005-0000-0000-00007D390000}"/>
    <cellStyle name="40% - Accent2 2 3 11" xfId="12015" xr:uid="{00000000-0005-0000-0000-00007E390000}"/>
    <cellStyle name="40% - Accent2 2 3 2" xfId="1877" xr:uid="{00000000-0005-0000-0000-00007F390000}"/>
    <cellStyle name="40% - Accent2 2 3 2 10" xfId="17983" xr:uid="{00000000-0005-0000-0000-000080390000}"/>
    <cellStyle name="40% - Accent2 2 3 2 10 2" xfId="28351" xr:uid="{00000000-0005-0000-0000-000081390000}"/>
    <cellStyle name="40% - Accent2 2 3 2 10 2 2" xfId="47540" xr:uid="{00000000-0005-0000-0000-000082390000}"/>
    <cellStyle name="40% - Accent2 2 3 2 10 3" xfId="37842" xr:uid="{00000000-0005-0000-0000-000083390000}"/>
    <cellStyle name="40% - Accent2 2 3 2 11" xfId="23846" xr:uid="{00000000-0005-0000-0000-000084390000}"/>
    <cellStyle name="40% - Accent2 2 3 2 11 2" xfId="43085" xr:uid="{00000000-0005-0000-0000-000085390000}"/>
    <cellStyle name="40% - Accent2 2 3 2 12" xfId="33387" xr:uid="{00000000-0005-0000-0000-000086390000}"/>
    <cellStyle name="40% - Accent2 2 3 2 13" xfId="52733" xr:uid="{00000000-0005-0000-0000-000087390000}"/>
    <cellStyle name="40% - Accent2 2 3 2 14" xfId="13097" xr:uid="{00000000-0005-0000-0000-000088390000}"/>
    <cellStyle name="40% - Accent2 2 3 2 2" xfId="13098" xr:uid="{00000000-0005-0000-0000-000089390000}"/>
    <cellStyle name="40% - Accent2 2 3 2 2 10" xfId="23847" xr:uid="{00000000-0005-0000-0000-00008A390000}"/>
    <cellStyle name="40% - Accent2 2 3 2 2 10 2" xfId="43086" xr:uid="{00000000-0005-0000-0000-00008B390000}"/>
    <cellStyle name="40% - Accent2 2 3 2 2 11" xfId="33388" xr:uid="{00000000-0005-0000-0000-00008C390000}"/>
    <cellStyle name="40% - Accent2 2 3 2 2 12" xfId="53161" xr:uid="{00000000-0005-0000-0000-00008D390000}"/>
    <cellStyle name="40% - Accent2 2 3 2 2 2" xfId="13099" xr:uid="{00000000-0005-0000-0000-00008E390000}"/>
    <cellStyle name="40% - Accent2 2 3 2 2 2 10" xfId="54014" xr:uid="{00000000-0005-0000-0000-00008F390000}"/>
    <cellStyle name="40% - Accent2 2 3 2 2 2 2" xfId="14041" xr:uid="{00000000-0005-0000-0000-000090390000}"/>
    <cellStyle name="40% - Accent2 2 3 2 2 2 2 2" xfId="16305" xr:uid="{00000000-0005-0000-0000-000091390000}"/>
    <cellStyle name="40% - Accent2 2 3 2 2 2 2 2 2" xfId="20769" xr:uid="{00000000-0005-0000-0000-000092390000}"/>
    <cellStyle name="40% - Accent2 2 3 2 2 2 2 2 2 2" xfId="31137" xr:uid="{00000000-0005-0000-0000-000093390000}"/>
    <cellStyle name="40% - Accent2 2 3 2 2 2 2 2 2 2 2" xfId="50326" xr:uid="{00000000-0005-0000-0000-000094390000}"/>
    <cellStyle name="40% - Accent2 2 3 2 2 2 2 2 2 3" xfId="40628" xr:uid="{00000000-0005-0000-0000-000095390000}"/>
    <cellStyle name="40% - Accent2 2 3 2 2 2 2 2 3" xfId="26682" xr:uid="{00000000-0005-0000-0000-000096390000}"/>
    <cellStyle name="40% - Accent2 2 3 2 2 2 2 2 3 2" xfId="45871" xr:uid="{00000000-0005-0000-0000-000097390000}"/>
    <cellStyle name="40% - Accent2 2 3 2 2 2 2 2 4" xfId="36173" xr:uid="{00000000-0005-0000-0000-000098390000}"/>
    <cellStyle name="40% - Accent2 2 3 2 2 2 2 3" xfId="18541" xr:uid="{00000000-0005-0000-0000-000099390000}"/>
    <cellStyle name="40% - Accent2 2 3 2 2 2 2 3 2" xfId="28909" xr:uid="{00000000-0005-0000-0000-00009A390000}"/>
    <cellStyle name="40% - Accent2 2 3 2 2 2 2 3 2 2" xfId="48098" xr:uid="{00000000-0005-0000-0000-00009B390000}"/>
    <cellStyle name="40% - Accent2 2 3 2 2 2 2 3 3" xfId="38400" xr:uid="{00000000-0005-0000-0000-00009C390000}"/>
    <cellStyle name="40% - Accent2 2 3 2 2 2 2 4" xfId="24449" xr:uid="{00000000-0005-0000-0000-00009D390000}"/>
    <cellStyle name="40% - Accent2 2 3 2 2 2 2 4 2" xfId="43643" xr:uid="{00000000-0005-0000-0000-00009E390000}"/>
    <cellStyle name="40% - Accent2 2 3 2 2 2 2 5" xfId="33945" xr:uid="{00000000-0005-0000-0000-00009F390000}"/>
    <cellStyle name="40% - Accent2 2 3 2 2 2 3" xfId="14620" xr:uid="{00000000-0005-0000-0000-0000A0390000}"/>
    <cellStyle name="40% - Accent2 2 3 2 2 2 3 2" xfId="15749" xr:uid="{00000000-0005-0000-0000-0000A1390000}"/>
    <cellStyle name="40% - Accent2 2 3 2 2 2 3 2 2" xfId="20213" xr:uid="{00000000-0005-0000-0000-0000A2390000}"/>
    <cellStyle name="40% - Accent2 2 3 2 2 2 3 2 2 2" xfId="30581" xr:uid="{00000000-0005-0000-0000-0000A3390000}"/>
    <cellStyle name="40% - Accent2 2 3 2 2 2 3 2 2 2 2" xfId="49770" xr:uid="{00000000-0005-0000-0000-0000A4390000}"/>
    <cellStyle name="40% - Accent2 2 3 2 2 2 3 2 2 3" xfId="40072" xr:uid="{00000000-0005-0000-0000-0000A5390000}"/>
    <cellStyle name="40% - Accent2 2 3 2 2 2 3 2 3" xfId="26126" xr:uid="{00000000-0005-0000-0000-0000A6390000}"/>
    <cellStyle name="40% - Accent2 2 3 2 2 2 3 2 3 2" xfId="45315" xr:uid="{00000000-0005-0000-0000-0000A7390000}"/>
    <cellStyle name="40% - Accent2 2 3 2 2 2 3 2 4" xfId="35617" xr:uid="{00000000-0005-0000-0000-0000A8390000}"/>
    <cellStyle name="40% - Accent2 2 3 2 2 2 3 3" xfId="19098" xr:uid="{00000000-0005-0000-0000-0000A9390000}"/>
    <cellStyle name="40% - Accent2 2 3 2 2 2 3 3 2" xfId="29466" xr:uid="{00000000-0005-0000-0000-0000AA390000}"/>
    <cellStyle name="40% - Accent2 2 3 2 2 2 3 3 2 2" xfId="48655" xr:uid="{00000000-0005-0000-0000-0000AB390000}"/>
    <cellStyle name="40% - Accent2 2 3 2 2 2 3 3 3" xfId="38957" xr:uid="{00000000-0005-0000-0000-0000AC390000}"/>
    <cellStyle name="40% - Accent2 2 3 2 2 2 3 4" xfId="25011" xr:uid="{00000000-0005-0000-0000-0000AD390000}"/>
    <cellStyle name="40% - Accent2 2 3 2 2 2 3 4 2" xfId="44200" xr:uid="{00000000-0005-0000-0000-0000AE390000}"/>
    <cellStyle name="40% - Accent2 2 3 2 2 2 3 5" xfId="34502" xr:uid="{00000000-0005-0000-0000-0000AF390000}"/>
    <cellStyle name="40% - Accent2 2 3 2 2 2 4" xfId="15192" xr:uid="{00000000-0005-0000-0000-0000B0390000}"/>
    <cellStyle name="40% - Accent2 2 3 2 2 2 4 2" xfId="19656" xr:uid="{00000000-0005-0000-0000-0000B1390000}"/>
    <cellStyle name="40% - Accent2 2 3 2 2 2 4 2 2" xfId="30024" xr:uid="{00000000-0005-0000-0000-0000B2390000}"/>
    <cellStyle name="40% - Accent2 2 3 2 2 2 4 2 2 2" xfId="49213" xr:uid="{00000000-0005-0000-0000-0000B3390000}"/>
    <cellStyle name="40% - Accent2 2 3 2 2 2 4 2 3" xfId="39515" xr:uid="{00000000-0005-0000-0000-0000B4390000}"/>
    <cellStyle name="40% - Accent2 2 3 2 2 2 4 3" xfId="25569" xr:uid="{00000000-0005-0000-0000-0000B5390000}"/>
    <cellStyle name="40% - Accent2 2 3 2 2 2 4 3 2" xfId="44758" xr:uid="{00000000-0005-0000-0000-0000B6390000}"/>
    <cellStyle name="40% - Accent2 2 3 2 2 2 4 4" xfId="35060" xr:uid="{00000000-0005-0000-0000-0000B7390000}"/>
    <cellStyle name="40% - Accent2 2 3 2 2 2 5" xfId="16862" xr:uid="{00000000-0005-0000-0000-0000B8390000}"/>
    <cellStyle name="40% - Accent2 2 3 2 2 2 5 2" xfId="21326" xr:uid="{00000000-0005-0000-0000-0000B9390000}"/>
    <cellStyle name="40% - Accent2 2 3 2 2 2 5 2 2" xfId="31694" xr:uid="{00000000-0005-0000-0000-0000BA390000}"/>
    <cellStyle name="40% - Accent2 2 3 2 2 2 5 2 2 2" xfId="50883" xr:uid="{00000000-0005-0000-0000-0000BB390000}"/>
    <cellStyle name="40% - Accent2 2 3 2 2 2 5 2 3" xfId="41185" xr:uid="{00000000-0005-0000-0000-0000BC390000}"/>
    <cellStyle name="40% - Accent2 2 3 2 2 2 5 3" xfId="27239" xr:uid="{00000000-0005-0000-0000-0000BD390000}"/>
    <cellStyle name="40% - Accent2 2 3 2 2 2 5 3 2" xfId="46428" xr:uid="{00000000-0005-0000-0000-0000BE390000}"/>
    <cellStyle name="40% - Accent2 2 3 2 2 2 5 4" xfId="36730" xr:uid="{00000000-0005-0000-0000-0000BF390000}"/>
    <cellStyle name="40% - Accent2 2 3 2 2 2 6" xfId="17428" xr:uid="{00000000-0005-0000-0000-0000C0390000}"/>
    <cellStyle name="40% - Accent2 2 3 2 2 2 6 2" xfId="21883" xr:uid="{00000000-0005-0000-0000-0000C1390000}"/>
    <cellStyle name="40% - Accent2 2 3 2 2 2 6 2 2" xfId="32251" xr:uid="{00000000-0005-0000-0000-0000C2390000}"/>
    <cellStyle name="40% - Accent2 2 3 2 2 2 6 2 2 2" xfId="51440" xr:uid="{00000000-0005-0000-0000-0000C3390000}"/>
    <cellStyle name="40% - Accent2 2 3 2 2 2 6 2 3" xfId="41742" xr:uid="{00000000-0005-0000-0000-0000C4390000}"/>
    <cellStyle name="40% - Accent2 2 3 2 2 2 6 3" xfId="27796" xr:uid="{00000000-0005-0000-0000-0000C5390000}"/>
    <cellStyle name="40% - Accent2 2 3 2 2 2 6 3 2" xfId="46985" xr:uid="{00000000-0005-0000-0000-0000C6390000}"/>
    <cellStyle name="40% - Accent2 2 3 2 2 2 6 4" xfId="37287" xr:uid="{00000000-0005-0000-0000-0000C7390000}"/>
    <cellStyle name="40% - Accent2 2 3 2 2 2 7" xfId="17985" xr:uid="{00000000-0005-0000-0000-0000C8390000}"/>
    <cellStyle name="40% - Accent2 2 3 2 2 2 7 2" xfId="28353" xr:uid="{00000000-0005-0000-0000-0000C9390000}"/>
    <cellStyle name="40% - Accent2 2 3 2 2 2 7 2 2" xfId="47542" xr:uid="{00000000-0005-0000-0000-0000CA390000}"/>
    <cellStyle name="40% - Accent2 2 3 2 2 2 7 3" xfId="37844" xr:uid="{00000000-0005-0000-0000-0000CB390000}"/>
    <cellStyle name="40% - Accent2 2 3 2 2 2 8" xfId="23848" xr:uid="{00000000-0005-0000-0000-0000CC390000}"/>
    <cellStyle name="40% - Accent2 2 3 2 2 2 8 2" xfId="43087" xr:uid="{00000000-0005-0000-0000-0000CD390000}"/>
    <cellStyle name="40% - Accent2 2 3 2 2 2 9" xfId="33389" xr:uid="{00000000-0005-0000-0000-0000CE390000}"/>
    <cellStyle name="40% - Accent2 2 3 2 2 3" xfId="13100" xr:uid="{00000000-0005-0000-0000-0000CF390000}"/>
    <cellStyle name="40% - Accent2 2 3 2 2 3 2" xfId="14042" xr:uid="{00000000-0005-0000-0000-0000D0390000}"/>
    <cellStyle name="40% - Accent2 2 3 2 2 3 2 2" xfId="16306" xr:uid="{00000000-0005-0000-0000-0000D1390000}"/>
    <cellStyle name="40% - Accent2 2 3 2 2 3 2 2 2" xfId="20770" xr:uid="{00000000-0005-0000-0000-0000D2390000}"/>
    <cellStyle name="40% - Accent2 2 3 2 2 3 2 2 2 2" xfId="31138" xr:uid="{00000000-0005-0000-0000-0000D3390000}"/>
    <cellStyle name="40% - Accent2 2 3 2 2 3 2 2 2 2 2" xfId="50327" xr:uid="{00000000-0005-0000-0000-0000D4390000}"/>
    <cellStyle name="40% - Accent2 2 3 2 2 3 2 2 2 3" xfId="40629" xr:uid="{00000000-0005-0000-0000-0000D5390000}"/>
    <cellStyle name="40% - Accent2 2 3 2 2 3 2 2 3" xfId="26683" xr:uid="{00000000-0005-0000-0000-0000D6390000}"/>
    <cellStyle name="40% - Accent2 2 3 2 2 3 2 2 3 2" xfId="45872" xr:uid="{00000000-0005-0000-0000-0000D7390000}"/>
    <cellStyle name="40% - Accent2 2 3 2 2 3 2 2 4" xfId="36174" xr:uid="{00000000-0005-0000-0000-0000D8390000}"/>
    <cellStyle name="40% - Accent2 2 3 2 2 3 2 3" xfId="18542" xr:uid="{00000000-0005-0000-0000-0000D9390000}"/>
    <cellStyle name="40% - Accent2 2 3 2 2 3 2 3 2" xfId="28910" xr:uid="{00000000-0005-0000-0000-0000DA390000}"/>
    <cellStyle name="40% - Accent2 2 3 2 2 3 2 3 2 2" xfId="48099" xr:uid="{00000000-0005-0000-0000-0000DB390000}"/>
    <cellStyle name="40% - Accent2 2 3 2 2 3 2 3 3" xfId="38401" xr:uid="{00000000-0005-0000-0000-0000DC390000}"/>
    <cellStyle name="40% - Accent2 2 3 2 2 3 2 4" xfId="24450" xr:uid="{00000000-0005-0000-0000-0000DD390000}"/>
    <cellStyle name="40% - Accent2 2 3 2 2 3 2 4 2" xfId="43644" xr:uid="{00000000-0005-0000-0000-0000DE390000}"/>
    <cellStyle name="40% - Accent2 2 3 2 2 3 2 5" xfId="33946" xr:uid="{00000000-0005-0000-0000-0000DF390000}"/>
    <cellStyle name="40% - Accent2 2 3 2 2 3 3" xfId="14621" xr:uid="{00000000-0005-0000-0000-0000E0390000}"/>
    <cellStyle name="40% - Accent2 2 3 2 2 3 3 2" xfId="15750" xr:uid="{00000000-0005-0000-0000-0000E1390000}"/>
    <cellStyle name="40% - Accent2 2 3 2 2 3 3 2 2" xfId="20214" xr:uid="{00000000-0005-0000-0000-0000E2390000}"/>
    <cellStyle name="40% - Accent2 2 3 2 2 3 3 2 2 2" xfId="30582" xr:uid="{00000000-0005-0000-0000-0000E3390000}"/>
    <cellStyle name="40% - Accent2 2 3 2 2 3 3 2 2 2 2" xfId="49771" xr:uid="{00000000-0005-0000-0000-0000E4390000}"/>
    <cellStyle name="40% - Accent2 2 3 2 2 3 3 2 2 3" xfId="40073" xr:uid="{00000000-0005-0000-0000-0000E5390000}"/>
    <cellStyle name="40% - Accent2 2 3 2 2 3 3 2 3" xfId="26127" xr:uid="{00000000-0005-0000-0000-0000E6390000}"/>
    <cellStyle name="40% - Accent2 2 3 2 2 3 3 2 3 2" xfId="45316" xr:uid="{00000000-0005-0000-0000-0000E7390000}"/>
    <cellStyle name="40% - Accent2 2 3 2 2 3 3 2 4" xfId="35618" xr:uid="{00000000-0005-0000-0000-0000E8390000}"/>
    <cellStyle name="40% - Accent2 2 3 2 2 3 3 3" xfId="19099" xr:uid="{00000000-0005-0000-0000-0000E9390000}"/>
    <cellStyle name="40% - Accent2 2 3 2 2 3 3 3 2" xfId="29467" xr:uid="{00000000-0005-0000-0000-0000EA390000}"/>
    <cellStyle name="40% - Accent2 2 3 2 2 3 3 3 2 2" xfId="48656" xr:uid="{00000000-0005-0000-0000-0000EB390000}"/>
    <cellStyle name="40% - Accent2 2 3 2 2 3 3 3 3" xfId="38958" xr:uid="{00000000-0005-0000-0000-0000EC390000}"/>
    <cellStyle name="40% - Accent2 2 3 2 2 3 3 4" xfId="25012" xr:uid="{00000000-0005-0000-0000-0000ED390000}"/>
    <cellStyle name="40% - Accent2 2 3 2 2 3 3 4 2" xfId="44201" xr:uid="{00000000-0005-0000-0000-0000EE390000}"/>
    <cellStyle name="40% - Accent2 2 3 2 2 3 3 5" xfId="34503" xr:uid="{00000000-0005-0000-0000-0000EF390000}"/>
    <cellStyle name="40% - Accent2 2 3 2 2 3 4" xfId="15193" xr:uid="{00000000-0005-0000-0000-0000F0390000}"/>
    <cellStyle name="40% - Accent2 2 3 2 2 3 4 2" xfId="19657" xr:uid="{00000000-0005-0000-0000-0000F1390000}"/>
    <cellStyle name="40% - Accent2 2 3 2 2 3 4 2 2" xfId="30025" xr:uid="{00000000-0005-0000-0000-0000F2390000}"/>
    <cellStyle name="40% - Accent2 2 3 2 2 3 4 2 2 2" xfId="49214" xr:uid="{00000000-0005-0000-0000-0000F3390000}"/>
    <cellStyle name="40% - Accent2 2 3 2 2 3 4 2 3" xfId="39516" xr:uid="{00000000-0005-0000-0000-0000F4390000}"/>
    <cellStyle name="40% - Accent2 2 3 2 2 3 4 3" xfId="25570" xr:uid="{00000000-0005-0000-0000-0000F5390000}"/>
    <cellStyle name="40% - Accent2 2 3 2 2 3 4 3 2" xfId="44759" xr:uid="{00000000-0005-0000-0000-0000F6390000}"/>
    <cellStyle name="40% - Accent2 2 3 2 2 3 4 4" xfId="35061" xr:uid="{00000000-0005-0000-0000-0000F7390000}"/>
    <cellStyle name="40% - Accent2 2 3 2 2 3 5" xfId="16863" xr:uid="{00000000-0005-0000-0000-0000F8390000}"/>
    <cellStyle name="40% - Accent2 2 3 2 2 3 5 2" xfId="21327" xr:uid="{00000000-0005-0000-0000-0000F9390000}"/>
    <cellStyle name="40% - Accent2 2 3 2 2 3 5 2 2" xfId="31695" xr:uid="{00000000-0005-0000-0000-0000FA390000}"/>
    <cellStyle name="40% - Accent2 2 3 2 2 3 5 2 2 2" xfId="50884" xr:uid="{00000000-0005-0000-0000-0000FB390000}"/>
    <cellStyle name="40% - Accent2 2 3 2 2 3 5 2 3" xfId="41186" xr:uid="{00000000-0005-0000-0000-0000FC390000}"/>
    <cellStyle name="40% - Accent2 2 3 2 2 3 5 3" xfId="27240" xr:uid="{00000000-0005-0000-0000-0000FD390000}"/>
    <cellStyle name="40% - Accent2 2 3 2 2 3 5 3 2" xfId="46429" xr:uid="{00000000-0005-0000-0000-0000FE390000}"/>
    <cellStyle name="40% - Accent2 2 3 2 2 3 5 4" xfId="36731" xr:uid="{00000000-0005-0000-0000-0000FF390000}"/>
    <cellStyle name="40% - Accent2 2 3 2 2 3 6" xfId="17429" xr:uid="{00000000-0005-0000-0000-0000003A0000}"/>
    <cellStyle name="40% - Accent2 2 3 2 2 3 6 2" xfId="21884" xr:uid="{00000000-0005-0000-0000-0000013A0000}"/>
    <cellStyle name="40% - Accent2 2 3 2 2 3 6 2 2" xfId="32252" xr:uid="{00000000-0005-0000-0000-0000023A0000}"/>
    <cellStyle name="40% - Accent2 2 3 2 2 3 6 2 2 2" xfId="51441" xr:uid="{00000000-0005-0000-0000-0000033A0000}"/>
    <cellStyle name="40% - Accent2 2 3 2 2 3 6 2 3" xfId="41743" xr:uid="{00000000-0005-0000-0000-0000043A0000}"/>
    <cellStyle name="40% - Accent2 2 3 2 2 3 6 3" xfId="27797" xr:uid="{00000000-0005-0000-0000-0000053A0000}"/>
    <cellStyle name="40% - Accent2 2 3 2 2 3 6 3 2" xfId="46986" xr:uid="{00000000-0005-0000-0000-0000063A0000}"/>
    <cellStyle name="40% - Accent2 2 3 2 2 3 6 4" xfId="37288" xr:uid="{00000000-0005-0000-0000-0000073A0000}"/>
    <cellStyle name="40% - Accent2 2 3 2 2 3 7" xfId="17986" xr:uid="{00000000-0005-0000-0000-0000083A0000}"/>
    <cellStyle name="40% - Accent2 2 3 2 2 3 7 2" xfId="28354" xr:uid="{00000000-0005-0000-0000-0000093A0000}"/>
    <cellStyle name="40% - Accent2 2 3 2 2 3 7 2 2" xfId="47543" xr:uid="{00000000-0005-0000-0000-00000A3A0000}"/>
    <cellStyle name="40% - Accent2 2 3 2 2 3 7 3" xfId="37845" xr:uid="{00000000-0005-0000-0000-00000B3A0000}"/>
    <cellStyle name="40% - Accent2 2 3 2 2 3 8" xfId="23849" xr:uid="{00000000-0005-0000-0000-00000C3A0000}"/>
    <cellStyle name="40% - Accent2 2 3 2 2 3 8 2" xfId="43088" xr:uid="{00000000-0005-0000-0000-00000D3A0000}"/>
    <cellStyle name="40% - Accent2 2 3 2 2 3 9" xfId="33390" xr:uid="{00000000-0005-0000-0000-00000E3A0000}"/>
    <cellStyle name="40% - Accent2 2 3 2 2 4" xfId="14040" xr:uid="{00000000-0005-0000-0000-00000F3A0000}"/>
    <cellStyle name="40% - Accent2 2 3 2 2 4 2" xfId="16304" xr:uid="{00000000-0005-0000-0000-0000103A0000}"/>
    <cellStyle name="40% - Accent2 2 3 2 2 4 2 2" xfId="20768" xr:uid="{00000000-0005-0000-0000-0000113A0000}"/>
    <cellStyle name="40% - Accent2 2 3 2 2 4 2 2 2" xfId="31136" xr:uid="{00000000-0005-0000-0000-0000123A0000}"/>
    <cellStyle name="40% - Accent2 2 3 2 2 4 2 2 2 2" xfId="50325" xr:uid="{00000000-0005-0000-0000-0000133A0000}"/>
    <cellStyle name="40% - Accent2 2 3 2 2 4 2 2 3" xfId="40627" xr:uid="{00000000-0005-0000-0000-0000143A0000}"/>
    <cellStyle name="40% - Accent2 2 3 2 2 4 2 3" xfId="26681" xr:uid="{00000000-0005-0000-0000-0000153A0000}"/>
    <cellStyle name="40% - Accent2 2 3 2 2 4 2 3 2" xfId="45870" xr:uid="{00000000-0005-0000-0000-0000163A0000}"/>
    <cellStyle name="40% - Accent2 2 3 2 2 4 2 4" xfId="36172" xr:uid="{00000000-0005-0000-0000-0000173A0000}"/>
    <cellStyle name="40% - Accent2 2 3 2 2 4 3" xfId="18540" xr:uid="{00000000-0005-0000-0000-0000183A0000}"/>
    <cellStyle name="40% - Accent2 2 3 2 2 4 3 2" xfId="28908" xr:uid="{00000000-0005-0000-0000-0000193A0000}"/>
    <cellStyle name="40% - Accent2 2 3 2 2 4 3 2 2" xfId="48097" xr:uid="{00000000-0005-0000-0000-00001A3A0000}"/>
    <cellStyle name="40% - Accent2 2 3 2 2 4 3 3" xfId="38399" xr:uid="{00000000-0005-0000-0000-00001B3A0000}"/>
    <cellStyle name="40% - Accent2 2 3 2 2 4 4" xfId="24448" xr:uid="{00000000-0005-0000-0000-00001C3A0000}"/>
    <cellStyle name="40% - Accent2 2 3 2 2 4 4 2" xfId="43642" xr:uid="{00000000-0005-0000-0000-00001D3A0000}"/>
    <cellStyle name="40% - Accent2 2 3 2 2 4 5" xfId="33944" xr:uid="{00000000-0005-0000-0000-00001E3A0000}"/>
    <cellStyle name="40% - Accent2 2 3 2 2 5" xfId="14619" xr:uid="{00000000-0005-0000-0000-00001F3A0000}"/>
    <cellStyle name="40% - Accent2 2 3 2 2 5 2" xfId="15748" xr:uid="{00000000-0005-0000-0000-0000203A0000}"/>
    <cellStyle name="40% - Accent2 2 3 2 2 5 2 2" xfId="20212" xr:uid="{00000000-0005-0000-0000-0000213A0000}"/>
    <cellStyle name="40% - Accent2 2 3 2 2 5 2 2 2" xfId="30580" xr:uid="{00000000-0005-0000-0000-0000223A0000}"/>
    <cellStyle name="40% - Accent2 2 3 2 2 5 2 2 2 2" xfId="49769" xr:uid="{00000000-0005-0000-0000-0000233A0000}"/>
    <cellStyle name="40% - Accent2 2 3 2 2 5 2 2 3" xfId="40071" xr:uid="{00000000-0005-0000-0000-0000243A0000}"/>
    <cellStyle name="40% - Accent2 2 3 2 2 5 2 3" xfId="26125" xr:uid="{00000000-0005-0000-0000-0000253A0000}"/>
    <cellStyle name="40% - Accent2 2 3 2 2 5 2 3 2" xfId="45314" xr:uid="{00000000-0005-0000-0000-0000263A0000}"/>
    <cellStyle name="40% - Accent2 2 3 2 2 5 2 4" xfId="35616" xr:uid="{00000000-0005-0000-0000-0000273A0000}"/>
    <cellStyle name="40% - Accent2 2 3 2 2 5 3" xfId="19097" xr:uid="{00000000-0005-0000-0000-0000283A0000}"/>
    <cellStyle name="40% - Accent2 2 3 2 2 5 3 2" xfId="29465" xr:uid="{00000000-0005-0000-0000-0000293A0000}"/>
    <cellStyle name="40% - Accent2 2 3 2 2 5 3 2 2" xfId="48654" xr:uid="{00000000-0005-0000-0000-00002A3A0000}"/>
    <cellStyle name="40% - Accent2 2 3 2 2 5 3 3" xfId="38956" xr:uid="{00000000-0005-0000-0000-00002B3A0000}"/>
    <cellStyle name="40% - Accent2 2 3 2 2 5 4" xfId="25010" xr:uid="{00000000-0005-0000-0000-00002C3A0000}"/>
    <cellStyle name="40% - Accent2 2 3 2 2 5 4 2" xfId="44199" xr:uid="{00000000-0005-0000-0000-00002D3A0000}"/>
    <cellStyle name="40% - Accent2 2 3 2 2 5 5" xfId="34501" xr:uid="{00000000-0005-0000-0000-00002E3A0000}"/>
    <cellStyle name="40% - Accent2 2 3 2 2 6" xfId="15191" xr:uid="{00000000-0005-0000-0000-00002F3A0000}"/>
    <cellStyle name="40% - Accent2 2 3 2 2 6 2" xfId="19655" xr:uid="{00000000-0005-0000-0000-0000303A0000}"/>
    <cellStyle name="40% - Accent2 2 3 2 2 6 2 2" xfId="30023" xr:uid="{00000000-0005-0000-0000-0000313A0000}"/>
    <cellStyle name="40% - Accent2 2 3 2 2 6 2 2 2" xfId="49212" xr:uid="{00000000-0005-0000-0000-0000323A0000}"/>
    <cellStyle name="40% - Accent2 2 3 2 2 6 2 3" xfId="39514" xr:uid="{00000000-0005-0000-0000-0000333A0000}"/>
    <cellStyle name="40% - Accent2 2 3 2 2 6 3" xfId="25568" xr:uid="{00000000-0005-0000-0000-0000343A0000}"/>
    <cellStyle name="40% - Accent2 2 3 2 2 6 3 2" xfId="44757" xr:uid="{00000000-0005-0000-0000-0000353A0000}"/>
    <cellStyle name="40% - Accent2 2 3 2 2 6 4" xfId="35059" xr:uid="{00000000-0005-0000-0000-0000363A0000}"/>
    <cellStyle name="40% - Accent2 2 3 2 2 7" xfId="16861" xr:uid="{00000000-0005-0000-0000-0000373A0000}"/>
    <cellStyle name="40% - Accent2 2 3 2 2 7 2" xfId="21325" xr:uid="{00000000-0005-0000-0000-0000383A0000}"/>
    <cellStyle name="40% - Accent2 2 3 2 2 7 2 2" xfId="31693" xr:uid="{00000000-0005-0000-0000-0000393A0000}"/>
    <cellStyle name="40% - Accent2 2 3 2 2 7 2 2 2" xfId="50882" xr:uid="{00000000-0005-0000-0000-00003A3A0000}"/>
    <cellStyle name="40% - Accent2 2 3 2 2 7 2 3" xfId="41184" xr:uid="{00000000-0005-0000-0000-00003B3A0000}"/>
    <cellStyle name="40% - Accent2 2 3 2 2 7 3" xfId="27238" xr:uid="{00000000-0005-0000-0000-00003C3A0000}"/>
    <cellStyle name="40% - Accent2 2 3 2 2 7 3 2" xfId="46427" xr:uid="{00000000-0005-0000-0000-00003D3A0000}"/>
    <cellStyle name="40% - Accent2 2 3 2 2 7 4" xfId="36729" xr:uid="{00000000-0005-0000-0000-00003E3A0000}"/>
    <cellStyle name="40% - Accent2 2 3 2 2 8" xfId="17427" xr:uid="{00000000-0005-0000-0000-00003F3A0000}"/>
    <cellStyle name="40% - Accent2 2 3 2 2 8 2" xfId="21882" xr:uid="{00000000-0005-0000-0000-0000403A0000}"/>
    <cellStyle name="40% - Accent2 2 3 2 2 8 2 2" xfId="32250" xr:uid="{00000000-0005-0000-0000-0000413A0000}"/>
    <cellStyle name="40% - Accent2 2 3 2 2 8 2 2 2" xfId="51439" xr:uid="{00000000-0005-0000-0000-0000423A0000}"/>
    <cellStyle name="40% - Accent2 2 3 2 2 8 2 3" xfId="41741" xr:uid="{00000000-0005-0000-0000-0000433A0000}"/>
    <cellStyle name="40% - Accent2 2 3 2 2 8 3" xfId="27795" xr:uid="{00000000-0005-0000-0000-0000443A0000}"/>
    <cellStyle name="40% - Accent2 2 3 2 2 8 3 2" xfId="46984" xr:uid="{00000000-0005-0000-0000-0000453A0000}"/>
    <cellStyle name="40% - Accent2 2 3 2 2 8 4" xfId="37286" xr:uid="{00000000-0005-0000-0000-0000463A0000}"/>
    <cellStyle name="40% - Accent2 2 3 2 2 9" xfId="17984" xr:uid="{00000000-0005-0000-0000-0000473A0000}"/>
    <cellStyle name="40% - Accent2 2 3 2 2 9 2" xfId="28352" xr:uid="{00000000-0005-0000-0000-0000483A0000}"/>
    <cellStyle name="40% - Accent2 2 3 2 2 9 2 2" xfId="47541" xr:uid="{00000000-0005-0000-0000-0000493A0000}"/>
    <cellStyle name="40% - Accent2 2 3 2 2 9 3" xfId="37843" xr:uid="{00000000-0005-0000-0000-00004A3A0000}"/>
    <cellStyle name="40% - Accent2 2 3 2 3" xfId="13101" xr:uid="{00000000-0005-0000-0000-00004B3A0000}"/>
    <cellStyle name="40% - Accent2 2 3 2 3 10" xfId="53618" xr:uid="{00000000-0005-0000-0000-00004C3A0000}"/>
    <cellStyle name="40% - Accent2 2 3 2 3 2" xfId="14043" xr:uid="{00000000-0005-0000-0000-00004D3A0000}"/>
    <cellStyle name="40% - Accent2 2 3 2 3 2 2" xfId="16307" xr:uid="{00000000-0005-0000-0000-00004E3A0000}"/>
    <cellStyle name="40% - Accent2 2 3 2 3 2 2 2" xfId="20771" xr:uid="{00000000-0005-0000-0000-00004F3A0000}"/>
    <cellStyle name="40% - Accent2 2 3 2 3 2 2 2 2" xfId="31139" xr:uid="{00000000-0005-0000-0000-0000503A0000}"/>
    <cellStyle name="40% - Accent2 2 3 2 3 2 2 2 2 2" xfId="50328" xr:uid="{00000000-0005-0000-0000-0000513A0000}"/>
    <cellStyle name="40% - Accent2 2 3 2 3 2 2 2 3" xfId="40630" xr:uid="{00000000-0005-0000-0000-0000523A0000}"/>
    <cellStyle name="40% - Accent2 2 3 2 3 2 2 3" xfId="26684" xr:uid="{00000000-0005-0000-0000-0000533A0000}"/>
    <cellStyle name="40% - Accent2 2 3 2 3 2 2 3 2" xfId="45873" xr:uid="{00000000-0005-0000-0000-0000543A0000}"/>
    <cellStyle name="40% - Accent2 2 3 2 3 2 2 4" xfId="36175" xr:uid="{00000000-0005-0000-0000-0000553A0000}"/>
    <cellStyle name="40% - Accent2 2 3 2 3 2 3" xfId="18543" xr:uid="{00000000-0005-0000-0000-0000563A0000}"/>
    <cellStyle name="40% - Accent2 2 3 2 3 2 3 2" xfId="28911" xr:uid="{00000000-0005-0000-0000-0000573A0000}"/>
    <cellStyle name="40% - Accent2 2 3 2 3 2 3 2 2" xfId="48100" xr:uid="{00000000-0005-0000-0000-0000583A0000}"/>
    <cellStyle name="40% - Accent2 2 3 2 3 2 3 3" xfId="38402" xr:uid="{00000000-0005-0000-0000-0000593A0000}"/>
    <cellStyle name="40% - Accent2 2 3 2 3 2 4" xfId="24451" xr:uid="{00000000-0005-0000-0000-00005A3A0000}"/>
    <cellStyle name="40% - Accent2 2 3 2 3 2 4 2" xfId="43645" xr:uid="{00000000-0005-0000-0000-00005B3A0000}"/>
    <cellStyle name="40% - Accent2 2 3 2 3 2 5" xfId="33947" xr:uid="{00000000-0005-0000-0000-00005C3A0000}"/>
    <cellStyle name="40% - Accent2 2 3 2 3 3" xfId="14622" xr:uid="{00000000-0005-0000-0000-00005D3A0000}"/>
    <cellStyle name="40% - Accent2 2 3 2 3 3 2" xfId="15751" xr:uid="{00000000-0005-0000-0000-00005E3A0000}"/>
    <cellStyle name="40% - Accent2 2 3 2 3 3 2 2" xfId="20215" xr:uid="{00000000-0005-0000-0000-00005F3A0000}"/>
    <cellStyle name="40% - Accent2 2 3 2 3 3 2 2 2" xfId="30583" xr:uid="{00000000-0005-0000-0000-0000603A0000}"/>
    <cellStyle name="40% - Accent2 2 3 2 3 3 2 2 2 2" xfId="49772" xr:uid="{00000000-0005-0000-0000-0000613A0000}"/>
    <cellStyle name="40% - Accent2 2 3 2 3 3 2 2 3" xfId="40074" xr:uid="{00000000-0005-0000-0000-0000623A0000}"/>
    <cellStyle name="40% - Accent2 2 3 2 3 3 2 3" xfId="26128" xr:uid="{00000000-0005-0000-0000-0000633A0000}"/>
    <cellStyle name="40% - Accent2 2 3 2 3 3 2 3 2" xfId="45317" xr:uid="{00000000-0005-0000-0000-0000643A0000}"/>
    <cellStyle name="40% - Accent2 2 3 2 3 3 2 4" xfId="35619" xr:uid="{00000000-0005-0000-0000-0000653A0000}"/>
    <cellStyle name="40% - Accent2 2 3 2 3 3 3" xfId="19100" xr:uid="{00000000-0005-0000-0000-0000663A0000}"/>
    <cellStyle name="40% - Accent2 2 3 2 3 3 3 2" xfId="29468" xr:uid="{00000000-0005-0000-0000-0000673A0000}"/>
    <cellStyle name="40% - Accent2 2 3 2 3 3 3 2 2" xfId="48657" xr:uid="{00000000-0005-0000-0000-0000683A0000}"/>
    <cellStyle name="40% - Accent2 2 3 2 3 3 3 3" xfId="38959" xr:uid="{00000000-0005-0000-0000-0000693A0000}"/>
    <cellStyle name="40% - Accent2 2 3 2 3 3 4" xfId="25013" xr:uid="{00000000-0005-0000-0000-00006A3A0000}"/>
    <cellStyle name="40% - Accent2 2 3 2 3 3 4 2" xfId="44202" xr:uid="{00000000-0005-0000-0000-00006B3A0000}"/>
    <cellStyle name="40% - Accent2 2 3 2 3 3 5" xfId="34504" xr:uid="{00000000-0005-0000-0000-00006C3A0000}"/>
    <cellStyle name="40% - Accent2 2 3 2 3 4" xfId="15194" xr:uid="{00000000-0005-0000-0000-00006D3A0000}"/>
    <cellStyle name="40% - Accent2 2 3 2 3 4 2" xfId="19658" xr:uid="{00000000-0005-0000-0000-00006E3A0000}"/>
    <cellStyle name="40% - Accent2 2 3 2 3 4 2 2" xfId="30026" xr:uid="{00000000-0005-0000-0000-00006F3A0000}"/>
    <cellStyle name="40% - Accent2 2 3 2 3 4 2 2 2" xfId="49215" xr:uid="{00000000-0005-0000-0000-0000703A0000}"/>
    <cellStyle name="40% - Accent2 2 3 2 3 4 2 3" xfId="39517" xr:uid="{00000000-0005-0000-0000-0000713A0000}"/>
    <cellStyle name="40% - Accent2 2 3 2 3 4 3" xfId="25571" xr:uid="{00000000-0005-0000-0000-0000723A0000}"/>
    <cellStyle name="40% - Accent2 2 3 2 3 4 3 2" xfId="44760" xr:uid="{00000000-0005-0000-0000-0000733A0000}"/>
    <cellStyle name="40% - Accent2 2 3 2 3 4 4" xfId="35062" xr:uid="{00000000-0005-0000-0000-0000743A0000}"/>
    <cellStyle name="40% - Accent2 2 3 2 3 5" xfId="16864" xr:uid="{00000000-0005-0000-0000-0000753A0000}"/>
    <cellStyle name="40% - Accent2 2 3 2 3 5 2" xfId="21328" xr:uid="{00000000-0005-0000-0000-0000763A0000}"/>
    <cellStyle name="40% - Accent2 2 3 2 3 5 2 2" xfId="31696" xr:uid="{00000000-0005-0000-0000-0000773A0000}"/>
    <cellStyle name="40% - Accent2 2 3 2 3 5 2 2 2" xfId="50885" xr:uid="{00000000-0005-0000-0000-0000783A0000}"/>
    <cellStyle name="40% - Accent2 2 3 2 3 5 2 3" xfId="41187" xr:uid="{00000000-0005-0000-0000-0000793A0000}"/>
    <cellStyle name="40% - Accent2 2 3 2 3 5 3" xfId="27241" xr:uid="{00000000-0005-0000-0000-00007A3A0000}"/>
    <cellStyle name="40% - Accent2 2 3 2 3 5 3 2" xfId="46430" xr:uid="{00000000-0005-0000-0000-00007B3A0000}"/>
    <cellStyle name="40% - Accent2 2 3 2 3 5 4" xfId="36732" xr:uid="{00000000-0005-0000-0000-00007C3A0000}"/>
    <cellStyle name="40% - Accent2 2 3 2 3 6" xfId="17430" xr:uid="{00000000-0005-0000-0000-00007D3A0000}"/>
    <cellStyle name="40% - Accent2 2 3 2 3 6 2" xfId="21885" xr:uid="{00000000-0005-0000-0000-00007E3A0000}"/>
    <cellStyle name="40% - Accent2 2 3 2 3 6 2 2" xfId="32253" xr:uid="{00000000-0005-0000-0000-00007F3A0000}"/>
    <cellStyle name="40% - Accent2 2 3 2 3 6 2 2 2" xfId="51442" xr:uid="{00000000-0005-0000-0000-0000803A0000}"/>
    <cellStyle name="40% - Accent2 2 3 2 3 6 2 3" xfId="41744" xr:uid="{00000000-0005-0000-0000-0000813A0000}"/>
    <cellStyle name="40% - Accent2 2 3 2 3 6 3" xfId="27798" xr:uid="{00000000-0005-0000-0000-0000823A0000}"/>
    <cellStyle name="40% - Accent2 2 3 2 3 6 3 2" xfId="46987" xr:uid="{00000000-0005-0000-0000-0000833A0000}"/>
    <cellStyle name="40% - Accent2 2 3 2 3 6 4" xfId="37289" xr:uid="{00000000-0005-0000-0000-0000843A0000}"/>
    <cellStyle name="40% - Accent2 2 3 2 3 7" xfId="17987" xr:uid="{00000000-0005-0000-0000-0000853A0000}"/>
    <cellStyle name="40% - Accent2 2 3 2 3 7 2" xfId="28355" xr:uid="{00000000-0005-0000-0000-0000863A0000}"/>
    <cellStyle name="40% - Accent2 2 3 2 3 7 2 2" xfId="47544" xr:uid="{00000000-0005-0000-0000-0000873A0000}"/>
    <cellStyle name="40% - Accent2 2 3 2 3 7 3" xfId="37846" xr:uid="{00000000-0005-0000-0000-0000883A0000}"/>
    <cellStyle name="40% - Accent2 2 3 2 3 8" xfId="23850" xr:uid="{00000000-0005-0000-0000-0000893A0000}"/>
    <cellStyle name="40% - Accent2 2 3 2 3 8 2" xfId="43089" xr:uid="{00000000-0005-0000-0000-00008A3A0000}"/>
    <cellStyle name="40% - Accent2 2 3 2 3 9" xfId="33391" xr:uid="{00000000-0005-0000-0000-00008B3A0000}"/>
    <cellStyle name="40% - Accent2 2 3 2 4" xfId="13102" xr:uid="{00000000-0005-0000-0000-00008C3A0000}"/>
    <cellStyle name="40% - Accent2 2 3 2 4 2" xfId="14044" xr:uid="{00000000-0005-0000-0000-00008D3A0000}"/>
    <cellStyle name="40% - Accent2 2 3 2 4 2 2" xfId="16308" xr:uid="{00000000-0005-0000-0000-00008E3A0000}"/>
    <cellStyle name="40% - Accent2 2 3 2 4 2 2 2" xfId="20772" xr:uid="{00000000-0005-0000-0000-00008F3A0000}"/>
    <cellStyle name="40% - Accent2 2 3 2 4 2 2 2 2" xfId="31140" xr:uid="{00000000-0005-0000-0000-0000903A0000}"/>
    <cellStyle name="40% - Accent2 2 3 2 4 2 2 2 2 2" xfId="50329" xr:uid="{00000000-0005-0000-0000-0000913A0000}"/>
    <cellStyle name="40% - Accent2 2 3 2 4 2 2 2 3" xfId="40631" xr:uid="{00000000-0005-0000-0000-0000923A0000}"/>
    <cellStyle name="40% - Accent2 2 3 2 4 2 2 3" xfId="26685" xr:uid="{00000000-0005-0000-0000-0000933A0000}"/>
    <cellStyle name="40% - Accent2 2 3 2 4 2 2 3 2" xfId="45874" xr:uid="{00000000-0005-0000-0000-0000943A0000}"/>
    <cellStyle name="40% - Accent2 2 3 2 4 2 2 4" xfId="36176" xr:uid="{00000000-0005-0000-0000-0000953A0000}"/>
    <cellStyle name="40% - Accent2 2 3 2 4 2 3" xfId="18544" xr:uid="{00000000-0005-0000-0000-0000963A0000}"/>
    <cellStyle name="40% - Accent2 2 3 2 4 2 3 2" xfId="28912" xr:uid="{00000000-0005-0000-0000-0000973A0000}"/>
    <cellStyle name="40% - Accent2 2 3 2 4 2 3 2 2" xfId="48101" xr:uid="{00000000-0005-0000-0000-0000983A0000}"/>
    <cellStyle name="40% - Accent2 2 3 2 4 2 3 3" xfId="38403" xr:uid="{00000000-0005-0000-0000-0000993A0000}"/>
    <cellStyle name="40% - Accent2 2 3 2 4 2 4" xfId="24452" xr:uid="{00000000-0005-0000-0000-00009A3A0000}"/>
    <cellStyle name="40% - Accent2 2 3 2 4 2 4 2" xfId="43646" xr:uid="{00000000-0005-0000-0000-00009B3A0000}"/>
    <cellStyle name="40% - Accent2 2 3 2 4 2 5" xfId="33948" xr:uid="{00000000-0005-0000-0000-00009C3A0000}"/>
    <cellStyle name="40% - Accent2 2 3 2 4 3" xfId="14623" xr:uid="{00000000-0005-0000-0000-00009D3A0000}"/>
    <cellStyle name="40% - Accent2 2 3 2 4 3 2" xfId="15752" xr:uid="{00000000-0005-0000-0000-00009E3A0000}"/>
    <cellStyle name="40% - Accent2 2 3 2 4 3 2 2" xfId="20216" xr:uid="{00000000-0005-0000-0000-00009F3A0000}"/>
    <cellStyle name="40% - Accent2 2 3 2 4 3 2 2 2" xfId="30584" xr:uid="{00000000-0005-0000-0000-0000A03A0000}"/>
    <cellStyle name="40% - Accent2 2 3 2 4 3 2 2 2 2" xfId="49773" xr:uid="{00000000-0005-0000-0000-0000A13A0000}"/>
    <cellStyle name="40% - Accent2 2 3 2 4 3 2 2 3" xfId="40075" xr:uid="{00000000-0005-0000-0000-0000A23A0000}"/>
    <cellStyle name="40% - Accent2 2 3 2 4 3 2 3" xfId="26129" xr:uid="{00000000-0005-0000-0000-0000A33A0000}"/>
    <cellStyle name="40% - Accent2 2 3 2 4 3 2 3 2" xfId="45318" xr:uid="{00000000-0005-0000-0000-0000A43A0000}"/>
    <cellStyle name="40% - Accent2 2 3 2 4 3 2 4" xfId="35620" xr:uid="{00000000-0005-0000-0000-0000A53A0000}"/>
    <cellStyle name="40% - Accent2 2 3 2 4 3 3" xfId="19101" xr:uid="{00000000-0005-0000-0000-0000A63A0000}"/>
    <cellStyle name="40% - Accent2 2 3 2 4 3 3 2" xfId="29469" xr:uid="{00000000-0005-0000-0000-0000A73A0000}"/>
    <cellStyle name="40% - Accent2 2 3 2 4 3 3 2 2" xfId="48658" xr:uid="{00000000-0005-0000-0000-0000A83A0000}"/>
    <cellStyle name="40% - Accent2 2 3 2 4 3 3 3" xfId="38960" xr:uid="{00000000-0005-0000-0000-0000A93A0000}"/>
    <cellStyle name="40% - Accent2 2 3 2 4 3 4" xfId="25014" xr:uid="{00000000-0005-0000-0000-0000AA3A0000}"/>
    <cellStyle name="40% - Accent2 2 3 2 4 3 4 2" xfId="44203" xr:uid="{00000000-0005-0000-0000-0000AB3A0000}"/>
    <cellStyle name="40% - Accent2 2 3 2 4 3 5" xfId="34505" xr:uid="{00000000-0005-0000-0000-0000AC3A0000}"/>
    <cellStyle name="40% - Accent2 2 3 2 4 4" xfId="15195" xr:uid="{00000000-0005-0000-0000-0000AD3A0000}"/>
    <cellStyle name="40% - Accent2 2 3 2 4 4 2" xfId="19659" xr:uid="{00000000-0005-0000-0000-0000AE3A0000}"/>
    <cellStyle name="40% - Accent2 2 3 2 4 4 2 2" xfId="30027" xr:uid="{00000000-0005-0000-0000-0000AF3A0000}"/>
    <cellStyle name="40% - Accent2 2 3 2 4 4 2 2 2" xfId="49216" xr:uid="{00000000-0005-0000-0000-0000B03A0000}"/>
    <cellStyle name="40% - Accent2 2 3 2 4 4 2 3" xfId="39518" xr:uid="{00000000-0005-0000-0000-0000B13A0000}"/>
    <cellStyle name="40% - Accent2 2 3 2 4 4 3" xfId="25572" xr:uid="{00000000-0005-0000-0000-0000B23A0000}"/>
    <cellStyle name="40% - Accent2 2 3 2 4 4 3 2" xfId="44761" xr:uid="{00000000-0005-0000-0000-0000B33A0000}"/>
    <cellStyle name="40% - Accent2 2 3 2 4 4 4" xfId="35063" xr:uid="{00000000-0005-0000-0000-0000B43A0000}"/>
    <cellStyle name="40% - Accent2 2 3 2 4 5" xfId="16865" xr:uid="{00000000-0005-0000-0000-0000B53A0000}"/>
    <cellStyle name="40% - Accent2 2 3 2 4 5 2" xfId="21329" xr:uid="{00000000-0005-0000-0000-0000B63A0000}"/>
    <cellStyle name="40% - Accent2 2 3 2 4 5 2 2" xfId="31697" xr:uid="{00000000-0005-0000-0000-0000B73A0000}"/>
    <cellStyle name="40% - Accent2 2 3 2 4 5 2 2 2" xfId="50886" xr:uid="{00000000-0005-0000-0000-0000B83A0000}"/>
    <cellStyle name="40% - Accent2 2 3 2 4 5 2 3" xfId="41188" xr:uid="{00000000-0005-0000-0000-0000B93A0000}"/>
    <cellStyle name="40% - Accent2 2 3 2 4 5 3" xfId="27242" xr:uid="{00000000-0005-0000-0000-0000BA3A0000}"/>
    <cellStyle name="40% - Accent2 2 3 2 4 5 3 2" xfId="46431" xr:uid="{00000000-0005-0000-0000-0000BB3A0000}"/>
    <cellStyle name="40% - Accent2 2 3 2 4 5 4" xfId="36733" xr:uid="{00000000-0005-0000-0000-0000BC3A0000}"/>
    <cellStyle name="40% - Accent2 2 3 2 4 6" xfId="17431" xr:uid="{00000000-0005-0000-0000-0000BD3A0000}"/>
    <cellStyle name="40% - Accent2 2 3 2 4 6 2" xfId="21886" xr:uid="{00000000-0005-0000-0000-0000BE3A0000}"/>
    <cellStyle name="40% - Accent2 2 3 2 4 6 2 2" xfId="32254" xr:uid="{00000000-0005-0000-0000-0000BF3A0000}"/>
    <cellStyle name="40% - Accent2 2 3 2 4 6 2 2 2" xfId="51443" xr:uid="{00000000-0005-0000-0000-0000C03A0000}"/>
    <cellStyle name="40% - Accent2 2 3 2 4 6 2 3" xfId="41745" xr:uid="{00000000-0005-0000-0000-0000C13A0000}"/>
    <cellStyle name="40% - Accent2 2 3 2 4 6 3" xfId="27799" xr:uid="{00000000-0005-0000-0000-0000C23A0000}"/>
    <cellStyle name="40% - Accent2 2 3 2 4 6 3 2" xfId="46988" xr:uid="{00000000-0005-0000-0000-0000C33A0000}"/>
    <cellStyle name="40% - Accent2 2 3 2 4 6 4" xfId="37290" xr:uid="{00000000-0005-0000-0000-0000C43A0000}"/>
    <cellStyle name="40% - Accent2 2 3 2 4 7" xfId="17988" xr:uid="{00000000-0005-0000-0000-0000C53A0000}"/>
    <cellStyle name="40% - Accent2 2 3 2 4 7 2" xfId="28356" xr:uid="{00000000-0005-0000-0000-0000C63A0000}"/>
    <cellStyle name="40% - Accent2 2 3 2 4 7 2 2" xfId="47545" xr:uid="{00000000-0005-0000-0000-0000C73A0000}"/>
    <cellStyle name="40% - Accent2 2 3 2 4 7 3" xfId="37847" xr:uid="{00000000-0005-0000-0000-0000C83A0000}"/>
    <cellStyle name="40% - Accent2 2 3 2 4 8" xfId="23851" xr:uid="{00000000-0005-0000-0000-0000C93A0000}"/>
    <cellStyle name="40% - Accent2 2 3 2 4 8 2" xfId="43090" xr:uid="{00000000-0005-0000-0000-0000CA3A0000}"/>
    <cellStyle name="40% - Accent2 2 3 2 4 9" xfId="33392" xr:uid="{00000000-0005-0000-0000-0000CB3A0000}"/>
    <cellStyle name="40% - Accent2 2 3 2 5" xfId="14039" xr:uid="{00000000-0005-0000-0000-0000CC3A0000}"/>
    <cellStyle name="40% - Accent2 2 3 2 5 2" xfId="16303" xr:uid="{00000000-0005-0000-0000-0000CD3A0000}"/>
    <cellStyle name="40% - Accent2 2 3 2 5 2 2" xfId="20767" xr:uid="{00000000-0005-0000-0000-0000CE3A0000}"/>
    <cellStyle name="40% - Accent2 2 3 2 5 2 2 2" xfId="31135" xr:uid="{00000000-0005-0000-0000-0000CF3A0000}"/>
    <cellStyle name="40% - Accent2 2 3 2 5 2 2 2 2" xfId="50324" xr:uid="{00000000-0005-0000-0000-0000D03A0000}"/>
    <cellStyle name="40% - Accent2 2 3 2 5 2 2 3" xfId="40626" xr:uid="{00000000-0005-0000-0000-0000D13A0000}"/>
    <cellStyle name="40% - Accent2 2 3 2 5 2 3" xfId="26680" xr:uid="{00000000-0005-0000-0000-0000D23A0000}"/>
    <cellStyle name="40% - Accent2 2 3 2 5 2 3 2" xfId="45869" xr:uid="{00000000-0005-0000-0000-0000D33A0000}"/>
    <cellStyle name="40% - Accent2 2 3 2 5 2 4" xfId="36171" xr:uid="{00000000-0005-0000-0000-0000D43A0000}"/>
    <cellStyle name="40% - Accent2 2 3 2 5 3" xfId="18539" xr:uid="{00000000-0005-0000-0000-0000D53A0000}"/>
    <cellStyle name="40% - Accent2 2 3 2 5 3 2" xfId="28907" xr:uid="{00000000-0005-0000-0000-0000D63A0000}"/>
    <cellStyle name="40% - Accent2 2 3 2 5 3 2 2" xfId="48096" xr:uid="{00000000-0005-0000-0000-0000D73A0000}"/>
    <cellStyle name="40% - Accent2 2 3 2 5 3 3" xfId="38398" xr:uid="{00000000-0005-0000-0000-0000D83A0000}"/>
    <cellStyle name="40% - Accent2 2 3 2 5 4" xfId="24447" xr:uid="{00000000-0005-0000-0000-0000D93A0000}"/>
    <cellStyle name="40% - Accent2 2 3 2 5 4 2" xfId="43641" xr:uid="{00000000-0005-0000-0000-0000DA3A0000}"/>
    <cellStyle name="40% - Accent2 2 3 2 5 5" xfId="33943" xr:uid="{00000000-0005-0000-0000-0000DB3A0000}"/>
    <cellStyle name="40% - Accent2 2 3 2 6" xfId="14618" xr:uid="{00000000-0005-0000-0000-0000DC3A0000}"/>
    <cellStyle name="40% - Accent2 2 3 2 6 2" xfId="15747" xr:uid="{00000000-0005-0000-0000-0000DD3A0000}"/>
    <cellStyle name="40% - Accent2 2 3 2 6 2 2" xfId="20211" xr:uid="{00000000-0005-0000-0000-0000DE3A0000}"/>
    <cellStyle name="40% - Accent2 2 3 2 6 2 2 2" xfId="30579" xr:uid="{00000000-0005-0000-0000-0000DF3A0000}"/>
    <cellStyle name="40% - Accent2 2 3 2 6 2 2 2 2" xfId="49768" xr:uid="{00000000-0005-0000-0000-0000E03A0000}"/>
    <cellStyle name="40% - Accent2 2 3 2 6 2 2 3" xfId="40070" xr:uid="{00000000-0005-0000-0000-0000E13A0000}"/>
    <cellStyle name="40% - Accent2 2 3 2 6 2 3" xfId="26124" xr:uid="{00000000-0005-0000-0000-0000E23A0000}"/>
    <cellStyle name="40% - Accent2 2 3 2 6 2 3 2" xfId="45313" xr:uid="{00000000-0005-0000-0000-0000E33A0000}"/>
    <cellStyle name="40% - Accent2 2 3 2 6 2 4" xfId="35615" xr:uid="{00000000-0005-0000-0000-0000E43A0000}"/>
    <cellStyle name="40% - Accent2 2 3 2 6 3" xfId="19096" xr:uid="{00000000-0005-0000-0000-0000E53A0000}"/>
    <cellStyle name="40% - Accent2 2 3 2 6 3 2" xfId="29464" xr:uid="{00000000-0005-0000-0000-0000E63A0000}"/>
    <cellStyle name="40% - Accent2 2 3 2 6 3 2 2" xfId="48653" xr:uid="{00000000-0005-0000-0000-0000E73A0000}"/>
    <cellStyle name="40% - Accent2 2 3 2 6 3 3" xfId="38955" xr:uid="{00000000-0005-0000-0000-0000E83A0000}"/>
    <cellStyle name="40% - Accent2 2 3 2 6 4" xfId="25009" xr:uid="{00000000-0005-0000-0000-0000E93A0000}"/>
    <cellStyle name="40% - Accent2 2 3 2 6 4 2" xfId="44198" xr:uid="{00000000-0005-0000-0000-0000EA3A0000}"/>
    <cellStyle name="40% - Accent2 2 3 2 6 5" xfId="34500" xr:uid="{00000000-0005-0000-0000-0000EB3A0000}"/>
    <cellStyle name="40% - Accent2 2 3 2 7" xfId="15190" xr:uid="{00000000-0005-0000-0000-0000EC3A0000}"/>
    <cellStyle name="40% - Accent2 2 3 2 7 2" xfId="19654" xr:uid="{00000000-0005-0000-0000-0000ED3A0000}"/>
    <cellStyle name="40% - Accent2 2 3 2 7 2 2" xfId="30022" xr:uid="{00000000-0005-0000-0000-0000EE3A0000}"/>
    <cellStyle name="40% - Accent2 2 3 2 7 2 2 2" xfId="49211" xr:uid="{00000000-0005-0000-0000-0000EF3A0000}"/>
    <cellStyle name="40% - Accent2 2 3 2 7 2 3" xfId="39513" xr:uid="{00000000-0005-0000-0000-0000F03A0000}"/>
    <cellStyle name="40% - Accent2 2 3 2 7 3" xfId="25567" xr:uid="{00000000-0005-0000-0000-0000F13A0000}"/>
    <cellStyle name="40% - Accent2 2 3 2 7 3 2" xfId="44756" xr:uid="{00000000-0005-0000-0000-0000F23A0000}"/>
    <cellStyle name="40% - Accent2 2 3 2 7 4" xfId="35058" xr:uid="{00000000-0005-0000-0000-0000F33A0000}"/>
    <cellStyle name="40% - Accent2 2 3 2 8" xfId="16860" xr:uid="{00000000-0005-0000-0000-0000F43A0000}"/>
    <cellStyle name="40% - Accent2 2 3 2 8 2" xfId="21324" xr:uid="{00000000-0005-0000-0000-0000F53A0000}"/>
    <cellStyle name="40% - Accent2 2 3 2 8 2 2" xfId="31692" xr:uid="{00000000-0005-0000-0000-0000F63A0000}"/>
    <cellStyle name="40% - Accent2 2 3 2 8 2 2 2" xfId="50881" xr:uid="{00000000-0005-0000-0000-0000F73A0000}"/>
    <cellStyle name="40% - Accent2 2 3 2 8 2 3" xfId="41183" xr:uid="{00000000-0005-0000-0000-0000F83A0000}"/>
    <cellStyle name="40% - Accent2 2 3 2 8 3" xfId="27237" xr:uid="{00000000-0005-0000-0000-0000F93A0000}"/>
    <cellStyle name="40% - Accent2 2 3 2 8 3 2" xfId="46426" xr:uid="{00000000-0005-0000-0000-0000FA3A0000}"/>
    <cellStyle name="40% - Accent2 2 3 2 8 4" xfId="36728" xr:uid="{00000000-0005-0000-0000-0000FB3A0000}"/>
    <cellStyle name="40% - Accent2 2 3 2 9" xfId="17426" xr:uid="{00000000-0005-0000-0000-0000FC3A0000}"/>
    <cellStyle name="40% - Accent2 2 3 2 9 2" xfId="21881" xr:uid="{00000000-0005-0000-0000-0000FD3A0000}"/>
    <cellStyle name="40% - Accent2 2 3 2 9 2 2" xfId="32249" xr:uid="{00000000-0005-0000-0000-0000FE3A0000}"/>
    <cellStyle name="40% - Accent2 2 3 2 9 2 2 2" xfId="51438" xr:uid="{00000000-0005-0000-0000-0000FF3A0000}"/>
    <cellStyle name="40% - Accent2 2 3 2 9 2 3" xfId="41740" xr:uid="{00000000-0005-0000-0000-0000003B0000}"/>
    <cellStyle name="40% - Accent2 2 3 2 9 3" xfId="27794" xr:uid="{00000000-0005-0000-0000-0000013B0000}"/>
    <cellStyle name="40% - Accent2 2 3 2 9 3 2" xfId="46983" xr:uid="{00000000-0005-0000-0000-0000023B0000}"/>
    <cellStyle name="40% - Accent2 2 3 2 9 4" xfId="37285" xr:uid="{00000000-0005-0000-0000-0000033B0000}"/>
    <cellStyle name="40% - Accent2 2 3 3" xfId="1876" xr:uid="{00000000-0005-0000-0000-0000043B0000}"/>
    <cellStyle name="40% - Accent2 2 3 3 10" xfId="23852" xr:uid="{00000000-0005-0000-0000-0000053B0000}"/>
    <cellStyle name="40% - Accent2 2 3 3 10 2" xfId="43091" xr:uid="{00000000-0005-0000-0000-0000063B0000}"/>
    <cellStyle name="40% - Accent2 2 3 3 11" xfId="33393" xr:uid="{00000000-0005-0000-0000-0000073B0000}"/>
    <cellStyle name="40% - Accent2 2 3 3 12" xfId="52943" xr:uid="{00000000-0005-0000-0000-0000083B0000}"/>
    <cellStyle name="40% - Accent2 2 3 3 13" xfId="13103" xr:uid="{00000000-0005-0000-0000-0000093B0000}"/>
    <cellStyle name="40% - Accent2 2 3 3 2" xfId="13104" xr:uid="{00000000-0005-0000-0000-00000A3B0000}"/>
    <cellStyle name="40% - Accent2 2 3 3 2 10" xfId="53818" xr:uid="{00000000-0005-0000-0000-00000B3B0000}"/>
    <cellStyle name="40% - Accent2 2 3 3 2 2" xfId="14046" xr:uid="{00000000-0005-0000-0000-00000C3B0000}"/>
    <cellStyle name="40% - Accent2 2 3 3 2 2 2" xfId="16310" xr:uid="{00000000-0005-0000-0000-00000D3B0000}"/>
    <cellStyle name="40% - Accent2 2 3 3 2 2 2 2" xfId="20774" xr:uid="{00000000-0005-0000-0000-00000E3B0000}"/>
    <cellStyle name="40% - Accent2 2 3 3 2 2 2 2 2" xfId="31142" xr:uid="{00000000-0005-0000-0000-00000F3B0000}"/>
    <cellStyle name="40% - Accent2 2 3 3 2 2 2 2 2 2" xfId="50331" xr:uid="{00000000-0005-0000-0000-0000103B0000}"/>
    <cellStyle name="40% - Accent2 2 3 3 2 2 2 2 3" xfId="40633" xr:uid="{00000000-0005-0000-0000-0000113B0000}"/>
    <cellStyle name="40% - Accent2 2 3 3 2 2 2 3" xfId="26687" xr:uid="{00000000-0005-0000-0000-0000123B0000}"/>
    <cellStyle name="40% - Accent2 2 3 3 2 2 2 3 2" xfId="45876" xr:uid="{00000000-0005-0000-0000-0000133B0000}"/>
    <cellStyle name="40% - Accent2 2 3 3 2 2 2 4" xfId="36178" xr:uid="{00000000-0005-0000-0000-0000143B0000}"/>
    <cellStyle name="40% - Accent2 2 3 3 2 2 3" xfId="18546" xr:uid="{00000000-0005-0000-0000-0000153B0000}"/>
    <cellStyle name="40% - Accent2 2 3 3 2 2 3 2" xfId="28914" xr:uid="{00000000-0005-0000-0000-0000163B0000}"/>
    <cellStyle name="40% - Accent2 2 3 3 2 2 3 2 2" xfId="48103" xr:uid="{00000000-0005-0000-0000-0000173B0000}"/>
    <cellStyle name="40% - Accent2 2 3 3 2 2 3 3" xfId="38405" xr:uid="{00000000-0005-0000-0000-0000183B0000}"/>
    <cellStyle name="40% - Accent2 2 3 3 2 2 4" xfId="24454" xr:uid="{00000000-0005-0000-0000-0000193B0000}"/>
    <cellStyle name="40% - Accent2 2 3 3 2 2 4 2" xfId="43648" xr:uid="{00000000-0005-0000-0000-00001A3B0000}"/>
    <cellStyle name="40% - Accent2 2 3 3 2 2 5" xfId="33950" xr:uid="{00000000-0005-0000-0000-00001B3B0000}"/>
    <cellStyle name="40% - Accent2 2 3 3 2 3" xfId="14625" xr:uid="{00000000-0005-0000-0000-00001C3B0000}"/>
    <cellStyle name="40% - Accent2 2 3 3 2 3 2" xfId="15754" xr:uid="{00000000-0005-0000-0000-00001D3B0000}"/>
    <cellStyle name="40% - Accent2 2 3 3 2 3 2 2" xfId="20218" xr:uid="{00000000-0005-0000-0000-00001E3B0000}"/>
    <cellStyle name="40% - Accent2 2 3 3 2 3 2 2 2" xfId="30586" xr:uid="{00000000-0005-0000-0000-00001F3B0000}"/>
    <cellStyle name="40% - Accent2 2 3 3 2 3 2 2 2 2" xfId="49775" xr:uid="{00000000-0005-0000-0000-0000203B0000}"/>
    <cellStyle name="40% - Accent2 2 3 3 2 3 2 2 3" xfId="40077" xr:uid="{00000000-0005-0000-0000-0000213B0000}"/>
    <cellStyle name="40% - Accent2 2 3 3 2 3 2 3" xfId="26131" xr:uid="{00000000-0005-0000-0000-0000223B0000}"/>
    <cellStyle name="40% - Accent2 2 3 3 2 3 2 3 2" xfId="45320" xr:uid="{00000000-0005-0000-0000-0000233B0000}"/>
    <cellStyle name="40% - Accent2 2 3 3 2 3 2 4" xfId="35622" xr:uid="{00000000-0005-0000-0000-0000243B0000}"/>
    <cellStyle name="40% - Accent2 2 3 3 2 3 3" xfId="19103" xr:uid="{00000000-0005-0000-0000-0000253B0000}"/>
    <cellStyle name="40% - Accent2 2 3 3 2 3 3 2" xfId="29471" xr:uid="{00000000-0005-0000-0000-0000263B0000}"/>
    <cellStyle name="40% - Accent2 2 3 3 2 3 3 2 2" xfId="48660" xr:uid="{00000000-0005-0000-0000-0000273B0000}"/>
    <cellStyle name="40% - Accent2 2 3 3 2 3 3 3" xfId="38962" xr:uid="{00000000-0005-0000-0000-0000283B0000}"/>
    <cellStyle name="40% - Accent2 2 3 3 2 3 4" xfId="25016" xr:uid="{00000000-0005-0000-0000-0000293B0000}"/>
    <cellStyle name="40% - Accent2 2 3 3 2 3 4 2" xfId="44205" xr:uid="{00000000-0005-0000-0000-00002A3B0000}"/>
    <cellStyle name="40% - Accent2 2 3 3 2 3 5" xfId="34507" xr:uid="{00000000-0005-0000-0000-00002B3B0000}"/>
    <cellStyle name="40% - Accent2 2 3 3 2 4" xfId="15197" xr:uid="{00000000-0005-0000-0000-00002C3B0000}"/>
    <cellStyle name="40% - Accent2 2 3 3 2 4 2" xfId="19661" xr:uid="{00000000-0005-0000-0000-00002D3B0000}"/>
    <cellStyle name="40% - Accent2 2 3 3 2 4 2 2" xfId="30029" xr:uid="{00000000-0005-0000-0000-00002E3B0000}"/>
    <cellStyle name="40% - Accent2 2 3 3 2 4 2 2 2" xfId="49218" xr:uid="{00000000-0005-0000-0000-00002F3B0000}"/>
    <cellStyle name="40% - Accent2 2 3 3 2 4 2 3" xfId="39520" xr:uid="{00000000-0005-0000-0000-0000303B0000}"/>
    <cellStyle name="40% - Accent2 2 3 3 2 4 3" xfId="25574" xr:uid="{00000000-0005-0000-0000-0000313B0000}"/>
    <cellStyle name="40% - Accent2 2 3 3 2 4 3 2" xfId="44763" xr:uid="{00000000-0005-0000-0000-0000323B0000}"/>
    <cellStyle name="40% - Accent2 2 3 3 2 4 4" xfId="35065" xr:uid="{00000000-0005-0000-0000-0000333B0000}"/>
    <cellStyle name="40% - Accent2 2 3 3 2 5" xfId="16867" xr:uid="{00000000-0005-0000-0000-0000343B0000}"/>
    <cellStyle name="40% - Accent2 2 3 3 2 5 2" xfId="21331" xr:uid="{00000000-0005-0000-0000-0000353B0000}"/>
    <cellStyle name="40% - Accent2 2 3 3 2 5 2 2" xfId="31699" xr:uid="{00000000-0005-0000-0000-0000363B0000}"/>
    <cellStyle name="40% - Accent2 2 3 3 2 5 2 2 2" xfId="50888" xr:uid="{00000000-0005-0000-0000-0000373B0000}"/>
    <cellStyle name="40% - Accent2 2 3 3 2 5 2 3" xfId="41190" xr:uid="{00000000-0005-0000-0000-0000383B0000}"/>
    <cellStyle name="40% - Accent2 2 3 3 2 5 3" xfId="27244" xr:uid="{00000000-0005-0000-0000-0000393B0000}"/>
    <cellStyle name="40% - Accent2 2 3 3 2 5 3 2" xfId="46433" xr:uid="{00000000-0005-0000-0000-00003A3B0000}"/>
    <cellStyle name="40% - Accent2 2 3 3 2 5 4" xfId="36735" xr:uid="{00000000-0005-0000-0000-00003B3B0000}"/>
    <cellStyle name="40% - Accent2 2 3 3 2 6" xfId="17433" xr:uid="{00000000-0005-0000-0000-00003C3B0000}"/>
    <cellStyle name="40% - Accent2 2 3 3 2 6 2" xfId="21888" xr:uid="{00000000-0005-0000-0000-00003D3B0000}"/>
    <cellStyle name="40% - Accent2 2 3 3 2 6 2 2" xfId="32256" xr:uid="{00000000-0005-0000-0000-00003E3B0000}"/>
    <cellStyle name="40% - Accent2 2 3 3 2 6 2 2 2" xfId="51445" xr:uid="{00000000-0005-0000-0000-00003F3B0000}"/>
    <cellStyle name="40% - Accent2 2 3 3 2 6 2 3" xfId="41747" xr:uid="{00000000-0005-0000-0000-0000403B0000}"/>
    <cellStyle name="40% - Accent2 2 3 3 2 6 3" xfId="27801" xr:uid="{00000000-0005-0000-0000-0000413B0000}"/>
    <cellStyle name="40% - Accent2 2 3 3 2 6 3 2" xfId="46990" xr:uid="{00000000-0005-0000-0000-0000423B0000}"/>
    <cellStyle name="40% - Accent2 2 3 3 2 6 4" xfId="37292" xr:uid="{00000000-0005-0000-0000-0000433B0000}"/>
    <cellStyle name="40% - Accent2 2 3 3 2 7" xfId="17990" xr:uid="{00000000-0005-0000-0000-0000443B0000}"/>
    <cellStyle name="40% - Accent2 2 3 3 2 7 2" xfId="28358" xr:uid="{00000000-0005-0000-0000-0000453B0000}"/>
    <cellStyle name="40% - Accent2 2 3 3 2 7 2 2" xfId="47547" xr:uid="{00000000-0005-0000-0000-0000463B0000}"/>
    <cellStyle name="40% - Accent2 2 3 3 2 7 3" xfId="37849" xr:uid="{00000000-0005-0000-0000-0000473B0000}"/>
    <cellStyle name="40% - Accent2 2 3 3 2 8" xfId="23853" xr:uid="{00000000-0005-0000-0000-0000483B0000}"/>
    <cellStyle name="40% - Accent2 2 3 3 2 8 2" xfId="43092" xr:uid="{00000000-0005-0000-0000-0000493B0000}"/>
    <cellStyle name="40% - Accent2 2 3 3 2 9" xfId="33394" xr:uid="{00000000-0005-0000-0000-00004A3B0000}"/>
    <cellStyle name="40% - Accent2 2 3 3 3" xfId="13105" xr:uid="{00000000-0005-0000-0000-00004B3B0000}"/>
    <cellStyle name="40% - Accent2 2 3 3 3 2" xfId="14047" xr:uid="{00000000-0005-0000-0000-00004C3B0000}"/>
    <cellStyle name="40% - Accent2 2 3 3 3 2 2" xfId="16311" xr:uid="{00000000-0005-0000-0000-00004D3B0000}"/>
    <cellStyle name="40% - Accent2 2 3 3 3 2 2 2" xfId="20775" xr:uid="{00000000-0005-0000-0000-00004E3B0000}"/>
    <cellStyle name="40% - Accent2 2 3 3 3 2 2 2 2" xfId="31143" xr:uid="{00000000-0005-0000-0000-00004F3B0000}"/>
    <cellStyle name="40% - Accent2 2 3 3 3 2 2 2 2 2" xfId="50332" xr:uid="{00000000-0005-0000-0000-0000503B0000}"/>
    <cellStyle name="40% - Accent2 2 3 3 3 2 2 2 3" xfId="40634" xr:uid="{00000000-0005-0000-0000-0000513B0000}"/>
    <cellStyle name="40% - Accent2 2 3 3 3 2 2 3" xfId="26688" xr:uid="{00000000-0005-0000-0000-0000523B0000}"/>
    <cellStyle name="40% - Accent2 2 3 3 3 2 2 3 2" xfId="45877" xr:uid="{00000000-0005-0000-0000-0000533B0000}"/>
    <cellStyle name="40% - Accent2 2 3 3 3 2 2 4" xfId="36179" xr:uid="{00000000-0005-0000-0000-0000543B0000}"/>
    <cellStyle name="40% - Accent2 2 3 3 3 2 3" xfId="18547" xr:uid="{00000000-0005-0000-0000-0000553B0000}"/>
    <cellStyle name="40% - Accent2 2 3 3 3 2 3 2" xfId="28915" xr:uid="{00000000-0005-0000-0000-0000563B0000}"/>
    <cellStyle name="40% - Accent2 2 3 3 3 2 3 2 2" xfId="48104" xr:uid="{00000000-0005-0000-0000-0000573B0000}"/>
    <cellStyle name="40% - Accent2 2 3 3 3 2 3 3" xfId="38406" xr:uid="{00000000-0005-0000-0000-0000583B0000}"/>
    <cellStyle name="40% - Accent2 2 3 3 3 2 4" xfId="24455" xr:uid="{00000000-0005-0000-0000-0000593B0000}"/>
    <cellStyle name="40% - Accent2 2 3 3 3 2 4 2" xfId="43649" xr:uid="{00000000-0005-0000-0000-00005A3B0000}"/>
    <cellStyle name="40% - Accent2 2 3 3 3 2 5" xfId="33951" xr:uid="{00000000-0005-0000-0000-00005B3B0000}"/>
    <cellStyle name="40% - Accent2 2 3 3 3 3" xfId="14626" xr:uid="{00000000-0005-0000-0000-00005C3B0000}"/>
    <cellStyle name="40% - Accent2 2 3 3 3 3 2" xfId="15755" xr:uid="{00000000-0005-0000-0000-00005D3B0000}"/>
    <cellStyle name="40% - Accent2 2 3 3 3 3 2 2" xfId="20219" xr:uid="{00000000-0005-0000-0000-00005E3B0000}"/>
    <cellStyle name="40% - Accent2 2 3 3 3 3 2 2 2" xfId="30587" xr:uid="{00000000-0005-0000-0000-00005F3B0000}"/>
    <cellStyle name="40% - Accent2 2 3 3 3 3 2 2 2 2" xfId="49776" xr:uid="{00000000-0005-0000-0000-0000603B0000}"/>
    <cellStyle name="40% - Accent2 2 3 3 3 3 2 2 3" xfId="40078" xr:uid="{00000000-0005-0000-0000-0000613B0000}"/>
    <cellStyle name="40% - Accent2 2 3 3 3 3 2 3" xfId="26132" xr:uid="{00000000-0005-0000-0000-0000623B0000}"/>
    <cellStyle name="40% - Accent2 2 3 3 3 3 2 3 2" xfId="45321" xr:uid="{00000000-0005-0000-0000-0000633B0000}"/>
    <cellStyle name="40% - Accent2 2 3 3 3 3 2 4" xfId="35623" xr:uid="{00000000-0005-0000-0000-0000643B0000}"/>
    <cellStyle name="40% - Accent2 2 3 3 3 3 3" xfId="19104" xr:uid="{00000000-0005-0000-0000-0000653B0000}"/>
    <cellStyle name="40% - Accent2 2 3 3 3 3 3 2" xfId="29472" xr:uid="{00000000-0005-0000-0000-0000663B0000}"/>
    <cellStyle name="40% - Accent2 2 3 3 3 3 3 2 2" xfId="48661" xr:uid="{00000000-0005-0000-0000-0000673B0000}"/>
    <cellStyle name="40% - Accent2 2 3 3 3 3 3 3" xfId="38963" xr:uid="{00000000-0005-0000-0000-0000683B0000}"/>
    <cellStyle name="40% - Accent2 2 3 3 3 3 4" xfId="25017" xr:uid="{00000000-0005-0000-0000-0000693B0000}"/>
    <cellStyle name="40% - Accent2 2 3 3 3 3 4 2" xfId="44206" xr:uid="{00000000-0005-0000-0000-00006A3B0000}"/>
    <cellStyle name="40% - Accent2 2 3 3 3 3 5" xfId="34508" xr:uid="{00000000-0005-0000-0000-00006B3B0000}"/>
    <cellStyle name="40% - Accent2 2 3 3 3 4" xfId="15198" xr:uid="{00000000-0005-0000-0000-00006C3B0000}"/>
    <cellStyle name="40% - Accent2 2 3 3 3 4 2" xfId="19662" xr:uid="{00000000-0005-0000-0000-00006D3B0000}"/>
    <cellStyle name="40% - Accent2 2 3 3 3 4 2 2" xfId="30030" xr:uid="{00000000-0005-0000-0000-00006E3B0000}"/>
    <cellStyle name="40% - Accent2 2 3 3 3 4 2 2 2" xfId="49219" xr:uid="{00000000-0005-0000-0000-00006F3B0000}"/>
    <cellStyle name="40% - Accent2 2 3 3 3 4 2 3" xfId="39521" xr:uid="{00000000-0005-0000-0000-0000703B0000}"/>
    <cellStyle name="40% - Accent2 2 3 3 3 4 3" xfId="25575" xr:uid="{00000000-0005-0000-0000-0000713B0000}"/>
    <cellStyle name="40% - Accent2 2 3 3 3 4 3 2" xfId="44764" xr:uid="{00000000-0005-0000-0000-0000723B0000}"/>
    <cellStyle name="40% - Accent2 2 3 3 3 4 4" xfId="35066" xr:uid="{00000000-0005-0000-0000-0000733B0000}"/>
    <cellStyle name="40% - Accent2 2 3 3 3 5" xfId="16868" xr:uid="{00000000-0005-0000-0000-0000743B0000}"/>
    <cellStyle name="40% - Accent2 2 3 3 3 5 2" xfId="21332" xr:uid="{00000000-0005-0000-0000-0000753B0000}"/>
    <cellStyle name="40% - Accent2 2 3 3 3 5 2 2" xfId="31700" xr:uid="{00000000-0005-0000-0000-0000763B0000}"/>
    <cellStyle name="40% - Accent2 2 3 3 3 5 2 2 2" xfId="50889" xr:uid="{00000000-0005-0000-0000-0000773B0000}"/>
    <cellStyle name="40% - Accent2 2 3 3 3 5 2 3" xfId="41191" xr:uid="{00000000-0005-0000-0000-0000783B0000}"/>
    <cellStyle name="40% - Accent2 2 3 3 3 5 3" xfId="27245" xr:uid="{00000000-0005-0000-0000-0000793B0000}"/>
    <cellStyle name="40% - Accent2 2 3 3 3 5 3 2" xfId="46434" xr:uid="{00000000-0005-0000-0000-00007A3B0000}"/>
    <cellStyle name="40% - Accent2 2 3 3 3 5 4" xfId="36736" xr:uid="{00000000-0005-0000-0000-00007B3B0000}"/>
    <cellStyle name="40% - Accent2 2 3 3 3 6" xfId="17434" xr:uid="{00000000-0005-0000-0000-00007C3B0000}"/>
    <cellStyle name="40% - Accent2 2 3 3 3 6 2" xfId="21889" xr:uid="{00000000-0005-0000-0000-00007D3B0000}"/>
    <cellStyle name="40% - Accent2 2 3 3 3 6 2 2" xfId="32257" xr:uid="{00000000-0005-0000-0000-00007E3B0000}"/>
    <cellStyle name="40% - Accent2 2 3 3 3 6 2 2 2" xfId="51446" xr:uid="{00000000-0005-0000-0000-00007F3B0000}"/>
    <cellStyle name="40% - Accent2 2 3 3 3 6 2 3" xfId="41748" xr:uid="{00000000-0005-0000-0000-0000803B0000}"/>
    <cellStyle name="40% - Accent2 2 3 3 3 6 3" xfId="27802" xr:uid="{00000000-0005-0000-0000-0000813B0000}"/>
    <cellStyle name="40% - Accent2 2 3 3 3 6 3 2" xfId="46991" xr:uid="{00000000-0005-0000-0000-0000823B0000}"/>
    <cellStyle name="40% - Accent2 2 3 3 3 6 4" xfId="37293" xr:uid="{00000000-0005-0000-0000-0000833B0000}"/>
    <cellStyle name="40% - Accent2 2 3 3 3 7" xfId="17991" xr:uid="{00000000-0005-0000-0000-0000843B0000}"/>
    <cellStyle name="40% - Accent2 2 3 3 3 7 2" xfId="28359" xr:uid="{00000000-0005-0000-0000-0000853B0000}"/>
    <cellStyle name="40% - Accent2 2 3 3 3 7 2 2" xfId="47548" xr:uid="{00000000-0005-0000-0000-0000863B0000}"/>
    <cellStyle name="40% - Accent2 2 3 3 3 7 3" xfId="37850" xr:uid="{00000000-0005-0000-0000-0000873B0000}"/>
    <cellStyle name="40% - Accent2 2 3 3 3 8" xfId="23854" xr:uid="{00000000-0005-0000-0000-0000883B0000}"/>
    <cellStyle name="40% - Accent2 2 3 3 3 8 2" xfId="43093" xr:uid="{00000000-0005-0000-0000-0000893B0000}"/>
    <cellStyle name="40% - Accent2 2 3 3 3 9" xfId="33395" xr:uid="{00000000-0005-0000-0000-00008A3B0000}"/>
    <cellStyle name="40% - Accent2 2 3 3 4" xfId="14045" xr:uid="{00000000-0005-0000-0000-00008B3B0000}"/>
    <cellStyle name="40% - Accent2 2 3 3 4 2" xfId="16309" xr:uid="{00000000-0005-0000-0000-00008C3B0000}"/>
    <cellStyle name="40% - Accent2 2 3 3 4 2 2" xfId="20773" xr:uid="{00000000-0005-0000-0000-00008D3B0000}"/>
    <cellStyle name="40% - Accent2 2 3 3 4 2 2 2" xfId="31141" xr:uid="{00000000-0005-0000-0000-00008E3B0000}"/>
    <cellStyle name="40% - Accent2 2 3 3 4 2 2 2 2" xfId="50330" xr:uid="{00000000-0005-0000-0000-00008F3B0000}"/>
    <cellStyle name="40% - Accent2 2 3 3 4 2 2 3" xfId="40632" xr:uid="{00000000-0005-0000-0000-0000903B0000}"/>
    <cellStyle name="40% - Accent2 2 3 3 4 2 3" xfId="26686" xr:uid="{00000000-0005-0000-0000-0000913B0000}"/>
    <cellStyle name="40% - Accent2 2 3 3 4 2 3 2" xfId="45875" xr:uid="{00000000-0005-0000-0000-0000923B0000}"/>
    <cellStyle name="40% - Accent2 2 3 3 4 2 4" xfId="36177" xr:uid="{00000000-0005-0000-0000-0000933B0000}"/>
    <cellStyle name="40% - Accent2 2 3 3 4 3" xfId="18545" xr:uid="{00000000-0005-0000-0000-0000943B0000}"/>
    <cellStyle name="40% - Accent2 2 3 3 4 3 2" xfId="28913" xr:uid="{00000000-0005-0000-0000-0000953B0000}"/>
    <cellStyle name="40% - Accent2 2 3 3 4 3 2 2" xfId="48102" xr:uid="{00000000-0005-0000-0000-0000963B0000}"/>
    <cellStyle name="40% - Accent2 2 3 3 4 3 3" xfId="38404" xr:uid="{00000000-0005-0000-0000-0000973B0000}"/>
    <cellStyle name="40% - Accent2 2 3 3 4 4" xfId="24453" xr:uid="{00000000-0005-0000-0000-0000983B0000}"/>
    <cellStyle name="40% - Accent2 2 3 3 4 4 2" xfId="43647" xr:uid="{00000000-0005-0000-0000-0000993B0000}"/>
    <cellStyle name="40% - Accent2 2 3 3 4 5" xfId="33949" xr:uid="{00000000-0005-0000-0000-00009A3B0000}"/>
    <cellStyle name="40% - Accent2 2 3 3 5" xfId="14624" xr:uid="{00000000-0005-0000-0000-00009B3B0000}"/>
    <cellStyle name="40% - Accent2 2 3 3 5 2" xfId="15753" xr:uid="{00000000-0005-0000-0000-00009C3B0000}"/>
    <cellStyle name="40% - Accent2 2 3 3 5 2 2" xfId="20217" xr:uid="{00000000-0005-0000-0000-00009D3B0000}"/>
    <cellStyle name="40% - Accent2 2 3 3 5 2 2 2" xfId="30585" xr:uid="{00000000-0005-0000-0000-00009E3B0000}"/>
    <cellStyle name="40% - Accent2 2 3 3 5 2 2 2 2" xfId="49774" xr:uid="{00000000-0005-0000-0000-00009F3B0000}"/>
    <cellStyle name="40% - Accent2 2 3 3 5 2 2 3" xfId="40076" xr:uid="{00000000-0005-0000-0000-0000A03B0000}"/>
    <cellStyle name="40% - Accent2 2 3 3 5 2 3" xfId="26130" xr:uid="{00000000-0005-0000-0000-0000A13B0000}"/>
    <cellStyle name="40% - Accent2 2 3 3 5 2 3 2" xfId="45319" xr:uid="{00000000-0005-0000-0000-0000A23B0000}"/>
    <cellStyle name="40% - Accent2 2 3 3 5 2 4" xfId="35621" xr:uid="{00000000-0005-0000-0000-0000A33B0000}"/>
    <cellStyle name="40% - Accent2 2 3 3 5 3" xfId="19102" xr:uid="{00000000-0005-0000-0000-0000A43B0000}"/>
    <cellStyle name="40% - Accent2 2 3 3 5 3 2" xfId="29470" xr:uid="{00000000-0005-0000-0000-0000A53B0000}"/>
    <cellStyle name="40% - Accent2 2 3 3 5 3 2 2" xfId="48659" xr:uid="{00000000-0005-0000-0000-0000A63B0000}"/>
    <cellStyle name="40% - Accent2 2 3 3 5 3 3" xfId="38961" xr:uid="{00000000-0005-0000-0000-0000A73B0000}"/>
    <cellStyle name="40% - Accent2 2 3 3 5 4" xfId="25015" xr:uid="{00000000-0005-0000-0000-0000A83B0000}"/>
    <cellStyle name="40% - Accent2 2 3 3 5 4 2" xfId="44204" xr:uid="{00000000-0005-0000-0000-0000A93B0000}"/>
    <cellStyle name="40% - Accent2 2 3 3 5 5" xfId="34506" xr:uid="{00000000-0005-0000-0000-0000AA3B0000}"/>
    <cellStyle name="40% - Accent2 2 3 3 6" xfId="15196" xr:uid="{00000000-0005-0000-0000-0000AB3B0000}"/>
    <cellStyle name="40% - Accent2 2 3 3 6 2" xfId="19660" xr:uid="{00000000-0005-0000-0000-0000AC3B0000}"/>
    <cellStyle name="40% - Accent2 2 3 3 6 2 2" xfId="30028" xr:uid="{00000000-0005-0000-0000-0000AD3B0000}"/>
    <cellStyle name="40% - Accent2 2 3 3 6 2 2 2" xfId="49217" xr:uid="{00000000-0005-0000-0000-0000AE3B0000}"/>
    <cellStyle name="40% - Accent2 2 3 3 6 2 3" xfId="39519" xr:uid="{00000000-0005-0000-0000-0000AF3B0000}"/>
    <cellStyle name="40% - Accent2 2 3 3 6 3" xfId="25573" xr:uid="{00000000-0005-0000-0000-0000B03B0000}"/>
    <cellStyle name="40% - Accent2 2 3 3 6 3 2" xfId="44762" xr:uid="{00000000-0005-0000-0000-0000B13B0000}"/>
    <cellStyle name="40% - Accent2 2 3 3 6 4" xfId="35064" xr:uid="{00000000-0005-0000-0000-0000B23B0000}"/>
    <cellStyle name="40% - Accent2 2 3 3 7" xfId="16866" xr:uid="{00000000-0005-0000-0000-0000B33B0000}"/>
    <cellStyle name="40% - Accent2 2 3 3 7 2" xfId="21330" xr:uid="{00000000-0005-0000-0000-0000B43B0000}"/>
    <cellStyle name="40% - Accent2 2 3 3 7 2 2" xfId="31698" xr:uid="{00000000-0005-0000-0000-0000B53B0000}"/>
    <cellStyle name="40% - Accent2 2 3 3 7 2 2 2" xfId="50887" xr:uid="{00000000-0005-0000-0000-0000B63B0000}"/>
    <cellStyle name="40% - Accent2 2 3 3 7 2 3" xfId="41189" xr:uid="{00000000-0005-0000-0000-0000B73B0000}"/>
    <cellStyle name="40% - Accent2 2 3 3 7 3" xfId="27243" xr:uid="{00000000-0005-0000-0000-0000B83B0000}"/>
    <cellStyle name="40% - Accent2 2 3 3 7 3 2" xfId="46432" xr:uid="{00000000-0005-0000-0000-0000B93B0000}"/>
    <cellStyle name="40% - Accent2 2 3 3 7 4" xfId="36734" xr:uid="{00000000-0005-0000-0000-0000BA3B0000}"/>
    <cellStyle name="40% - Accent2 2 3 3 8" xfId="17432" xr:uid="{00000000-0005-0000-0000-0000BB3B0000}"/>
    <cellStyle name="40% - Accent2 2 3 3 8 2" xfId="21887" xr:uid="{00000000-0005-0000-0000-0000BC3B0000}"/>
    <cellStyle name="40% - Accent2 2 3 3 8 2 2" xfId="32255" xr:uid="{00000000-0005-0000-0000-0000BD3B0000}"/>
    <cellStyle name="40% - Accent2 2 3 3 8 2 2 2" xfId="51444" xr:uid="{00000000-0005-0000-0000-0000BE3B0000}"/>
    <cellStyle name="40% - Accent2 2 3 3 8 2 3" xfId="41746" xr:uid="{00000000-0005-0000-0000-0000BF3B0000}"/>
    <cellStyle name="40% - Accent2 2 3 3 8 3" xfId="27800" xr:uid="{00000000-0005-0000-0000-0000C03B0000}"/>
    <cellStyle name="40% - Accent2 2 3 3 8 3 2" xfId="46989" xr:uid="{00000000-0005-0000-0000-0000C13B0000}"/>
    <cellStyle name="40% - Accent2 2 3 3 8 4" xfId="37291" xr:uid="{00000000-0005-0000-0000-0000C23B0000}"/>
    <cellStyle name="40% - Accent2 2 3 3 9" xfId="17989" xr:uid="{00000000-0005-0000-0000-0000C33B0000}"/>
    <cellStyle name="40% - Accent2 2 3 3 9 2" xfId="28357" xr:uid="{00000000-0005-0000-0000-0000C43B0000}"/>
    <cellStyle name="40% - Accent2 2 3 3 9 2 2" xfId="47546" xr:uid="{00000000-0005-0000-0000-0000C53B0000}"/>
    <cellStyle name="40% - Accent2 2 3 3 9 3" xfId="37848" xr:uid="{00000000-0005-0000-0000-0000C63B0000}"/>
    <cellStyle name="40% - Accent2 2 3 4" xfId="13106" xr:uid="{00000000-0005-0000-0000-0000C73B0000}"/>
    <cellStyle name="40% - Accent2 2 3 4 10" xfId="53422" xr:uid="{00000000-0005-0000-0000-0000C83B0000}"/>
    <cellStyle name="40% - Accent2 2 3 4 2" xfId="14048" xr:uid="{00000000-0005-0000-0000-0000C93B0000}"/>
    <cellStyle name="40% - Accent2 2 3 4 2 2" xfId="16312" xr:uid="{00000000-0005-0000-0000-0000CA3B0000}"/>
    <cellStyle name="40% - Accent2 2 3 4 2 2 2" xfId="20776" xr:uid="{00000000-0005-0000-0000-0000CB3B0000}"/>
    <cellStyle name="40% - Accent2 2 3 4 2 2 2 2" xfId="31144" xr:uid="{00000000-0005-0000-0000-0000CC3B0000}"/>
    <cellStyle name="40% - Accent2 2 3 4 2 2 2 2 2" xfId="50333" xr:uid="{00000000-0005-0000-0000-0000CD3B0000}"/>
    <cellStyle name="40% - Accent2 2 3 4 2 2 2 3" xfId="40635" xr:uid="{00000000-0005-0000-0000-0000CE3B0000}"/>
    <cellStyle name="40% - Accent2 2 3 4 2 2 3" xfId="26689" xr:uid="{00000000-0005-0000-0000-0000CF3B0000}"/>
    <cellStyle name="40% - Accent2 2 3 4 2 2 3 2" xfId="45878" xr:uid="{00000000-0005-0000-0000-0000D03B0000}"/>
    <cellStyle name="40% - Accent2 2 3 4 2 2 4" xfId="36180" xr:uid="{00000000-0005-0000-0000-0000D13B0000}"/>
    <cellStyle name="40% - Accent2 2 3 4 2 3" xfId="18548" xr:uid="{00000000-0005-0000-0000-0000D23B0000}"/>
    <cellStyle name="40% - Accent2 2 3 4 2 3 2" xfId="28916" xr:uid="{00000000-0005-0000-0000-0000D33B0000}"/>
    <cellStyle name="40% - Accent2 2 3 4 2 3 2 2" xfId="48105" xr:uid="{00000000-0005-0000-0000-0000D43B0000}"/>
    <cellStyle name="40% - Accent2 2 3 4 2 3 3" xfId="38407" xr:uid="{00000000-0005-0000-0000-0000D53B0000}"/>
    <cellStyle name="40% - Accent2 2 3 4 2 4" xfId="24456" xr:uid="{00000000-0005-0000-0000-0000D63B0000}"/>
    <cellStyle name="40% - Accent2 2 3 4 2 4 2" xfId="43650" xr:uid="{00000000-0005-0000-0000-0000D73B0000}"/>
    <cellStyle name="40% - Accent2 2 3 4 2 5" xfId="33952" xr:uid="{00000000-0005-0000-0000-0000D83B0000}"/>
    <cellStyle name="40% - Accent2 2 3 4 3" xfId="14627" xr:uid="{00000000-0005-0000-0000-0000D93B0000}"/>
    <cellStyle name="40% - Accent2 2 3 4 3 2" xfId="15756" xr:uid="{00000000-0005-0000-0000-0000DA3B0000}"/>
    <cellStyle name="40% - Accent2 2 3 4 3 2 2" xfId="20220" xr:uid="{00000000-0005-0000-0000-0000DB3B0000}"/>
    <cellStyle name="40% - Accent2 2 3 4 3 2 2 2" xfId="30588" xr:uid="{00000000-0005-0000-0000-0000DC3B0000}"/>
    <cellStyle name="40% - Accent2 2 3 4 3 2 2 2 2" xfId="49777" xr:uid="{00000000-0005-0000-0000-0000DD3B0000}"/>
    <cellStyle name="40% - Accent2 2 3 4 3 2 2 3" xfId="40079" xr:uid="{00000000-0005-0000-0000-0000DE3B0000}"/>
    <cellStyle name="40% - Accent2 2 3 4 3 2 3" xfId="26133" xr:uid="{00000000-0005-0000-0000-0000DF3B0000}"/>
    <cellStyle name="40% - Accent2 2 3 4 3 2 3 2" xfId="45322" xr:uid="{00000000-0005-0000-0000-0000E03B0000}"/>
    <cellStyle name="40% - Accent2 2 3 4 3 2 4" xfId="35624" xr:uid="{00000000-0005-0000-0000-0000E13B0000}"/>
    <cellStyle name="40% - Accent2 2 3 4 3 3" xfId="19105" xr:uid="{00000000-0005-0000-0000-0000E23B0000}"/>
    <cellStyle name="40% - Accent2 2 3 4 3 3 2" xfId="29473" xr:uid="{00000000-0005-0000-0000-0000E33B0000}"/>
    <cellStyle name="40% - Accent2 2 3 4 3 3 2 2" xfId="48662" xr:uid="{00000000-0005-0000-0000-0000E43B0000}"/>
    <cellStyle name="40% - Accent2 2 3 4 3 3 3" xfId="38964" xr:uid="{00000000-0005-0000-0000-0000E53B0000}"/>
    <cellStyle name="40% - Accent2 2 3 4 3 4" xfId="25018" xr:uid="{00000000-0005-0000-0000-0000E63B0000}"/>
    <cellStyle name="40% - Accent2 2 3 4 3 4 2" xfId="44207" xr:uid="{00000000-0005-0000-0000-0000E73B0000}"/>
    <cellStyle name="40% - Accent2 2 3 4 3 5" xfId="34509" xr:uid="{00000000-0005-0000-0000-0000E83B0000}"/>
    <cellStyle name="40% - Accent2 2 3 4 4" xfId="15199" xr:uid="{00000000-0005-0000-0000-0000E93B0000}"/>
    <cellStyle name="40% - Accent2 2 3 4 4 2" xfId="19663" xr:uid="{00000000-0005-0000-0000-0000EA3B0000}"/>
    <cellStyle name="40% - Accent2 2 3 4 4 2 2" xfId="30031" xr:uid="{00000000-0005-0000-0000-0000EB3B0000}"/>
    <cellStyle name="40% - Accent2 2 3 4 4 2 2 2" xfId="49220" xr:uid="{00000000-0005-0000-0000-0000EC3B0000}"/>
    <cellStyle name="40% - Accent2 2 3 4 4 2 3" xfId="39522" xr:uid="{00000000-0005-0000-0000-0000ED3B0000}"/>
    <cellStyle name="40% - Accent2 2 3 4 4 3" xfId="25576" xr:uid="{00000000-0005-0000-0000-0000EE3B0000}"/>
    <cellStyle name="40% - Accent2 2 3 4 4 3 2" xfId="44765" xr:uid="{00000000-0005-0000-0000-0000EF3B0000}"/>
    <cellStyle name="40% - Accent2 2 3 4 4 4" xfId="35067" xr:uid="{00000000-0005-0000-0000-0000F03B0000}"/>
    <cellStyle name="40% - Accent2 2 3 4 5" xfId="16869" xr:uid="{00000000-0005-0000-0000-0000F13B0000}"/>
    <cellStyle name="40% - Accent2 2 3 4 5 2" xfId="21333" xr:uid="{00000000-0005-0000-0000-0000F23B0000}"/>
    <cellStyle name="40% - Accent2 2 3 4 5 2 2" xfId="31701" xr:uid="{00000000-0005-0000-0000-0000F33B0000}"/>
    <cellStyle name="40% - Accent2 2 3 4 5 2 2 2" xfId="50890" xr:uid="{00000000-0005-0000-0000-0000F43B0000}"/>
    <cellStyle name="40% - Accent2 2 3 4 5 2 3" xfId="41192" xr:uid="{00000000-0005-0000-0000-0000F53B0000}"/>
    <cellStyle name="40% - Accent2 2 3 4 5 3" xfId="27246" xr:uid="{00000000-0005-0000-0000-0000F63B0000}"/>
    <cellStyle name="40% - Accent2 2 3 4 5 3 2" xfId="46435" xr:uid="{00000000-0005-0000-0000-0000F73B0000}"/>
    <cellStyle name="40% - Accent2 2 3 4 5 4" xfId="36737" xr:uid="{00000000-0005-0000-0000-0000F83B0000}"/>
    <cellStyle name="40% - Accent2 2 3 4 6" xfId="17435" xr:uid="{00000000-0005-0000-0000-0000F93B0000}"/>
    <cellStyle name="40% - Accent2 2 3 4 6 2" xfId="21890" xr:uid="{00000000-0005-0000-0000-0000FA3B0000}"/>
    <cellStyle name="40% - Accent2 2 3 4 6 2 2" xfId="32258" xr:uid="{00000000-0005-0000-0000-0000FB3B0000}"/>
    <cellStyle name="40% - Accent2 2 3 4 6 2 2 2" xfId="51447" xr:uid="{00000000-0005-0000-0000-0000FC3B0000}"/>
    <cellStyle name="40% - Accent2 2 3 4 6 2 3" xfId="41749" xr:uid="{00000000-0005-0000-0000-0000FD3B0000}"/>
    <cellStyle name="40% - Accent2 2 3 4 6 3" xfId="27803" xr:uid="{00000000-0005-0000-0000-0000FE3B0000}"/>
    <cellStyle name="40% - Accent2 2 3 4 6 3 2" xfId="46992" xr:uid="{00000000-0005-0000-0000-0000FF3B0000}"/>
    <cellStyle name="40% - Accent2 2 3 4 6 4" xfId="37294" xr:uid="{00000000-0005-0000-0000-0000003C0000}"/>
    <cellStyle name="40% - Accent2 2 3 4 7" xfId="17992" xr:uid="{00000000-0005-0000-0000-0000013C0000}"/>
    <cellStyle name="40% - Accent2 2 3 4 7 2" xfId="28360" xr:uid="{00000000-0005-0000-0000-0000023C0000}"/>
    <cellStyle name="40% - Accent2 2 3 4 7 2 2" xfId="47549" xr:uid="{00000000-0005-0000-0000-0000033C0000}"/>
    <cellStyle name="40% - Accent2 2 3 4 7 3" xfId="37851" xr:uid="{00000000-0005-0000-0000-0000043C0000}"/>
    <cellStyle name="40% - Accent2 2 3 4 8" xfId="23855" xr:uid="{00000000-0005-0000-0000-0000053C0000}"/>
    <cellStyle name="40% - Accent2 2 3 4 8 2" xfId="43094" xr:uid="{00000000-0005-0000-0000-0000063C0000}"/>
    <cellStyle name="40% - Accent2 2 3 4 9" xfId="33396" xr:uid="{00000000-0005-0000-0000-0000073C0000}"/>
    <cellStyle name="40% - Accent2 2 3 5" xfId="13107" xr:uid="{00000000-0005-0000-0000-0000083C0000}"/>
    <cellStyle name="40% - Accent2 2 3 5 2" xfId="14049" xr:uid="{00000000-0005-0000-0000-0000093C0000}"/>
    <cellStyle name="40% - Accent2 2 3 5 2 2" xfId="16313" xr:uid="{00000000-0005-0000-0000-00000A3C0000}"/>
    <cellStyle name="40% - Accent2 2 3 5 2 2 2" xfId="20777" xr:uid="{00000000-0005-0000-0000-00000B3C0000}"/>
    <cellStyle name="40% - Accent2 2 3 5 2 2 2 2" xfId="31145" xr:uid="{00000000-0005-0000-0000-00000C3C0000}"/>
    <cellStyle name="40% - Accent2 2 3 5 2 2 2 2 2" xfId="50334" xr:uid="{00000000-0005-0000-0000-00000D3C0000}"/>
    <cellStyle name="40% - Accent2 2 3 5 2 2 2 3" xfId="40636" xr:uid="{00000000-0005-0000-0000-00000E3C0000}"/>
    <cellStyle name="40% - Accent2 2 3 5 2 2 3" xfId="26690" xr:uid="{00000000-0005-0000-0000-00000F3C0000}"/>
    <cellStyle name="40% - Accent2 2 3 5 2 2 3 2" xfId="45879" xr:uid="{00000000-0005-0000-0000-0000103C0000}"/>
    <cellStyle name="40% - Accent2 2 3 5 2 2 4" xfId="36181" xr:uid="{00000000-0005-0000-0000-0000113C0000}"/>
    <cellStyle name="40% - Accent2 2 3 5 2 3" xfId="18549" xr:uid="{00000000-0005-0000-0000-0000123C0000}"/>
    <cellStyle name="40% - Accent2 2 3 5 2 3 2" xfId="28917" xr:uid="{00000000-0005-0000-0000-0000133C0000}"/>
    <cellStyle name="40% - Accent2 2 3 5 2 3 2 2" xfId="48106" xr:uid="{00000000-0005-0000-0000-0000143C0000}"/>
    <cellStyle name="40% - Accent2 2 3 5 2 3 3" xfId="38408" xr:uid="{00000000-0005-0000-0000-0000153C0000}"/>
    <cellStyle name="40% - Accent2 2 3 5 2 4" xfId="24457" xr:uid="{00000000-0005-0000-0000-0000163C0000}"/>
    <cellStyle name="40% - Accent2 2 3 5 2 4 2" xfId="43651" xr:uid="{00000000-0005-0000-0000-0000173C0000}"/>
    <cellStyle name="40% - Accent2 2 3 5 2 5" xfId="33953" xr:uid="{00000000-0005-0000-0000-0000183C0000}"/>
    <cellStyle name="40% - Accent2 2 3 5 3" xfId="14628" xr:uid="{00000000-0005-0000-0000-0000193C0000}"/>
    <cellStyle name="40% - Accent2 2 3 5 3 2" xfId="15757" xr:uid="{00000000-0005-0000-0000-00001A3C0000}"/>
    <cellStyle name="40% - Accent2 2 3 5 3 2 2" xfId="20221" xr:uid="{00000000-0005-0000-0000-00001B3C0000}"/>
    <cellStyle name="40% - Accent2 2 3 5 3 2 2 2" xfId="30589" xr:uid="{00000000-0005-0000-0000-00001C3C0000}"/>
    <cellStyle name="40% - Accent2 2 3 5 3 2 2 2 2" xfId="49778" xr:uid="{00000000-0005-0000-0000-00001D3C0000}"/>
    <cellStyle name="40% - Accent2 2 3 5 3 2 2 3" xfId="40080" xr:uid="{00000000-0005-0000-0000-00001E3C0000}"/>
    <cellStyle name="40% - Accent2 2 3 5 3 2 3" xfId="26134" xr:uid="{00000000-0005-0000-0000-00001F3C0000}"/>
    <cellStyle name="40% - Accent2 2 3 5 3 2 3 2" xfId="45323" xr:uid="{00000000-0005-0000-0000-0000203C0000}"/>
    <cellStyle name="40% - Accent2 2 3 5 3 2 4" xfId="35625" xr:uid="{00000000-0005-0000-0000-0000213C0000}"/>
    <cellStyle name="40% - Accent2 2 3 5 3 3" xfId="19106" xr:uid="{00000000-0005-0000-0000-0000223C0000}"/>
    <cellStyle name="40% - Accent2 2 3 5 3 3 2" xfId="29474" xr:uid="{00000000-0005-0000-0000-0000233C0000}"/>
    <cellStyle name="40% - Accent2 2 3 5 3 3 2 2" xfId="48663" xr:uid="{00000000-0005-0000-0000-0000243C0000}"/>
    <cellStyle name="40% - Accent2 2 3 5 3 3 3" xfId="38965" xr:uid="{00000000-0005-0000-0000-0000253C0000}"/>
    <cellStyle name="40% - Accent2 2 3 5 3 4" xfId="25019" xr:uid="{00000000-0005-0000-0000-0000263C0000}"/>
    <cellStyle name="40% - Accent2 2 3 5 3 4 2" xfId="44208" xr:uid="{00000000-0005-0000-0000-0000273C0000}"/>
    <cellStyle name="40% - Accent2 2 3 5 3 5" xfId="34510" xr:uid="{00000000-0005-0000-0000-0000283C0000}"/>
    <cellStyle name="40% - Accent2 2 3 5 4" xfId="15200" xr:uid="{00000000-0005-0000-0000-0000293C0000}"/>
    <cellStyle name="40% - Accent2 2 3 5 4 2" xfId="19664" xr:uid="{00000000-0005-0000-0000-00002A3C0000}"/>
    <cellStyle name="40% - Accent2 2 3 5 4 2 2" xfId="30032" xr:uid="{00000000-0005-0000-0000-00002B3C0000}"/>
    <cellStyle name="40% - Accent2 2 3 5 4 2 2 2" xfId="49221" xr:uid="{00000000-0005-0000-0000-00002C3C0000}"/>
    <cellStyle name="40% - Accent2 2 3 5 4 2 3" xfId="39523" xr:uid="{00000000-0005-0000-0000-00002D3C0000}"/>
    <cellStyle name="40% - Accent2 2 3 5 4 3" xfId="25577" xr:uid="{00000000-0005-0000-0000-00002E3C0000}"/>
    <cellStyle name="40% - Accent2 2 3 5 4 3 2" xfId="44766" xr:uid="{00000000-0005-0000-0000-00002F3C0000}"/>
    <cellStyle name="40% - Accent2 2 3 5 4 4" xfId="35068" xr:uid="{00000000-0005-0000-0000-0000303C0000}"/>
    <cellStyle name="40% - Accent2 2 3 5 5" xfId="16870" xr:uid="{00000000-0005-0000-0000-0000313C0000}"/>
    <cellStyle name="40% - Accent2 2 3 5 5 2" xfId="21334" xr:uid="{00000000-0005-0000-0000-0000323C0000}"/>
    <cellStyle name="40% - Accent2 2 3 5 5 2 2" xfId="31702" xr:uid="{00000000-0005-0000-0000-0000333C0000}"/>
    <cellStyle name="40% - Accent2 2 3 5 5 2 2 2" xfId="50891" xr:uid="{00000000-0005-0000-0000-0000343C0000}"/>
    <cellStyle name="40% - Accent2 2 3 5 5 2 3" xfId="41193" xr:uid="{00000000-0005-0000-0000-0000353C0000}"/>
    <cellStyle name="40% - Accent2 2 3 5 5 3" xfId="27247" xr:uid="{00000000-0005-0000-0000-0000363C0000}"/>
    <cellStyle name="40% - Accent2 2 3 5 5 3 2" xfId="46436" xr:uid="{00000000-0005-0000-0000-0000373C0000}"/>
    <cellStyle name="40% - Accent2 2 3 5 5 4" xfId="36738" xr:uid="{00000000-0005-0000-0000-0000383C0000}"/>
    <cellStyle name="40% - Accent2 2 3 5 6" xfId="17436" xr:uid="{00000000-0005-0000-0000-0000393C0000}"/>
    <cellStyle name="40% - Accent2 2 3 5 6 2" xfId="21891" xr:uid="{00000000-0005-0000-0000-00003A3C0000}"/>
    <cellStyle name="40% - Accent2 2 3 5 6 2 2" xfId="32259" xr:uid="{00000000-0005-0000-0000-00003B3C0000}"/>
    <cellStyle name="40% - Accent2 2 3 5 6 2 2 2" xfId="51448" xr:uid="{00000000-0005-0000-0000-00003C3C0000}"/>
    <cellStyle name="40% - Accent2 2 3 5 6 2 3" xfId="41750" xr:uid="{00000000-0005-0000-0000-00003D3C0000}"/>
    <cellStyle name="40% - Accent2 2 3 5 6 3" xfId="27804" xr:uid="{00000000-0005-0000-0000-00003E3C0000}"/>
    <cellStyle name="40% - Accent2 2 3 5 6 3 2" xfId="46993" xr:uid="{00000000-0005-0000-0000-00003F3C0000}"/>
    <cellStyle name="40% - Accent2 2 3 5 6 4" xfId="37295" xr:uid="{00000000-0005-0000-0000-0000403C0000}"/>
    <cellStyle name="40% - Accent2 2 3 5 7" xfId="17993" xr:uid="{00000000-0005-0000-0000-0000413C0000}"/>
    <cellStyle name="40% - Accent2 2 3 5 7 2" xfId="28361" xr:uid="{00000000-0005-0000-0000-0000423C0000}"/>
    <cellStyle name="40% - Accent2 2 3 5 7 2 2" xfId="47550" xr:uid="{00000000-0005-0000-0000-0000433C0000}"/>
    <cellStyle name="40% - Accent2 2 3 5 7 3" xfId="37852" xr:uid="{00000000-0005-0000-0000-0000443C0000}"/>
    <cellStyle name="40% - Accent2 2 3 5 8" xfId="23856" xr:uid="{00000000-0005-0000-0000-0000453C0000}"/>
    <cellStyle name="40% - Accent2 2 3 5 8 2" xfId="43095" xr:uid="{00000000-0005-0000-0000-0000463C0000}"/>
    <cellStyle name="40% - Accent2 2 3 5 9" xfId="33397" xr:uid="{00000000-0005-0000-0000-0000473C0000}"/>
    <cellStyle name="40% - Accent2 2 3 6" xfId="22867" xr:uid="{00000000-0005-0000-0000-0000483C0000}"/>
    <cellStyle name="40% - Accent2 2 3 6 2" xfId="32951" xr:uid="{00000000-0005-0000-0000-0000493C0000}"/>
    <cellStyle name="40% - Accent2 2 3 6 2 2" xfId="52137" xr:uid="{00000000-0005-0000-0000-00004A3C0000}"/>
    <cellStyle name="40% - Accent2 2 3 6 3" xfId="42439" xr:uid="{00000000-0005-0000-0000-00004B3C0000}"/>
    <cellStyle name="40% - Accent2 2 3 7" xfId="23323" xr:uid="{00000000-0005-0000-0000-00004C3C0000}"/>
    <cellStyle name="40% - Accent2 2 3 8" xfId="23224" xr:uid="{00000000-0005-0000-0000-00004D3C0000}"/>
    <cellStyle name="40% - Accent2 2 3 8 2" xfId="42792" xr:uid="{00000000-0005-0000-0000-00004E3C0000}"/>
    <cellStyle name="40% - Accent2 2 3 9" xfId="12195" xr:uid="{00000000-0005-0000-0000-00004F3C0000}"/>
    <cellStyle name="40% - Accent2 2 4" xfId="1878" xr:uid="{00000000-0005-0000-0000-0000503C0000}"/>
    <cellStyle name="40% - Accent2 2 4 2" xfId="13108" xr:uid="{00000000-0005-0000-0000-0000513C0000}"/>
    <cellStyle name="40% - Accent2 2 4 2 10" xfId="23857" xr:uid="{00000000-0005-0000-0000-0000523C0000}"/>
    <cellStyle name="40% - Accent2 2 4 2 10 2" xfId="43096" xr:uid="{00000000-0005-0000-0000-0000533C0000}"/>
    <cellStyle name="40% - Accent2 2 4 2 11" xfId="33398" xr:uid="{00000000-0005-0000-0000-0000543C0000}"/>
    <cellStyle name="40% - Accent2 2 4 2 12" xfId="52764" xr:uid="{00000000-0005-0000-0000-0000553C0000}"/>
    <cellStyle name="40% - Accent2 2 4 2 2" xfId="13109" xr:uid="{00000000-0005-0000-0000-0000563C0000}"/>
    <cellStyle name="40% - Accent2 2 4 2 2 10" xfId="53192" xr:uid="{00000000-0005-0000-0000-0000573C0000}"/>
    <cellStyle name="40% - Accent2 2 4 2 2 2" xfId="14051" xr:uid="{00000000-0005-0000-0000-0000583C0000}"/>
    <cellStyle name="40% - Accent2 2 4 2 2 2 2" xfId="16315" xr:uid="{00000000-0005-0000-0000-0000593C0000}"/>
    <cellStyle name="40% - Accent2 2 4 2 2 2 2 2" xfId="20779" xr:uid="{00000000-0005-0000-0000-00005A3C0000}"/>
    <cellStyle name="40% - Accent2 2 4 2 2 2 2 2 2" xfId="31147" xr:uid="{00000000-0005-0000-0000-00005B3C0000}"/>
    <cellStyle name="40% - Accent2 2 4 2 2 2 2 2 2 2" xfId="50336" xr:uid="{00000000-0005-0000-0000-00005C3C0000}"/>
    <cellStyle name="40% - Accent2 2 4 2 2 2 2 2 3" xfId="40638" xr:uid="{00000000-0005-0000-0000-00005D3C0000}"/>
    <cellStyle name="40% - Accent2 2 4 2 2 2 2 3" xfId="26692" xr:uid="{00000000-0005-0000-0000-00005E3C0000}"/>
    <cellStyle name="40% - Accent2 2 4 2 2 2 2 3 2" xfId="45881" xr:uid="{00000000-0005-0000-0000-00005F3C0000}"/>
    <cellStyle name="40% - Accent2 2 4 2 2 2 2 4" xfId="36183" xr:uid="{00000000-0005-0000-0000-0000603C0000}"/>
    <cellStyle name="40% - Accent2 2 4 2 2 2 3" xfId="18551" xr:uid="{00000000-0005-0000-0000-0000613C0000}"/>
    <cellStyle name="40% - Accent2 2 4 2 2 2 3 2" xfId="28919" xr:uid="{00000000-0005-0000-0000-0000623C0000}"/>
    <cellStyle name="40% - Accent2 2 4 2 2 2 3 2 2" xfId="48108" xr:uid="{00000000-0005-0000-0000-0000633C0000}"/>
    <cellStyle name="40% - Accent2 2 4 2 2 2 3 3" xfId="38410" xr:uid="{00000000-0005-0000-0000-0000643C0000}"/>
    <cellStyle name="40% - Accent2 2 4 2 2 2 4" xfId="24459" xr:uid="{00000000-0005-0000-0000-0000653C0000}"/>
    <cellStyle name="40% - Accent2 2 4 2 2 2 4 2" xfId="43653" xr:uid="{00000000-0005-0000-0000-0000663C0000}"/>
    <cellStyle name="40% - Accent2 2 4 2 2 2 5" xfId="33955" xr:uid="{00000000-0005-0000-0000-0000673C0000}"/>
    <cellStyle name="40% - Accent2 2 4 2 2 2 6" xfId="54045" xr:uid="{00000000-0005-0000-0000-0000683C0000}"/>
    <cellStyle name="40% - Accent2 2 4 2 2 3" xfId="14630" xr:uid="{00000000-0005-0000-0000-0000693C0000}"/>
    <cellStyle name="40% - Accent2 2 4 2 2 3 2" xfId="15759" xr:uid="{00000000-0005-0000-0000-00006A3C0000}"/>
    <cellStyle name="40% - Accent2 2 4 2 2 3 2 2" xfId="20223" xr:uid="{00000000-0005-0000-0000-00006B3C0000}"/>
    <cellStyle name="40% - Accent2 2 4 2 2 3 2 2 2" xfId="30591" xr:uid="{00000000-0005-0000-0000-00006C3C0000}"/>
    <cellStyle name="40% - Accent2 2 4 2 2 3 2 2 2 2" xfId="49780" xr:uid="{00000000-0005-0000-0000-00006D3C0000}"/>
    <cellStyle name="40% - Accent2 2 4 2 2 3 2 2 3" xfId="40082" xr:uid="{00000000-0005-0000-0000-00006E3C0000}"/>
    <cellStyle name="40% - Accent2 2 4 2 2 3 2 3" xfId="26136" xr:uid="{00000000-0005-0000-0000-00006F3C0000}"/>
    <cellStyle name="40% - Accent2 2 4 2 2 3 2 3 2" xfId="45325" xr:uid="{00000000-0005-0000-0000-0000703C0000}"/>
    <cellStyle name="40% - Accent2 2 4 2 2 3 2 4" xfId="35627" xr:uid="{00000000-0005-0000-0000-0000713C0000}"/>
    <cellStyle name="40% - Accent2 2 4 2 2 3 3" xfId="19108" xr:uid="{00000000-0005-0000-0000-0000723C0000}"/>
    <cellStyle name="40% - Accent2 2 4 2 2 3 3 2" xfId="29476" xr:uid="{00000000-0005-0000-0000-0000733C0000}"/>
    <cellStyle name="40% - Accent2 2 4 2 2 3 3 2 2" xfId="48665" xr:uid="{00000000-0005-0000-0000-0000743C0000}"/>
    <cellStyle name="40% - Accent2 2 4 2 2 3 3 3" xfId="38967" xr:uid="{00000000-0005-0000-0000-0000753C0000}"/>
    <cellStyle name="40% - Accent2 2 4 2 2 3 4" xfId="25021" xr:uid="{00000000-0005-0000-0000-0000763C0000}"/>
    <cellStyle name="40% - Accent2 2 4 2 2 3 4 2" xfId="44210" xr:uid="{00000000-0005-0000-0000-0000773C0000}"/>
    <cellStyle name="40% - Accent2 2 4 2 2 3 5" xfId="34512" xr:uid="{00000000-0005-0000-0000-0000783C0000}"/>
    <cellStyle name="40% - Accent2 2 4 2 2 4" xfId="15202" xr:uid="{00000000-0005-0000-0000-0000793C0000}"/>
    <cellStyle name="40% - Accent2 2 4 2 2 4 2" xfId="19666" xr:uid="{00000000-0005-0000-0000-00007A3C0000}"/>
    <cellStyle name="40% - Accent2 2 4 2 2 4 2 2" xfId="30034" xr:uid="{00000000-0005-0000-0000-00007B3C0000}"/>
    <cellStyle name="40% - Accent2 2 4 2 2 4 2 2 2" xfId="49223" xr:uid="{00000000-0005-0000-0000-00007C3C0000}"/>
    <cellStyle name="40% - Accent2 2 4 2 2 4 2 3" xfId="39525" xr:uid="{00000000-0005-0000-0000-00007D3C0000}"/>
    <cellStyle name="40% - Accent2 2 4 2 2 4 3" xfId="25579" xr:uid="{00000000-0005-0000-0000-00007E3C0000}"/>
    <cellStyle name="40% - Accent2 2 4 2 2 4 3 2" xfId="44768" xr:uid="{00000000-0005-0000-0000-00007F3C0000}"/>
    <cellStyle name="40% - Accent2 2 4 2 2 4 4" xfId="35070" xr:uid="{00000000-0005-0000-0000-0000803C0000}"/>
    <cellStyle name="40% - Accent2 2 4 2 2 5" xfId="16872" xr:uid="{00000000-0005-0000-0000-0000813C0000}"/>
    <cellStyle name="40% - Accent2 2 4 2 2 5 2" xfId="21336" xr:uid="{00000000-0005-0000-0000-0000823C0000}"/>
    <cellStyle name="40% - Accent2 2 4 2 2 5 2 2" xfId="31704" xr:uid="{00000000-0005-0000-0000-0000833C0000}"/>
    <cellStyle name="40% - Accent2 2 4 2 2 5 2 2 2" xfId="50893" xr:uid="{00000000-0005-0000-0000-0000843C0000}"/>
    <cellStyle name="40% - Accent2 2 4 2 2 5 2 3" xfId="41195" xr:uid="{00000000-0005-0000-0000-0000853C0000}"/>
    <cellStyle name="40% - Accent2 2 4 2 2 5 3" xfId="27249" xr:uid="{00000000-0005-0000-0000-0000863C0000}"/>
    <cellStyle name="40% - Accent2 2 4 2 2 5 3 2" xfId="46438" xr:uid="{00000000-0005-0000-0000-0000873C0000}"/>
    <cellStyle name="40% - Accent2 2 4 2 2 5 4" xfId="36740" xr:uid="{00000000-0005-0000-0000-0000883C0000}"/>
    <cellStyle name="40% - Accent2 2 4 2 2 6" xfId="17438" xr:uid="{00000000-0005-0000-0000-0000893C0000}"/>
    <cellStyle name="40% - Accent2 2 4 2 2 6 2" xfId="21893" xr:uid="{00000000-0005-0000-0000-00008A3C0000}"/>
    <cellStyle name="40% - Accent2 2 4 2 2 6 2 2" xfId="32261" xr:uid="{00000000-0005-0000-0000-00008B3C0000}"/>
    <cellStyle name="40% - Accent2 2 4 2 2 6 2 2 2" xfId="51450" xr:uid="{00000000-0005-0000-0000-00008C3C0000}"/>
    <cellStyle name="40% - Accent2 2 4 2 2 6 2 3" xfId="41752" xr:uid="{00000000-0005-0000-0000-00008D3C0000}"/>
    <cellStyle name="40% - Accent2 2 4 2 2 6 3" xfId="27806" xr:uid="{00000000-0005-0000-0000-00008E3C0000}"/>
    <cellStyle name="40% - Accent2 2 4 2 2 6 3 2" xfId="46995" xr:uid="{00000000-0005-0000-0000-00008F3C0000}"/>
    <cellStyle name="40% - Accent2 2 4 2 2 6 4" xfId="37297" xr:uid="{00000000-0005-0000-0000-0000903C0000}"/>
    <cellStyle name="40% - Accent2 2 4 2 2 7" xfId="17995" xr:uid="{00000000-0005-0000-0000-0000913C0000}"/>
    <cellStyle name="40% - Accent2 2 4 2 2 7 2" xfId="28363" xr:uid="{00000000-0005-0000-0000-0000923C0000}"/>
    <cellStyle name="40% - Accent2 2 4 2 2 7 2 2" xfId="47552" xr:uid="{00000000-0005-0000-0000-0000933C0000}"/>
    <cellStyle name="40% - Accent2 2 4 2 2 7 3" xfId="37854" xr:uid="{00000000-0005-0000-0000-0000943C0000}"/>
    <cellStyle name="40% - Accent2 2 4 2 2 8" xfId="23858" xr:uid="{00000000-0005-0000-0000-0000953C0000}"/>
    <cellStyle name="40% - Accent2 2 4 2 2 8 2" xfId="43097" xr:uid="{00000000-0005-0000-0000-0000963C0000}"/>
    <cellStyle name="40% - Accent2 2 4 2 2 9" xfId="33399" xr:uid="{00000000-0005-0000-0000-0000973C0000}"/>
    <cellStyle name="40% - Accent2 2 4 2 3" xfId="13110" xr:uid="{00000000-0005-0000-0000-0000983C0000}"/>
    <cellStyle name="40% - Accent2 2 4 2 3 10" xfId="53649" xr:uid="{00000000-0005-0000-0000-0000993C0000}"/>
    <cellStyle name="40% - Accent2 2 4 2 3 2" xfId="14052" xr:uid="{00000000-0005-0000-0000-00009A3C0000}"/>
    <cellStyle name="40% - Accent2 2 4 2 3 2 2" xfId="16316" xr:uid="{00000000-0005-0000-0000-00009B3C0000}"/>
    <cellStyle name="40% - Accent2 2 4 2 3 2 2 2" xfId="20780" xr:uid="{00000000-0005-0000-0000-00009C3C0000}"/>
    <cellStyle name="40% - Accent2 2 4 2 3 2 2 2 2" xfId="31148" xr:uid="{00000000-0005-0000-0000-00009D3C0000}"/>
    <cellStyle name="40% - Accent2 2 4 2 3 2 2 2 2 2" xfId="50337" xr:uid="{00000000-0005-0000-0000-00009E3C0000}"/>
    <cellStyle name="40% - Accent2 2 4 2 3 2 2 2 3" xfId="40639" xr:uid="{00000000-0005-0000-0000-00009F3C0000}"/>
    <cellStyle name="40% - Accent2 2 4 2 3 2 2 3" xfId="26693" xr:uid="{00000000-0005-0000-0000-0000A03C0000}"/>
    <cellStyle name="40% - Accent2 2 4 2 3 2 2 3 2" xfId="45882" xr:uid="{00000000-0005-0000-0000-0000A13C0000}"/>
    <cellStyle name="40% - Accent2 2 4 2 3 2 2 4" xfId="36184" xr:uid="{00000000-0005-0000-0000-0000A23C0000}"/>
    <cellStyle name="40% - Accent2 2 4 2 3 2 3" xfId="18552" xr:uid="{00000000-0005-0000-0000-0000A33C0000}"/>
    <cellStyle name="40% - Accent2 2 4 2 3 2 3 2" xfId="28920" xr:uid="{00000000-0005-0000-0000-0000A43C0000}"/>
    <cellStyle name="40% - Accent2 2 4 2 3 2 3 2 2" xfId="48109" xr:uid="{00000000-0005-0000-0000-0000A53C0000}"/>
    <cellStyle name="40% - Accent2 2 4 2 3 2 3 3" xfId="38411" xr:uid="{00000000-0005-0000-0000-0000A63C0000}"/>
    <cellStyle name="40% - Accent2 2 4 2 3 2 4" xfId="24460" xr:uid="{00000000-0005-0000-0000-0000A73C0000}"/>
    <cellStyle name="40% - Accent2 2 4 2 3 2 4 2" xfId="43654" xr:uid="{00000000-0005-0000-0000-0000A83C0000}"/>
    <cellStyle name="40% - Accent2 2 4 2 3 2 5" xfId="33956" xr:uid="{00000000-0005-0000-0000-0000A93C0000}"/>
    <cellStyle name="40% - Accent2 2 4 2 3 3" xfId="14631" xr:uid="{00000000-0005-0000-0000-0000AA3C0000}"/>
    <cellStyle name="40% - Accent2 2 4 2 3 3 2" xfId="15760" xr:uid="{00000000-0005-0000-0000-0000AB3C0000}"/>
    <cellStyle name="40% - Accent2 2 4 2 3 3 2 2" xfId="20224" xr:uid="{00000000-0005-0000-0000-0000AC3C0000}"/>
    <cellStyle name="40% - Accent2 2 4 2 3 3 2 2 2" xfId="30592" xr:uid="{00000000-0005-0000-0000-0000AD3C0000}"/>
    <cellStyle name="40% - Accent2 2 4 2 3 3 2 2 2 2" xfId="49781" xr:uid="{00000000-0005-0000-0000-0000AE3C0000}"/>
    <cellStyle name="40% - Accent2 2 4 2 3 3 2 2 3" xfId="40083" xr:uid="{00000000-0005-0000-0000-0000AF3C0000}"/>
    <cellStyle name="40% - Accent2 2 4 2 3 3 2 3" xfId="26137" xr:uid="{00000000-0005-0000-0000-0000B03C0000}"/>
    <cellStyle name="40% - Accent2 2 4 2 3 3 2 3 2" xfId="45326" xr:uid="{00000000-0005-0000-0000-0000B13C0000}"/>
    <cellStyle name="40% - Accent2 2 4 2 3 3 2 4" xfId="35628" xr:uid="{00000000-0005-0000-0000-0000B23C0000}"/>
    <cellStyle name="40% - Accent2 2 4 2 3 3 3" xfId="19109" xr:uid="{00000000-0005-0000-0000-0000B33C0000}"/>
    <cellStyle name="40% - Accent2 2 4 2 3 3 3 2" xfId="29477" xr:uid="{00000000-0005-0000-0000-0000B43C0000}"/>
    <cellStyle name="40% - Accent2 2 4 2 3 3 3 2 2" xfId="48666" xr:uid="{00000000-0005-0000-0000-0000B53C0000}"/>
    <cellStyle name="40% - Accent2 2 4 2 3 3 3 3" xfId="38968" xr:uid="{00000000-0005-0000-0000-0000B63C0000}"/>
    <cellStyle name="40% - Accent2 2 4 2 3 3 4" xfId="25022" xr:uid="{00000000-0005-0000-0000-0000B73C0000}"/>
    <cellStyle name="40% - Accent2 2 4 2 3 3 4 2" xfId="44211" xr:uid="{00000000-0005-0000-0000-0000B83C0000}"/>
    <cellStyle name="40% - Accent2 2 4 2 3 3 5" xfId="34513" xr:uid="{00000000-0005-0000-0000-0000B93C0000}"/>
    <cellStyle name="40% - Accent2 2 4 2 3 4" xfId="15203" xr:uid="{00000000-0005-0000-0000-0000BA3C0000}"/>
    <cellStyle name="40% - Accent2 2 4 2 3 4 2" xfId="19667" xr:uid="{00000000-0005-0000-0000-0000BB3C0000}"/>
    <cellStyle name="40% - Accent2 2 4 2 3 4 2 2" xfId="30035" xr:uid="{00000000-0005-0000-0000-0000BC3C0000}"/>
    <cellStyle name="40% - Accent2 2 4 2 3 4 2 2 2" xfId="49224" xr:uid="{00000000-0005-0000-0000-0000BD3C0000}"/>
    <cellStyle name="40% - Accent2 2 4 2 3 4 2 3" xfId="39526" xr:uid="{00000000-0005-0000-0000-0000BE3C0000}"/>
    <cellStyle name="40% - Accent2 2 4 2 3 4 3" xfId="25580" xr:uid="{00000000-0005-0000-0000-0000BF3C0000}"/>
    <cellStyle name="40% - Accent2 2 4 2 3 4 3 2" xfId="44769" xr:uid="{00000000-0005-0000-0000-0000C03C0000}"/>
    <cellStyle name="40% - Accent2 2 4 2 3 4 4" xfId="35071" xr:uid="{00000000-0005-0000-0000-0000C13C0000}"/>
    <cellStyle name="40% - Accent2 2 4 2 3 5" xfId="16873" xr:uid="{00000000-0005-0000-0000-0000C23C0000}"/>
    <cellStyle name="40% - Accent2 2 4 2 3 5 2" xfId="21337" xr:uid="{00000000-0005-0000-0000-0000C33C0000}"/>
    <cellStyle name="40% - Accent2 2 4 2 3 5 2 2" xfId="31705" xr:uid="{00000000-0005-0000-0000-0000C43C0000}"/>
    <cellStyle name="40% - Accent2 2 4 2 3 5 2 2 2" xfId="50894" xr:uid="{00000000-0005-0000-0000-0000C53C0000}"/>
    <cellStyle name="40% - Accent2 2 4 2 3 5 2 3" xfId="41196" xr:uid="{00000000-0005-0000-0000-0000C63C0000}"/>
    <cellStyle name="40% - Accent2 2 4 2 3 5 3" xfId="27250" xr:uid="{00000000-0005-0000-0000-0000C73C0000}"/>
    <cellStyle name="40% - Accent2 2 4 2 3 5 3 2" xfId="46439" xr:uid="{00000000-0005-0000-0000-0000C83C0000}"/>
    <cellStyle name="40% - Accent2 2 4 2 3 5 4" xfId="36741" xr:uid="{00000000-0005-0000-0000-0000C93C0000}"/>
    <cellStyle name="40% - Accent2 2 4 2 3 6" xfId="17439" xr:uid="{00000000-0005-0000-0000-0000CA3C0000}"/>
    <cellStyle name="40% - Accent2 2 4 2 3 6 2" xfId="21894" xr:uid="{00000000-0005-0000-0000-0000CB3C0000}"/>
    <cellStyle name="40% - Accent2 2 4 2 3 6 2 2" xfId="32262" xr:uid="{00000000-0005-0000-0000-0000CC3C0000}"/>
    <cellStyle name="40% - Accent2 2 4 2 3 6 2 2 2" xfId="51451" xr:uid="{00000000-0005-0000-0000-0000CD3C0000}"/>
    <cellStyle name="40% - Accent2 2 4 2 3 6 2 3" xfId="41753" xr:uid="{00000000-0005-0000-0000-0000CE3C0000}"/>
    <cellStyle name="40% - Accent2 2 4 2 3 6 3" xfId="27807" xr:uid="{00000000-0005-0000-0000-0000CF3C0000}"/>
    <cellStyle name="40% - Accent2 2 4 2 3 6 3 2" xfId="46996" xr:uid="{00000000-0005-0000-0000-0000D03C0000}"/>
    <cellStyle name="40% - Accent2 2 4 2 3 6 4" xfId="37298" xr:uid="{00000000-0005-0000-0000-0000D13C0000}"/>
    <cellStyle name="40% - Accent2 2 4 2 3 7" xfId="17996" xr:uid="{00000000-0005-0000-0000-0000D23C0000}"/>
    <cellStyle name="40% - Accent2 2 4 2 3 7 2" xfId="28364" xr:uid="{00000000-0005-0000-0000-0000D33C0000}"/>
    <cellStyle name="40% - Accent2 2 4 2 3 7 2 2" xfId="47553" xr:uid="{00000000-0005-0000-0000-0000D43C0000}"/>
    <cellStyle name="40% - Accent2 2 4 2 3 7 3" xfId="37855" xr:uid="{00000000-0005-0000-0000-0000D53C0000}"/>
    <cellStyle name="40% - Accent2 2 4 2 3 8" xfId="23859" xr:uid="{00000000-0005-0000-0000-0000D63C0000}"/>
    <cellStyle name="40% - Accent2 2 4 2 3 8 2" xfId="43098" xr:uid="{00000000-0005-0000-0000-0000D73C0000}"/>
    <cellStyle name="40% - Accent2 2 4 2 3 9" xfId="33400" xr:uid="{00000000-0005-0000-0000-0000D83C0000}"/>
    <cellStyle name="40% - Accent2 2 4 2 4" xfId="14050" xr:uid="{00000000-0005-0000-0000-0000D93C0000}"/>
    <cellStyle name="40% - Accent2 2 4 2 4 2" xfId="16314" xr:uid="{00000000-0005-0000-0000-0000DA3C0000}"/>
    <cellStyle name="40% - Accent2 2 4 2 4 2 2" xfId="20778" xr:uid="{00000000-0005-0000-0000-0000DB3C0000}"/>
    <cellStyle name="40% - Accent2 2 4 2 4 2 2 2" xfId="31146" xr:uid="{00000000-0005-0000-0000-0000DC3C0000}"/>
    <cellStyle name="40% - Accent2 2 4 2 4 2 2 2 2" xfId="50335" xr:uid="{00000000-0005-0000-0000-0000DD3C0000}"/>
    <cellStyle name="40% - Accent2 2 4 2 4 2 2 3" xfId="40637" xr:uid="{00000000-0005-0000-0000-0000DE3C0000}"/>
    <cellStyle name="40% - Accent2 2 4 2 4 2 3" xfId="26691" xr:uid="{00000000-0005-0000-0000-0000DF3C0000}"/>
    <cellStyle name="40% - Accent2 2 4 2 4 2 3 2" xfId="45880" xr:uid="{00000000-0005-0000-0000-0000E03C0000}"/>
    <cellStyle name="40% - Accent2 2 4 2 4 2 4" xfId="36182" xr:uid="{00000000-0005-0000-0000-0000E13C0000}"/>
    <cellStyle name="40% - Accent2 2 4 2 4 3" xfId="18550" xr:uid="{00000000-0005-0000-0000-0000E23C0000}"/>
    <cellStyle name="40% - Accent2 2 4 2 4 3 2" xfId="28918" xr:uid="{00000000-0005-0000-0000-0000E33C0000}"/>
    <cellStyle name="40% - Accent2 2 4 2 4 3 2 2" xfId="48107" xr:uid="{00000000-0005-0000-0000-0000E43C0000}"/>
    <cellStyle name="40% - Accent2 2 4 2 4 3 3" xfId="38409" xr:uid="{00000000-0005-0000-0000-0000E53C0000}"/>
    <cellStyle name="40% - Accent2 2 4 2 4 4" xfId="24458" xr:uid="{00000000-0005-0000-0000-0000E63C0000}"/>
    <cellStyle name="40% - Accent2 2 4 2 4 4 2" xfId="43652" xr:uid="{00000000-0005-0000-0000-0000E73C0000}"/>
    <cellStyle name="40% - Accent2 2 4 2 4 5" xfId="33954" xr:uid="{00000000-0005-0000-0000-0000E83C0000}"/>
    <cellStyle name="40% - Accent2 2 4 2 5" xfId="14629" xr:uid="{00000000-0005-0000-0000-0000E93C0000}"/>
    <cellStyle name="40% - Accent2 2 4 2 5 2" xfId="15758" xr:uid="{00000000-0005-0000-0000-0000EA3C0000}"/>
    <cellStyle name="40% - Accent2 2 4 2 5 2 2" xfId="20222" xr:uid="{00000000-0005-0000-0000-0000EB3C0000}"/>
    <cellStyle name="40% - Accent2 2 4 2 5 2 2 2" xfId="30590" xr:uid="{00000000-0005-0000-0000-0000EC3C0000}"/>
    <cellStyle name="40% - Accent2 2 4 2 5 2 2 2 2" xfId="49779" xr:uid="{00000000-0005-0000-0000-0000ED3C0000}"/>
    <cellStyle name="40% - Accent2 2 4 2 5 2 2 3" xfId="40081" xr:uid="{00000000-0005-0000-0000-0000EE3C0000}"/>
    <cellStyle name="40% - Accent2 2 4 2 5 2 3" xfId="26135" xr:uid="{00000000-0005-0000-0000-0000EF3C0000}"/>
    <cellStyle name="40% - Accent2 2 4 2 5 2 3 2" xfId="45324" xr:uid="{00000000-0005-0000-0000-0000F03C0000}"/>
    <cellStyle name="40% - Accent2 2 4 2 5 2 4" xfId="35626" xr:uid="{00000000-0005-0000-0000-0000F13C0000}"/>
    <cellStyle name="40% - Accent2 2 4 2 5 3" xfId="19107" xr:uid="{00000000-0005-0000-0000-0000F23C0000}"/>
    <cellStyle name="40% - Accent2 2 4 2 5 3 2" xfId="29475" xr:uid="{00000000-0005-0000-0000-0000F33C0000}"/>
    <cellStyle name="40% - Accent2 2 4 2 5 3 2 2" xfId="48664" xr:uid="{00000000-0005-0000-0000-0000F43C0000}"/>
    <cellStyle name="40% - Accent2 2 4 2 5 3 3" xfId="38966" xr:uid="{00000000-0005-0000-0000-0000F53C0000}"/>
    <cellStyle name="40% - Accent2 2 4 2 5 4" xfId="25020" xr:uid="{00000000-0005-0000-0000-0000F63C0000}"/>
    <cellStyle name="40% - Accent2 2 4 2 5 4 2" xfId="44209" xr:uid="{00000000-0005-0000-0000-0000F73C0000}"/>
    <cellStyle name="40% - Accent2 2 4 2 5 5" xfId="34511" xr:uid="{00000000-0005-0000-0000-0000F83C0000}"/>
    <cellStyle name="40% - Accent2 2 4 2 6" xfId="15201" xr:uid="{00000000-0005-0000-0000-0000F93C0000}"/>
    <cellStyle name="40% - Accent2 2 4 2 6 2" xfId="19665" xr:uid="{00000000-0005-0000-0000-0000FA3C0000}"/>
    <cellStyle name="40% - Accent2 2 4 2 6 2 2" xfId="30033" xr:uid="{00000000-0005-0000-0000-0000FB3C0000}"/>
    <cellStyle name="40% - Accent2 2 4 2 6 2 2 2" xfId="49222" xr:uid="{00000000-0005-0000-0000-0000FC3C0000}"/>
    <cellStyle name="40% - Accent2 2 4 2 6 2 3" xfId="39524" xr:uid="{00000000-0005-0000-0000-0000FD3C0000}"/>
    <cellStyle name="40% - Accent2 2 4 2 6 3" xfId="25578" xr:uid="{00000000-0005-0000-0000-0000FE3C0000}"/>
    <cellStyle name="40% - Accent2 2 4 2 6 3 2" xfId="44767" xr:uid="{00000000-0005-0000-0000-0000FF3C0000}"/>
    <cellStyle name="40% - Accent2 2 4 2 6 4" xfId="35069" xr:uid="{00000000-0005-0000-0000-0000003D0000}"/>
    <cellStyle name="40% - Accent2 2 4 2 7" xfId="16871" xr:uid="{00000000-0005-0000-0000-0000013D0000}"/>
    <cellStyle name="40% - Accent2 2 4 2 7 2" xfId="21335" xr:uid="{00000000-0005-0000-0000-0000023D0000}"/>
    <cellStyle name="40% - Accent2 2 4 2 7 2 2" xfId="31703" xr:uid="{00000000-0005-0000-0000-0000033D0000}"/>
    <cellStyle name="40% - Accent2 2 4 2 7 2 2 2" xfId="50892" xr:uid="{00000000-0005-0000-0000-0000043D0000}"/>
    <cellStyle name="40% - Accent2 2 4 2 7 2 3" xfId="41194" xr:uid="{00000000-0005-0000-0000-0000053D0000}"/>
    <cellStyle name="40% - Accent2 2 4 2 7 3" xfId="27248" xr:uid="{00000000-0005-0000-0000-0000063D0000}"/>
    <cellStyle name="40% - Accent2 2 4 2 7 3 2" xfId="46437" xr:uid="{00000000-0005-0000-0000-0000073D0000}"/>
    <cellStyle name="40% - Accent2 2 4 2 7 4" xfId="36739" xr:uid="{00000000-0005-0000-0000-0000083D0000}"/>
    <cellStyle name="40% - Accent2 2 4 2 8" xfId="17437" xr:uid="{00000000-0005-0000-0000-0000093D0000}"/>
    <cellStyle name="40% - Accent2 2 4 2 8 2" xfId="21892" xr:uid="{00000000-0005-0000-0000-00000A3D0000}"/>
    <cellStyle name="40% - Accent2 2 4 2 8 2 2" xfId="32260" xr:uid="{00000000-0005-0000-0000-00000B3D0000}"/>
    <cellStyle name="40% - Accent2 2 4 2 8 2 2 2" xfId="51449" xr:uid="{00000000-0005-0000-0000-00000C3D0000}"/>
    <cellStyle name="40% - Accent2 2 4 2 8 2 3" xfId="41751" xr:uid="{00000000-0005-0000-0000-00000D3D0000}"/>
    <cellStyle name="40% - Accent2 2 4 2 8 3" xfId="27805" xr:uid="{00000000-0005-0000-0000-00000E3D0000}"/>
    <cellStyle name="40% - Accent2 2 4 2 8 3 2" xfId="46994" xr:uid="{00000000-0005-0000-0000-00000F3D0000}"/>
    <cellStyle name="40% - Accent2 2 4 2 8 4" xfId="37296" xr:uid="{00000000-0005-0000-0000-0000103D0000}"/>
    <cellStyle name="40% - Accent2 2 4 2 9" xfId="17994" xr:uid="{00000000-0005-0000-0000-0000113D0000}"/>
    <cellStyle name="40% - Accent2 2 4 2 9 2" xfId="28362" xr:uid="{00000000-0005-0000-0000-0000123D0000}"/>
    <cellStyle name="40% - Accent2 2 4 2 9 2 2" xfId="47551" xr:uid="{00000000-0005-0000-0000-0000133D0000}"/>
    <cellStyle name="40% - Accent2 2 4 2 9 3" xfId="37853" xr:uid="{00000000-0005-0000-0000-0000143D0000}"/>
    <cellStyle name="40% - Accent2 2 4 3" xfId="13111" xr:uid="{00000000-0005-0000-0000-0000153D0000}"/>
    <cellStyle name="40% - Accent2 2 4 3 10" xfId="23860" xr:uid="{00000000-0005-0000-0000-0000163D0000}"/>
    <cellStyle name="40% - Accent2 2 4 3 10 2" xfId="43099" xr:uid="{00000000-0005-0000-0000-0000173D0000}"/>
    <cellStyle name="40% - Accent2 2 4 3 11" xfId="33401" xr:uid="{00000000-0005-0000-0000-0000183D0000}"/>
    <cellStyle name="40% - Accent2 2 4 3 12" xfId="52974" xr:uid="{00000000-0005-0000-0000-0000193D0000}"/>
    <cellStyle name="40% - Accent2 2 4 3 2" xfId="13112" xr:uid="{00000000-0005-0000-0000-00001A3D0000}"/>
    <cellStyle name="40% - Accent2 2 4 3 2 10" xfId="53849" xr:uid="{00000000-0005-0000-0000-00001B3D0000}"/>
    <cellStyle name="40% - Accent2 2 4 3 2 2" xfId="14054" xr:uid="{00000000-0005-0000-0000-00001C3D0000}"/>
    <cellStyle name="40% - Accent2 2 4 3 2 2 2" xfId="16318" xr:uid="{00000000-0005-0000-0000-00001D3D0000}"/>
    <cellStyle name="40% - Accent2 2 4 3 2 2 2 2" xfId="20782" xr:uid="{00000000-0005-0000-0000-00001E3D0000}"/>
    <cellStyle name="40% - Accent2 2 4 3 2 2 2 2 2" xfId="31150" xr:uid="{00000000-0005-0000-0000-00001F3D0000}"/>
    <cellStyle name="40% - Accent2 2 4 3 2 2 2 2 2 2" xfId="50339" xr:uid="{00000000-0005-0000-0000-0000203D0000}"/>
    <cellStyle name="40% - Accent2 2 4 3 2 2 2 2 3" xfId="40641" xr:uid="{00000000-0005-0000-0000-0000213D0000}"/>
    <cellStyle name="40% - Accent2 2 4 3 2 2 2 3" xfId="26695" xr:uid="{00000000-0005-0000-0000-0000223D0000}"/>
    <cellStyle name="40% - Accent2 2 4 3 2 2 2 3 2" xfId="45884" xr:uid="{00000000-0005-0000-0000-0000233D0000}"/>
    <cellStyle name="40% - Accent2 2 4 3 2 2 2 4" xfId="36186" xr:uid="{00000000-0005-0000-0000-0000243D0000}"/>
    <cellStyle name="40% - Accent2 2 4 3 2 2 3" xfId="18554" xr:uid="{00000000-0005-0000-0000-0000253D0000}"/>
    <cellStyle name="40% - Accent2 2 4 3 2 2 3 2" xfId="28922" xr:uid="{00000000-0005-0000-0000-0000263D0000}"/>
    <cellStyle name="40% - Accent2 2 4 3 2 2 3 2 2" xfId="48111" xr:uid="{00000000-0005-0000-0000-0000273D0000}"/>
    <cellStyle name="40% - Accent2 2 4 3 2 2 3 3" xfId="38413" xr:uid="{00000000-0005-0000-0000-0000283D0000}"/>
    <cellStyle name="40% - Accent2 2 4 3 2 2 4" xfId="24462" xr:uid="{00000000-0005-0000-0000-0000293D0000}"/>
    <cellStyle name="40% - Accent2 2 4 3 2 2 4 2" xfId="43656" xr:uid="{00000000-0005-0000-0000-00002A3D0000}"/>
    <cellStyle name="40% - Accent2 2 4 3 2 2 5" xfId="33958" xr:uid="{00000000-0005-0000-0000-00002B3D0000}"/>
    <cellStyle name="40% - Accent2 2 4 3 2 3" xfId="14633" xr:uid="{00000000-0005-0000-0000-00002C3D0000}"/>
    <cellStyle name="40% - Accent2 2 4 3 2 3 2" xfId="15762" xr:uid="{00000000-0005-0000-0000-00002D3D0000}"/>
    <cellStyle name="40% - Accent2 2 4 3 2 3 2 2" xfId="20226" xr:uid="{00000000-0005-0000-0000-00002E3D0000}"/>
    <cellStyle name="40% - Accent2 2 4 3 2 3 2 2 2" xfId="30594" xr:uid="{00000000-0005-0000-0000-00002F3D0000}"/>
    <cellStyle name="40% - Accent2 2 4 3 2 3 2 2 2 2" xfId="49783" xr:uid="{00000000-0005-0000-0000-0000303D0000}"/>
    <cellStyle name="40% - Accent2 2 4 3 2 3 2 2 3" xfId="40085" xr:uid="{00000000-0005-0000-0000-0000313D0000}"/>
    <cellStyle name="40% - Accent2 2 4 3 2 3 2 3" xfId="26139" xr:uid="{00000000-0005-0000-0000-0000323D0000}"/>
    <cellStyle name="40% - Accent2 2 4 3 2 3 2 3 2" xfId="45328" xr:uid="{00000000-0005-0000-0000-0000333D0000}"/>
    <cellStyle name="40% - Accent2 2 4 3 2 3 2 4" xfId="35630" xr:uid="{00000000-0005-0000-0000-0000343D0000}"/>
    <cellStyle name="40% - Accent2 2 4 3 2 3 3" xfId="19111" xr:uid="{00000000-0005-0000-0000-0000353D0000}"/>
    <cellStyle name="40% - Accent2 2 4 3 2 3 3 2" xfId="29479" xr:uid="{00000000-0005-0000-0000-0000363D0000}"/>
    <cellStyle name="40% - Accent2 2 4 3 2 3 3 2 2" xfId="48668" xr:uid="{00000000-0005-0000-0000-0000373D0000}"/>
    <cellStyle name="40% - Accent2 2 4 3 2 3 3 3" xfId="38970" xr:uid="{00000000-0005-0000-0000-0000383D0000}"/>
    <cellStyle name="40% - Accent2 2 4 3 2 3 4" xfId="25024" xr:uid="{00000000-0005-0000-0000-0000393D0000}"/>
    <cellStyle name="40% - Accent2 2 4 3 2 3 4 2" xfId="44213" xr:uid="{00000000-0005-0000-0000-00003A3D0000}"/>
    <cellStyle name="40% - Accent2 2 4 3 2 3 5" xfId="34515" xr:uid="{00000000-0005-0000-0000-00003B3D0000}"/>
    <cellStyle name="40% - Accent2 2 4 3 2 4" xfId="15205" xr:uid="{00000000-0005-0000-0000-00003C3D0000}"/>
    <cellStyle name="40% - Accent2 2 4 3 2 4 2" xfId="19669" xr:uid="{00000000-0005-0000-0000-00003D3D0000}"/>
    <cellStyle name="40% - Accent2 2 4 3 2 4 2 2" xfId="30037" xr:uid="{00000000-0005-0000-0000-00003E3D0000}"/>
    <cellStyle name="40% - Accent2 2 4 3 2 4 2 2 2" xfId="49226" xr:uid="{00000000-0005-0000-0000-00003F3D0000}"/>
    <cellStyle name="40% - Accent2 2 4 3 2 4 2 3" xfId="39528" xr:uid="{00000000-0005-0000-0000-0000403D0000}"/>
    <cellStyle name="40% - Accent2 2 4 3 2 4 3" xfId="25582" xr:uid="{00000000-0005-0000-0000-0000413D0000}"/>
    <cellStyle name="40% - Accent2 2 4 3 2 4 3 2" xfId="44771" xr:uid="{00000000-0005-0000-0000-0000423D0000}"/>
    <cellStyle name="40% - Accent2 2 4 3 2 4 4" xfId="35073" xr:uid="{00000000-0005-0000-0000-0000433D0000}"/>
    <cellStyle name="40% - Accent2 2 4 3 2 5" xfId="16875" xr:uid="{00000000-0005-0000-0000-0000443D0000}"/>
    <cellStyle name="40% - Accent2 2 4 3 2 5 2" xfId="21339" xr:uid="{00000000-0005-0000-0000-0000453D0000}"/>
    <cellStyle name="40% - Accent2 2 4 3 2 5 2 2" xfId="31707" xr:uid="{00000000-0005-0000-0000-0000463D0000}"/>
    <cellStyle name="40% - Accent2 2 4 3 2 5 2 2 2" xfId="50896" xr:uid="{00000000-0005-0000-0000-0000473D0000}"/>
    <cellStyle name="40% - Accent2 2 4 3 2 5 2 3" xfId="41198" xr:uid="{00000000-0005-0000-0000-0000483D0000}"/>
    <cellStyle name="40% - Accent2 2 4 3 2 5 3" xfId="27252" xr:uid="{00000000-0005-0000-0000-0000493D0000}"/>
    <cellStyle name="40% - Accent2 2 4 3 2 5 3 2" xfId="46441" xr:uid="{00000000-0005-0000-0000-00004A3D0000}"/>
    <cellStyle name="40% - Accent2 2 4 3 2 5 4" xfId="36743" xr:uid="{00000000-0005-0000-0000-00004B3D0000}"/>
    <cellStyle name="40% - Accent2 2 4 3 2 6" xfId="17441" xr:uid="{00000000-0005-0000-0000-00004C3D0000}"/>
    <cellStyle name="40% - Accent2 2 4 3 2 6 2" xfId="21896" xr:uid="{00000000-0005-0000-0000-00004D3D0000}"/>
    <cellStyle name="40% - Accent2 2 4 3 2 6 2 2" xfId="32264" xr:uid="{00000000-0005-0000-0000-00004E3D0000}"/>
    <cellStyle name="40% - Accent2 2 4 3 2 6 2 2 2" xfId="51453" xr:uid="{00000000-0005-0000-0000-00004F3D0000}"/>
    <cellStyle name="40% - Accent2 2 4 3 2 6 2 3" xfId="41755" xr:uid="{00000000-0005-0000-0000-0000503D0000}"/>
    <cellStyle name="40% - Accent2 2 4 3 2 6 3" xfId="27809" xr:uid="{00000000-0005-0000-0000-0000513D0000}"/>
    <cellStyle name="40% - Accent2 2 4 3 2 6 3 2" xfId="46998" xr:uid="{00000000-0005-0000-0000-0000523D0000}"/>
    <cellStyle name="40% - Accent2 2 4 3 2 6 4" xfId="37300" xr:uid="{00000000-0005-0000-0000-0000533D0000}"/>
    <cellStyle name="40% - Accent2 2 4 3 2 7" xfId="17998" xr:uid="{00000000-0005-0000-0000-0000543D0000}"/>
    <cellStyle name="40% - Accent2 2 4 3 2 7 2" xfId="28366" xr:uid="{00000000-0005-0000-0000-0000553D0000}"/>
    <cellStyle name="40% - Accent2 2 4 3 2 7 2 2" xfId="47555" xr:uid="{00000000-0005-0000-0000-0000563D0000}"/>
    <cellStyle name="40% - Accent2 2 4 3 2 7 3" xfId="37857" xr:uid="{00000000-0005-0000-0000-0000573D0000}"/>
    <cellStyle name="40% - Accent2 2 4 3 2 8" xfId="23861" xr:uid="{00000000-0005-0000-0000-0000583D0000}"/>
    <cellStyle name="40% - Accent2 2 4 3 2 8 2" xfId="43100" xr:uid="{00000000-0005-0000-0000-0000593D0000}"/>
    <cellStyle name="40% - Accent2 2 4 3 2 9" xfId="33402" xr:uid="{00000000-0005-0000-0000-00005A3D0000}"/>
    <cellStyle name="40% - Accent2 2 4 3 3" xfId="13113" xr:uid="{00000000-0005-0000-0000-00005B3D0000}"/>
    <cellStyle name="40% - Accent2 2 4 3 3 2" xfId="14055" xr:uid="{00000000-0005-0000-0000-00005C3D0000}"/>
    <cellStyle name="40% - Accent2 2 4 3 3 2 2" xfId="16319" xr:uid="{00000000-0005-0000-0000-00005D3D0000}"/>
    <cellStyle name="40% - Accent2 2 4 3 3 2 2 2" xfId="20783" xr:uid="{00000000-0005-0000-0000-00005E3D0000}"/>
    <cellStyle name="40% - Accent2 2 4 3 3 2 2 2 2" xfId="31151" xr:uid="{00000000-0005-0000-0000-00005F3D0000}"/>
    <cellStyle name="40% - Accent2 2 4 3 3 2 2 2 2 2" xfId="50340" xr:uid="{00000000-0005-0000-0000-0000603D0000}"/>
    <cellStyle name="40% - Accent2 2 4 3 3 2 2 2 3" xfId="40642" xr:uid="{00000000-0005-0000-0000-0000613D0000}"/>
    <cellStyle name="40% - Accent2 2 4 3 3 2 2 3" xfId="26696" xr:uid="{00000000-0005-0000-0000-0000623D0000}"/>
    <cellStyle name="40% - Accent2 2 4 3 3 2 2 3 2" xfId="45885" xr:uid="{00000000-0005-0000-0000-0000633D0000}"/>
    <cellStyle name="40% - Accent2 2 4 3 3 2 2 4" xfId="36187" xr:uid="{00000000-0005-0000-0000-0000643D0000}"/>
    <cellStyle name="40% - Accent2 2 4 3 3 2 3" xfId="18555" xr:uid="{00000000-0005-0000-0000-0000653D0000}"/>
    <cellStyle name="40% - Accent2 2 4 3 3 2 3 2" xfId="28923" xr:uid="{00000000-0005-0000-0000-0000663D0000}"/>
    <cellStyle name="40% - Accent2 2 4 3 3 2 3 2 2" xfId="48112" xr:uid="{00000000-0005-0000-0000-0000673D0000}"/>
    <cellStyle name="40% - Accent2 2 4 3 3 2 3 3" xfId="38414" xr:uid="{00000000-0005-0000-0000-0000683D0000}"/>
    <cellStyle name="40% - Accent2 2 4 3 3 2 4" xfId="24463" xr:uid="{00000000-0005-0000-0000-0000693D0000}"/>
    <cellStyle name="40% - Accent2 2 4 3 3 2 4 2" xfId="43657" xr:uid="{00000000-0005-0000-0000-00006A3D0000}"/>
    <cellStyle name="40% - Accent2 2 4 3 3 2 5" xfId="33959" xr:uid="{00000000-0005-0000-0000-00006B3D0000}"/>
    <cellStyle name="40% - Accent2 2 4 3 3 3" xfId="14634" xr:uid="{00000000-0005-0000-0000-00006C3D0000}"/>
    <cellStyle name="40% - Accent2 2 4 3 3 3 2" xfId="15763" xr:uid="{00000000-0005-0000-0000-00006D3D0000}"/>
    <cellStyle name="40% - Accent2 2 4 3 3 3 2 2" xfId="20227" xr:uid="{00000000-0005-0000-0000-00006E3D0000}"/>
    <cellStyle name="40% - Accent2 2 4 3 3 3 2 2 2" xfId="30595" xr:uid="{00000000-0005-0000-0000-00006F3D0000}"/>
    <cellStyle name="40% - Accent2 2 4 3 3 3 2 2 2 2" xfId="49784" xr:uid="{00000000-0005-0000-0000-0000703D0000}"/>
    <cellStyle name="40% - Accent2 2 4 3 3 3 2 2 3" xfId="40086" xr:uid="{00000000-0005-0000-0000-0000713D0000}"/>
    <cellStyle name="40% - Accent2 2 4 3 3 3 2 3" xfId="26140" xr:uid="{00000000-0005-0000-0000-0000723D0000}"/>
    <cellStyle name="40% - Accent2 2 4 3 3 3 2 3 2" xfId="45329" xr:uid="{00000000-0005-0000-0000-0000733D0000}"/>
    <cellStyle name="40% - Accent2 2 4 3 3 3 2 4" xfId="35631" xr:uid="{00000000-0005-0000-0000-0000743D0000}"/>
    <cellStyle name="40% - Accent2 2 4 3 3 3 3" xfId="19112" xr:uid="{00000000-0005-0000-0000-0000753D0000}"/>
    <cellStyle name="40% - Accent2 2 4 3 3 3 3 2" xfId="29480" xr:uid="{00000000-0005-0000-0000-0000763D0000}"/>
    <cellStyle name="40% - Accent2 2 4 3 3 3 3 2 2" xfId="48669" xr:uid="{00000000-0005-0000-0000-0000773D0000}"/>
    <cellStyle name="40% - Accent2 2 4 3 3 3 3 3" xfId="38971" xr:uid="{00000000-0005-0000-0000-0000783D0000}"/>
    <cellStyle name="40% - Accent2 2 4 3 3 3 4" xfId="25025" xr:uid="{00000000-0005-0000-0000-0000793D0000}"/>
    <cellStyle name="40% - Accent2 2 4 3 3 3 4 2" xfId="44214" xr:uid="{00000000-0005-0000-0000-00007A3D0000}"/>
    <cellStyle name="40% - Accent2 2 4 3 3 3 5" xfId="34516" xr:uid="{00000000-0005-0000-0000-00007B3D0000}"/>
    <cellStyle name="40% - Accent2 2 4 3 3 4" xfId="15206" xr:uid="{00000000-0005-0000-0000-00007C3D0000}"/>
    <cellStyle name="40% - Accent2 2 4 3 3 4 2" xfId="19670" xr:uid="{00000000-0005-0000-0000-00007D3D0000}"/>
    <cellStyle name="40% - Accent2 2 4 3 3 4 2 2" xfId="30038" xr:uid="{00000000-0005-0000-0000-00007E3D0000}"/>
    <cellStyle name="40% - Accent2 2 4 3 3 4 2 2 2" xfId="49227" xr:uid="{00000000-0005-0000-0000-00007F3D0000}"/>
    <cellStyle name="40% - Accent2 2 4 3 3 4 2 3" xfId="39529" xr:uid="{00000000-0005-0000-0000-0000803D0000}"/>
    <cellStyle name="40% - Accent2 2 4 3 3 4 3" xfId="25583" xr:uid="{00000000-0005-0000-0000-0000813D0000}"/>
    <cellStyle name="40% - Accent2 2 4 3 3 4 3 2" xfId="44772" xr:uid="{00000000-0005-0000-0000-0000823D0000}"/>
    <cellStyle name="40% - Accent2 2 4 3 3 4 4" xfId="35074" xr:uid="{00000000-0005-0000-0000-0000833D0000}"/>
    <cellStyle name="40% - Accent2 2 4 3 3 5" xfId="16876" xr:uid="{00000000-0005-0000-0000-0000843D0000}"/>
    <cellStyle name="40% - Accent2 2 4 3 3 5 2" xfId="21340" xr:uid="{00000000-0005-0000-0000-0000853D0000}"/>
    <cellStyle name="40% - Accent2 2 4 3 3 5 2 2" xfId="31708" xr:uid="{00000000-0005-0000-0000-0000863D0000}"/>
    <cellStyle name="40% - Accent2 2 4 3 3 5 2 2 2" xfId="50897" xr:uid="{00000000-0005-0000-0000-0000873D0000}"/>
    <cellStyle name="40% - Accent2 2 4 3 3 5 2 3" xfId="41199" xr:uid="{00000000-0005-0000-0000-0000883D0000}"/>
    <cellStyle name="40% - Accent2 2 4 3 3 5 3" xfId="27253" xr:uid="{00000000-0005-0000-0000-0000893D0000}"/>
    <cellStyle name="40% - Accent2 2 4 3 3 5 3 2" xfId="46442" xr:uid="{00000000-0005-0000-0000-00008A3D0000}"/>
    <cellStyle name="40% - Accent2 2 4 3 3 5 4" xfId="36744" xr:uid="{00000000-0005-0000-0000-00008B3D0000}"/>
    <cellStyle name="40% - Accent2 2 4 3 3 6" xfId="17442" xr:uid="{00000000-0005-0000-0000-00008C3D0000}"/>
    <cellStyle name="40% - Accent2 2 4 3 3 6 2" xfId="21897" xr:uid="{00000000-0005-0000-0000-00008D3D0000}"/>
    <cellStyle name="40% - Accent2 2 4 3 3 6 2 2" xfId="32265" xr:uid="{00000000-0005-0000-0000-00008E3D0000}"/>
    <cellStyle name="40% - Accent2 2 4 3 3 6 2 2 2" xfId="51454" xr:uid="{00000000-0005-0000-0000-00008F3D0000}"/>
    <cellStyle name="40% - Accent2 2 4 3 3 6 2 3" xfId="41756" xr:uid="{00000000-0005-0000-0000-0000903D0000}"/>
    <cellStyle name="40% - Accent2 2 4 3 3 6 3" xfId="27810" xr:uid="{00000000-0005-0000-0000-0000913D0000}"/>
    <cellStyle name="40% - Accent2 2 4 3 3 6 3 2" xfId="46999" xr:uid="{00000000-0005-0000-0000-0000923D0000}"/>
    <cellStyle name="40% - Accent2 2 4 3 3 6 4" xfId="37301" xr:uid="{00000000-0005-0000-0000-0000933D0000}"/>
    <cellStyle name="40% - Accent2 2 4 3 3 7" xfId="17999" xr:uid="{00000000-0005-0000-0000-0000943D0000}"/>
    <cellStyle name="40% - Accent2 2 4 3 3 7 2" xfId="28367" xr:uid="{00000000-0005-0000-0000-0000953D0000}"/>
    <cellStyle name="40% - Accent2 2 4 3 3 7 2 2" xfId="47556" xr:uid="{00000000-0005-0000-0000-0000963D0000}"/>
    <cellStyle name="40% - Accent2 2 4 3 3 7 3" xfId="37858" xr:uid="{00000000-0005-0000-0000-0000973D0000}"/>
    <cellStyle name="40% - Accent2 2 4 3 3 8" xfId="23862" xr:uid="{00000000-0005-0000-0000-0000983D0000}"/>
    <cellStyle name="40% - Accent2 2 4 3 3 8 2" xfId="43101" xr:uid="{00000000-0005-0000-0000-0000993D0000}"/>
    <cellStyle name="40% - Accent2 2 4 3 3 9" xfId="33403" xr:uid="{00000000-0005-0000-0000-00009A3D0000}"/>
    <cellStyle name="40% - Accent2 2 4 3 4" xfId="14053" xr:uid="{00000000-0005-0000-0000-00009B3D0000}"/>
    <cellStyle name="40% - Accent2 2 4 3 4 2" xfId="16317" xr:uid="{00000000-0005-0000-0000-00009C3D0000}"/>
    <cellStyle name="40% - Accent2 2 4 3 4 2 2" xfId="20781" xr:uid="{00000000-0005-0000-0000-00009D3D0000}"/>
    <cellStyle name="40% - Accent2 2 4 3 4 2 2 2" xfId="31149" xr:uid="{00000000-0005-0000-0000-00009E3D0000}"/>
    <cellStyle name="40% - Accent2 2 4 3 4 2 2 2 2" xfId="50338" xr:uid="{00000000-0005-0000-0000-00009F3D0000}"/>
    <cellStyle name="40% - Accent2 2 4 3 4 2 2 3" xfId="40640" xr:uid="{00000000-0005-0000-0000-0000A03D0000}"/>
    <cellStyle name="40% - Accent2 2 4 3 4 2 3" xfId="26694" xr:uid="{00000000-0005-0000-0000-0000A13D0000}"/>
    <cellStyle name="40% - Accent2 2 4 3 4 2 3 2" xfId="45883" xr:uid="{00000000-0005-0000-0000-0000A23D0000}"/>
    <cellStyle name="40% - Accent2 2 4 3 4 2 4" xfId="36185" xr:uid="{00000000-0005-0000-0000-0000A33D0000}"/>
    <cellStyle name="40% - Accent2 2 4 3 4 3" xfId="18553" xr:uid="{00000000-0005-0000-0000-0000A43D0000}"/>
    <cellStyle name="40% - Accent2 2 4 3 4 3 2" xfId="28921" xr:uid="{00000000-0005-0000-0000-0000A53D0000}"/>
    <cellStyle name="40% - Accent2 2 4 3 4 3 2 2" xfId="48110" xr:uid="{00000000-0005-0000-0000-0000A63D0000}"/>
    <cellStyle name="40% - Accent2 2 4 3 4 3 3" xfId="38412" xr:uid="{00000000-0005-0000-0000-0000A73D0000}"/>
    <cellStyle name="40% - Accent2 2 4 3 4 4" xfId="24461" xr:uid="{00000000-0005-0000-0000-0000A83D0000}"/>
    <cellStyle name="40% - Accent2 2 4 3 4 4 2" xfId="43655" xr:uid="{00000000-0005-0000-0000-0000A93D0000}"/>
    <cellStyle name="40% - Accent2 2 4 3 4 5" xfId="33957" xr:uid="{00000000-0005-0000-0000-0000AA3D0000}"/>
    <cellStyle name="40% - Accent2 2 4 3 5" xfId="14632" xr:uid="{00000000-0005-0000-0000-0000AB3D0000}"/>
    <cellStyle name="40% - Accent2 2 4 3 5 2" xfId="15761" xr:uid="{00000000-0005-0000-0000-0000AC3D0000}"/>
    <cellStyle name="40% - Accent2 2 4 3 5 2 2" xfId="20225" xr:uid="{00000000-0005-0000-0000-0000AD3D0000}"/>
    <cellStyle name="40% - Accent2 2 4 3 5 2 2 2" xfId="30593" xr:uid="{00000000-0005-0000-0000-0000AE3D0000}"/>
    <cellStyle name="40% - Accent2 2 4 3 5 2 2 2 2" xfId="49782" xr:uid="{00000000-0005-0000-0000-0000AF3D0000}"/>
    <cellStyle name="40% - Accent2 2 4 3 5 2 2 3" xfId="40084" xr:uid="{00000000-0005-0000-0000-0000B03D0000}"/>
    <cellStyle name="40% - Accent2 2 4 3 5 2 3" xfId="26138" xr:uid="{00000000-0005-0000-0000-0000B13D0000}"/>
    <cellStyle name="40% - Accent2 2 4 3 5 2 3 2" xfId="45327" xr:uid="{00000000-0005-0000-0000-0000B23D0000}"/>
    <cellStyle name="40% - Accent2 2 4 3 5 2 4" xfId="35629" xr:uid="{00000000-0005-0000-0000-0000B33D0000}"/>
    <cellStyle name="40% - Accent2 2 4 3 5 3" xfId="19110" xr:uid="{00000000-0005-0000-0000-0000B43D0000}"/>
    <cellStyle name="40% - Accent2 2 4 3 5 3 2" xfId="29478" xr:uid="{00000000-0005-0000-0000-0000B53D0000}"/>
    <cellStyle name="40% - Accent2 2 4 3 5 3 2 2" xfId="48667" xr:uid="{00000000-0005-0000-0000-0000B63D0000}"/>
    <cellStyle name="40% - Accent2 2 4 3 5 3 3" xfId="38969" xr:uid="{00000000-0005-0000-0000-0000B73D0000}"/>
    <cellStyle name="40% - Accent2 2 4 3 5 4" xfId="25023" xr:uid="{00000000-0005-0000-0000-0000B83D0000}"/>
    <cellStyle name="40% - Accent2 2 4 3 5 4 2" xfId="44212" xr:uid="{00000000-0005-0000-0000-0000B93D0000}"/>
    <cellStyle name="40% - Accent2 2 4 3 5 5" xfId="34514" xr:uid="{00000000-0005-0000-0000-0000BA3D0000}"/>
    <cellStyle name="40% - Accent2 2 4 3 6" xfId="15204" xr:uid="{00000000-0005-0000-0000-0000BB3D0000}"/>
    <cellStyle name="40% - Accent2 2 4 3 6 2" xfId="19668" xr:uid="{00000000-0005-0000-0000-0000BC3D0000}"/>
    <cellStyle name="40% - Accent2 2 4 3 6 2 2" xfId="30036" xr:uid="{00000000-0005-0000-0000-0000BD3D0000}"/>
    <cellStyle name="40% - Accent2 2 4 3 6 2 2 2" xfId="49225" xr:uid="{00000000-0005-0000-0000-0000BE3D0000}"/>
    <cellStyle name="40% - Accent2 2 4 3 6 2 3" xfId="39527" xr:uid="{00000000-0005-0000-0000-0000BF3D0000}"/>
    <cellStyle name="40% - Accent2 2 4 3 6 3" xfId="25581" xr:uid="{00000000-0005-0000-0000-0000C03D0000}"/>
    <cellStyle name="40% - Accent2 2 4 3 6 3 2" xfId="44770" xr:uid="{00000000-0005-0000-0000-0000C13D0000}"/>
    <cellStyle name="40% - Accent2 2 4 3 6 4" xfId="35072" xr:uid="{00000000-0005-0000-0000-0000C23D0000}"/>
    <cellStyle name="40% - Accent2 2 4 3 7" xfId="16874" xr:uid="{00000000-0005-0000-0000-0000C33D0000}"/>
    <cellStyle name="40% - Accent2 2 4 3 7 2" xfId="21338" xr:uid="{00000000-0005-0000-0000-0000C43D0000}"/>
    <cellStyle name="40% - Accent2 2 4 3 7 2 2" xfId="31706" xr:uid="{00000000-0005-0000-0000-0000C53D0000}"/>
    <cellStyle name="40% - Accent2 2 4 3 7 2 2 2" xfId="50895" xr:uid="{00000000-0005-0000-0000-0000C63D0000}"/>
    <cellStyle name="40% - Accent2 2 4 3 7 2 3" xfId="41197" xr:uid="{00000000-0005-0000-0000-0000C73D0000}"/>
    <cellStyle name="40% - Accent2 2 4 3 7 3" xfId="27251" xr:uid="{00000000-0005-0000-0000-0000C83D0000}"/>
    <cellStyle name="40% - Accent2 2 4 3 7 3 2" xfId="46440" xr:uid="{00000000-0005-0000-0000-0000C93D0000}"/>
    <cellStyle name="40% - Accent2 2 4 3 7 4" xfId="36742" xr:uid="{00000000-0005-0000-0000-0000CA3D0000}"/>
    <cellStyle name="40% - Accent2 2 4 3 8" xfId="17440" xr:uid="{00000000-0005-0000-0000-0000CB3D0000}"/>
    <cellStyle name="40% - Accent2 2 4 3 8 2" xfId="21895" xr:uid="{00000000-0005-0000-0000-0000CC3D0000}"/>
    <cellStyle name="40% - Accent2 2 4 3 8 2 2" xfId="32263" xr:uid="{00000000-0005-0000-0000-0000CD3D0000}"/>
    <cellStyle name="40% - Accent2 2 4 3 8 2 2 2" xfId="51452" xr:uid="{00000000-0005-0000-0000-0000CE3D0000}"/>
    <cellStyle name="40% - Accent2 2 4 3 8 2 3" xfId="41754" xr:uid="{00000000-0005-0000-0000-0000CF3D0000}"/>
    <cellStyle name="40% - Accent2 2 4 3 8 3" xfId="27808" xr:uid="{00000000-0005-0000-0000-0000D03D0000}"/>
    <cellStyle name="40% - Accent2 2 4 3 8 3 2" xfId="46997" xr:uid="{00000000-0005-0000-0000-0000D13D0000}"/>
    <cellStyle name="40% - Accent2 2 4 3 8 4" xfId="37299" xr:uid="{00000000-0005-0000-0000-0000D23D0000}"/>
    <cellStyle name="40% - Accent2 2 4 3 9" xfId="17997" xr:uid="{00000000-0005-0000-0000-0000D33D0000}"/>
    <cellStyle name="40% - Accent2 2 4 3 9 2" xfId="28365" xr:uid="{00000000-0005-0000-0000-0000D43D0000}"/>
    <cellStyle name="40% - Accent2 2 4 3 9 2 2" xfId="47554" xr:uid="{00000000-0005-0000-0000-0000D53D0000}"/>
    <cellStyle name="40% - Accent2 2 4 3 9 3" xfId="37856" xr:uid="{00000000-0005-0000-0000-0000D63D0000}"/>
    <cellStyle name="40% - Accent2 2 4 4" xfId="13114" xr:uid="{00000000-0005-0000-0000-0000D73D0000}"/>
    <cellStyle name="40% - Accent2 2 4 4 10" xfId="53453" xr:uid="{00000000-0005-0000-0000-0000D83D0000}"/>
    <cellStyle name="40% - Accent2 2 4 4 2" xfId="14056" xr:uid="{00000000-0005-0000-0000-0000D93D0000}"/>
    <cellStyle name="40% - Accent2 2 4 4 2 2" xfId="16320" xr:uid="{00000000-0005-0000-0000-0000DA3D0000}"/>
    <cellStyle name="40% - Accent2 2 4 4 2 2 2" xfId="20784" xr:uid="{00000000-0005-0000-0000-0000DB3D0000}"/>
    <cellStyle name="40% - Accent2 2 4 4 2 2 2 2" xfId="31152" xr:uid="{00000000-0005-0000-0000-0000DC3D0000}"/>
    <cellStyle name="40% - Accent2 2 4 4 2 2 2 2 2" xfId="50341" xr:uid="{00000000-0005-0000-0000-0000DD3D0000}"/>
    <cellStyle name="40% - Accent2 2 4 4 2 2 2 3" xfId="40643" xr:uid="{00000000-0005-0000-0000-0000DE3D0000}"/>
    <cellStyle name="40% - Accent2 2 4 4 2 2 3" xfId="26697" xr:uid="{00000000-0005-0000-0000-0000DF3D0000}"/>
    <cellStyle name="40% - Accent2 2 4 4 2 2 3 2" xfId="45886" xr:uid="{00000000-0005-0000-0000-0000E03D0000}"/>
    <cellStyle name="40% - Accent2 2 4 4 2 2 4" xfId="36188" xr:uid="{00000000-0005-0000-0000-0000E13D0000}"/>
    <cellStyle name="40% - Accent2 2 4 4 2 3" xfId="18556" xr:uid="{00000000-0005-0000-0000-0000E23D0000}"/>
    <cellStyle name="40% - Accent2 2 4 4 2 3 2" xfId="28924" xr:uid="{00000000-0005-0000-0000-0000E33D0000}"/>
    <cellStyle name="40% - Accent2 2 4 4 2 3 2 2" xfId="48113" xr:uid="{00000000-0005-0000-0000-0000E43D0000}"/>
    <cellStyle name="40% - Accent2 2 4 4 2 3 3" xfId="38415" xr:uid="{00000000-0005-0000-0000-0000E53D0000}"/>
    <cellStyle name="40% - Accent2 2 4 4 2 4" xfId="24464" xr:uid="{00000000-0005-0000-0000-0000E63D0000}"/>
    <cellStyle name="40% - Accent2 2 4 4 2 4 2" xfId="43658" xr:uid="{00000000-0005-0000-0000-0000E73D0000}"/>
    <cellStyle name="40% - Accent2 2 4 4 2 5" xfId="33960" xr:uid="{00000000-0005-0000-0000-0000E83D0000}"/>
    <cellStyle name="40% - Accent2 2 4 4 3" xfId="14635" xr:uid="{00000000-0005-0000-0000-0000E93D0000}"/>
    <cellStyle name="40% - Accent2 2 4 4 3 2" xfId="15764" xr:uid="{00000000-0005-0000-0000-0000EA3D0000}"/>
    <cellStyle name="40% - Accent2 2 4 4 3 2 2" xfId="20228" xr:uid="{00000000-0005-0000-0000-0000EB3D0000}"/>
    <cellStyle name="40% - Accent2 2 4 4 3 2 2 2" xfId="30596" xr:uid="{00000000-0005-0000-0000-0000EC3D0000}"/>
    <cellStyle name="40% - Accent2 2 4 4 3 2 2 2 2" xfId="49785" xr:uid="{00000000-0005-0000-0000-0000ED3D0000}"/>
    <cellStyle name="40% - Accent2 2 4 4 3 2 2 3" xfId="40087" xr:uid="{00000000-0005-0000-0000-0000EE3D0000}"/>
    <cellStyle name="40% - Accent2 2 4 4 3 2 3" xfId="26141" xr:uid="{00000000-0005-0000-0000-0000EF3D0000}"/>
    <cellStyle name="40% - Accent2 2 4 4 3 2 3 2" xfId="45330" xr:uid="{00000000-0005-0000-0000-0000F03D0000}"/>
    <cellStyle name="40% - Accent2 2 4 4 3 2 4" xfId="35632" xr:uid="{00000000-0005-0000-0000-0000F13D0000}"/>
    <cellStyle name="40% - Accent2 2 4 4 3 3" xfId="19113" xr:uid="{00000000-0005-0000-0000-0000F23D0000}"/>
    <cellStyle name="40% - Accent2 2 4 4 3 3 2" xfId="29481" xr:uid="{00000000-0005-0000-0000-0000F33D0000}"/>
    <cellStyle name="40% - Accent2 2 4 4 3 3 2 2" xfId="48670" xr:uid="{00000000-0005-0000-0000-0000F43D0000}"/>
    <cellStyle name="40% - Accent2 2 4 4 3 3 3" xfId="38972" xr:uid="{00000000-0005-0000-0000-0000F53D0000}"/>
    <cellStyle name="40% - Accent2 2 4 4 3 4" xfId="25026" xr:uid="{00000000-0005-0000-0000-0000F63D0000}"/>
    <cellStyle name="40% - Accent2 2 4 4 3 4 2" xfId="44215" xr:uid="{00000000-0005-0000-0000-0000F73D0000}"/>
    <cellStyle name="40% - Accent2 2 4 4 3 5" xfId="34517" xr:uid="{00000000-0005-0000-0000-0000F83D0000}"/>
    <cellStyle name="40% - Accent2 2 4 4 4" xfId="15207" xr:uid="{00000000-0005-0000-0000-0000F93D0000}"/>
    <cellStyle name="40% - Accent2 2 4 4 4 2" xfId="19671" xr:uid="{00000000-0005-0000-0000-0000FA3D0000}"/>
    <cellStyle name="40% - Accent2 2 4 4 4 2 2" xfId="30039" xr:uid="{00000000-0005-0000-0000-0000FB3D0000}"/>
    <cellStyle name="40% - Accent2 2 4 4 4 2 2 2" xfId="49228" xr:uid="{00000000-0005-0000-0000-0000FC3D0000}"/>
    <cellStyle name="40% - Accent2 2 4 4 4 2 3" xfId="39530" xr:uid="{00000000-0005-0000-0000-0000FD3D0000}"/>
    <cellStyle name="40% - Accent2 2 4 4 4 3" xfId="25584" xr:uid="{00000000-0005-0000-0000-0000FE3D0000}"/>
    <cellStyle name="40% - Accent2 2 4 4 4 3 2" xfId="44773" xr:uid="{00000000-0005-0000-0000-0000FF3D0000}"/>
    <cellStyle name="40% - Accent2 2 4 4 4 4" xfId="35075" xr:uid="{00000000-0005-0000-0000-0000003E0000}"/>
    <cellStyle name="40% - Accent2 2 4 4 5" xfId="16877" xr:uid="{00000000-0005-0000-0000-0000013E0000}"/>
    <cellStyle name="40% - Accent2 2 4 4 5 2" xfId="21341" xr:uid="{00000000-0005-0000-0000-0000023E0000}"/>
    <cellStyle name="40% - Accent2 2 4 4 5 2 2" xfId="31709" xr:uid="{00000000-0005-0000-0000-0000033E0000}"/>
    <cellStyle name="40% - Accent2 2 4 4 5 2 2 2" xfId="50898" xr:uid="{00000000-0005-0000-0000-0000043E0000}"/>
    <cellStyle name="40% - Accent2 2 4 4 5 2 3" xfId="41200" xr:uid="{00000000-0005-0000-0000-0000053E0000}"/>
    <cellStyle name="40% - Accent2 2 4 4 5 3" xfId="27254" xr:uid="{00000000-0005-0000-0000-0000063E0000}"/>
    <cellStyle name="40% - Accent2 2 4 4 5 3 2" xfId="46443" xr:uid="{00000000-0005-0000-0000-0000073E0000}"/>
    <cellStyle name="40% - Accent2 2 4 4 5 4" xfId="36745" xr:uid="{00000000-0005-0000-0000-0000083E0000}"/>
    <cellStyle name="40% - Accent2 2 4 4 6" xfId="17443" xr:uid="{00000000-0005-0000-0000-0000093E0000}"/>
    <cellStyle name="40% - Accent2 2 4 4 6 2" xfId="21898" xr:uid="{00000000-0005-0000-0000-00000A3E0000}"/>
    <cellStyle name="40% - Accent2 2 4 4 6 2 2" xfId="32266" xr:uid="{00000000-0005-0000-0000-00000B3E0000}"/>
    <cellStyle name="40% - Accent2 2 4 4 6 2 2 2" xfId="51455" xr:uid="{00000000-0005-0000-0000-00000C3E0000}"/>
    <cellStyle name="40% - Accent2 2 4 4 6 2 3" xfId="41757" xr:uid="{00000000-0005-0000-0000-00000D3E0000}"/>
    <cellStyle name="40% - Accent2 2 4 4 6 3" xfId="27811" xr:uid="{00000000-0005-0000-0000-00000E3E0000}"/>
    <cellStyle name="40% - Accent2 2 4 4 6 3 2" xfId="47000" xr:uid="{00000000-0005-0000-0000-00000F3E0000}"/>
    <cellStyle name="40% - Accent2 2 4 4 6 4" xfId="37302" xr:uid="{00000000-0005-0000-0000-0000103E0000}"/>
    <cellStyle name="40% - Accent2 2 4 4 7" xfId="18000" xr:uid="{00000000-0005-0000-0000-0000113E0000}"/>
    <cellStyle name="40% - Accent2 2 4 4 7 2" xfId="28368" xr:uid="{00000000-0005-0000-0000-0000123E0000}"/>
    <cellStyle name="40% - Accent2 2 4 4 7 2 2" xfId="47557" xr:uid="{00000000-0005-0000-0000-0000133E0000}"/>
    <cellStyle name="40% - Accent2 2 4 4 7 3" xfId="37859" xr:uid="{00000000-0005-0000-0000-0000143E0000}"/>
    <cellStyle name="40% - Accent2 2 4 4 8" xfId="23863" xr:uid="{00000000-0005-0000-0000-0000153E0000}"/>
    <cellStyle name="40% - Accent2 2 4 4 8 2" xfId="43102" xr:uid="{00000000-0005-0000-0000-0000163E0000}"/>
    <cellStyle name="40% - Accent2 2 4 4 9" xfId="33404" xr:uid="{00000000-0005-0000-0000-0000173E0000}"/>
    <cellStyle name="40% - Accent2 2 4 5" xfId="13115" xr:uid="{00000000-0005-0000-0000-0000183E0000}"/>
    <cellStyle name="40% - Accent2 2 4 5 2" xfId="14057" xr:uid="{00000000-0005-0000-0000-0000193E0000}"/>
    <cellStyle name="40% - Accent2 2 4 5 2 2" xfId="16321" xr:uid="{00000000-0005-0000-0000-00001A3E0000}"/>
    <cellStyle name="40% - Accent2 2 4 5 2 2 2" xfId="20785" xr:uid="{00000000-0005-0000-0000-00001B3E0000}"/>
    <cellStyle name="40% - Accent2 2 4 5 2 2 2 2" xfId="31153" xr:uid="{00000000-0005-0000-0000-00001C3E0000}"/>
    <cellStyle name="40% - Accent2 2 4 5 2 2 2 2 2" xfId="50342" xr:uid="{00000000-0005-0000-0000-00001D3E0000}"/>
    <cellStyle name="40% - Accent2 2 4 5 2 2 2 3" xfId="40644" xr:uid="{00000000-0005-0000-0000-00001E3E0000}"/>
    <cellStyle name="40% - Accent2 2 4 5 2 2 3" xfId="26698" xr:uid="{00000000-0005-0000-0000-00001F3E0000}"/>
    <cellStyle name="40% - Accent2 2 4 5 2 2 3 2" xfId="45887" xr:uid="{00000000-0005-0000-0000-0000203E0000}"/>
    <cellStyle name="40% - Accent2 2 4 5 2 2 4" xfId="36189" xr:uid="{00000000-0005-0000-0000-0000213E0000}"/>
    <cellStyle name="40% - Accent2 2 4 5 2 3" xfId="18557" xr:uid="{00000000-0005-0000-0000-0000223E0000}"/>
    <cellStyle name="40% - Accent2 2 4 5 2 3 2" xfId="28925" xr:uid="{00000000-0005-0000-0000-0000233E0000}"/>
    <cellStyle name="40% - Accent2 2 4 5 2 3 2 2" xfId="48114" xr:uid="{00000000-0005-0000-0000-0000243E0000}"/>
    <cellStyle name="40% - Accent2 2 4 5 2 3 3" xfId="38416" xr:uid="{00000000-0005-0000-0000-0000253E0000}"/>
    <cellStyle name="40% - Accent2 2 4 5 2 4" xfId="24465" xr:uid="{00000000-0005-0000-0000-0000263E0000}"/>
    <cellStyle name="40% - Accent2 2 4 5 2 4 2" xfId="43659" xr:uid="{00000000-0005-0000-0000-0000273E0000}"/>
    <cellStyle name="40% - Accent2 2 4 5 2 5" xfId="33961" xr:uid="{00000000-0005-0000-0000-0000283E0000}"/>
    <cellStyle name="40% - Accent2 2 4 5 3" xfId="14636" xr:uid="{00000000-0005-0000-0000-0000293E0000}"/>
    <cellStyle name="40% - Accent2 2 4 5 3 2" xfId="15765" xr:uid="{00000000-0005-0000-0000-00002A3E0000}"/>
    <cellStyle name="40% - Accent2 2 4 5 3 2 2" xfId="20229" xr:uid="{00000000-0005-0000-0000-00002B3E0000}"/>
    <cellStyle name="40% - Accent2 2 4 5 3 2 2 2" xfId="30597" xr:uid="{00000000-0005-0000-0000-00002C3E0000}"/>
    <cellStyle name="40% - Accent2 2 4 5 3 2 2 2 2" xfId="49786" xr:uid="{00000000-0005-0000-0000-00002D3E0000}"/>
    <cellStyle name="40% - Accent2 2 4 5 3 2 2 3" xfId="40088" xr:uid="{00000000-0005-0000-0000-00002E3E0000}"/>
    <cellStyle name="40% - Accent2 2 4 5 3 2 3" xfId="26142" xr:uid="{00000000-0005-0000-0000-00002F3E0000}"/>
    <cellStyle name="40% - Accent2 2 4 5 3 2 3 2" xfId="45331" xr:uid="{00000000-0005-0000-0000-0000303E0000}"/>
    <cellStyle name="40% - Accent2 2 4 5 3 2 4" xfId="35633" xr:uid="{00000000-0005-0000-0000-0000313E0000}"/>
    <cellStyle name="40% - Accent2 2 4 5 3 3" xfId="19114" xr:uid="{00000000-0005-0000-0000-0000323E0000}"/>
    <cellStyle name="40% - Accent2 2 4 5 3 3 2" xfId="29482" xr:uid="{00000000-0005-0000-0000-0000333E0000}"/>
    <cellStyle name="40% - Accent2 2 4 5 3 3 2 2" xfId="48671" xr:uid="{00000000-0005-0000-0000-0000343E0000}"/>
    <cellStyle name="40% - Accent2 2 4 5 3 3 3" xfId="38973" xr:uid="{00000000-0005-0000-0000-0000353E0000}"/>
    <cellStyle name="40% - Accent2 2 4 5 3 4" xfId="25027" xr:uid="{00000000-0005-0000-0000-0000363E0000}"/>
    <cellStyle name="40% - Accent2 2 4 5 3 4 2" xfId="44216" xr:uid="{00000000-0005-0000-0000-0000373E0000}"/>
    <cellStyle name="40% - Accent2 2 4 5 3 5" xfId="34518" xr:uid="{00000000-0005-0000-0000-0000383E0000}"/>
    <cellStyle name="40% - Accent2 2 4 5 4" xfId="15208" xr:uid="{00000000-0005-0000-0000-0000393E0000}"/>
    <cellStyle name="40% - Accent2 2 4 5 4 2" xfId="19672" xr:uid="{00000000-0005-0000-0000-00003A3E0000}"/>
    <cellStyle name="40% - Accent2 2 4 5 4 2 2" xfId="30040" xr:uid="{00000000-0005-0000-0000-00003B3E0000}"/>
    <cellStyle name="40% - Accent2 2 4 5 4 2 2 2" xfId="49229" xr:uid="{00000000-0005-0000-0000-00003C3E0000}"/>
    <cellStyle name="40% - Accent2 2 4 5 4 2 3" xfId="39531" xr:uid="{00000000-0005-0000-0000-00003D3E0000}"/>
    <cellStyle name="40% - Accent2 2 4 5 4 3" xfId="25585" xr:uid="{00000000-0005-0000-0000-00003E3E0000}"/>
    <cellStyle name="40% - Accent2 2 4 5 4 3 2" xfId="44774" xr:uid="{00000000-0005-0000-0000-00003F3E0000}"/>
    <cellStyle name="40% - Accent2 2 4 5 4 4" xfId="35076" xr:uid="{00000000-0005-0000-0000-0000403E0000}"/>
    <cellStyle name="40% - Accent2 2 4 5 5" xfId="16878" xr:uid="{00000000-0005-0000-0000-0000413E0000}"/>
    <cellStyle name="40% - Accent2 2 4 5 5 2" xfId="21342" xr:uid="{00000000-0005-0000-0000-0000423E0000}"/>
    <cellStyle name="40% - Accent2 2 4 5 5 2 2" xfId="31710" xr:uid="{00000000-0005-0000-0000-0000433E0000}"/>
    <cellStyle name="40% - Accent2 2 4 5 5 2 2 2" xfId="50899" xr:uid="{00000000-0005-0000-0000-0000443E0000}"/>
    <cellStyle name="40% - Accent2 2 4 5 5 2 3" xfId="41201" xr:uid="{00000000-0005-0000-0000-0000453E0000}"/>
    <cellStyle name="40% - Accent2 2 4 5 5 3" xfId="27255" xr:uid="{00000000-0005-0000-0000-0000463E0000}"/>
    <cellStyle name="40% - Accent2 2 4 5 5 3 2" xfId="46444" xr:uid="{00000000-0005-0000-0000-0000473E0000}"/>
    <cellStyle name="40% - Accent2 2 4 5 5 4" xfId="36746" xr:uid="{00000000-0005-0000-0000-0000483E0000}"/>
    <cellStyle name="40% - Accent2 2 4 5 6" xfId="17444" xr:uid="{00000000-0005-0000-0000-0000493E0000}"/>
    <cellStyle name="40% - Accent2 2 4 5 6 2" xfId="21899" xr:uid="{00000000-0005-0000-0000-00004A3E0000}"/>
    <cellStyle name="40% - Accent2 2 4 5 6 2 2" xfId="32267" xr:uid="{00000000-0005-0000-0000-00004B3E0000}"/>
    <cellStyle name="40% - Accent2 2 4 5 6 2 2 2" xfId="51456" xr:uid="{00000000-0005-0000-0000-00004C3E0000}"/>
    <cellStyle name="40% - Accent2 2 4 5 6 2 3" xfId="41758" xr:uid="{00000000-0005-0000-0000-00004D3E0000}"/>
    <cellStyle name="40% - Accent2 2 4 5 6 3" xfId="27812" xr:uid="{00000000-0005-0000-0000-00004E3E0000}"/>
    <cellStyle name="40% - Accent2 2 4 5 6 3 2" xfId="47001" xr:uid="{00000000-0005-0000-0000-00004F3E0000}"/>
    <cellStyle name="40% - Accent2 2 4 5 6 4" xfId="37303" xr:uid="{00000000-0005-0000-0000-0000503E0000}"/>
    <cellStyle name="40% - Accent2 2 4 5 7" xfId="18001" xr:uid="{00000000-0005-0000-0000-0000513E0000}"/>
    <cellStyle name="40% - Accent2 2 4 5 7 2" xfId="28369" xr:uid="{00000000-0005-0000-0000-0000523E0000}"/>
    <cellStyle name="40% - Accent2 2 4 5 7 2 2" xfId="47558" xr:uid="{00000000-0005-0000-0000-0000533E0000}"/>
    <cellStyle name="40% - Accent2 2 4 5 7 3" xfId="37860" xr:uid="{00000000-0005-0000-0000-0000543E0000}"/>
    <cellStyle name="40% - Accent2 2 4 5 8" xfId="23864" xr:uid="{00000000-0005-0000-0000-0000553E0000}"/>
    <cellStyle name="40% - Accent2 2 4 5 8 2" xfId="43103" xr:uid="{00000000-0005-0000-0000-0000563E0000}"/>
    <cellStyle name="40% - Accent2 2 4 5 9" xfId="33405" xr:uid="{00000000-0005-0000-0000-0000573E0000}"/>
    <cellStyle name="40% - Accent2 2 4 6" xfId="12197" xr:uid="{00000000-0005-0000-0000-0000583E0000}"/>
    <cellStyle name="40% - Accent2 2 4 7" xfId="52564" xr:uid="{00000000-0005-0000-0000-0000593E0000}"/>
    <cellStyle name="40% - Accent2 2 4 8" xfId="12016" xr:uid="{00000000-0005-0000-0000-00005A3E0000}"/>
    <cellStyle name="40% - Accent2 2 5" xfId="1879" xr:uid="{00000000-0005-0000-0000-00005B3E0000}"/>
    <cellStyle name="40% - Accent2 2 5 2" xfId="13116" xr:uid="{00000000-0005-0000-0000-00005C3E0000}"/>
    <cellStyle name="40% - Accent2 2 5 2 10" xfId="23865" xr:uid="{00000000-0005-0000-0000-00005D3E0000}"/>
    <cellStyle name="40% - Accent2 2 5 2 10 2" xfId="43104" xr:uid="{00000000-0005-0000-0000-00005E3E0000}"/>
    <cellStyle name="40% - Accent2 2 5 2 11" xfId="33406" xr:uid="{00000000-0005-0000-0000-00005F3E0000}"/>
    <cellStyle name="40% - Accent2 2 5 2 12" xfId="52798" xr:uid="{00000000-0005-0000-0000-0000603E0000}"/>
    <cellStyle name="40% - Accent2 2 5 2 2" xfId="13117" xr:uid="{00000000-0005-0000-0000-0000613E0000}"/>
    <cellStyle name="40% - Accent2 2 5 2 2 10" xfId="53226" xr:uid="{00000000-0005-0000-0000-0000623E0000}"/>
    <cellStyle name="40% - Accent2 2 5 2 2 2" xfId="14059" xr:uid="{00000000-0005-0000-0000-0000633E0000}"/>
    <cellStyle name="40% - Accent2 2 5 2 2 2 2" xfId="16323" xr:uid="{00000000-0005-0000-0000-0000643E0000}"/>
    <cellStyle name="40% - Accent2 2 5 2 2 2 2 2" xfId="20787" xr:uid="{00000000-0005-0000-0000-0000653E0000}"/>
    <cellStyle name="40% - Accent2 2 5 2 2 2 2 2 2" xfId="31155" xr:uid="{00000000-0005-0000-0000-0000663E0000}"/>
    <cellStyle name="40% - Accent2 2 5 2 2 2 2 2 2 2" xfId="50344" xr:uid="{00000000-0005-0000-0000-0000673E0000}"/>
    <cellStyle name="40% - Accent2 2 5 2 2 2 2 2 3" xfId="40646" xr:uid="{00000000-0005-0000-0000-0000683E0000}"/>
    <cellStyle name="40% - Accent2 2 5 2 2 2 2 3" xfId="26700" xr:uid="{00000000-0005-0000-0000-0000693E0000}"/>
    <cellStyle name="40% - Accent2 2 5 2 2 2 2 3 2" xfId="45889" xr:uid="{00000000-0005-0000-0000-00006A3E0000}"/>
    <cellStyle name="40% - Accent2 2 5 2 2 2 2 4" xfId="36191" xr:uid="{00000000-0005-0000-0000-00006B3E0000}"/>
    <cellStyle name="40% - Accent2 2 5 2 2 2 3" xfId="18559" xr:uid="{00000000-0005-0000-0000-00006C3E0000}"/>
    <cellStyle name="40% - Accent2 2 5 2 2 2 3 2" xfId="28927" xr:uid="{00000000-0005-0000-0000-00006D3E0000}"/>
    <cellStyle name="40% - Accent2 2 5 2 2 2 3 2 2" xfId="48116" xr:uid="{00000000-0005-0000-0000-00006E3E0000}"/>
    <cellStyle name="40% - Accent2 2 5 2 2 2 3 3" xfId="38418" xr:uid="{00000000-0005-0000-0000-00006F3E0000}"/>
    <cellStyle name="40% - Accent2 2 5 2 2 2 4" xfId="24467" xr:uid="{00000000-0005-0000-0000-0000703E0000}"/>
    <cellStyle name="40% - Accent2 2 5 2 2 2 4 2" xfId="43661" xr:uid="{00000000-0005-0000-0000-0000713E0000}"/>
    <cellStyle name="40% - Accent2 2 5 2 2 2 5" xfId="33963" xr:uid="{00000000-0005-0000-0000-0000723E0000}"/>
    <cellStyle name="40% - Accent2 2 5 2 2 2 6" xfId="54079" xr:uid="{00000000-0005-0000-0000-0000733E0000}"/>
    <cellStyle name="40% - Accent2 2 5 2 2 3" xfId="14638" xr:uid="{00000000-0005-0000-0000-0000743E0000}"/>
    <cellStyle name="40% - Accent2 2 5 2 2 3 2" xfId="15767" xr:uid="{00000000-0005-0000-0000-0000753E0000}"/>
    <cellStyle name="40% - Accent2 2 5 2 2 3 2 2" xfId="20231" xr:uid="{00000000-0005-0000-0000-0000763E0000}"/>
    <cellStyle name="40% - Accent2 2 5 2 2 3 2 2 2" xfId="30599" xr:uid="{00000000-0005-0000-0000-0000773E0000}"/>
    <cellStyle name="40% - Accent2 2 5 2 2 3 2 2 2 2" xfId="49788" xr:uid="{00000000-0005-0000-0000-0000783E0000}"/>
    <cellStyle name="40% - Accent2 2 5 2 2 3 2 2 3" xfId="40090" xr:uid="{00000000-0005-0000-0000-0000793E0000}"/>
    <cellStyle name="40% - Accent2 2 5 2 2 3 2 3" xfId="26144" xr:uid="{00000000-0005-0000-0000-00007A3E0000}"/>
    <cellStyle name="40% - Accent2 2 5 2 2 3 2 3 2" xfId="45333" xr:uid="{00000000-0005-0000-0000-00007B3E0000}"/>
    <cellStyle name="40% - Accent2 2 5 2 2 3 2 4" xfId="35635" xr:uid="{00000000-0005-0000-0000-00007C3E0000}"/>
    <cellStyle name="40% - Accent2 2 5 2 2 3 3" xfId="19116" xr:uid="{00000000-0005-0000-0000-00007D3E0000}"/>
    <cellStyle name="40% - Accent2 2 5 2 2 3 3 2" xfId="29484" xr:uid="{00000000-0005-0000-0000-00007E3E0000}"/>
    <cellStyle name="40% - Accent2 2 5 2 2 3 3 2 2" xfId="48673" xr:uid="{00000000-0005-0000-0000-00007F3E0000}"/>
    <cellStyle name="40% - Accent2 2 5 2 2 3 3 3" xfId="38975" xr:uid="{00000000-0005-0000-0000-0000803E0000}"/>
    <cellStyle name="40% - Accent2 2 5 2 2 3 4" xfId="25029" xr:uid="{00000000-0005-0000-0000-0000813E0000}"/>
    <cellStyle name="40% - Accent2 2 5 2 2 3 4 2" xfId="44218" xr:uid="{00000000-0005-0000-0000-0000823E0000}"/>
    <cellStyle name="40% - Accent2 2 5 2 2 3 5" xfId="34520" xr:uid="{00000000-0005-0000-0000-0000833E0000}"/>
    <cellStyle name="40% - Accent2 2 5 2 2 4" xfId="15210" xr:uid="{00000000-0005-0000-0000-0000843E0000}"/>
    <cellStyle name="40% - Accent2 2 5 2 2 4 2" xfId="19674" xr:uid="{00000000-0005-0000-0000-0000853E0000}"/>
    <cellStyle name="40% - Accent2 2 5 2 2 4 2 2" xfId="30042" xr:uid="{00000000-0005-0000-0000-0000863E0000}"/>
    <cellStyle name="40% - Accent2 2 5 2 2 4 2 2 2" xfId="49231" xr:uid="{00000000-0005-0000-0000-0000873E0000}"/>
    <cellStyle name="40% - Accent2 2 5 2 2 4 2 3" xfId="39533" xr:uid="{00000000-0005-0000-0000-0000883E0000}"/>
    <cellStyle name="40% - Accent2 2 5 2 2 4 3" xfId="25587" xr:uid="{00000000-0005-0000-0000-0000893E0000}"/>
    <cellStyle name="40% - Accent2 2 5 2 2 4 3 2" xfId="44776" xr:uid="{00000000-0005-0000-0000-00008A3E0000}"/>
    <cellStyle name="40% - Accent2 2 5 2 2 4 4" xfId="35078" xr:uid="{00000000-0005-0000-0000-00008B3E0000}"/>
    <cellStyle name="40% - Accent2 2 5 2 2 5" xfId="16880" xr:uid="{00000000-0005-0000-0000-00008C3E0000}"/>
    <cellStyle name="40% - Accent2 2 5 2 2 5 2" xfId="21344" xr:uid="{00000000-0005-0000-0000-00008D3E0000}"/>
    <cellStyle name="40% - Accent2 2 5 2 2 5 2 2" xfId="31712" xr:uid="{00000000-0005-0000-0000-00008E3E0000}"/>
    <cellStyle name="40% - Accent2 2 5 2 2 5 2 2 2" xfId="50901" xr:uid="{00000000-0005-0000-0000-00008F3E0000}"/>
    <cellStyle name="40% - Accent2 2 5 2 2 5 2 3" xfId="41203" xr:uid="{00000000-0005-0000-0000-0000903E0000}"/>
    <cellStyle name="40% - Accent2 2 5 2 2 5 3" xfId="27257" xr:uid="{00000000-0005-0000-0000-0000913E0000}"/>
    <cellStyle name="40% - Accent2 2 5 2 2 5 3 2" xfId="46446" xr:uid="{00000000-0005-0000-0000-0000923E0000}"/>
    <cellStyle name="40% - Accent2 2 5 2 2 5 4" xfId="36748" xr:uid="{00000000-0005-0000-0000-0000933E0000}"/>
    <cellStyle name="40% - Accent2 2 5 2 2 6" xfId="17446" xr:uid="{00000000-0005-0000-0000-0000943E0000}"/>
    <cellStyle name="40% - Accent2 2 5 2 2 6 2" xfId="21901" xr:uid="{00000000-0005-0000-0000-0000953E0000}"/>
    <cellStyle name="40% - Accent2 2 5 2 2 6 2 2" xfId="32269" xr:uid="{00000000-0005-0000-0000-0000963E0000}"/>
    <cellStyle name="40% - Accent2 2 5 2 2 6 2 2 2" xfId="51458" xr:uid="{00000000-0005-0000-0000-0000973E0000}"/>
    <cellStyle name="40% - Accent2 2 5 2 2 6 2 3" xfId="41760" xr:uid="{00000000-0005-0000-0000-0000983E0000}"/>
    <cellStyle name="40% - Accent2 2 5 2 2 6 3" xfId="27814" xr:uid="{00000000-0005-0000-0000-0000993E0000}"/>
    <cellStyle name="40% - Accent2 2 5 2 2 6 3 2" xfId="47003" xr:uid="{00000000-0005-0000-0000-00009A3E0000}"/>
    <cellStyle name="40% - Accent2 2 5 2 2 6 4" xfId="37305" xr:uid="{00000000-0005-0000-0000-00009B3E0000}"/>
    <cellStyle name="40% - Accent2 2 5 2 2 7" xfId="18003" xr:uid="{00000000-0005-0000-0000-00009C3E0000}"/>
    <cellStyle name="40% - Accent2 2 5 2 2 7 2" xfId="28371" xr:uid="{00000000-0005-0000-0000-00009D3E0000}"/>
    <cellStyle name="40% - Accent2 2 5 2 2 7 2 2" xfId="47560" xr:uid="{00000000-0005-0000-0000-00009E3E0000}"/>
    <cellStyle name="40% - Accent2 2 5 2 2 7 3" xfId="37862" xr:uid="{00000000-0005-0000-0000-00009F3E0000}"/>
    <cellStyle name="40% - Accent2 2 5 2 2 8" xfId="23866" xr:uid="{00000000-0005-0000-0000-0000A03E0000}"/>
    <cellStyle name="40% - Accent2 2 5 2 2 8 2" xfId="43105" xr:uid="{00000000-0005-0000-0000-0000A13E0000}"/>
    <cellStyle name="40% - Accent2 2 5 2 2 9" xfId="33407" xr:uid="{00000000-0005-0000-0000-0000A23E0000}"/>
    <cellStyle name="40% - Accent2 2 5 2 3" xfId="13118" xr:uid="{00000000-0005-0000-0000-0000A33E0000}"/>
    <cellStyle name="40% - Accent2 2 5 2 3 10" xfId="53683" xr:uid="{00000000-0005-0000-0000-0000A43E0000}"/>
    <cellStyle name="40% - Accent2 2 5 2 3 2" xfId="14060" xr:uid="{00000000-0005-0000-0000-0000A53E0000}"/>
    <cellStyle name="40% - Accent2 2 5 2 3 2 2" xfId="16324" xr:uid="{00000000-0005-0000-0000-0000A63E0000}"/>
    <cellStyle name="40% - Accent2 2 5 2 3 2 2 2" xfId="20788" xr:uid="{00000000-0005-0000-0000-0000A73E0000}"/>
    <cellStyle name="40% - Accent2 2 5 2 3 2 2 2 2" xfId="31156" xr:uid="{00000000-0005-0000-0000-0000A83E0000}"/>
    <cellStyle name="40% - Accent2 2 5 2 3 2 2 2 2 2" xfId="50345" xr:uid="{00000000-0005-0000-0000-0000A93E0000}"/>
    <cellStyle name="40% - Accent2 2 5 2 3 2 2 2 3" xfId="40647" xr:uid="{00000000-0005-0000-0000-0000AA3E0000}"/>
    <cellStyle name="40% - Accent2 2 5 2 3 2 2 3" xfId="26701" xr:uid="{00000000-0005-0000-0000-0000AB3E0000}"/>
    <cellStyle name="40% - Accent2 2 5 2 3 2 2 3 2" xfId="45890" xr:uid="{00000000-0005-0000-0000-0000AC3E0000}"/>
    <cellStyle name="40% - Accent2 2 5 2 3 2 2 4" xfId="36192" xr:uid="{00000000-0005-0000-0000-0000AD3E0000}"/>
    <cellStyle name="40% - Accent2 2 5 2 3 2 3" xfId="18560" xr:uid="{00000000-0005-0000-0000-0000AE3E0000}"/>
    <cellStyle name="40% - Accent2 2 5 2 3 2 3 2" xfId="28928" xr:uid="{00000000-0005-0000-0000-0000AF3E0000}"/>
    <cellStyle name="40% - Accent2 2 5 2 3 2 3 2 2" xfId="48117" xr:uid="{00000000-0005-0000-0000-0000B03E0000}"/>
    <cellStyle name="40% - Accent2 2 5 2 3 2 3 3" xfId="38419" xr:uid="{00000000-0005-0000-0000-0000B13E0000}"/>
    <cellStyle name="40% - Accent2 2 5 2 3 2 4" xfId="24468" xr:uid="{00000000-0005-0000-0000-0000B23E0000}"/>
    <cellStyle name="40% - Accent2 2 5 2 3 2 4 2" xfId="43662" xr:uid="{00000000-0005-0000-0000-0000B33E0000}"/>
    <cellStyle name="40% - Accent2 2 5 2 3 2 5" xfId="33964" xr:uid="{00000000-0005-0000-0000-0000B43E0000}"/>
    <cellStyle name="40% - Accent2 2 5 2 3 3" xfId="14639" xr:uid="{00000000-0005-0000-0000-0000B53E0000}"/>
    <cellStyle name="40% - Accent2 2 5 2 3 3 2" xfId="15768" xr:uid="{00000000-0005-0000-0000-0000B63E0000}"/>
    <cellStyle name="40% - Accent2 2 5 2 3 3 2 2" xfId="20232" xr:uid="{00000000-0005-0000-0000-0000B73E0000}"/>
    <cellStyle name="40% - Accent2 2 5 2 3 3 2 2 2" xfId="30600" xr:uid="{00000000-0005-0000-0000-0000B83E0000}"/>
    <cellStyle name="40% - Accent2 2 5 2 3 3 2 2 2 2" xfId="49789" xr:uid="{00000000-0005-0000-0000-0000B93E0000}"/>
    <cellStyle name="40% - Accent2 2 5 2 3 3 2 2 3" xfId="40091" xr:uid="{00000000-0005-0000-0000-0000BA3E0000}"/>
    <cellStyle name="40% - Accent2 2 5 2 3 3 2 3" xfId="26145" xr:uid="{00000000-0005-0000-0000-0000BB3E0000}"/>
    <cellStyle name="40% - Accent2 2 5 2 3 3 2 3 2" xfId="45334" xr:uid="{00000000-0005-0000-0000-0000BC3E0000}"/>
    <cellStyle name="40% - Accent2 2 5 2 3 3 2 4" xfId="35636" xr:uid="{00000000-0005-0000-0000-0000BD3E0000}"/>
    <cellStyle name="40% - Accent2 2 5 2 3 3 3" xfId="19117" xr:uid="{00000000-0005-0000-0000-0000BE3E0000}"/>
    <cellStyle name="40% - Accent2 2 5 2 3 3 3 2" xfId="29485" xr:uid="{00000000-0005-0000-0000-0000BF3E0000}"/>
    <cellStyle name="40% - Accent2 2 5 2 3 3 3 2 2" xfId="48674" xr:uid="{00000000-0005-0000-0000-0000C03E0000}"/>
    <cellStyle name="40% - Accent2 2 5 2 3 3 3 3" xfId="38976" xr:uid="{00000000-0005-0000-0000-0000C13E0000}"/>
    <cellStyle name="40% - Accent2 2 5 2 3 3 4" xfId="25030" xr:uid="{00000000-0005-0000-0000-0000C23E0000}"/>
    <cellStyle name="40% - Accent2 2 5 2 3 3 4 2" xfId="44219" xr:uid="{00000000-0005-0000-0000-0000C33E0000}"/>
    <cellStyle name="40% - Accent2 2 5 2 3 3 5" xfId="34521" xr:uid="{00000000-0005-0000-0000-0000C43E0000}"/>
    <cellStyle name="40% - Accent2 2 5 2 3 4" xfId="15211" xr:uid="{00000000-0005-0000-0000-0000C53E0000}"/>
    <cellStyle name="40% - Accent2 2 5 2 3 4 2" xfId="19675" xr:uid="{00000000-0005-0000-0000-0000C63E0000}"/>
    <cellStyle name="40% - Accent2 2 5 2 3 4 2 2" xfId="30043" xr:uid="{00000000-0005-0000-0000-0000C73E0000}"/>
    <cellStyle name="40% - Accent2 2 5 2 3 4 2 2 2" xfId="49232" xr:uid="{00000000-0005-0000-0000-0000C83E0000}"/>
    <cellStyle name="40% - Accent2 2 5 2 3 4 2 3" xfId="39534" xr:uid="{00000000-0005-0000-0000-0000C93E0000}"/>
    <cellStyle name="40% - Accent2 2 5 2 3 4 3" xfId="25588" xr:uid="{00000000-0005-0000-0000-0000CA3E0000}"/>
    <cellStyle name="40% - Accent2 2 5 2 3 4 3 2" xfId="44777" xr:uid="{00000000-0005-0000-0000-0000CB3E0000}"/>
    <cellStyle name="40% - Accent2 2 5 2 3 4 4" xfId="35079" xr:uid="{00000000-0005-0000-0000-0000CC3E0000}"/>
    <cellStyle name="40% - Accent2 2 5 2 3 5" xfId="16881" xr:uid="{00000000-0005-0000-0000-0000CD3E0000}"/>
    <cellStyle name="40% - Accent2 2 5 2 3 5 2" xfId="21345" xr:uid="{00000000-0005-0000-0000-0000CE3E0000}"/>
    <cellStyle name="40% - Accent2 2 5 2 3 5 2 2" xfId="31713" xr:uid="{00000000-0005-0000-0000-0000CF3E0000}"/>
    <cellStyle name="40% - Accent2 2 5 2 3 5 2 2 2" xfId="50902" xr:uid="{00000000-0005-0000-0000-0000D03E0000}"/>
    <cellStyle name="40% - Accent2 2 5 2 3 5 2 3" xfId="41204" xr:uid="{00000000-0005-0000-0000-0000D13E0000}"/>
    <cellStyle name="40% - Accent2 2 5 2 3 5 3" xfId="27258" xr:uid="{00000000-0005-0000-0000-0000D23E0000}"/>
    <cellStyle name="40% - Accent2 2 5 2 3 5 3 2" xfId="46447" xr:uid="{00000000-0005-0000-0000-0000D33E0000}"/>
    <cellStyle name="40% - Accent2 2 5 2 3 5 4" xfId="36749" xr:uid="{00000000-0005-0000-0000-0000D43E0000}"/>
    <cellStyle name="40% - Accent2 2 5 2 3 6" xfId="17447" xr:uid="{00000000-0005-0000-0000-0000D53E0000}"/>
    <cellStyle name="40% - Accent2 2 5 2 3 6 2" xfId="21902" xr:uid="{00000000-0005-0000-0000-0000D63E0000}"/>
    <cellStyle name="40% - Accent2 2 5 2 3 6 2 2" xfId="32270" xr:uid="{00000000-0005-0000-0000-0000D73E0000}"/>
    <cellStyle name="40% - Accent2 2 5 2 3 6 2 2 2" xfId="51459" xr:uid="{00000000-0005-0000-0000-0000D83E0000}"/>
    <cellStyle name="40% - Accent2 2 5 2 3 6 2 3" xfId="41761" xr:uid="{00000000-0005-0000-0000-0000D93E0000}"/>
    <cellStyle name="40% - Accent2 2 5 2 3 6 3" xfId="27815" xr:uid="{00000000-0005-0000-0000-0000DA3E0000}"/>
    <cellStyle name="40% - Accent2 2 5 2 3 6 3 2" xfId="47004" xr:uid="{00000000-0005-0000-0000-0000DB3E0000}"/>
    <cellStyle name="40% - Accent2 2 5 2 3 6 4" xfId="37306" xr:uid="{00000000-0005-0000-0000-0000DC3E0000}"/>
    <cellStyle name="40% - Accent2 2 5 2 3 7" xfId="18004" xr:uid="{00000000-0005-0000-0000-0000DD3E0000}"/>
    <cellStyle name="40% - Accent2 2 5 2 3 7 2" xfId="28372" xr:uid="{00000000-0005-0000-0000-0000DE3E0000}"/>
    <cellStyle name="40% - Accent2 2 5 2 3 7 2 2" xfId="47561" xr:uid="{00000000-0005-0000-0000-0000DF3E0000}"/>
    <cellStyle name="40% - Accent2 2 5 2 3 7 3" xfId="37863" xr:uid="{00000000-0005-0000-0000-0000E03E0000}"/>
    <cellStyle name="40% - Accent2 2 5 2 3 8" xfId="23867" xr:uid="{00000000-0005-0000-0000-0000E13E0000}"/>
    <cellStyle name="40% - Accent2 2 5 2 3 8 2" xfId="43106" xr:uid="{00000000-0005-0000-0000-0000E23E0000}"/>
    <cellStyle name="40% - Accent2 2 5 2 3 9" xfId="33408" xr:uid="{00000000-0005-0000-0000-0000E33E0000}"/>
    <cellStyle name="40% - Accent2 2 5 2 4" xfId="14058" xr:uid="{00000000-0005-0000-0000-0000E43E0000}"/>
    <cellStyle name="40% - Accent2 2 5 2 4 2" xfId="16322" xr:uid="{00000000-0005-0000-0000-0000E53E0000}"/>
    <cellStyle name="40% - Accent2 2 5 2 4 2 2" xfId="20786" xr:uid="{00000000-0005-0000-0000-0000E63E0000}"/>
    <cellStyle name="40% - Accent2 2 5 2 4 2 2 2" xfId="31154" xr:uid="{00000000-0005-0000-0000-0000E73E0000}"/>
    <cellStyle name="40% - Accent2 2 5 2 4 2 2 2 2" xfId="50343" xr:uid="{00000000-0005-0000-0000-0000E83E0000}"/>
    <cellStyle name="40% - Accent2 2 5 2 4 2 2 3" xfId="40645" xr:uid="{00000000-0005-0000-0000-0000E93E0000}"/>
    <cellStyle name="40% - Accent2 2 5 2 4 2 3" xfId="26699" xr:uid="{00000000-0005-0000-0000-0000EA3E0000}"/>
    <cellStyle name="40% - Accent2 2 5 2 4 2 3 2" xfId="45888" xr:uid="{00000000-0005-0000-0000-0000EB3E0000}"/>
    <cellStyle name="40% - Accent2 2 5 2 4 2 4" xfId="36190" xr:uid="{00000000-0005-0000-0000-0000EC3E0000}"/>
    <cellStyle name="40% - Accent2 2 5 2 4 3" xfId="18558" xr:uid="{00000000-0005-0000-0000-0000ED3E0000}"/>
    <cellStyle name="40% - Accent2 2 5 2 4 3 2" xfId="28926" xr:uid="{00000000-0005-0000-0000-0000EE3E0000}"/>
    <cellStyle name="40% - Accent2 2 5 2 4 3 2 2" xfId="48115" xr:uid="{00000000-0005-0000-0000-0000EF3E0000}"/>
    <cellStyle name="40% - Accent2 2 5 2 4 3 3" xfId="38417" xr:uid="{00000000-0005-0000-0000-0000F03E0000}"/>
    <cellStyle name="40% - Accent2 2 5 2 4 4" xfId="24466" xr:uid="{00000000-0005-0000-0000-0000F13E0000}"/>
    <cellStyle name="40% - Accent2 2 5 2 4 4 2" xfId="43660" xr:uid="{00000000-0005-0000-0000-0000F23E0000}"/>
    <cellStyle name="40% - Accent2 2 5 2 4 5" xfId="33962" xr:uid="{00000000-0005-0000-0000-0000F33E0000}"/>
    <cellStyle name="40% - Accent2 2 5 2 5" xfId="14637" xr:uid="{00000000-0005-0000-0000-0000F43E0000}"/>
    <cellStyle name="40% - Accent2 2 5 2 5 2" xfId="15766" xr:uid="{00000000-0005-0000-0000-0000F53E0000}"/>
    <cellStyle name="40% - Accent2 2 5 2 5 2 2" xfId="20230" xr:uid="{00000000-0005-0000-0000-0000F63E0000}"/>
    <cellStyle name="40% - Accent2 2 5 2 5 2 2 2" xfId="30598" xr:uid="{00000000-0005-0000-0000-0000F73E0000}"/>
    <cellStyle name="40% - Accent2 2 5 2 5 2 2 2 2" xfId="49787" xr:uid="{00000000-0005-0000-0000-0000F83E0000}"/>
    <cellStyle name="40% - Accent2 2 5 2 5 2 2 3" xfId="40089" xr:uid="{00000000-0005-0000-0000-0000F93E0000}"/>
    <cellStyle name="40% - Accent2 2 5 2 5 2 3" xfId="26143" xr:uid="{00000000-0005-0000-0000-0000FA3E0000}"/>
    <cellStyle name="40% - Accent2 2 5 2 5 2 3 2" xfId="45332" xr:uid="{00000000-0005-0000-0000-0000FB3E0000}"/>
    <cellStyle name="40% - Accent2 2 5 2 5 2 4" xfId="35634" xr:uid="{00000000-0005-0000-0000-0000FC3E0000}"/>
    <cellStyle name="40% - Accent2 2 5 2 5 3" xfId="19115" xr:uid="{00000000-0005-0000-0000-0000FD3E0000}"/>
    <cellStyle name="40% - Accent2 2 5 2 5 3 2" xfId="29483" xr:uid="{00000000-0005-0000-0000-0000FE3E0000}"/>
    <cellStyle name="40% - Accent2 2 5 2 5 3 2 2" xfId="48672" xr:uid="{00000000-0005-0000-0000-0000FF3E0000}"/>
    <cellStyle name="40% - Accent2 2 5 2 5 3 3" xfId="38974" xr:uid="{00000000-0005-0000-0000-0000003F0000}"/>
    <cellStyle name="40% - Accent2 2 5 2 5 4" xfId="25028" xr:uid="{00000000-0005-0000-0000-0000013F0000}"/>
    <cellStyle name="40% - Accent2 2 5 2 5 4 2" xfId="44217" xr:uid="{00000000-0005-0000-0000-0000023F0000}"/>
    <cellStyle name="40% - Accent2 2 5 2 5 5" xfId="34519" xr:uid="{00000000-0005-0000-0000-0000033F0000}"/>
    <cellStyle name="40% - Accent2 2 5 2 6" xfId="15209" xr:uid="{00000000-0005-0000-0000-0000043F0000}"/>
    <cellStyle name="40% - Accent2 2 5 2 6 2" xfId="19673" xr:uid="{00000000-0005-0000-0000-0000053F0000}"/>
    <cellStyle name="40% - Accent2 2 5 2 6 2 2" xfId="30041" xr:uid="{00000000-0005-0000-0000-0000063F0000}"/>
    <cellStyle name="40% - Accent2 2 5 2 6 2 2 2" xfId="49230" xr:uid="{00000000-0005-0000-0000-0000073F0000}"/>
    <cellStyle name="40% - Accent2 2 5 2 6 2 3" xfId="39532" xr:uid="{00000000-0005-0000-0000-0000083F0000}"/>
    <cellStyle name="40% - Accent2 2 5 2 6 3" xfId="25586" xr:uid="{00000000-0005-0000-0000-0000093F0000}"/>
    <cellStyle name="40% - Accent2 2 5 2 6 3 2" xfId="44775" xr:uid="{00000000-0005-0000-0000-00000A3F0000}"/>
    <cellStyle name="40% - Accent2 2 5 2 6 4" xfId="35077" xr:uid="{00000000-0005-0000-0000-00000B3F0000}"/>
    <cellStyle name="40% - Accent2 2 5 2 7" xfId="16879" xr:uid="{00000000-0005-0000-0000-00000C3F0000}"/>
    <cellStyle name="40% - Accent2 2 5 2 7 2" xfId="21343" xr:uid="{00000000-0005-0000-0000-00000D3F0000}"/>
    <cellStyle name="40% - Accent2 2 5 2 7 2 2" xfId="31711" xr:uid="{00000000-0005-0000-0000-00000E3F0000}"/>
    <cellStyle name="40% - Accent2 2 5 2 7 2 2 2" xfId="50900" xr:uid="{00000000-0005-0000-0000-00000F3F0000}"/>
    <cellStyle name="40% - Accent2 2 5 2 7 2 3" xfId="41202" xr:uid="{00000000-0005-0000-0000-0000103F0000}"/>
    <cellStyle name="40% - Accent2 2 5 2 7 3" xfId="27256" xr:uid="{00000000-0005-0000-0000-0000113F0000}"/>
    <cellStyle name="40% - Accent2 2 5 2 7 3 2" xfId="46445" xr:uid="{00000000-0005-0000-0000-0000123F0000}"/>
    <cellStyle name="40% - Accent2 2 5 2 7 4" xfId="36747" xr:uid="{00000000-0005-0000-0000-0000133F0000}"/>
    <cellStyle name="40% - Accent2 2 5 2 8" xfId="17445" xr:uid="{00000000-0005-0000-0000-0000143F0000}"/>
    <cellStyle name="40% - Accent2 2 5 2 8 2" xfId="21900" xr:uid="{00000000-0005-0000-0000-0000153F0000}"/>
    <cellStyle name="40% - Accent2 2 5 2 8 2 2" xfId="32268" xr:uid="{00000000-0005-0000-0000-0000163F0000}"/>
    <cellStyle name="40% - Accent2 2 5 2 8 2 2 2" xfId="51457" xr:uid="{00000000-0005-0000-0000-0000173F0000}"/>
    <cellStyle name="40% - Accent2 2 5 2 8 2 3" xfId="41759" xr:uid="{00000000-0005-0000-0000-0000183F0000}"/>
    <cellStyle name="40% - Accent2 2 5 2 8 3" xfId="27813" xr:uid="{00000000-0005-0000-0000-0000193F0000}"/>
    <cellStyle name="40% - Accent2 2 5 2 8 3 2" xfId="47002" xr:uid="{00000000-0005-0000-0000-00001A3F0000}"/>
    <cellStyle name="40% - Accent2 2 5 2 8 4" xfId="37304" xr:uid="{00000000-0005-0000-0000-00001B3F0000}"/>
    <cellStyle name="40% - Accent2 2 5 2 9" xfId="18002" xr:uid="{00000000-0005-0000-0000-00001C3F0000}"/>
    <cellStyle name="40% - Accent2 2 5 2 9 2" xfId="28370" xr:uid="{00000000-0005-0000-0000-00001D3F0000}"/>
    <cellStyle name="40% - Accent2 2 5 2 9 2 2" xfId="47559" xr:uid="{00000000-0005-0000-0000-00001E3F0000}"/>
    <cellStyle name="40% - Accent2 2 5 2 9 3" xfId="37861" xr:uid="{00000000-0005-0000-0000-00001F3F0000}"/>
    <cellStyle name="40% - Accent2 2 5 3" xfId="13119" xr:uid="{00000000-0005-0000-0000-0000203F0000}"/>
    <cellStyle name="40% - Accent2 2 5 3 10" xfId="53008" xr:uid="{00000000-0005-0000-0000-0000213F0000}"/>
    <cellStyle name="40% - Accent2 2 5 3 2" xfId="14061" xr:uid="{00000000-0005-0000-0000-0000223F0000}"/>
    <cellStyle name="40% - Accent2 2 5 3 2 2" xfId="16325" xr:uid="{00000000-0005-0000-0000-0000233F0000}"/>
    <cellStyle name="40% - Accent2 2 5 3 2 2 2" xfId="20789" xr:uid="{00000000-0005-0000-0000-0000243F0000}"/>
    <cellStyle name="40% - Accent2 2 5 3 2 2 2 2" xfId="31157" xr:uid="{00000000-0005-0000-0000-0000253F0000}"/>
    <cellStyle name="40% - Accent2 2 5 3 2 2 2 2 2" xfId="50346" xr:uid="{00000000-0005-0000-0000-0000263F0000}"/>
    <cellStyle name="40% - Accent2 2 5 3 2 2 2 3" xfId="40648" xr:uid="{00000000-0005-0000-0000-0000273F0000}"/>
    <cellStyle name="40% - Accent2 2 5 3 2 2 3" xfId="26702" xr:uid="{00000000-0005-0000-0000-0000283F0000}"/>
    <cellStyle name="40% - Accent2 2 5 3 2 2 3 2" xfId="45891" xr:uid="{00000000-0005-0000-0000-0000293F0000}"/>
    <cellStyle name="40% - Accent2 2 5 3 2 2 4" xfId="36193" xr:uid="{00000000-0005-0000-0000-00002A3F0000}"/>
    <cellStyle name="40% - Accent2 2 5 3 2 3" xfId="18561" xr:uid="{00000000-0005-0000-0000-00002B3F0000}"/>
    <cellStyle name="40% - Accent2 2 5 3 2 3 2" xfId="28929" xr:uid="{00000000-0005-0000-0000-00002C3F0000}"/>
    <cellStyle name="40% - Accent2 2 5 3 2 3 2 2" xfId="48118" xr:uid="{00000000-0005-0000-0000-00002D3F0000}"/>
    <cellStyle name="40% - Accent2 2 5 3 2 3 3" xfId="38420" xr:uid="{00000000-0005-0000-0000-00002E3F0000}"/>
    <cellStyle name="40% - Accent2 2 5 3 2 4" xfId="24469" xr:uid="{00000000-0005-0000-0000-00002F3F0000}"/>
    <cellStyle name="40% - Accent2 2 5 3 2 4 2" xfId="43663" xr:uid="{00000000-0005-0000-0000-0000303F0000}"/>
    <cellStyle name="40% - Accent2 2 5 3 2 5" xfId="33965" xr:uid="{00000000-0005-0000-0000-0000313F0000}"/>
    <cellStyle name="40% - Accent2 2 5 3 2 6" xfId="53883" xr:uid="{00000000-0005-0000-0000-0000323F0000}"/>
    <cellStyle name="40% - Accent2 2 5 3 3" xfId="14640" xr:uid="{00000000-0005-0000-0000-0000333F0000}"/>
    <cellStyle name="40% - Accent2 2 5 3 3 2" xfId="15769" xr:uid="{00000000-0005-0000-0000-0000343F0000}"/>
    <cellStyle name="40% - Accent2 2 5 3 3 2 2" xfId="20233" xr:uid="{00000000-0005-0000-0000-0000353F0000}"/>
    <cellStyle name="40% - Accent2 2 5 3 3 2 2 2" xfId="30601" xr:uid="{00000000-0005-0000-0000-0000363F0000}"/>
    <cellStyle name="40% - Accent2 2 5 3 3 2 2 2 2" xfId="49790" xr:uid="{00000000-0005-0000-0000-0000373F0000}"/>
    <cellStyle name="40% - Accent2 2 5 3 3 2 2 3" xfId="40092" xr:uid="{00000000-0005-0000-0000-0000383F0000}"/>
    <cellStyle name="40% - Accent2 2 5 3 3 2 3" xfId="26146" xr:uid="{00000000-0005-0000-0000-0000393F0000}"/>
    <cellStyle name="40% - Accent2 2 5 3 3 2 3 2" xfId="45335" xr:uid="{00000000-0005-0000-0000-00003A3F0000}"/>
    <cellStyle name="40% - Accent2 2 5 3 3 2 4" xfId="35637" xr:uid="{00000000-0005-0000-0000-00003B3F0000}"/>
    <cellStyle name="40% - Accent2 2 5 3 3 3" xfId="19118" xr:uid="{00000000-0005-0000-0000-00003C3F0000}"/>
    <cellStyle name="40% - Accent2 2 5 3 3 3 2" xfId="29486" xr:uid="{00000000-0005-0000-0000-00003D3F0000}"/>
    <cellStyle name="40% - Accent2 2 5 3 3 3 2 2" xfId="48675" xr:uid="{00000000-0005-0000-0000-00003E3F0000}"/>
    <cellStyle name="40% - Accent2 2 5 3 3 3 3" xfId="38977" xr:uid="{00000000-0005-0000-0000-00003F3F0000}"/>
    <cellStyle name="40% - Accent2 2 5 3 3 4" xfId="25031" xr:uid="{00000000-0005-0000-0000-0000403F0000}"/>
    <cellStyle name="40% - Accent2 2 5 3 3 4 2" xfId="44220" xr:uid="{00000000-0005-0000-0000-0000413F0000}"/>
    <cellStyle name="40% - Accent2 2 5 3 3 5" xfId="34522" xr:uid="{00000000-0005-0000-0000-0000423F0000}"/>
    <cellStyle name="40% - Accent2 2 5 3 4" xfId="15212" xr:uid="{00000000-0005-0000-0000-0000433F0000}"/>
    <cellStyle name="40% - Accent2 2 5 3 4 2" xfId="19676" xr:uid="{00000000-0005-0000-0000-0000443F0000}"/>
    <cellStyle name="40% - Accent2 2 5 3 4 2 2" xfId="30044" xr:uid="{00000000-0005-0000-0000-0000453F0000}"/>
    <cellStyle name="40% - Accent2 2 5 3 4 2 2 2" xfId="49233" xr:uid="{00000000-0005-0000-0000-0000463F0000}"/>
    <cellStyle name="40% - Accent2 2 5 3 4 2 3" xfId="39535" xr:uid="{00000000-0005-0000-0000-0000473F0000}"/>
    <cellStyle name="40% - Accent2 2 5 3 4 3" xfId="25589" xr:uid="{00000000-0005-0000-0000-0000483F0000}"/>
    <cellStyle name="40% - Accent2 2 5 3 4 3 2" xfId="44778" xr:uid="{00000000-0005-0000-0000-0000493F0000}"/>
    <cellStyle name="40% - Accent2 2 5 3 4 4" xfId="35080" xr:uid="{00000000-0005-0000-0000-00004A3F0000}"/>
    <cellStyle name="40% - Accent2 2 5 3 5" xfId="16882" xr:uid="{00000000-0005-0000-0000-00004B3F0000}"/>
    <cellStyle name="40% - Accent2 2 5 3 5 2" xfId="21346" xr:uid="{00000000-0005-0000-0000-00004C3F0000}"/>
    <cellStyle name="40% - Accent2 2 5 3 5 2 2" xfId="31714" xr:uid="{00000000-0005-0000-0000-00004D3F0000}"/>
    <cellStyle name="40% - Accent2 2 5 3 5 2 2 2" xfId="50903" xr:uid="{00000000-0005-0000-0000-00004E3F0000}"/>
    <cellStyle name="40% - Accent2 2 5 3 5 2 3" xfId="41205" xr:uid="{00000000-0005-0000-0000-00004F3F0000}"/>
    <cellStyle name="40% - Accent2 2 5 3 5 3" xfId="27259" xr:uid="{00000000-0005-0000-0000-0000503F0000}"/>
    <cellStyle name="40% - Accent2 2 5 3 5 3 2" xfId="46448" xr:uid="{00000000-0005-0000-0000-0000513F0000}"/>
    <cellStyle name="40% - Accent2 2 5 3 5 4" xfId="36750" xr:uid="{00000000-0005-0000-0000-0000523F0000}"/>
    <cellStyle name="40% - Accent2 2 5 3 6" xfId="17448" xr:uid="{00000000-0005-0000-0000-0000533F0000}"/>
    <cellStyle name="40% - Accent2 2 5 3 6 2" xfId="21903" xr:uid="{00000000-0005-0000-0000-0000543F0000}"/>
    <cellStyle name="40% - Accent2 2 5 3 6 2 2" xfId="32271" xr:uid="{00000000-0005-0000-0000-0000553F0000}"/>
    <cellStyle name="40% - Accent2 2 5 3 6 2 2 2" xfId="51460" xr:uid="{00000000-0005-0000-0000-0000563F0000}"/>
    <cellStyle name="40% - Accent2 2 5 3 6 2 3" xfId="41762" xr:uid="{00000000-0005-0000-0000-0000573F0000}"/>
    <cellStyle name="40% - Accent2 2 5 3 6 3" xfId="27816" xr:uid="{00000000-0005-0000-0000-0000583F0000}"/>
    <cellStyle name="40% - Accent2 2 5 3 6 3 2" xfId="47005" xr:uid="{00000000-0005-0000-0000-0000593F0000}"/>
    <cellStyle name="40% - Accent2 2 5 3 6 4" xfId="37307" xr:uid="{00000000-0005-0000-0000-00005A3F0000}"/>
    <cellStyle name="40% - Accent2 2 5 3 7" xfId="18005" xr:uid="{00000000-0005-0000-0000-00005B3F0000}"/>
    <cellStyle name="40% - Accent2 2 5 3 7 2" xfId="28373" xr:uid="{00000000-0005-0000-0000-00005C3F0000}"/>
    <cellStyle name="40% - Accent2 2 5 3 7 2 2" xfId="47562" xr:uid="{00000000-0005-0000-0000-00005D3F0000}"/>
    <cellStyle name="40% - Accent2 2 5 3 7 3" xfId="37864" xr:uid="{00000000-0005-0000-0000-00005E3F0000}"/>
    <cellStyle name="40% - Accent2 2 5 3 8" xfId="23868" xr:uid="{00000000-0005-0000-0000-00005F3F0000}"/>
    <cellStyle name="40% - Accent2 2 5 3 8 2" xfId="43107" xr:uid="{00000000-0005-0000-0000-0000603F0000}"/>
    <cellStyle name="40% - Accent2 2 5 3 9" xfId="33409" xr:uid="{00000000-0005-0000-0000-0000613F0000}"/>
    <cellStyle name="40% - Accent2 2 5 4" xfId="13120" xr:uid="{00000000-0005-0000-0000-0000623F0000}"/>
    <cellStyle name="40% - Accent2 2 5 4 10" xfId="53487" xr:uid="{00000000-0005-0000-0000-0000633F0000}"/>
    <cellStyle name="40% - Accent2 2 5 4 2" xfId="14062" xr:uid="{00000000-0005-0000-0000-0000643F0000}"/>
    <cellStyle name="40% - Accent2 2 5 4 2 2" xfId="16326" xr:uid="{00000000-0005-0000-0000-0000653F0000}"/>
    <cellStyle name="40% - Accent2 2 5 4 2 2 2" xfId="20790" xr:uid="{00000000-0005-0000-0000-0000663F0000}"/>
    <cellStyle name="40% - Accent2 2 5 4 2 2 2 2" xfId="31158" xr:uid="{00000000-0005-0000-0000-0000673F0000}"/>
    <cellStyle name="40% - Accent2 2 5 4 2 2 2 2 2" xfId="50347" xr:uid="{00000000-0005-0000-0000-0000683F0000}"/>
    <cellStyle name="40% - Accent2 2 5 4 2 2 2 3" xfId="40649" xr:uid="{00000000-0005-0000-0000-0000693F0000}"/>
    <cellStyle name="40% - Accent2 2 5 4 2 2 3" xfId="26703" xr:uid="{00000000-0005-0000-0000-00006A3F0000}"/>
    <cellStyle name="40% - Accent2 2 5 4 2 2 3 2" xfId="45892" xr:uid="{00000000-0005-0000-0000-00006B3F0000}"/>
    <cellStyle name="40% - Accent2 2 5 4 2 2 4" xfId="36194" xr:uid="{00000000-0005-0000-0000-00006C3F0000}"/>
    <cellStyle name="40% - Accent2 2 5 4 2 3" xfId="18562" xr:uid="{00000000-0005-0000-0000-00006D3F0000}"/>
    <cellStyle name="40% - Accent2 2 5 4 2 3 2" xfId="28930" xr:uid="{00000000-0005-0000-0000-00006E3F0000}"/>
    <cellStyle name="40% - Accent2 2 5 4 2 3 2 2" xfId="48119" xr:uid="{00000000-0005-0000-0000-00006F3F0000}"/>
    <cellStyle name="40% - Accent2 2 5 4 2 3 3" xfId="38421" xr:uid="{00000000-0005-0000-0000-0000703F0000}"/>
    <cellStyle name="40% - Accent2 2 5 4 2 4" xfId="24470" xr:uid="{00000000-0005-0000-0000-0000713F0000}"/>
    <cellStyle name="40% - Accent2 2 5 4 2 4 2" xfId="43664" xr:uid="{00000000-0005-0000-0000-0000723F0000}"/>
    <cellStyle name="40% - Accent2 2 5 4 2 5" xfId="33966" xr:uid="{00000000-0005-0000-0000-0000733F0000}"/>
    <cellStyle name="40% - Accent2 2 5 4 3" xfId="14641" xr:uid="{00000000-0005-0000-0000-0000743F0000}"/>
    <cellStyle name="40% - Accent2 2 5 4 3 2" xfId="15770" xr:uid="{00000000-0005-0000-0000-0000753F0000}"/>
    <cellStyle name="40% - Accent2 2 5 4 3 2 2" xfId="20234" xr:uid="{00000000-0005-0000-0000-0000763F0000}"/>
    <cellStyle name="40% - Accent2 2 5 4 3 2 2 2" xfId="30602" xr:uid="{00000000-0005-0000-0000-0000773F0000}"/>
    <cellStyle name="40% - Accent2 2 5 4 3 2 2 2 2" xfId="49791" xr:uid="{00000000-0005-0000-0000-0000783F0000}"/>
    <cellStyle name="40% - Accent2 2 5 4 3 2 2 3" xfId="40093" xr:uid="{00000000-0005-0000-0000-0000793F0000}"/>
    <cellStyle name="40% - Accent2 2 5 4 3 2 3" xfId="26147" xr:uid="{00000000-0005-0000-0000-00007A3F0000}"/>
    <cellStyle name="40% - Accent2 2 5 4 3 2 3 2" xfId="45336" xr:uid="{00000000-0005-0000-0000-00007B3F0000}"/>
    <cellStyle name="40% - Accent2 2 5 4 3 2 4" xfId="35638" xr:uid="{00000000-0005-0000-0000-00007C3F0000}"/>
    <cellStyle name="40% - Accent2 2 5 4 3 3" xfId="19119" xr:uid="{00000000-0005-0000-0000-00007D3F0000}"/>
    <cellStyle name="40% - Accent2 2 5 4 3 3 2" xfId="29487" xr:uid="{00000000-0005-0000-0000-00007E3F0000}"/>
    <cellStyle name="40% - Accent2 2 5 4 3 3 2 2" xfId="48676" xr:uid="{00000000-0005-0000-0000-00007F3F0000}"/>
    <cellStyle name="40% - Accent2 2 5 4 3 3 3" xfId="38978" xr:uid="{00000000-0005-0000-0000-0000803F0000}"/>
    <cellStyle name="40% - Accent2 2 5 4 3 4" xfId="25032" xr:uid="{00000000-0005-0000-0000-0000813F0000}"/>
    <cellStyle name="40% - Accent2 2 5 4 3 4 2" xfId="44221" xr:uid="{00000000-0005-0000-0000-0000823F0000}"/>
    <cellStyle name="40% - Accent2 2 5 4 3 5" xfId="34523" xr:uid="{00000000-0005-0000-0000-0000833F0000}"/>
    <cellStyle name="40% - Accent2 2 5 4 4" xfId="15213" xr:uid="{00000000-0005-0000-0000-0000843F0000}"/>
    <cellStyle name="40% - Accent2 2 5 4 4 2" xfId="19677" xr:uid="{00000000-0005-0000-0000-0000853F0000}"/>
    <cellStyle name="40% - Accent2 2 5 4 4 2 2" xfId="30045" xr:uid="{00000000-0005-0000-0000-0000863F0000}"/>
    <cellStyle name="40% - Accent2 2 5 4 4 2 2 2" xfId="49234" xr:uid="{00000000-0005-0000-0000-0000873F0000}"/>
    <cellStyle name="40% - Accent2 2 5 4 4 2 3" xfId="39536" xr:uid="{00000000-0005-0000-0000-0000883F0000}"/>
    <cellStyle name="40% - Accent2 2 5 4 4 3" xfId="25590" xr:uid="{00000000-0005-0000-0000-0000893F0000}"/>
    <cellStyle name="40% - Accent2 2 5 4 4 3 2" xfId="44779" xr:uid="{00000000-0005-0000-0000-00008A3F0000}"/>
    <cellStyle name="40% - Accent2 2 5 4 4 4" xfId="35081" xr:uid="{00000000-0005-0000-0000-00008B3F0000}"/>
    <cellStyle name="40% - Accent2 2 5 4 5" xfId="16883" xr:uid="{00000000-0005-0000-0000-00008C3F0000}"/>
    <cellStyle name="40% - Accent2 2 5 4 5 2" xfId="21347" xr:uid="{00000000-0005-0000-0000-00008D3F0000}"/>
    <cellStyle name="40% - Accent2 2 5 4 5 2 2" xfId="31715" xr:uid="{00000000-0005-0000-0000-00008E3F0000}"/>
    <cellStyle name="40% - Accent2 2 5 4 5 2 2 2" xfId="50904" xr:uid="{00000000-0005-0000-0000-00008F3F0000}"/>
    <cellStyle name="40% - Accent2 2 5 4 5 2 3" xfId="41206" xr:uid="{00000000-0005-0000-0000-0000903F0000}"/>
    <cellStyle name="40% - Accent2 2 5 4 5 3" xfId="27260" xr:uid="{00000000-0005-0000-0000-0000913F0000}"/>
    <cellStyle name="40% - Accent2 2 5 4 5 3 2" xfId="46449" xr:uid="{00000000-0005-0000-0000-0000923F0000}"/>
    <cellStyle name="40% - Accent2 2 5 4 5 4" xfId="36751" xr:uid="{00000000-0005-0000-0000-0000933F0000}"/>
    <cellStyle name="40% - Accent2 2 5 4 6" xfId="17449" xr:uid="{00000000-0005-0000-0000-0000943F0000}"/>
    <cellStyle name="40% - Accent2 2 5 4 6 2" xfId="21904" xr:uid="{00000000-0005-0000-0000-0000953F0000}"/>
    <cellStyle name="40% - Accent2 2 5 4 6 2 2" xfId="32272" xr:uid="{00000000-0005-0000-0000-0000963F0000}"/>
    <cellStyle name="40% - Accent2 2 5 4 6 2 2 2" xfId="51461" xr:uid="{00000000-0005-0000-0000-0000973F0000}"/>
    <cellStyle name="40% - Accent2 2 5 4 6 2 3" xfId="41763" xr:uid="{00000000-0005-0000-0000-0000983F0000}"/>
    <cellStyle name="40% - Accent2 2 5 4 6 3" xfId="27817" xr:uid="{00000000-0005-0000-0000-0000993F0000}"/>
    <cellStyle name="40% - Accent2 2 5 4 6 3 2" xfId="47006" xr:uid="{00000000-0005-0000-0000-00009A3F0000}"/>
    <cellStyle name="40% - Accent2 2 5 4 6 4" xfId="37308" xr:uid="{00000000-0005-0000-0000-00009B3F0000}"/>
    <cellStyle name="40% - Accent2 2 5 4 7" xfId="18006" xr:uid="{00000000-0005-0000-0000-00009C3F0000}"/>
    <cellStyle name="40% - Accent2 2 5 4 7 2" xfId="28374" xr:uid="{00000000-0005-0000-0000-00009D3F0000}"/>
    <cellStyle name="40% - Accent2 2 5 4 7 2 2" xfId="47563" xr:uid="{00000000-0005-0000-0000-00009E3F0000}"/>
    <cellStyle name="40% - Accent2 2 5 4 7 3" xfId="37865" xr:uid="{00000000-0005-0000-0000-00009F3F0000}"/>
    <cellStyle name="40% - Accent2 2 5 4 8" xfId="23869" xr:uid="{00000000-0005-0000-0000-0000A03F0000}"/>
    <cellStyle name="40% - Accent2 2 5 4 8 2" xfId="43108" xr:uid="{00000000-0005-0000-0000-0000A13F0000}"/>
    <cellStyle name="40% - Accent2 2 5 4 9" xfId="33410" xr:uid="{00000000-0005-0000-0000-0000A23F0000}"/>
    <cellStyle name="40% - Accent2 2 5 5" xfId="12198" xr:uid="{00000000-0005-0000-0000-0000A33F0000}"/>
    <cellStyle name="40% - Accent2 2 5 6" xfId="52598" xr:uid="{00000000-0005-0000-0000-0000A43F0000}"/>
    <cellStyle name="40% - Accent2 2 5 7" xfId="12013" xr:uid="{00000000-0005-0000-0000-0000A53F0000}"/>
    <cellStyle name="40% - Accent2 2 6" xfId="1880" xr:uid="{00000000-0005-0000-0000-0000A63F0000}"/>
    <cellStyle name="40% - Accent2 2 6 2" xfId="13121" xr:uid="{00000000-0005-0000-0000-0000A73F0000}"/>
    <cellStyle name="40% - Accent2 2 6 2 10" xfId="52831" xr:uid="{00000000-0005-0000-0000-0000A83F0000}"/>
    <cellStyle name="40% - Accent2 2 6 2 2" xfId="14063" xr:uid="{00000000-0005-0000-0000-0000A93F0000}"/>
    <cellStyle name="40% - Accent2 2 6 2 2 2" xfId="16327" xr:uid="{00000000-0005-0000-0000-0000AA3F0000}"/>
    <cellStyle name="40% - Accent2 2 6 2 2 2 2" xfId="20791" xr:uid="{00000000-0005-0000-0000-0000AB3F0000}"/>
    <cellStyle name="40% - Accent2 2 6 2 2 2 2 2" xfId="31159" xr:uid="{00000000-0005-0000-0000-0000AC3F0000}"/>
    <cellStyle name="40% - Accent2 2 6 2 2 2 2 2 2" xfId="50348" xr:uid="{00000000-0005-0000-0000-0000AD3F0000}"/>
    <cellStyle name="40% - Accent2 2 6 2 2 2 2 3" xfId="40650" xr:uid="{00000000-0005-0000-0000-0000AE3F0000}"/>
    <cellStyle name="40% - Accent2 2 6 2 2 2 3" xfId="26704" xr:uid="{00000000-0005-0000-0000-0000AF3F0000}"/>
    <cellStyle name="40% - Accent2 2 6 2 2 2 3 2" xfId="45893" xr:uid="{00000000-0005-0000-0000-0000B03F0000}"/>
    <cellStyle name="40% - Accent2 2 6 2 2 2 4" xfId="36195" xr:uid="{00000000-0005-0000-0000-0000B13F0000}"/>
    <cellStyle name="40% - Accent2 2 6 2 2 2 5" xfId="54112" xr:uid="{00000000-0005-0000-0000-0000B23F0000}"/>
    <cellStyle name="40% - Accent2 2 6 2 2 3" xfId="18563" xr:uid="{00000000-0005-0000-0000-0000B33F0000}"/>
    <cellStyle name="40% - Accent2 2 6 2 2 3 2" xfId="28931" xr:uid="{00000000-0005-0000-0000-0000B43F0000}"/>
    <cellStyle name="40% - Accent2 2 6 2 2 3 2 2" xfId="48120" xr:uid="{00000000-0005-0000-0000-0000B53F0000}"/>
    <cellStyle name="40% - Accent2 2 6 2 2 3 3" xfId="38422" xr:uid="{00000000-0005-0000-0000-0000B63F0000}"/>
    <cellStyle name="40% - Accent2 2 6 2 2 4" xfId="24471" xr:uid="{00000000-0005-0000-0000-0000B73F0000}"/>
    <cellStyle name="40% - Accent2 2 6 2 2 4 2" xfId="43665" xr:uid="{00000000-0005-0000-0000-0000B83F0000}"/>
    <cellStyle name="40% - Accent2 2 6 2 2 5" xfId="33967" xr:uid="{00000000-0005-0000-0000-0000B93F0000}"/>
    <cellStyle name="40% - Accent2 2 6 2 2 6" xfId="53259" xr:uid="{00000000-0005-0000-0000-0000BA3F0000}"/>
    <cellStyle name="40% - Accent2 2 6 2 3" xfId="14642" xr:uid="{00000000-0005-0000-0000-0000BB3F0000}"/>
    <cellStyle name="40% - Accent2 2 6 2 3 2" xfId="15771" xr:uid="{00000000-0005-0000-0000-0000BC3F0000}"/>
    <cellStyle name="40% - Accent2 2 6 2 3 2 2" xfId="20235" xr:uid="{00000000-0005-0000-0000-0000BD3F0000}"/>
    <cellStyle name="40% - Accent2 2 6 2 3 2 2 2" xfId="30603" xr:uid="{00000000-0005-0000-0000-0000BE3F0000}"/>
    <cellStyle name="40% - Accent2 2 6 2 3 2 2 2 2" xfId="49792" xr:uid="{00000000-0005-0000-0000-0000BF3F0000}"/>
    <cellStyle name="40% - Accent2 2 6 2 3 2 2 3" xfId="40094" xr:uid="{00000000-0005-0000-0000-0000C03F0000}"/>
    <cellStyle name="40% - Accent2 2 6 2 3 2 3" xfId="26148" xr:uid="{00000000-0005-0000-0000-0000C13F0000}"/>
    <cellStyle name="40% - Accent2 2 6 2 3 2 3 2" xfId="45337" xr:uid="{00000000-0005-0000-0000-0000C23F0000}"/>
    <cellStyle name="40% - Accent2 2 6 2 3 2 4" xfId="35639" xr:uid="{00000000-0005-0000-0000-0000C33F0000}"/>
    <cellStyle name="40% - Accent2 2 6 2 3 3" xfId="19120" xr:uid="{00000000-0005-0000-0000-0000C43F0000}"/>
    <cellStyle name="40% - Accent2 2 6 2 3 3 2" xfId="29488" xr:uid="{00000000-0005-0000-0000-0000C53F0000}"/>
    <cellStyle name="40% - Accent2 2 6 2 3 3 2 2" xfId="48677" xr:uid="{00000000-0005-0000-0000-0000C63F0000}"/>
    <cellStyle name="40% - Accent2 2 6 2 3 3 3" xfId="38979" xr:uid="{00000000-0005-0000-0000-0000C73F0000}"/>
    <cellStyle name="40% - Accent2 2 6 2 3 4" xfId="25033" xr:uid="{00000000-0005-0000-0000-0000C83F0000}"/>
    <cellStyle name="40% - Accent2 2 6 2 3 4 2" xfId="44222" xr:uid="{00000000-0005-0000-0000-0000C93F0000}"/>
    <cellStyle name="40% - Accent2 2 6 2 3 5" xfId="34524" xr:uid="{00000000-0005-0000-0000-0000CA3F0000}"/>
    <cellStyle name="40% - Accent2 2 6 2 3 6" xfId="53716" xr:uid="{00000000-0005-0000-0000-0000CB3F0000}"/>
    <cellStyle name="40% - Accent2 2 6 2 4" xfId="15214" xr:uid="{00000000-0005-0000-0000-0000CC3F0000}"/>
    <cellStyle name="40% - Accent2 2 6 2 4 2" xfId="19678" xr:uid="{00000000-0005-0000-0000-0000CD3F0000}"/>
    <cellStyle name="40% - Accent2 2 6 2 4 2 2" xfId="30046" xr:uid="{00000000-0005-0000-0000-0000CE3F0000}"/>
    <cellStyle name="40% - Accent2 2 6 2 4 2 2 2" xfId="49235" xr:uid="{00000000-0005-0000-0000-0000CF3F0000}"/>
    <cellStyle name="40% - Accent2 2 6 2 4 2 3" xfId="39537" xr:uid="{00000000-0005-0000-0000-0000D03F0000}"/>
    <cellStyle name="40% - Accent2 2 6 2 4 3" xfId="25591" xr:uid="{00000000-0005-0000-0000-0000D13F0000}"/>
    <cellStyle name="40% - Accent2 2 6 2 4 3 2" xfId="44780" xr:uid="{00000000-0005-0000-0000-0000D23F0000}"/>
    <cellStyle name="40% - Accent2 2 6 2 4 4" xfId="35082" xr:uid="{00000000-0005-0000-0000-0000D33F0000}"/>
    <cellStyle name="40% - Accent2 2 6 2 5" xfId="16884" xr:uid="{00000000-0005-0000-0000-0000D43F0000}"/>
    <cellStyle name="40% - Accent2 2 6 2 5 2" xfId="21348" xr:uid="{00000000-0005-0000-0000-0000D53F0000}"/>
    <cellStyle name="40% - Accent2 2 6 2 5 2 2" xfId="31716" xr:uid="{00000000-0005-0000-0000-0000D63F0000}"/>
    <cellStyle name="40% - Accent2 2 6 2 5 2 2 2" xfId="50905" xr:uid="{00000000-0005-0000-0000-0000D73F0000}"/>
    <cellStyle name="40% - Accent2 2 6 2 5 2 3" xfId="41207" xr:uid="{00000000-0005-0000-0000-0000D83F0000}"/>
    <cellStyle name="40% - Accent2 2 6 2 5 3" xfId="27261" xr:uid="{00000000-0005-0000-0000-0000D93F0000}"/>
    <cellStyle name="40% - Accent2 2 6 2 5 3 2" xfId="46450" xr:uid="{00000000-0005-0000-0000-0000DA3F0000}"/>
    <cellStyle name="40% - Accent2 2 6 2 5 4" xfId="36752" xr:uid="{00000000-0005-0000-0000-0000DB3F0000}"/>
    <cellStyle name="40% - Accent2 2 6 2 6" xfId="17450" xr:uid="{00000000-0005-0000-0000-0000DC3F0000}"/>
    <cellStyle name="40% - Accent2 2 6 2 6 2" xfId="21905" xr:uid="{00000000-0005-0000-0000-0000DD3F0000}"/>
    <cellStyle name="40% - Accent2 2 6 2 6 2 2" xfId="32273" xr:uid="{00000000-0005-0000-0000-0000DE3F0000}"/>
    <cellStyle name="40% - Accent2 2 6 2 6 2 2 2" xfId="51462" xr:uid="{00000000-0005-0000-0000-0000DF3F0000}"/>
    <cellStyle name="40% - Accent2 2 6 2 6 2 3" xfId="41764" xr:uid="{00000000-0005-0000-0000-0000E03F0000}"/>
    <cellStyle name="40% - Accent2 2 6 2 6 3" xfId="27818" xr:uid="{00000000-0005-0000-0000-0000E13F0000}"/>
    <cellStyle name="40% - Accent2 2 6 2 6 3 2" xfId="47007" xr:uid="{00000000-0005-0000-0000-0000E23F0000}"/>
    <cellStyle name="40% - Accent2 2 6 2 6 4" xfId="37309" xr:uid="{00000000-0005-0000-0000-0000E33F0000}"/>
    <cellStyle name="40% - Accent2 2 6 2 7" xfId="18007" xr:uid="{00000000-0005-0000-0000-0000E43F0000}"/>
    <cellStyle name="40% - Accent2 2 6 2 7 2" xfId="28375" xr:uid="{00000000-0005-0000-0000-0000E53F0000}"/>
    <cellStyle name="40% - Accent2 2 6 2 7 2 2" xfId="47564" xr:uid="{00000000-0005-0000-0000-0000E63F0000}"/>
    <cellStyle name="40% - Accent2 2 6 2 7 3" xfId="37866" xr:uid="{00000000-0005-0000-0000-0000E73F0000}"/>
    <cellStyle name="40% - Accent2 2 6 2 8" xfId="23870" xr:uid="{00000000-0005-0000-0000-0000E83F0000}"/>
    <cellStyle name="40% - Accent2 2 6 2 8 2" xfId="43109" xr:uid="{00000000-0005-0000-0000-0000E93F0000}"/>
    <cellStyle name="40% - Accent2 2 6 2 9" xfId="33411" xr:uid="{00000000-0005-0000-0000-0000EA3F0000}"/>
    <cellStyle name="40% - Accent2 2 6 3" xfId="13122" xr:uid="{00000000-0005-0000-0000-0000EB3F0000}"/>
    <cellStyle name="40% - Accent2 2 6 3 10" xfId="53041" xr:uid="{00000000-0005-0000-0000-0000EC3F0000}"/>
    <cellStyle name="40% - Accent2 2 6 3 2" xfId="14064" xr:uid="{00000000-0005-0000-0000-0000ED3F0000}"/>
    <cellStyle name="40% - Accent2 2 6 3 2 2" xfId="16328" xr:uid="{00000000-0005-0000-0000-0000EE3F0000}"/>
    <cellStyle name="40% - Accent2 2 6 3 2 2 2" xfId="20792" xr:uid="{00000000-0005-0000-0000-0000EF3F0000}"/>
    <cellStyle name="40% - Accent2 2 6 3 2 2 2 2" xfId="31160" xr:uid="{00000000-0005-0000-0000-0000F03F0000}"/>
    <cellStyle name="40% - Accent2 2 6 3 2 2 2 2 2" xfId="50349" xr:uid="{00000000-0005-0000-0000-0000F13F0000}"/>
    <cellStyle name="40% - Accent2 2 6 3 2 2 2 3" xfId="40651" xr:uid="{00000000-0005-0000-0000-0000F23F0000}"/>
    <cellStyle name="40% - Accent2 2 6 3 2 2 3" xfId="26705" xr:uid="{00000000-0005-0000-0000-0000F33F0000}"/>
    <cellStyle name="40% - Accent2 2 6 3 2 2 3 2" xfId="45894" xr:uid="{00000000-0005-0000-0000-0000F43F0000}"/>
    <cellStyle name="40% - Accent2 2 6 3 2 2 4" xfId="36196" xr:uid="{00000000-0005-0000-0000-0000F53F0000}"/>
    <cellStyle name="40% - Accent2 2 6 3 2 3" xfId="18564" xr:uid="{00000000-0005-0000-0000-0000F63F0000}"/>
    <cellStyle name="40% - Accent2 2 6 3 2 3 2" xfId="28932" xr:uid="{00000000-0005-0000-0000-0000F73F0000}"/>
    <cellStyle name="40% - Accent2 2 6 3 2 3 2 2" xfId="48121" xr:uid="{00000000-0005-0000-0000-0000F83F0000}"/>
    <cellStyle name="40% - Accent2 2 6 3 2 3 3" xfId="38423" xr:uid="{00000000-0005-0000-0000-0000F93F0000}"/>
    <cellStyle name="40% - Accent2 2 6 3 2 4" xfId="24472" xr:uid="{00000000-0005-0000-0000-0000FA3F0000}"/>
    <cellStyle name="40% - Accent2 2 6 3 2 4 2" xfId="43666" xr:uid="{00000000-0005-0000-0000-0000FB3F0000}"/>
    <cellStyle name="40% - Accent2 2 6 3 2 5" xfId="33968" xr:uid="{00000000-0005-0000-0000-0000FC3F0000}"/>
    <cellStyle name="40% - Accent2 2 6 3 2 6" xfId="53916" xr:uid="{00000000-0005-0000-0000-0000FD3F0000}"/>
    <cellStyle name="40% - Accent2 2 6 3 3" xfId="14643" xr:uid="{00000000-0005-0000-0000-0000FE3F0000}"/>
    <cellStyle name="40% - Accent2 2 6 3 3 2" xfId="15772" xr:uid="{00000000-0005-0000-0000-0000FF3F0000}"/>
    <cellStyle name="40% - Accent2 2 6 3 3 2 2" xfId="20236" xr:uid="{00000000-0005-0000-0000-000000400000}"/>
    <cellStyle name="40% - Accent2 2 6 3 3 2 2 2" xfId="30604" xr:uid="{00000000-0005-0000-0000-000001400000}"/>
    <cellStyle name="40% - Accent2 2 6 3 3 2 2 2 2" xfId="49793" xr:uid="{00000000-0005-0000-0000-000002400000}"/>
    <cellStyle name="40% - Accent2 2 6 3 3 2 2 3" xfId="40095" xr:uid="{00000000-0005-0000-0000-000003400000}"/>
    <cellStyle name="40% - Accent2 2 6 3 3 2 3" xfId="26149" xr:uid="{00000000-0005-0000-0000-000004400000}"/>
    <cellStyle name="40% - Accent2 2 6 3 3 2 3 2" xfId="45338" xr:uid="{00000000-0005-0000-0000-000005400000}"/>
    <cellStyle name="40% - Accent2 2 6 3 3 2 4" xfId="35640" xr:uid="{00000000-0005-0000-0000-000006400000}"/>
    <cellStyle name="40% - Accent2 2 6 3 3 3" xfId="19121" xr:uid="{00000000-0005-0000-0000-000007400000}"/>
    <cellStyle name="40% - Accent2 2 6 3 3 3 2" xfId="29489" xr:uid="{00000000-0005-0000-0000-000008400000}"/>
    <cellStyle name="40% - Accent2 2 6 3 3 3 2 2" xfId="48678" xr:uid="{00000000-0005-0000-0000-000009400000}"/>
    <cellStyle name="40% - Accent2 2 6 3 3 3 3" xfId="38980" xr:uid="{00000000-0005-0000-0000-00000A400000}"/>
    <cellStyle name="40% - Accent2 2 6 3 3 4" xfId="25034" xr:uid="{00000000-0005-0000-0000-00000B400000}"/>
    <cellStyle name="40% - Accent2 2 6 3 3 4 2" xfId="44223" xr:uid="{00000000-0005-0000-0000-00000C400000}"/>
    <cellStyle name="40% - Accent2 2 6 3 3 5" xfId="34525" xr:uid="{00000000-0005-0000-0000-00000D400000}"/>
    <cellStyle name="40% - Accent2 2 6 3 4" xfId="15215" xr:uid="{00000000-0005-0000-0000-00000E400000}"/>
    <cellStyle name="40% - Accent2 2 6 3 4 2" xfId="19679" xr:uid="{00000000-0005-0000-0000-00000F400000}"/>
    <cellStyle name="40% - Accent2 2 6 3 4 2 2" xfId="30047" xr:uid="{00000000-0005-0000-0000-000010400000}"/>
    <cellStyle name="40% - Accent2 2 6 3 4 2 2 2" xfId="49236" xr:uid="{00000000-0005-0000-0000-000011400000}"/>
    <cellStyle name="40% - Accent2 2 6 3 4 2 3" xfId="39538" xr:uid="{00000000-0005-0000-0000-000012400000}"/>
    <cellStyle name="40% - Accent2 2 6 3 4 3" xfId="25592" xr:uid="{00000000-0005-0000-0000-000013400000}"/>
    <cellStyle name="40% - Accent2 2 6 3 4 3 2" xfId="44781" xr:uid="{00000000-0005-0000-0000-000014400000}"/>
    <cellStyle name="40% - Accent2 2 6 3 4 4" xfId="35083" xr:uid="{00000000-0005-0000-0000-000015400000}"/>
    <cellStyle name="40% - Accent2 2 6 3 5" xfId="16885" xr:uid="{00000000-0005-0000-0000-000016400000}"/>
    <cellStyle name="40% - Accent2 2 6 3 5 2" xfId="21349" xr:uid="{00000000-0005-0000-0000-000017400000}"/>
    <cellStyle name="40% - Accent2 2 6 3 5 2 2" xfId="31717" xr:uid="{00000000-0005-0000-0000-000018400000}"/>
    <cellStyle name="40% - Accent2 2 6 3 5 2 2 2" xfId="50906" xr:uid="{00000000-0005-0000-0000-000019400000}"/>
    <cellStyle name="40% - Accent2 2 6 3 5 2 3" xfId="41208" xr:uid="{00000000-0005-0000-0000-00001A400000}"/>
    <cellStyle name="40% - Accent2 2 6 3 5 3" xfId="27262" xr:uid="{00000000-0005-0000-0000-00001B400000}"/>
    <cellStyle name="40% - Accent2 2 6 3 5 3 2" xfId="46451" xr:uid="{00000000-0005-0000-0000-00001C400000}"/>
    <cellStyle name="40% - Accent2 2 6 3 5 4" xfId="36753" xr:uid="{00000000-0005-0000-0000-00001D400000}"/>
    <cellStyle name="40% - Accent2 2 6 3 6" xfId="17451" xr:uid="{00000000-0005-0000-0000-00001E400000}"/>
    <cellStyle name="40% - Accent2 2 6 3 6 2" xfId="21906" xr:uid="{00000000-0005-0000-0000-00001F400000}"/>
    <cellStyle name="40% - Accent2 2 6 3 6 2 2" xfId="32274" xr:uid="{00000000-0005-0000-0000-000020400000}"/>
    <cellStyle name="40% - Accent2 2 6 3 6 2 2 2" xfId="51463" xr:uid="{00000000-0005-0000-0000-000021400000}"/>
    <cellStyle name="40% - Accent2 2 6 3 6 2 3" xfId="41765" xr:uid="{00000000-0005-0000-0000-000022400000}"/>
    <cellStyle name="40% - Accent2 2 6 3 6 3" xfId="27819" xr:uid="{00000000-0005-0000-0000-000023400000}"/>
    <cellStyle name="40% - Accent2 2 6 3 6 3 2" xfId="47008" xr:uid="{00000000-0005-0000-0000-000024400000}"/>
    <cellStyle name="40% - Accent2 2 6 3 6 4" xfId="37310" xr:uid="{00000000-0005-0000-0000-000025400000}"/>
    <cellStyle name="40% - Accent2 2 6 3 7" xfId="18008" xr:uid="{00000000-0005-0000-0000-000026400000}"/>
    <cellStyle name="40% - Accent2 2 6 3 7 2" xfId="28376" xr:uid="{00000000-0005-0000-0000-000027400000}"/>
    <cellStyle name="40% - Accent2 2 6 3 7 2 2" xfId="47565" xr:uid="{00000000-0005-0000-0000-000028400000}"/>
    <cellStyle name="40% - Accent2 2 6 3 7 3" xfId="37867" xr:uid="{00000000-0005-0000-0000-000029400000}"/>
    <cellStyle name="40% - Accent2 2 6 3 8" xfId="23871" xr:uid="{00000000-0005-0000-0000-00002A400000}"/>
    <cellStyle name="40% - Accent2 2 6 3 8 2" xfId="43110" xr:uid="{00000000-0005-0000-0000-00002B400000}"/>
    <cellStyle name="40% - Accent2 2 6 3 9" xfId="33412" xr:uid="{00000000-0005-0000-0000-00002C400000}"/>
    <cellStyle name="40% - Accent2 2 6 4" xfId="53520" xr:uid="{00000000-0005-0000-0000-00002D400000}"/>
    <cellStyle name="40% - Accent2 2 6 5" xfId="52635" xr:uid="{00000000-0005-0000-0000-00002E400000}"/>
    <cellStyle name="40% - Accent2 2 6 6" xfId="12200" xr:uid="{00000000-0005-0000-0000-00002F400000}"/>
    <cellStyle name="40% - Accent2 2 7" xfId="1881" xr:uid="{00000000-0005-0000-0000-000030400000}"/>
    <cellStyle name="40% - Accent2 2 7 10" xfId="52662" xr:uid="{00000000-0005-0000-0000-000031400000}"/>
    <cellStyle name="40% - Accent2 2 7 11" xfId="12687" xr:uid="{00000000-0005-0000-0000-000032400000}"/>
    <cellStyle name="40% - Accent2 2 7 2" xfId="13806" xr:uid="{00000000-0005-0000-0000-000033400000}"/>
    <cellStyle name="40% - Accent2 2 7 2 2" xfId="16070" xr:uid="{00000000-0005-0000-0000-000034400000}"/>
    <cellStyle name="40% - Accent2 2 7 2 2 2" xfId="20534" xr:uid="{00000000-0005-0000-0000-000035400000}"/>
    <cellStyle name="40% - Accent2 2 7 2 2 2 2" xfId="30902" xr:uid="{00000000-0005-0000-0000-000036400000}"/>
    <cellStyle name="40% - Accent2 2 7 2 2 2 2 2" xfId="50091" xr:uid="{00000000-0005-0000-0000-000037400000}"/>
    <cellStyle name="40% - Accent2 2 7 2 2 2 3" xfId="40393" xr:uid="{00000000-0005-0000-0000-000038400000}"/>
    <cellStyle name="40% - Accent2 2 7 2 2 3" xfId="26447" xr:uid="{00000000-0005-0000-0000-000039400000}"/>
    <cellStyle name="40% - Accent2 2 7 2 2 3 2" xfId="45636" xr:uid="{00000000-0005-0000-0000-00003A400000}"/>
    <cellStyle name="40% - Accent2 2 7 2 2 4" xfId="35938" xr:uid="{00000000-0005-0000-0000-00003B400000}"/>
    <cellStyle name="40% - Accent2 2 7 2 2 5" xfId="53943" xr:uid="{00000000-0005-0000-0000-00003C400000}"/>
    <cellStyle name="40% - Accent2 2 7 2 3" xfId="18306" xr:uid="{00000000-0005-0000-0000-00003D400000}"/>
    <cellStyle name="40% - Accent2 2 7 2 3 2" xfId="28674" xr:uid="{00000000-0005-0000-0000-00003E400000}"/>
    <cellStyle name="40% - Accent2 2 7 2 3 2 2" xfId="47863" xr:uid="{00000000-0005-0000-0000-00003F400000}"/>
    <cellStyle name="40% - Accent2 2 7 2 3 3" xfId="38165" xr:uid="{00000000-0005-0000-0000-000040400000}"/>
    <cellStyle name="40% - Accent2 2 7 2 4" xfId="24214" xr:uid="{00000000-0005-0000-0000-000041400000}"/>
    <cellStyle name="40% - Accent2 2 7 2 4 2" xfId="43408" xr:uid="{00000000-0005-0000-0000-000042400000}"/>
    <cellStyle name="40% - Accent2 2 7 2 5" xfId="33710" xr:uid="{00000000-0005-0000-0000-000043400000}"/>
    <cellStyle name="40% - Accent2 2 7 2 6" xfId="53090" xr:uid="{00000000-0005-0000-0000-000044400000}"/>
    <cellStyle name="40% - Accent2 2 7 3" xfId="14385" xr:uid="{00000000-0005-0000-0000-000045400000}"/>
    <cellStyle name="40% - Accent2 2 7 3 2" xfId="15514" xr:uid="{00000000-0005-0000-0000-000046400000}"/>
    <cellStyle name="40% - Accent2 2 7 3 2 2" xfId="19978" xr:uid="{00000000-0005-0000-0000-000047400000}"/>
    <cellStyle name="40% - Accent2 2 7 3 2 2 2" xfId="30346" xr:uid="{00000000-0005-0000-0000-000048400000}"/>
    <cellStyle name="40% - Accent2 2 7 3 2 2 2 2" xfId="49535" xr:uid="{00000000-0005-0000-0000-000049400000}"/>
    <cellStyle name="40% - Accent2 2 7 3 2 2 3" xfId="39837" xr:uid="{00000000-0005-0000-0000-00004A400000}"/>
    <cellStyle name="40% - Accent2 2 7 3 2 3" xfId="25891" xr:uid="{00000000-0005-0000-0000-00004B400000}"/>
    <cellStyle name="40% - Accent2 2 7 3 2 3 2" xfId="45080" xr:uid="{00000000-0005-0000-0000-00004C400000}"/>
    <cellStyle name="40% - Accent2 2 7 3 2 4" xfId="35382" xr:uid="{00000000-0005-0000-0000-00004D400000}"/>
    <cellStyle name="40% - Accent2 2 7 3 3" xfId="18863" xr:uid="{00000000-0005-0000-0000-00004E400000}"/>
    <cellStyle name="40% - Accent2 2 7 3 3 2" xfId="29231" xr:uid="{00000000-0005-0000-0000-00004F400000}"/>
    <cellStyle name="40% - Accent2 2 7 3 3 2 2" xfId="48420" xr:uid="{00000000-0005-0000-0000-000050400000}"/>
    <cellStyle name="40% - Accent2 2 7 3 3 3" xfId="38722" xr:uid="{00000000-0005-0000-0000-000051400000}"/>
    <cellStyle name="40% - Accent2 2 7 3 4" xfId="24776" xr:uid="{00000000-0005-0000-0000-000052400000}"/>
    <cellStyle name="40% - Accent2 2 7 3 4 2" xfId="43965" xr:uid="{00000000-0005-0000-0000-000053400000}"/>
    <cellStyle name="40% - Accent2 2 7 3 5" xfId="34267" xr:uid="{00000000-0005-0000-0000-000054400000}"/>
    <cellStyle name="40% - Accent2 2 7 3 6" xfId="53547" xr:uid="{00000000-0005-0000-0000-000055400000}"/>
    <cellStyle name="40% - Accent2 2 7 4" xfId="14957" xr:uid="{00000000-0005-0000-0000-000056400000}"/>
    <cellStyle name="40% - Accent2 2 7 4 2" xfId="19421" xr:uid="{00000000-0005-0000-0000-000057400000}"/>
    <cellStyle name="40% - Accent2 2 7 4 2 2" xfId="29789" xr:uid="{00000000-0005-0000-0000-000058400000}"/>
    <cellStyle name="40% - Accent2 2 7 4 2 2 2" xfId="48978" xr:uid="{00000000-0005-0000-0000-000059400000}"/>
    <cellStyle name="40% - Accent2 2 7 4 2 3" xfId="39280" xr:uid="{00000000-0005-0000-0000-00005A400000}"/>
    <cellStyle name="40% - Accent2 2 7 4 3" xfId="25334" xr:uid="{00000000-0005-0000-0000-00005B400000}"/>
    <cellStyle name="40% - Accent2 2 7 4 3 2" xfId="44523" xr:uid="{00000000-0005-0000-0000-00005C400000}"/>
    <cellStyle name="40% - Accent2 2 7 4 4" xfId="34825" xr:uid="{00000000-0005-0000-0000-00005D400000}"/>
    <cellStyle name="40% - Accent2 2 7 5" xfId="16627" xr:uid="{00000000-0005-0000-0000-00005E400000}"/>
    <cellStyle name="40% - Accent2 2 7 5 2" xfId="21091" xr:uid="{00000000-0005-0000-0000-00005F400000}"/>
    <cellStyle name="40% - Accent2 2 7 5 2 2" xfId="31459" xr:uid="{00000000-0005-0000-0000-000060400000}"/>
    <cellStyle name="40% - Accent2 2 7 5 2 2 2" xfId="50648" xr:uid="{00000000-0005-0000-0000-000061400000}"/>
    <cellStyle name="40% - Accent2 2 7 5 2 3" xfId="40950" xr:uid="{00000000-0005-0000-0000-000062400000}"/>
    <cellStyle name="40% - Accent2 2 7 5 3" xfId="27004" xr:uid="{00000000-0005-0000-0000-000063400000}"/>
    <cellStyle name="40% - Accent2 2 7 5 3 2" xfId="46193" xr:uid="{00000000-0005-0000-0000-000064400000}"/>
    <cellStyle name="40% - Accent2 2 7 5 4" xfId="36495" xr:uid="{00000000-0005-0000-0000-000065400000}"/>
    <cellStyle name="40% - Accent2 2 7 6" xfId="17193" xr:uid="{00000000-0005-0000-0000-000066400000}"/>
    <cellStyle name="40% - Accent2 2 7 6 2" xfId="21648" xr:uid="{00000000-0005-0000-0000-000067400000}"/>
    <cellStyle name="40% - Accent2 2 7 6 2 2" xfId="32016" xr:uid="{00000000-0005-0000-0000-000068400000}"/>
    <cellStyle name="40% - Accent2 2 7 6 2 2 2" xfId="51205" xr:uid="{00000000-0005-0000-0000-000069400000}"/>
    <cellStyle name="40% - Accent2 2 7 6 2 3" xfId="41507" xr:uid="{00000000-0005-0000-0000-00006A400000}"/>
    <cellStyle name="40% - Accent2 2 7 6 3" xfId="27561" xr:uid="{00000000-0005-0000-0000-00006B400000}"/>
    <cellStyle name="40% - Accent2 2 7 6 3 2" xfId="46750" xr:uid="{00000000-0005-0000-0000-00006C400000}"/>
    <cellStyle name="40% - Accent2 2 7 6 4" xfId="37052" xr:uid="{00000000-0005-0000-0000-00006D400000}"/>
    <cellStyle name="40% - Accent2 2 7 7" xfId="17750" xr:uid="{00000000-0005-0000-0000-00006E400000}"/>
    <cellStyle name="40% - Accent2 2 7 7 2" xfId="28118" xr:uid="{00000000-0005-0000-0000-00006F400000}"/>
    <cellStyle name="40% - Accent2 2 7 7 2 2" xfId="47307" xr:uid="{00000000-0005-0000-0000-000070400000}"/>
    <cellStyle name="40% - Accent2 2 7 7 3" xfId="37609" xr:uid="{00000000-0005-0000-0000-000071400000}"/>
    <cellStyle name="40% - Accent2 2 7 8" xfId="23565" xr:uid="{00000000-0005-0000-0000-000072400000}"/>
    <cellStyle name="40% - Accent2 2 7 8 2" xfId="42852" xr:uid="{00000000-0005-0000-0000-000073400000}"/>
    <cellStyle name="40% - Accent2 2 7 9" xfId="33154" xr:uid="{00000000-0005-0000-0000-000074400000}"/>
    <cellStyle name="40% - Accent2 2 8" xfId="1882" xr:uid="{00000000-0005-0000-0000-000075400000}"/>
    <cellStyle name="40% - Accent2 2 8 10" xfId="52862" xr:uid="{00000000-0005-0000-0000-000076400000}"/>
    <cellStyle name="40% - Accent2 2 8 11" xfId="12796" xr:uid="{00000000-0005-0000-0000-000077400000}"/>
    <cellStyle name="40% - Accent2 2 8 2" xfId="13824" xr:uid="{00000000-0005-0000-0000-000078400000}"/>
    <cellStyle name="40% - Accent2 2 8 2 2" xfId="16088" xr:uid="{00000000-0005-0000-0000-000079400000}"/>
    <cellStyle name="40% - Accent2 2 8 2 2 2" xfId="20552" xr:uid="{00000000-0005-0000-0000-00007A400000}"/>
    <cellStyle name="40% - Accent2 2 8 2 2 2 2" xfId="30920" xr:uid="{00000000-0005-0000-0000-00007B400000}"/>
    <cellStyle name="40% - Accent2 2 8 2 2 2 2 2" xfId="50109" xr:uid="{00000000-0005-0000-0000-00007C400000}"/>
    <cellStyle name="40% - Accent2 2 8 2 2 2 3" xfId="40411" xr:uid="{00000000-0005-0000-0000-00007D400000}"/>
    <cellStyle name="40% - Accent2 2 8 2 2 3" xfId="26465" xr:uid="{00000000-0005-0000-0000-00007E400000}"/>
    <cellStyle name="40% - Accent2 2 8 2 2 3 2" xfId="45654" xr:uid="{00000000-0005-0000-0000-00007F400000}"/>
    <cellStyle name="40% - Accent2 2 8 2 2 4" xfId="35956" xr:uid="{00000000-0005-0000-0000-000080400000}"/>
    <cellStyle name="40% - Accent2 2 8 2 3" xfId="18324" xr:uid="{00000000-0005-0000-0000-000081400000}"/>
    <cellStyle name="40% - Accent2 2 8 2 3 2" xfId="28692" xr:uid="{00000000-0005-0000-0000-000082400000}"/>
    <cellStyle name="40% - Accent2 2 8 2 3 2 2" xfId="47881" xr:uid="{00000000-0005-0000-0000-000083400000}"/>
    <cellStyle name="40% - Accent2 2 8 2 3 3" xfId="38183" xr:uid="{00000000-0005-0000-0000-000084400000}"/>
    <cellStyle name="40% - Accent2 2 8 2 4" xfId="24232" xr:uid="{00000000-0005-0000-0000-000085400000}"/>
    <cellStyle name="40% - Accent2 2 8 2 4 2" xfId="43426" xr:uid="{00000000-0005-0000-0000-000086400000}"/>
    <cellStyle name="40% - Accent2 2 8 2 5" xfId="33728" xr:uid="{00000000-0005-0000-0000-000087400000}"/>
    <cellStyle name="40% - Accent2 2 8 2 6" xfId="53746" xr:uid="{00000000-0005-0000-0000-000088400000}"/>
    <cellStyle name="40% - Accent2 2 8 3" xfId="14403" xr:uid="{00000000-0005-0000-0000-000089400000}"/>
    <cellStyle name="40% - Accent2 2 8 3 2" xfId="15532" xr:uid="{00000000-0005-0000-0000-00008A400000}"/>
    <cellStyle name="40% - Accent2 2 8 3 2 2" xfId="19996" xr:uid="{00000000-0005-0000-0000-00008B400000}"/>
    <cellStyle name="40% - Accent2 2 8 3 2 2 2" xfId="30364" xr:uid="{00000000-0005-0000-0000-00008C400000}"/>
    <cellStyle name="40% - Accent2 2 8 3 2 2 2 2" xfId="49553" xr:uid="{00000000-0005-0000-0000-00008D400000}"/>
    <cellStyle name="40% - Accent2 2 8 3 2 2 3" xfId="39855" xr:uid="{00000000-0005-0000-0000-00008E400000}"/>
    <cellStyle name="40% - Accent2 2 8 3 2 3" xfId="25909" xr:uid="{00000000-0005-0000-0000-00008F400000}"/>
    <cellStyle name="40% - Accent2 2 8 3 2 3 2" xfId="45098" xr:uid="{00000000-0005-0000-0000-000090400000}"/>
    <cellStyle name="40% - Accent2 2 8 3 2 4" xfId="35400" xr:uid="{00000000-0005-0000-0000-000091400000}"/>
    <cellStyle name="40% - Accent2 2 8 3 3" xfId="18881" xr:uid="{00000000-0005-0000-0000-000092400000}"/>
    <cellStyle name="40% - Accent2 2 8 3 3 2" xfId="29249" xr:uid="{00000000-0005-0000-0000-000093400000}"/>
    <cellStyle name="40% - Accent2 2 8 3 3 2 2" xfId="48438" xr:uid="{00000000-0005-0000-0000-000094400000}"/>
    <cellStyle name="40% - Accent2 2 8 3 3 3" xfId="38740" xr:uid="{00000000-0005-0000-0000-000095400000}"/>
    <cellStyle name="40% - Accent2 2 8 3 4" xfId="24794" xr:uid="{00000000-0005-0000-0000-000096400000}"/>
    <cellStyle name="40% - Accent2 2 8 3 4 2" xfId="43983" xr:uid="{00000000-0005-0000-0000-000097400000}"/>
    <cellStyle name="40% - Accent2 2 8 3 5" xfId="34285" xr:uid="{00000000-0005-0000-0000-000098400000}"/>
    <cellStyle name="40% - Accent2 2 8 4" xfId="14975" xr:uid="{00000000-0005-0000-0000-000099400000}"/>
    <cellStyle name="40% - Accent2 2 8 4 2" xfId="19439" xr:uid="{00000000-0005-0000-0000-00009A400000}"/>
    <cellStyle name="40% - Accent2 2 8 4 2 2" xfId="29807" xr:uid="{00000000-0005-0000-0000-00009B400000}"/>
    <cellStyle name="40% - Accent2 2 8 4 2 2 2" xfId="48996" xr:uid="{00000000-0005-0000-0000-00009C400000}"/>
    <cellStyle name="40% - Accent2 2 8 4 2 3" xfId="39298" xr:uid="{00000000-0005-0000-0000-00009D400000}"/>
    <cellStyle name="40% - Accent2 2 8 4 3" xfId="25352" xr:uid="{00000000-0005-0000-0000-00009E400000}"/>
    <cellStyle name="40% - Accent2 2 8 4 3 2" xfId="44541" xr:uid="{00000000-0005-0000-0000-00009F400000}"/>
    <cellStyle name="40% - Accent2 2 8 4 4" xfId="34843" xr:uid="{00000000-0005-0000-0000-0000A0400000}"/>
    <cellStyle name="40% - Accent2 2 8 5" xfId="16645" xr:uid="{00000000-0005-0000-0000-0000A1400000}"/>
    <cellStyle name="40% - Accent2 2 8 5 2" xfId="21109" xr:uid="{00000000-0005-0000-0000-0000A2400000}"/>
    <cellStyle name="40% - Accent2 2 8 5 2 2" xfId="31477" xr:uid="{00000000-0005-0000-0000-0000A3400000}"/>
    <cellStyle name="40% - Accent2 2 8 5 2 2 2" xfId="50666" xr:uid="{00000000-0005-0000-0000-0000A4400000}"/>
    <cellStyle name="40% - Accent2 2 8 5 2 3" xfId="40968" xr:uid="{00000000-0005-0000-0000-0000A5400000}"/>
    <cellStyle name="40% - Accent2 2 8 5 3" xfId="27022" xr:uid="{00000000-0005-0000-0000-0000A6400000}"/>
    <cellStyle name="40% - Accent2 2 8 5 3 2" xfId="46211" xr:uid="{00000000-0005-0000-0000-0000A7400000}"/>
    <cellStyle name="40% - Accent2 2 8 5 4" xfId="36513" xr:uid="{00000000-0005-0000-0000-0000A8400000}"/>
    <cellStyle name="40% - Accent2 2 8 6" xfId="17211" xr:uid="{00000000-0005-0000-0000-0000A9400000}"/>
    <cellStyle name="40% - Accent2 2 8 6 2" xfId="21666" xr:uid="{00000000-0005-0000-0000-0000AA400000}"/>
    <cellStyle name="40% - Accent2 2 8 6 2 2" xfId="32034" xr:uid="{00000000-0005-0000-0000-0000AB400000}"/>
    <cellStyle name="40% - Accent2 2 8 6 2 2 2" xfId="51223" xr:uid="{00000000-0005-0000-0000-0000AC400000}"/>
    <cellStyle name="40% - Accent2 2 8 6 2 3" xfId="41525" xr:uid="{00000000-0005-0000-0000-0000AD400000}"/>
    <cellStyle name="40% - Accent2 2 8 6 3" xfId="27579" xr:uid="{00000000-0005-0000-0000-0000AE400000}"/>
    <cellStyle name="40% - Accent2 2 8 6 3 2" xfId="46768" xr:uid="{00000000-0005-0000-0000-0000AF400000}"/>
    <cellStyle name="40% - Accent2 2 8 6 4" xfId="37070" xr:uid="{00000000-0005-0000-0000-0000B0400000}"/>
    <cellStyle name="40% - Accent2 2 8 7" xfId="17768" xr:uid="{00000000-0005-0000-0000-0000B1400000}"/>
    <cellStyle name="40% - Accent2 2 8 7 2" xfId="28136" xr:uid="{00000000-0005-0000-0000-0000B2400000}"/>
    <cellStyle name="40% - Accent2 2 8 7 2 2" xfId="47325" xr:uid="{00000000-0005-0000-0000-0000B3400000}"/>
    <cellStyle name="40% - Accent2 2 8 7 3" xfId="37627" xr:uid="{00000000-0005-0000-0000-0000B4400000}"/>
    <cellStyle name="40% - Accent2 2 8 8" xfId="23599" xr:uid="{00000000-0005-0000-0000-0000B5400000}"/>
    <cellStyle name="40% - Accent2 2 8 8 2" xfId="42870" xr:uid="{00000000-0005-0000-0000-0000B6400000}"/>
    <cellStyle name="40% - Accent2 2 8 9" xfId="33172" xr:uid="{00000000-0005-0000-0000-0000B7400000}"/>
    <cellStyle name="40% - Accent2 2 9" xfId="1883" xr:uid="{00000000-0005-0000-0000-0000B8400000}"/>
    <cellStyle name="40% - Accent2 2 9 2" xfId="54143" xr:uid="{00000000-0005-0000-0000-0000B9400000}"/>
    <cellStyle name="40% - Accent2 2 9 3" xfId="53291" xr:uid="{00000000-0005-0000-0000-0000BA400000}"/>
    <cellStyle name="40% - Accent2 2 9 4" xfId="13123" xr:uid="{00000000-0005-0000-0000-0000BB400000}"/>
    <cellStyle name="40% - Accent2 20" xfId="22853" xr:uid="{00000000-0005-0000-0000-0000BC400000}"/>
    <cellStyle name="40% - Accent2 20 2" xfId="32937" xr:uid="{00000000-0005-0000-0000-0000BD400000}"/>
    <cellStyle name="40% - Accent2 20 2 2" xfId="52123" xr:uid="{00000000-0005-0000-0000-0000BE400000}"/>
    <cellStyle name="40% - Accent2 20 3" xfId="23210" xr:uid="{00000000-0005-0000-0000-0000BF400000}"/>
    <cellStyle name="40% - Accent2 20 3 2" xfId="42778" xr:uid="{00000000-0005-0000-0000-0000C0400000}"/>
    <cellStyle name="40% - Accent2 20 4" xfId="42425" xr:uid="{00000000-0005-0000-0000-0000C1400000}"/>
    <cellStyle name="40% - Accent2 21" xfId="22736" xr:uid="{00000000-0005-0000-0000-0000C2400000}"/>
    <cellStyle name="40% - Accent2 21 2" xfId="32820" xr:uid="{00000000-0005-0000-0000-0000C3400000}"/>
    <cellStyle name="40% - Accent2 21 2 2" xfId="52006" xr:uid="{00000000-0005-0000-0000-0000C4400000}"/>
    <cellStyle name="40% - Accent2 21 3" xfId="42308" xr:uid="{00000000-0005-0000-0000-0000C5400000}"/>
    <cellStyle name="40% - Accent2 22" xfId="23093" xr:uid="{00000000-0005-0000-0000-0000C6400000}"/>
    <cellStyle name="40% - Accent2 22 2" xfId="42661" xr:uid="{00000000-0005-0000-0000-0000C7400000}"/>
    <cellStyle name="40% - Accent2 23" xfId="33079" xr:uid="{00000000-0005-0000-0000-0000C8400000}"/>
    <cellStyle name="40% - Accent2 3" xfId="158" xr:uid="{00000000-0005-0000-0000-0000C9400000}"/>
    <cellStyle name="40% - Accent2 3 2" xfId="1885" xr:uid="{00000000-0005-0000-0000-0000CA400000}"/>
    <cellStyle name="40% - Accent2 3 2 2" xfId="1886" xr:uid="{00000000-0005-0000-0000-0000CB400000}"/>
    <cellStyle name="40% - Accent2 3 2 2 2" xfId="1887" xr:uid="{00000000-0005-0000-0000-0000CC400000}"/>
    <cellStyle name="40% - Accent2 3 2 2 2 2" xfId="1888" xr:uid="{00000000-0005-0000-0000-0000CD400000}"/>
    <cellStyle name="40% - Accent2 3 2 2 3" xfId="1889" xr:uid="{00000000-0005-0000-0000-0000CE400000}"/>
    <cellStyle name="40% - Accent2 3 2 3" xfId="1890" xr:uid="{00000000-0005-0000-0000-0000CF400000}"/>
    <cellStyle name="40% - Accent2 3 2 3 2" xfId="1891" xr:uid="{00000000-0005-0000-0000-0000D0400000}"/>
    <cellStyle name="40% - Accent2 3 2 4" xfId="1892" xr:uid="{00000000-0005-0000-0000-0000D1400000}"/>
    <cellStyle name="40% - Accent2 3 2 5" xfId="13124" xr:uid="{00000000-0005-0000-0000-0000D2400000}"/>
    <cellStyle name="40% - Accent2 3 3" xfId="1893" xr:uid="{00000000-0005-0000-0000-0000D3400000}"/>
    <cellStyle name="40% - Accent2 3 3 2" xfId="1894" xr:uid="{00000000-0005-0000-0000-0000D4400000}"/>
    <cellStyle name="40% - Accent2 3 3 2 2" xfId="1895" xr:uid="{00000000-0005-0000-0000-0000D5400000}"/>
    <cellStyle name="40% - Accent2 3 3 2 2 2" xfId="1896" xr:uid="{00000000-0005-0000-0000-0000D6400000}"/>
    <cellStyle name="40% - Accent2 3 3 2 3" xfId="1897" xr:uid="{00000000-0005-0000-0000-0000D7400000}"/>
    <cellStyle name="40% - Accent2 3 3 3" xfId="1898" xr:uid="{00000000-0005-0000-0000-0000D8400000}"/>
    <cellStyle name="40% - Accent2 3 3 3 2" xfId="1899" xr:uid="{00000000-0005-0000-0000-0000D9400000}"/>
    <cellStyle name="40% - Accent2 3 3 4" xfId="1900" xr:uid="{00000000-0005-0000-0000-0000DA400000}"/>
    <cellStyle name="40% - Accent2 3 3 5" xfId="13529" xr:uid="{00000000-0005-0000-0000-0000DB400000}"/>
    <cellStyle name="40% - Accent2 3 4" xfId="1901" xr:uid="{00000000-0005-0000-0000-0000DC400000}"/>
    <cellStyle name="40% - Accent2 3 4 2" xfId="1902" xr:uid="{00000000-0005-0000-0000-0000DD400000}"/>
    <cellStyle name="40% - Accent2 3 4 2 2" xfId="1903" xr:uid="{00000000-0005-0000-0000-0000DE400000}"/>
    <cellStyle name="40% - Accent2 3 4 3" xfId="1904" xr:uid="{00000000-0005-0000-0000-0000DF400000}"/>
    <cellStyle name="40% - Accent2 3 4 4" xfId="22296" xr:uid="{00000000-0005-0000-0000-0000E0400000}"/>
    <cellStyle name="40% - Accent2 3 5" xfId="1905" xr:uid="{00000000-0005-0000-0000-0000E1400000}"/>
    <cellStyle name="40% - Accent2 3 5 2" xfId="1906" xr:uid="{00000000-0005-0000-0000-0000E2400000}"/>
    <cellStyle name="40% - Accent2 3 5 3" xfId="23327" xr:uid="{00000000-0005-0000-0000-0000E3400000}"/>
    <cellStyle name="40% - Accent2 3 6" xfId="1907" xr:uid="{00000000-0005-0000-0000-0000E4400000}"/>
    <cellStyle name="40% - Accent2 3 7" xfId="1884" xr:uid="{00000000-0005-0000-0000-0000E5400000}"/>
    <cellStyle name="40% - Accent2 3 8" xfId="12202" xr:uid="{00000000-0005-0000-0000-0000E6400000}"/>
    <cellStyle name="40% - Accent2 4" xfId="159" xr:uid="{00000000-0005-0000-0000-0000E7400000}"/>
    <cellStyle name="40% - Accent2 4 2" xfId="1908" xr:uid="{00000000-0005-0000-0000-0000E8400000}"/>
    <cellStyle name="40% - Accent2 4 2 2" xfId="13692" xr:uid="{00000000-0005-0000-0000-0000E9400000}"/>
    <cellStyle name="40% - Accent2 4 3" xfId="22297" xr:uid="{00000000-0005-0000-0000-0000EA400000}"/>
    <cellStyle name="40% - Accent2 4 4" xfId="23329" xr:uid="{00000000-0005-0000-0000-0000EB400000}"/>
    <cellStyle name="40% - Accent2 4 5" xfId="12204" xr:uid="{00000000-0005-0000-0000-0000EC400000}"/>
    <cellStyle name="40% - Accent2 5" xfId="160" xr:uid="{00000000-0005-0000-0000-0000ED400000}"/>
    <cellStyle name="40% - Accent2 5 2" xfId="1909" xr:uid="{00000000-0005-0000-0000-0000EE400000}"/>
    <cellStyle name="40% - Accent2 5 2 2" xfId="22298" xr:uid="{00000000-0005-0000-0000-0000EF400000}"/>
    <cellStyle name="40% - Accent2 5 3" xfId="23529" xr:uid="{00000000-0005-0000-0000-0000F0400000}"/>
    <cellStyle name="40% - Accent2 5 4" xfId="12631" xr:uid="{00000000-0005-0000-0000-0000F1400000}"/>
    <cellStyle name="40% - Accent2 6" xfId="161" xr:uid="{00000000-0005-0000-0000-0000F2400000}"/>
    <cellStyle name="40% - Accent2 6 2" xfId="1910" xr:uid="{00000000-0005-0000-0000-0000F3400000}"/>
    <cellStyle name="40% - Accent2 6 2 2" xfId="22299" xr:uid="{00000000-0005-0000-0000-0000F4400000}"/>
    <cellStyle name="40% - Accent2 6 3" xfId="23598" xr:uid="{00000000-0005-0000-0000-0000F5400000}"/>
    <cellStyle name="40% - Accent2 6 4" xfId="12795" xr:uid="{00000000-0005-0000-0000-0000F6400000}"/>
    <cellStyle name="40% - Accent2 7" xfId="162" xr:uid="{00000000-0005-0000-0000-0000F7400000}"/>
    <cellStyle name="40% - Accent2 7 2" xfId="1911" xr:uid="{00000000-0005-0000-0000-0000F8400000}"/>
    <cellStyle name="40% - Accent2 8" xfId="163" xr:uid="{00000000-0005-0000-0000-0000F9400000}"/>
    <cellStyle name="40% - Accent2 8 2" xfId="1912" xr:uid="{00000000-0005-0000-0000-0000FA400000}"/>
    <cellStyle name="40% - Accent2 9" xfId="164" xr:uid="{00000000-0005-0000-0000-0000FB400000}"/>
    <cellStyle name="40% - Accent3 10" xfId="165" xr:uid="{00000000-0005-0000-0000-0000FC400000}"/>
    <cellStyle name="40% - Accent3 11" xfId="166" xr:uid="{00000000-0005-0000-0000-0000FD400000}"/>
    <cellStyle name="40% - Accent3 12" xfId="167" xr:uid="{00000000-0005-0000-0000-0000FE400000}"/>
    <cellStyle name="40% - Accent3 13" xfId="168" xr:uid="{00000000-0005-0000-0000-0000FF400000}"/>
    <cellStyle name="40% - Accent3 14" xfId="169" xr:uid="{00000000-0005-0000-0000-000000410000}"/>
    <cellStyle name="40% - Accent3 15" xfId="170" xr:uid="{00000000-0005-0000-0000-000001410000}"/>
    <cellStyle name="40% - Accent3 16" xfId="171" xr:uid="{00000000-0005-0000-0000-000002410000}"/>
    <cellStyle name="40% - Accent3 17" xfId="22765" xr:uid="{00000000-0005-0000-0000-000003410000}"/>
    <cellStyle name="40% - Accent3 17 2" xfId="32849" xr:uid="{00000000-0005-0000-0000-000004410000}"/>
    <cellStyle name="40% - Accent3 17 2 2" xfId="52035" xr:uid="{00000000-0005-0000-0000-000005410000}"/>
    <cellStyle name="40% - Accent3 17 3" xfId="23122" xr:uid="{00000000-0005-0000-0000-000006410000}"/>
    <cellStyle name="40% - Accent3 17 3 2" xfId="42690" xr:uid="{00000000-0005-0000-0000-000007410000}"/>
    <cellStyle name="40% - Accent3 17 4" xfId="42337" xr:uid="{00000000-0005-0000-0000-000008410000}"/>
    <cellStyle name="40% - Accent3 18" xfId="22793" xr:uid="{00000000-0005-0000-0000-000009410000}"/>
    <cellStyle name="40% - Accent3 18 2" xfId="32877" xr:uid="{00000000-0005-0000-0000-00000A410000}"/>
    <cellStyle name="40% - Accent3 18 2 2" xfId="52063" xr:uid="{00000000-0005-0000-0000-00000B410000}"/>
    <cellStyle name="40% - Accent3 18 3" xfId="23150" xr:uid="{00000000-0005-0000-0000-00000C410000}"/>
    <cellStyle name="40% - Accent3 18 3 2" xfId="42718" xr:uid="{00000000-0005-0000-0000-00000D410000}"/>
    <cellStyle name="40% - Accent3 18 4" xfId="42365" xr:uid="{00000000-0005-0000-0000-00000E410000}"/>
    <cellStyle name="40% - Accent3 19" xfId="22840" xr:uid="{00000000-0005-0000-0000-00000F410000}"/>
    <cellStyle name="40% - Accent3 19 2" xfId="32924" xr:uid="{00000000-0005-0000-0000-000010410000}"/>
    <cellStyle name="40% - Accent3 19 2 2" xfId="52110" xr:uid="{00000000-0005-0000-0000-000011410000}"/>
    <cellStyle name="40% - Accent3 19 3" xfId="23197" xr:uid="{00000000-0005-0000-0000-000012410000}"/>
    <cellStyle name="40% - Accent3 19 3 2" xfId="42765" xr:uid="{00000000-0005-0000-0000-000013410000}"/>
    <cellStyle name="40% - Accent3 19 4" xfId="42412" xr:uid="{00000000-0005-0000-0000-000014410000}"/>
    <cellStyle name="40% - Accent3 2" xfId="172" xr:uid="{00000000-0005-0000-0000-000015410000}"/>
    <cellStyle name="40% - Accent3 2 10" xfId="1914" xr:uid="{00000000-0005-0000-0000-000016410000}"/>
    <cellStyle name="40% - Accent3 2 10 10" xfId="53326" xr:uid="{00000000-0005-0000-0000-000017410000}"/>
    <cellStyle name="40% - Accent3 2 10 11" xfId="13125" xr:uid="{00000000-0005-0000-0000-000018410000}"/>
    <cellStyle name="40% - Accent3 2 10 2" xfId="14065" xr:uid="{00000000-0005-0000-0000-000019410000}"/>
    <cellStyle name="40% - Accent3 2 10 2 2" xfId="16329" xr:uid="{00000000-0005-0000-0000-00001A410000}"/>
    <cellStyle name="40% - Accent3 2 10 2 2 2" xfId="20793" xr:uid="{00000000-0005-0000-0000-00001B410000}"/>
    <cellStyle name="40% - Accent3 2 10 2 2 2 2" xfId="31161" xr:uid="{00000000-0005-0000-0000-00001C410000}"/>
    <cellStyle name="40% - Accent3 2 10 2 2 2 2 2" xfId="50350" xr:uid="{00000000-0005-0000-0000-00001D410000}"/>
    <cellStyle name="40% - Accent3 2 10 2 2 2 3" xfId="40652" xr:uid="{00000000-0005-0000-0000-00001E410000}"/>
    <cellStyle name="40% - Accent3 2 10 2 2 3" xfId="26706" xr:uid="{00000000-0005-0000-0000-00001F410000}"/>
    <cellStyle name="40% - Accent3 2 10 2 2 3 2" xfId="45895" xr:uid="{00000000-0005-0000-0000-000020410000}"/>
    <cellStyle name="40% - Accent3 2 10 2 2 4" xfId="36197" xr:uid="{00000000-0005-0000-0000-000021410000}"/>
    <cellStyle name="40% - Accent3 2 10 2 3" xfId="18565" xr:uid="{00000000-0005-0000-0000-000022410000}"/>
    <cellStyle name="40% - Accent3 2 10 2 3 2" xfId="28933" xr:uid="{00000000-0005-0000-0000-000023410000}"/>
    <cellStyle name="40% - Accent3 2 10 2 3 2 2" xfId="48122" xr:uid="{00000000-0005-0000-0000-000024410000}"/>
    <cellStyle name="40% - Accent3 2 10 2 3 3" xfId="38424" xr:uid="{00000000-0005-0000-0000-000025410000}"/>
    <cellStyle name="40% - Accent3 2 10 2 4" xfId="24473" xr:uid="{00000000-0005-0000-0000-000026410000}"/>
    <cellStyle name="40% - Accent3 2 10 2 4 2" xfId="43667" xr:uid="{00000000-0005-0000-0000-000027410000}"/>
    <cellStyle name="40% - Accent3 2 10 2 5" xfId="33969" xr:uid="{00000000-0005-0000-0000-000028410000}"/>
    <cellStyle name="40% - Accent3 2 10 2 6" xfId="54178" xr:uid="{00000000-0005-0000-0000-000029410000}"/>
    <cellStyle name="40% - Accent3 2 10 3" xfId="14644" xr:uid="{00000000-0005-0000-0000-00002A410000}"/>
    <cellStyle name="40% - Accent3 2 10 3 2" xfId="15773" xr:uid="{00000000-0005-0000-0000-00002B410000}"/>
    <cellStyle name="40% - Accent3 2 10 3 2 2" xfId="20237" xr:uid="{00000000-0005-0000-0000-00002C410000}"/>
    <cellStyle name="40% - Accent3 2 10 3 2 2 2" xfId="30605" xr:uid="{00000000-0005-0000-0000-00002D410000}"/>
    <cellStyle name="40% - Accent3 2 10 3 2 2 2 2" xfId="49794" xr:uid="{00000000-0005-0000-0000-00002E410000}"/>
    <cellStyle name="40% - Accent3 2 10 3 2 2 3" xfId="40096" xr:uid="{00000000-0005-0000-0000-00002F410000}"/>
    <cellStyle name="40% - Accent3 2 10 3 2 3" xfId="26150" xr:uid="{00000000-0005-0000-0000-000030410000}"/>
    <cellStyle name="40% - Accent3 2 10 3 2 3 2" xfId="45339" xr:uid="{00000000-0005-0000-0000-000031410000}"/>
    <cellStyle name="40% - Accent3 2 10 3 2 4" xfId="35641" xr:uid="{00000000-0005-0000-0000-000032410000}"/>
    <cellStyle name="40% - Accent3 2 10 3 3" xfId="19122" xr:uid="{00000000-0005-0000-0000-000033410000}"/>
    <cellStyle name="40% - Accent3 2 10 3 3 2" xfId="29490" xr:uid="{00000000-0005-0000-0000-000034410000}"/>
    <cellStyle name="40% - Accent3 2 10 3 3 2 2" xfId="48679" xr:uid="{00000000-0005-0000-0000-000035410000}"/>
    <cellStyle name="40% - Accent3 2 10 3 3 3" xfId="38981" xr:uid="{00000000-0005-0000-0000-000036410000}"/>
    <cellStyle name="40% - Accent3 2 10 3 4" xfId="25035" xr:uid="{00000000-0005-0000-0000-000037410000}"/>
    <cellStyle name="40% - Accent3 2 10 3 4 2" xfId="44224" xr:uid="{00000000-0005-0000-0000-000038410000}"/>
    <cellStyle name="40% - Accent3 2 10 3 5" xfId="34526" xr:uid="{00000000-0005-0000-0000-000039410000}"/>
    <cellStyle name="40% - Accent3 2 10 4" xfId="15216" xr:uid="{00000000-0005-0000-0000-00003A410000}"/>
    <cellStyle name="40% - Accent3 2 10 4 2" xfId="19680" xr:uid="{00000000-0005-0000-0000-00003B410000}"/>
    <cellStyle name="40% - Accent3 2 10 4 2 2" xfId="30048" xr:uid="{00000000-0005-0000-0000-00003C410000}"/>
    <cellStyle name="40% - Accent3 2 10 4 2 2 2" xfId="49237" xr:uid="{00000000-0005-0000-0000-00003D410000}"/>
    <cellStyle name="40% - Accent3 2 10 4 2 3" xfId="39539" xr:uid="{00000000-0005-0000-0000-00003E410000}"/>
    <cellStyle name="40% - Accent3 2 10 4 3" xfId="25593" xr:uid="{00000000-0005-0000-0000-00003F410000}"/>
    <cellStyle name="40% - Accent3 2 10 4 3 2" xfId="44782" xr:uid="{00000000-0005-0000-0000-000040410000}"/>
    <cellStyle name="40% - Accent3 2 10 4 4" xfId="35084" xr:uid="{00000000-0005-0000-0000-000041410000}"/>
    <cellStyle name="40% - Accent3 2 10 5" xfId="16886" xr:uid="{00000000-0005-0000-0000-000042410000}"/>
    <cellStyle name="40% - Accent3 2 10 5 2" xfId="21350" xr:uid="{00000000-0005-0000-0000-000043410000}"/>
    <cellStyle name="40% - Accent3 2 10 5 2 2" xfId="31718" xr:uid="{00000000-0005-0000-0000-000044410000}"/>
    <cellStyle name="40% - Accent3 2 10 5 2 2 2" xfId="50907" xr:uid="{00000000-0005-0000-0000-000045410000}"/>
    <cellStyle name="40% - Accent3 2 10 5 2 3" xfId="41209" xr:uid="{00000000-0005-0000-0000-000046410000}"/>
    <cellStyle name="40% - Accent3 2 10 5 3" xfId="27263" xr:uid="{00000000-0005-0000-0000-000047410000}"/>
    <cellStyle name="40% - Accent3 2 10 5 3 2" xfId="46452" xr:uid="{00000000-0005-0000-0000-000048410000}"/>
    <cellStyle name="40% - Accent3 2 10 5 4" xfId="36754" xr:uid="{00000000-0005-0000-0000-000049410000}"/>
    <cellStyle name="40% - Accent3 2 10 6" xfId="17452" xr:uid="{00000000-0005-0000-0000-00004A410000}"/>
    <cellStyle name="40% - Accent3 2 10 6 2" xfId="21907" xr:uid="{00000000-0005-0000-0000-00004B410000}"/>
    <cellStyle name="40% - Accent3 2 10 6 2 2" xfId="32275" xr:uid="{00000000-0005-0000-0000-00004C410000}"/>
    <cellStyle name="40% - Accent3 2 10 6 2 2 2" xfId="51464" xr:uid="{00000000-0005-0000-0000-00004D410000}"/>
    <cellStyle name="40% - Accent3 2 10 6 2 3" xfId="41766" xr:uid="{00000000-0005-0000-0000-00004E410000}"/>
    <cellStyle name="40% - Accent3 2 10 6 3" xfId="27820" xr:uid="{00000000-0005-0000-0000-00004F410000}"/>
    <cellStyle name="40% - Accent3 2 10 6 3 2" xfId="47009" xr:uid="{00000000-0005-0000-0000-000050410000}"/>
    <cellStyle name="40% - Accent3 2 10 6 4" xfId="37311" xr:uid="{00000000-0005-0000-0000-000051410000}"/>
    <cellStyle name="40% - Accent3 2 10 7" xfId="18009" xr:uid="{00000000-0005-0000-0000-000052410000}"/>
    <cellStyle name="40% - Accent3 2 10 7 2" xfId="28377" xr:uid="{00000000-0005-0000-0000-000053410000}"/>
    <cellStyle name="40% - Accent3 2 10 7 2 2" xfId="47566" xr:uid="{00000000-0005-0000-0000-000054410000}"/>
    <cellStyle name="40% - Accent3 2 10 7 3" xfId="37868" xr:uid="{00000000-0005-0000-0000-000055410000}"/>
    <cellStyle name="40% - Accent3 2 10 8" xfId="23872" xr:uid="{00000000-0005-0000-0000-000056410000}"/>
    <cellStyle name="40% - Accent3 2 10 8 2" xfId="43111" xr:uid="{00000000-0005-0000-0000-000057410000}"/>
    <cellStyle name="40% - Accent3 2 10 9" xfId="33413" xr:uid="{00000000-0005-0000-0000-000058410000}"/>
    <cellStyle name="40% - Accent3 2 11" xfId="1913" xr:uid="{00000000-0005-0000-0000-000059410000}"/>
    <cellStyle name="40% - Accent3 2 11 2" xfId="53353" xr:uid="{00000000-0005-0000-0000-00005A410000}"/>
    <cellStyle name="40% - Accent3 2 11 3" xfId="13499" xr:uid="{00000000-0005-0000-0000-00005B410000}"/>
    <cellStyle name="40% - Accent3 2 12" xfId="22213" xr:uid="{00000000-0005-0000-0000-00005C410000}"/>
    <cellStyle name="40% - Accent3 2 12 2" xfId="32572" xr:uid="{00000000-0005-0000-0000-00005D410000}"/>
    <cellStyle name="40% - Accent3 2 12 2 2" xfId="51760" xr:uid="{00000000-0005-0000-0000-00005E410000}"/>
    <cellStyle name="40% - Accent3 2 12 3" xfId="42062" xr:uid="{00000000-0005-0000-0000-00005F410000}"/>
    <cellStyle name="40% - Accent3 2 13" xfId="22241" xr:uid="{00000000-0005-0000-0000-000060410000}"/>
    <cellStyle name="40% - Accent3 2 13 2" xfId="32598" xr:uid="{00000000-0005-0000-0000-000061410000}"/>
    <cellStyle name="40% - Accent3 2 13 2 2" xfId="51786" xr:uid="{00000000-0005-0000-0000-000062410000}"/>
    <cellStyle name="40% - Accent3 2 13 3" xfId="42088" xr:uid="{00000000-0005-0000-0000-000063410000}"/>
    <cellStyle name="40% - Accent3 2 14" xfId="12208" xr:uid="{00000000-0005-0000-0000-000064410000}"/>
    <cellStyle name="40% - Accent3 2 15" xfId="23255" xr:uid="{00000000-0005-0000-0000-000065410000}"/>
    <cellStyle name="40% - Accent3 2 15 2" xfId="42821" xr:uid="{00000000-0005-0000-0000-000066410000}"/>
    <cellStyle name="40% - Accent3 2 16" xfId="32999" xr:uid="{00000000-0005-0000-0000-000067410000}"/>
    <cellStyle name="40% - Accent3 2 16 2" xfId="52185" xr:uid="{00000000-0005-0000-0000-000068410000}"/>
    <cellStyle name="40% - Accent3 2 17" xfId="33093" xr:uid="{00000000-0005-0000-0000-000069410000}"/>
    <cellStyle name="40% - Accent3 2 18" xfId="52279" xr:uid="{00000000-0005-0000-0000-00006A410000}"/>
    <cellStyle name="40% - Accent3 2 19" xfId="52336" xr:uid="{00000000-0005-0000-0000-00006B410000}"/>
    <cellStyle name="40% - Accent3 2 2" xfId="173" xr:uid="{00000000-0005-0000-0000-00006C410000}"/>
    <cellStyle name="40% - Accent3 2 2 2" xfId="1916" xr:uid="{00000000-0005-0000-0000-00006D410000}"/>
    <cellStyle name="40% - Accent3 2 2 2 2" xfId="8327" xr:uid="{00000000-0005-0000-0000-00006E410000}"/>
    <cellStyle name="40% - Accent3 2 2 2 2 2" xfId="11224" xr:uid="{00000000-0005-0000-0000-00006F410000}"/>
    <cellStyle name="40% - Accent3 2 2 2 2 2 2" xfId="53978" xr:uid="{00000000-0005-0000-0000-000070410000}"/>
    <cellStyle name="40% - Accent3 2 2 2 2 3" xfId="53125" xr:uid="{00000000-0005-0000-0000-000071410000}"/>
    <cellStyle name="40% - Accent3 2 2 2 3" xfId="9784" xr:uid="{00000000-0005-0000-0000-000072410000}"/>
    <cellStyle name="40% - Accent3 2 2 2 3 2" xfId="53582" xr:uid="{00000000-0005-0000-0000-000073410000}"/>
    <cellStyle name="40% - Accent3 2 2 2 4" xfId="6847" xr:uid="{00000000-0005-0000-0000-000074410000}"/>
    <cellStyle name="40% - Accent3 2 2 2 4 2" xfId="52697" xr:uid="{00000000-0005-0000-0000-000075410000}"/>
    <cellStyle name="40% - Accent3 2 2 2 5" xfId="12713" xr:uid="{00000000-0005-0000-0000-000076410000}"/>
    <cellStyle name="40% - Accent3 2 2 3" xfId="1917" xr:uid="{00000000-0005-0000-0000-000077410000}"/>
    <cellStyle name="40% - Accent3 2 2 3 2" xfId="10566" xr:uid="{00000000-0005-0000-0000-000078410000}"/>
    <cellStyle name="40% - Accent3 2 2 3 2 2" xfId="53782" xr:uid="{00000000-0005-0000-0000-000079410000}"/>
    <cellStyle name="40% - Accent3 2 2 3 3" xfId="7666" xr:uid="{00000000-0005-0000-0000-00007A410000}"/>
    <cellStyle name="40% - Accent3 2 2 3 3 2" xfId="52907" xr:uid="{00000000-0005-0000-0000-00007B410000}"/>
    <cellStyle name="40% - Accent3 2 2 3 4" xfId="12210" xr:uid="{00000000-0005-0000-0000-00007C410000}"/>
    <cellStyle name="40% - Accent3 2 2 4" xfId="1915" xr:uid="{00000000-0005-0000-0000-00007D410000}"/>
    <cellStyle name="40% - Accent3 2 2 4 2" xfId="9126" xr:uid="{00000000-0005-0000-0000-00007E410000}"/>
    <cellStyle name="40% - Accent3 2 2 4 2 2" xfId="51869" xr:uid="{00000000-0005-0000-0000-00007F410000}"/>
    <cellStyle name="40% - Accent3 2 2 4 2 3" xfId="32682" xr:uid="{00000000-0005-0000-0000-000080410000}"/>
    <cellStyle name="40% - Accent3 2 2 4 3" xfId="42171" xr:uid="{00000000-0005-0000-0000-000081410000}"/>
    <cellStyle name="40% - Accent3 2 2 4 4" xfId="53386" xr:uid="{00000000-0005-0000-0000-000082410000}"/>
    <cellStyle name="40% - Accent3 2 2 4 5" xfId="22580" xr:uid="{00000000-0005-0000-0000-000083410000}"/>
    <cellStyle name="40% - Accent3 2 2 5" xfId="6140" xr:uid="{00000000-0005-0000-0000-000084410000}"/>
    <cellStyle name="40% - Accent3 2 2 5 2" xfId="23289" xr:uid="{00000000-0005-0000-0000-000085410000}"/>
    <cellStyle name="40% - Accent3 2 2 6" xfId="22955" xr:uid="{00000000-0005-0000-0000-000086410000}"/>
    <cellStyle name="40% - Accent3 2 2 6 2" xfId="42524" xr:uid="{00000000-0005-0000-0000-000087410000}"/>
    <cellStyle name="40% - Accent3 2 2 7" xfId="12144" xr:uid="{00000000-0005-0000-0000-000088410000}"/>
    <cellStyle name="40% - Accent3 2 2 8" xfId="52493" xr:uid="{00000000-0005-0000-0000-000089410000}"/>
    <cellStyle name="40% - Accent3 2 2 9" xfId="12018" xr:uid="{00000000-0005-0000-0000-00008A410000}"/>
    <cellStyle name="40% - Accent3 2 20" xfId="52385" xr:uid="{00000000-0005-0000-0000-00008B410000}"/>
    <cellStyle name="40% - Accent3 2 21" xfId="12105" xr:uid="{00000000-0005-0000-0000-00008C410000}"/>
    <cellStyle name="40% - Accent3 2 22" xfId="52427" xr:uid="{00000000-0005-0000-0000-00008D410000}"/>
    <cellStyle name="40% - Accent3 2 23" xfId="52451" xr:uid="{00000000-0005-0000-0000-00008E410000}"/>
    <cellStyle name="40% - Accent3 2 24" xfId="11962" xr:uid="{00000000-0005-0000-0000-00008F410000}"/>
    <cellStyle name="40% - Accent3 2 3" xfId="174" xr:uid="{00000000-0005-0000-0000-000090410000}"/>
    <cellStyle name="40% - Accent3 2 3 10" xfId="52534" xr:uid="{00000000-0005-0000-0000-000091410000}"/>
    <cellStyle name="40% - Accent3 2 3 11" xfId="12019" xr:uid="{00000000-0005-0000-0000-000092410000}"/>
    <cellStyle name="40% - Accent3 2 3 2" xfId="1919" xr:uid="{00000000-0005-0000-0000-000093410000}"/>
    <cellStyle name="40% - Accent3 2 3 2 10" xfId="18010" xr:uid="{00000000-0005-0000-0000-000094410000}"/>
    <cellStyle name="40% - Accent3 2 3 2 10 2" xfId="28378" xr:uid="{00000000-0005-0000-0000-000095410000}"/>
    <cellStyle name="40% - Accent3 2 3 2 10 2 2" xfId="47567" xr:uid="{00000000-0005-0000-0000-000096410000}"/>
    <cellStyle name="40% - Accent3 2 3 2 10 3" xfId="37869" xr:uid="{00000000-0005-0000-0000-000097410000}"/>
    <cellStyle name="40% - Accent3 2 3 2 11" xfId="23873" xr:uid="{00000000-0005-0000-0000-000098410000}"/>
    <cellStyle name="40% - Accent3 2 3 2 11 2" xfId="43112" xr:uid="{00000000-0005-0000-0000-000099410000}"/>
    <cellStyle name="40% - Accent3 2 3 2 12" xfId="33414" xr:uid="{00000000-0005-0000-0000-00009A410000}"/>
    <cellStyle name="40% - Accent3 2 3 2 13" xfId="52735" xr:uid="{00000000-0005-0000-0000-00009B410000}"/>
    <cellStyle name="40% - Accent3 2 3 2 14" xfId="13126" xr:uid="{00000000-0005-0000-0000-00009C410000}"/>
    <cellStyle name="40% - Accent3 2 3 2 2" xfId="13127" xr:uid="{00000000-0005-0000-0000-00009D410000}"/>
    <cellStyle name="40% - Accent3 2 3 2 2 10" xfId="23874" xr:uid="{00000000-0005-0000-0000-00009E410000}"/>
    <cellStyle name="40% - Accent3 2 3 2 2 10 2" xfId="43113" xr:uid="{00000000-0005-0000-0000-00009F410000}"/>
    <cellStyle name="40% - Accent3 2 3 2 2 11" xfId="33415" xr:uid="{00000000-0005-0000-0000-0000A0410000}"/>
    <cellStyle name="40% - Accent3 2 3 2 2 12" xfId="53163" xr:uid="{00000000-0005-0000-0000-0000A1410000}"/>
    <cellStyle name="40% - Accent3 2 3 2 2 2" xfId="13128" xr:uid="{00000000-0005-0000-0000-0000A2410000}"/>
    <cellStyle name="40% - Accent3 2 3 2 2 2 10" xfId="54016" xr:uid="{00000000-0005-0000-0000-0000A3410000}"/>
    <cellStyle name="40% - Accent3 2 3 2 2 2 2" xfId="14068" xr:uid="{00000000-0005-0000-0000-0000A4410000}"/>
    <cellStyle name="40% - Accent3 2 3 2 2 2 2 2" xfId="16332" xr:uid="{00000000-0005-0000-0000-0000A5410000}"/>
    <cellStyle name="40% - Accent3 2 3 2 2 2 2 2 2" xfId="20796" xr:uid="{00000000-0005-0000-0000-0000A6410000}"/>
    <cellStyle name="40% - Accent3 2 3 2 2 2 2 2 2 2" xfId="31164" xr:uid="{00000000-0005-0000-0000-0000A7410000}"/>
    <cellStyle name="40% - Accent3 2 3 2 2 2 2 2 2 2 2" xfId="50353" xr:uid="{00000000-0005-0000-0000-0000A8410000}"/>
    <cellStyle name="40% - Accent3 2 3 2 2 2 2 2 2 3" xfId="40655" xr:uid="{00000000-0005-0000-0000-0000A9410000}"/>
    <cellStyle name="40% - Accent3 2 3 2 2 2 2 2 3" xfId="26709" xr:uid="{00000000-0005-0000-0000-0000AA410000}"/>
    <cellStyle name="40% - Accent3 2 3 2 2 2 2 2 3 2" xfId="45898" xr:uid="{00000000-0005-0000-0000-0000AB410000}"/>
    <cellStyle name="40% - Accent3 2 3 2 2 2 2 2 4" xfId="36200" xr:uid="{00000000-0005-0000-0000-0000AC410000}"/>
    <cellStyle name="40% - Accent3 2 3 2 2 2 2 3" xfId="18568" xr:uid="{00000000-0005-0000-0000-0000AD410000}"/>
    <cellStyle name="40% - Accent3 2 3 2 2 2 2 3 2" xfId="28936" xr:uid="{00000000-0005-0000-0000-0000AE410000}"/>
    <cellStyle name="40% - Accent3 2 3 2 2 2 2 3 2 2" xfId="48125" xr:uid="{00000000-0005-0000-0000-0000AF410000}"/>
    <cellStyle name="40% - Accent3 2 3 2 2 2 2 3 3" xfId="38427" xr:uid="{00000000-0005-0000-0000-0000B0410000}"/>
    <cellStyle name="40% - Accent3 2 3 2 2 2 2 4" xfId="24476" xr:uid="{00000000-0005-0000-0000-0000B1410000}"/>
    <cellStyle name="40% - Accent3 2 3 2 2 2 2 4 2" xfId="43670" xr:uid="{00000000-0005-0000-0000-0000B2410000}"/>
    <cellStyle name="40% - Accent3 2 3 2 2 2 2 5" xfId="33972" xr:uid="{00000000-0005-0000-0000-0000B3410000}"/>
    <cellStyle name="40% - Accent3 2 3 2 2 2 3" xfId="14647" xr:uid="{00000000-0005-0000-0000-0000B4410000}"/>
    <cellStyle name="40% - Accent3 2 3 2 2 2 3 2" xfId="15776" xr:uid="{00000000-0005-0000-0000-0000B5410000}"/>
    <cellStyle name="40% - Accent3 2 3 2 2 2 3 2 2" xfId="20240" xr:uid="{00000000-0005-0000-0000-0000B6410000}"/>
    <cellStyle name="40% - Accent3 2 3 2 2 2 3 2 2 2" xfId="30608" xr:uid="{00000000-0005-0000-0000-0000B7410000}"/>
    <cellStyle name="40% - Accent3 2 3 2 2 2 3 2 2 2 2" xfId="49797" xr:uid="{00000000-0005-0000-0000-0000B8410000}"/>
    <cellStyle name="40% - Accent3 2 3 2 2 2 3 2 2 3" xfId="40099" xr:uid="{00000000-0005-0000-0000-0000B9410000}"/>
    <cellStyle name="40% - Accent3 2 3 2 2 2 3 2 3" xfId="26153" xr:uid="{00000000-0005-0000-0000-0000BA410000}"/>
    <cellStyle name="40% - Accent3 2 3 2 2 2 3 2 3 2" xfId="45342" xr:uid="{00000000-0005-0000-0000-0000BB410000}"/>
    <cellStyle name="40% - Accent3 2 3 2 2 2 3 2 4" xfId="35644" xr:uid="{00000000-0005-0000-0000-0000BC410000}"/>
    <cellStyle name="40% - Accent3 2 3 2 2 2 3 3" xfId="19125" xr:uid="{00000000-0005-0000-0000-0000BD410000}"/>
    <cellStyle name="40% - Accent3 2 3 2 2 2 3 3 2" xfId="29493" xr:uid="{00000000-0005-0000-0000-0000BE410000}"/>
    <cellStyle name="40% - Accent3 2 3 2 2 2 3 3 2 2" xfId="48682" xr:uid="{00000000-0005-0000-0000-0000BF410000}"/>
    <cellStyle name="40% - Accent3 2 3 2 2 2 3 3 3" xfId="38984" xr:uid="{00000000-0005-0000-0000-0000C0410000}"/>
    <cellStyle name="40% - Accent3 2 3 2 2 2 3 4" xfId="25038" xr:uid="{00000000-0005-0000-0000-0000C1410000}"/>
    <cellStyle name="40% - Accent3 2 3 2 2 2 3 4 2" xfId="44227" xr:uid="{00000000-0005-0000-0000-0000C2410000}"/>
    <cellStyle name="40% - Accent3 2 3 2 2 2 3 5" xfId="34529" xr:uid="{00000000-0005-0000-0000-0000C3410000}"/>
    <cellStyle name="40% - Accent3 2 3 2 2 2 4" xfId="15219" xr:uid="{00000000-0005-0000-0000-0000C4410000}"/>
    <cellStyle name="40% - Accent3 2 3 2 2 2 4 2" xfId="19683" xr:uid="{00000000-0005-0000-0000-0000C5410000}"/>
    <cellStyle name="40% - Accent3 2 3 2 2 2 4 2 2" xfId="30051" xr:uid="{00000000-0005-0000-0000-0000C6410000}"/>
    <cellStyle name="40% - Accent3 2 3 2 2 2 4 2 2 2" xfId="49240" xr:uid="{00000000-0005-0000-0000-0000C7410000}"/>
    <cellStyle name="40% - Accent3 2 3 2 2 2 4 2 3" xfId="39542" xr:uid="{00000000-0005-0000-0000-0000C8410000}"/>
    <cellStyle name="40% - Accent3 2 3 2 2 2 4 3" xfId="25596" xr:uid="{00000000-0005-0000-0000-0000C9410000}"/>
    <cellStyle name="40% - Accent3 2 3 2 2 2 4 3 2" xfId="44785" xr:uid="{00000000-0005-0000-0000-0000CA410000}"/>
    <cellStyle name="40% - Accent3 2 3 2 2 2 4 4" xfId="35087" xr:uid="{00000000-0005-0000-0000-0000CB410000}"/>
    <cellStyle name="40% - Accent3 2 3 2 2 2 5" xfId="16889" xr:uid="{00000000-0005-0000-0000-0000CC410000}"/>
    <cellStyle name="40% - Accent3 2 3 2 2 2 5 2" xfId="21353" xr:uid="{00000000-0005-0000-0000-0000CD410000}"/>
    <cellStyle name="40% - Accent3 2 3 2 2 2 5 2 2" xfId="31721" xr:uid="{00000000-0005-0000-0000-0000CE410000}"/>
    <cellStyle name="40% - Accent3 2 3 2 2 2 5 2 2 2" xfId="50910" xr:uid="{00000000-0005-0000-0000-0000CF410000}"/>
    <cellStyle name="40% - Accent3 2 3 2 2 2 5 2 3" xfId="41212" xr:uid="{00000000-0005-0000-0000-0000D0410000}"/>
    <cellStyle name="40% - Accent3 2 3 2 2 2 5 3" xfId="27266" xr:uid="{00000000-0005-0000-0000-0000D1410000}"/>
    <cellStyle name="40% - Accent3 2 3 2 2 2 5 3 2" xfId="46455" xr:uid="{00000000-0005-0000-0000-0000D2410000}"/>
    <cellStyle name="40% - Accent3 2 3 2 2 2 5 4" xfId="36757" xr:uid="{00000000-0005-0000-0000-0000D3410000}"/>
    <cellStyle name="40% - Accent3 2 3 2 2 2 6" xfId="17455" xr:uid="{00000000-0005-0000-0000-0000D4410000}"/>
    <cellStyle name="40% - Accent3 2 3 2 2 2 6 2" xfId="21910" xr:uid="{00000000-0005-0000-0000-0000D5410000}"/>
    <cellStyle name="40% - Accent3 2 3 2 2 2 6 2 2" xfId="32278" xr:uid="{00000000-0005-0000-0000-0000D6410000}"/>
    <cellStyle name="40% - Accent3 2 3 2 2 2 6 2 2 2" xfId="51467" xr:uid="{00000000-0005-0000-0000-0000D7410000}"/>
    <cellStyle name="40% - Accent3 2 3 2 2 2 6 2 3" xfId="41769" xr:uid="{00000000-0005-0000-0000-0000D8410000}"/>
    <cellStyle name="40% - Accent3 2 3 2 2 2 6 3" xfId="27823" xr:uid="{00000000-0005-0000-0000-0000D9410000}"/>
    <cellStyle name="40% - Accent3 2 3 2 2 2 6 3 2" xfId="47012" xr:uid="{00000000-0005-0000-0000-0000DA410000}"/>
    <cellStyle name="40% - Accent3 2 3 2 2 2 6 4" xfId="37314" xr:uid="{00000000-0005-0000-0000-0000DB410000}"/>
    <cellStyle name="40% - Accent3 2 3 2 2 2 7" xfId="18012" xr:uid="{00000000-0005-0000-0000-0000DC410000}"/>
    <cellStyle name="40% - Accent3 2 3 2 2 2 7 2" xfId="28380" xr:uid="{00000000-0005-0000-0000-0000DD410000}"/>
    <cellStyle name="40% - Accent3 2 3 2 2 2 7 2 2" xfId="47569" xr:uid="{00000000-0005-0000-0000-0000DE410000}"/>
    <cellStyle name="40% - Accent3 2 3 2 2 2 7 3" xfId="37871" xr:uid="{00000000-0005-0000-0000-0000DF410000}"/>
    <cellStyle name="40% - Accent3 2 3 2 2 2 8" xfId="23875" xr:uid="{00000000-0005-0000-0000-0000E0410000}"/>
    <cellStyle name="40% - Accent3 2 3 2 2 2 8 2" xfId="43114" xr:uid="{00000000-0005-0000-0000-0000E1410000}"/>
    <cellStyle name="40% - Accent3 2 3 2 2 2 9" xfId="33416" xr:uid="{00000000-0005-0000-0000-0000E2410000}"/>
    <cellStyle name="40% - Accent3 2 3 2 2 3" xfId="13129" xr:uid="{00000000-0005-0000-0000-0000E3410000}"/>
    <cellStyle name="40% - Accent3 2 3 2 2 3 2" xfId="14069" xr:uid="{00000000-0005-0000-0000-0000E4410000}"/>
    <cellStyle name="40% - Accent3 2 3 2 2 3 2 2" xfId="16333" xr:uid="{00000000-0005-0000-0000-0000E5410000}"/>
    <cellStyle name="40% - Accent3 2 3 2 2 3 2 2 2" xfId="20797" xr:uid="{00000000-0005-0000-0000-0000E6410000}"/>
    <cellStyle name="40% - Accent3 2 3 2 2 3 2 2 2 2" xfId="31165" xr:uid="{00000000-0005-0000-0000-0000E7410000}"/>
    <cellStyle name="40% - Accent3 2 3 2 2 3 2 2 2 2 2" xfId="50354" xr:uid="{00000000-0005-0000-0000-0000E8410000}"/>
    <cellStyle name="40% - Accent3 2 3 2 2 3 2 2 2 3" xfId="40656" xr:uid="{00000000-0005-0000-0000-0000E9410000}"/>
    <cellStyle name="40% - Accent3 2 3 2 2 3 2 2 3" xfId="26710" xr:uid="{00000000-0005-0000-0000-0000EA410000}"/>
    <cellStyle name="40% - Accent3 2 3 2 2 3 2 2 3 2" xfId="45899" xr:uid="{00000000-0005-0000-0000-0000EB410000}"/>
    <cellStyle name="40% - Accent3 2 3 2 2 3 2 2 4" xfId="36201" xr:uid="{00000000-0005-0000-0000-0000EC410000}"/>
    <cellStyle name="40% - Accent3 2 3 2 2 3 2 3" xfId="18569" xr:uid="{00000000-0005-0000-0000-0000ED410000}"/>
    <cellStyle name="40% - Accent3 2 3 2 2 3 2 3 2" xfId="28937" xr:uid="{00000000-0005-0000-0000-0000EE410000}"/>
    <cellStyle name="40% - Accent3 2 3 2 2 3 2 3 2 2" xfId="48126" xr:uid="{00000000-0005-0000-0000-0000EF410000}"/>
    <cellStyle name="40% - Accent3 2 3 2 2 3 2 3 3" xfId="38428" xr:uid="{00000000-0005-0000-0000-0000F0410000}"/>
    <cellStyle name="40% - Accent3 2 3 2 2 3 2 4" xfId="24477" xr:uid="{00000000-0005-0000-0000-0000F1410000}"/>
    <cellStyle name="40% - Accent3 2 3 2 2 3 2 4 2" xfId="43671" xr:uid="{00000000-0005-0000-0000-0000F2410000}"/>
    <cellStyle name="40% - Accent3 2 3 2 2 3 2 5" xfId="33973" xr:uid="{00000000-0005-0000-0000-0000F3410000}"/>
    <cellStyle name="40% - Accent3 2 3 2 2 3 3" xfId="14648" xr:uid="{00000000-0005-0000-0000-0000F4410000}"/>
    <cellStyle name="40% - Accent3 2 3 2 2 3 3 2" xfId="15777" xr:uid="{00000000-0005-0000-0000-0000F5410000}"/>
    <cellStyle name="40% - Accent3 2 3 2 2 3 3 2 2" xfId="20241" xr:uid="{00000000-0005-0000-0000-0000F6410000}"/>
    <cellStyle name="40% - Accent3 2 3 2 2 3 3 2 2 2" xfId="30609" xr:uid="{00000000-0005-0000-0000-0000F7410000}"/>
    <cellStyle name="40% - Accent3 2 3 2 2 3 3 2 2 2 2" xfId="49798" xr:uid="{00000000-0005-0000-0000-0000F8410000}"/>
    <cellStyle name="40% - Accent3 2 3 2 2 3 3 2 2 3" xfId="40100" xr:uid="{00000000-0005-0000-0000-0000F9410000}"/>
    <cellStyle name="40% - Accent3 2 3 2 2 3 3 2 3" xfId="26154" xr:uid="{00000000-0005-0000-0000-0000FA410000}"/>
    <cellStyle name="40% - Accent3 2 3 2 2 3 3 2 3 2" xfId="45343" xr:uid="{00000000-0005-0000-0000-0000FB410000}"/>
    <cellStyle name="40% - Accent3 2 3 2 2 3 3 2 4" xfId="35645" xr:uid="{00000000-0005-0000-0000-0000FC410000}"/>
    <cellStyle name="40% - Accent3 2 3 2 2 3 3 3" xfId="19126" xr:uid="{00000000-0005-0000-0000-0000FD410000}"/>
    <cellStyle name="40% - Accent3 2 3 2 2 3 3 3 2" xfId="29494" xr:uid="{00000000-0005-0000-0000-0000FE410000}"/>
    <cellStyle name="40% - Accent3 2 3 2 2 3 3 3 2 2" xfId="48683" xr:uid="{00000000-0005-0000-0000-0000FF410000}"/>
    <cellStyle name="40% - Accent3 2 3 2 2 3 3 3 3" xfId="38985" xr:uid="{00000000-0005-0000-0000-000000420000}"/>
    <cellStyle name="40% - Accent3 2 3 2 2 3 3 4" xfId="25039" xr:uid="{00000000-0005-0000-0000-000001420000}"/>
    <cellStyle name="40% - Accent3 2 3 2 2 3 3 4 2" xfId="44228" xr:uid="{00000000-0005-0000-0000-000002420000}"/>
    <cellStyle name="40% - Accent3 2 3 2 2 3 3 5" xfId="34530" xr:uid="{00000000-0005-0000-0000-000003420000}"/>
    <cellStyle name="40% - Accent3 2 3 2 2 3 4" xfId="15220" xr:uid="{00000000-0005-0000-0000-000004420000}"/>
    <cellStyle name="40% - Accent3 2 3 2 2 3 4 2" xfId="19684" xr:uid="{00000000-0005-0000-0000-000005420000}"/>
    <cellStyle name="40% - Accent3 2 3 2 2 3 4 2 2" xfId="30052" xr:uid="{00000000-0005-0000-0000-000006420000}"/>
    <cellStyle name="40% - Accent3 2 3 2 2 3 4 2 2 2" xfId="49241" xr:uid="{00000000-0005-0000-0000-000007420000}"/>
    <cellStyle name="40% - Accent3 2 3 2 2 3 4 2 3" xfId="39543" xr:uid="{00000000-0005-0000-0000-000008420000}"/>
    <cellStyle name="40% - Accent3 2 3 2 2 3 4 3" xfId="25597" xr:uid="{00000000-0005-0000-0000-000009420000}"/>
    <cellStyle name="40% - Accent3 2 3 2 2 3 4 3 2" xfId="44786" xr:uid="{00000000-0005-0000-0000-00000A420000}"/>
    <cellStyle name="40% - Accent3 2 3 2 2 3 4 4" xfId="35088" xr:uid="{00000000-0005-0000-0000-00000B420000}"/>
    <cellStyle name="40% - Accent3 2 3 2 2 3 5" xfId="16890" xr:uid="{00000000-0005-0000-0000-00000C420000}"/>
    <cellStyle name="40% - Accent3 2 3 2 2 3 5 2" xfId="21354" xr:uid="{00000000-0005-0000-0000-00000D420000}"/>
    <cellStyle name="40% - Accent3 2 3 2 2 3 5 2 2" xfId="31722" xr:uid="{00000000-0005-0000-0000-00000E420000}"/>
    <cellStyle name="40% - Accent3 2 3 2 2 3 5 2 2 2" xfId="50911" xr:uid="{00000000-0005-0000-0000-00000F420000}"/>
    <cellStyle name="40% - Accent3 2 3 2 2 3 5 2 3" xfId="41213" xr:uid="{00000000-0005-0000-0000-000010420000}"/>
    <cellStyle name="40% - Accent3 2 3 2 2 3 5 3" xfId="27267" xr:uid="{00000000-0005-0000-0000-000011420000}"/>
    <cellStyle name="40% - Accent3 2 3 2 2 3 5 3 2" xfId="46456" xr:uid="{00000000-0005-0000-0000-000012420000}"/>
    <cellStyle name="40% - Accent3 2 3 2 2 3 5 4" xfId="36758" xr:uid="{00000000-0005-0000-0000-000013420000}"/>
    <cellStyle name="40% - Accent3 2 3 2 2 3 6" xfId="17456" xr:uid="{00000000-0005-0000-0000-000014420000}"/>
    <cellStyle name="40% - Accent3 2 3 2 2 3 6 2" xfId="21911" xr:uid="{00000000-0005-0000-0000-000015420000}"/>
    <cellStyle name="40% - Accent3 2 3 2 2 3 6 2 2" xfId="32279" xr:uid="{00000000-0005-0000-0000-000016420000}"/>
    <cellStyle name="40% - Accent3 2 3 2 2 3 6 2 2 2" xfId="51468" xr:uid="{00000000-0005-0000-0000-000017420000}"/>
    <cellStyle name="40% - Accent3 2 3 2 2 3 6 2 3" xfId="41770" xr:uid="{00000000-0005-0000-0000-000018420000}"/>
    <cellStyle name="40% - Accent3 2 3 2 2 3 6 3" xfId="27824" xr:uid="{00000000-0005-0000-0000-000019420000}"/>
    <cellStyle name="40% - Accent3 2 3 2 2 3 6 3 2" xfId="47013" xr:uid="{00000000-0005-0000-0000-00001A420000}"/>
    <cellStyle name="40% - Accent3 2 3 2 2 3 6 4" xfId="37315" xr:uid="{00000000-0005-0000-0000-00001B420000}"/>
    <cellStyle name="40% - Accent3 2 3 2 2 3 7" xfId="18013" xr:uid="{00000000-0005-0000-0000-00001C420000}"/>
    <cellStyle name="40% - Accent3 2 3 2 2 3 7 2" xfId="28381" xr:uid="{00000000-0005-0000-0000-00001D420000}"/>
    <cellStyle name="40% - Accent3 2 3 2 2 3 7 2 2" xfId="47570" xr:uid="{00000000-0005-0000-0000-00001E420000}"/>
    <cellStyle name="40% - Accent3 2 3 2 2 3 7 3" xfId="37872" xr:uid="{00000000-0005-0000-0000-00001F420000}"/>
    <cellStyle name="40% - Accent3 2 3 2 2 3 8" xfId="23876" xr:uid="{00000000-0005-0000-0000-000020420000}"/>
    <cellStyle name="40% - Accent3 2 3 2 2 3 8 2" xfId="43115" xr:uid="{00000000-0005-0000-0000-000021420000}"/>
    <cellStyle name="40% - Accent3 2 3 2 2 3 9" xfId="33417" xr:uid="{00000000-0005-0000-0000-000022420000}"/>
    <cellStyle name="40% - Accent3 2 3 2 2 4" xfId="14067" xr:uid="{00000000-0005-0000-0000-000023420000}"/>
    <cellStyle name="40% - Accent3 2 3 2 2 4 2" xfId="16331" xr:uid="{00000000-0005-0000-0000-000024420000}"/>
    <cellStyle name="40% - Accent3 2 3 2 2 4 2 2" xfId="20795" xr:uid="{00000000-0005-0000-0000-000025420000}"/>
    <cellStyle name="40% - Accent3 2 3 2 2 4 2 2 2" xfId="31163" xr:uid="{00000000-0005-0000-0000-000026420000}"/>
    <cellStyle name="40% - Accent3 2 3 2 2 4 2 2 2 2" xfId="50352" xr:uid="{00000000-0005-0000-0000-000027420000}"/>
    <cellStyle name="40% - Accent3 2 3 2 2 4 2 2 3" xfId="40654" xr:uid="{00000000-0005-0000-0000-000028420000}"/>
    <cellStyle name="40% - Accent3 2 3 2 2 4 2 3" xfId="26708" xr:uid="{00000000-0005-0000-0000-000029420000}"/>
    <cellStyle name="40% - Accent3 2 3 2 2 4 2 3 2" xfId="45897" xr:uid="{00000000-0005-0000-0000-00002A420000}"/>
    <cellStyle name="40% - Accent3 2 3 2 2 4 2 4" xfId="36199" xr:uid="{00000000-0005-0000-0000-00002B420000}"/>
    <cellStyle name="40% - Accent3 2 3 2 2 4 3" xfId="18567" xr:uid="{00000000-0005-0000-0000-00002C420000}"/>
    <cellStyle name="40% - Accent3 2 3 2 2 4 3 2" xfId="28935" xr:uid="{00000000-0005-0000-0000-00002D420000}"/>
    <cellStyle name="40% - Accent3 2 3 2 2 4 3 2 2" xfId="48124" xr:uid="{00000000-0005-0000-0000-00002E420000}"/>
    <cellStyle name="40% - Accent3 2 3 2 2 4 3 3" xfId="38426" xr:uid="{00000000-0005-0000-0000-00002F420000}"/>
    <cellStyle name="40% - Accent3 2 3 2 2 4 4" xfId="24475" xr:uid="{00000000-0005-0000-0000-000030420000}"/>
    <cellStyle name="40% - Accent3 2 3 2 2 4 4 2" xfId="43669" xr:uid="{00000000-0005-0000-0000-000031420000}"/>
    <cellStyle name="40% - Accent3 2 3 2 2 4 5" xfId="33971" xr:uid="{00000000-0005-0000-0000-000032420000}"/>
    <cellStyle name="40% - Accent3 2 3 2 2 5" xfId="14646" xr:uid="{00000000-0005-0000-0000-000033420000}"/>
    <cellStyle name="40% - Accent3 2 3 2 2 5 2" xfId="15775" xr:uid="{00000000-0005-0000-0000-000034420000}"/>
    <cellStyle name="40% - Accent3 2 3 2 2 5 2 2" xfId="20239" xr:uid="{00000000-0005-0000-0000-000035420000}"/>
    <cellStyle name="40% - Accent3 2 3 2 2 5 2 2 2" xfId="30607" xr:uid="{00000000-0005-0000-0000-000036420000}"/>
    <cellStyle name="40% - Accent3 2 3 2 2 5 2 2 2 2" xfId="49796" xr:uid="{00000000-0005-0000-0000-000037420000}"/>
    <cellStyle name="40% - Accent3 2 3 2 2 5 2 2 3" xfId="40098" xr:uid="{00000000-0005-0000-0000-000038420000}"/>
    <cellStyle name="40% - Accent3 2 3 2 2 5 2 3" xfId="26152" xr:uid="{00000000-0005-0000-0000-000039420000}"/>
    <cellStyle name="40% - Accent3 2 3 2 2 5 2 3 2" xfId="45341" xr:uid="{00000000-0005-0000-0000-00003A420000}"/>
    <cellStyle name="40% - Accent3 2 3 2 2 5 2 4" xfId="35643" xr:uid="{00000000-0005-0000-0000-00003B420000}"/>
    <cellStyle name="40% - Accent3 2 3 2 2 5 3" xfId="19124" xr:uid="{00000000-0005-0000-0000-00003C420000}"/>
    <cellStyle name="40% - Accent3 2 3 2 2 5 3 2" xfId="29492" xr:uid="{00000000-0005-0000-0000-00003D420000}"/>
    <cellStyle name="40% - Accent3 2 3 2 2 5 3 2 2" xfId="48681" xr:uid="{00000000-0005-0000-0000-00003E420000}"/>
    <cellStyle name="40% - Accent3 2 3 2 2 5 3 3" xfId="38983" xr:uid="{00000000-0005-0000-0000-00003F420000}"/>
    <cellStyle name="40% - Accent3 2 3 2 2 5 4" xfId="25037" xr:uid="{00000000-0005-0000-0000-000040420000}"/>
    <cellStyle name="40% - Accent3 2 3 2 2 5 4 2" xfId="44226" xr:uid="{00000000-0005-0000-0000-000041420000}"/>
    <cellStyle name="40% - Accent3 2 3 2 2 5 5" xfId="34528" xr:uid="{00000000-0005-0000-0000-000042420000}"/>
    <cellStyle name="40% - Accent3 2 3 2 2 6" xfId="15218" xr:uid="{00000000-0005-0000-0000-000043420000}"/>
    <cellStyle name="40% - Accent3 2 3 2 2 6 2" xfId="19682" xr:uid="{00000000-0005-0000-0000-000044420000}"/>
    <cellStyle name="40% - Accent3 2 3 2 2 6 2 2" xfId="30050" xr:uid="{00000000-0005-0000-0000-000045420000}"/>
    <cellStyle name="40% - Accent3 2 3 2 2 6 2 2 2" xfId="49239" xr:uid="{00000000-0005-0000-0000-000046420000}"/>
    <cellStyle name="40% - Accent3 2 3 2 2 6 2 3" xfId="39541" xr:uid="{00000000-0005-0000-0000-000047420000}"/>
    <cellStyle name="40% - Accent3 2 3 2 2 6 3" xfId="25595" xr:uid="{00000000-0005-0000-0000-000048420000}"/>
    <cellStyle name="40% - Accent3 2 3 2 2 6 3 2" xfId="44784" xr:uid="{00000000-0005-0000-0000-000049420000}"/>
    <cellStyle name="40% - Accent3 2 3 2 2 6 4" xfId="35086" xr:uid="{00000000-0005-0000-0000-00004A420000}"/>
    <cellStyle name="40% - Accent3 2 3 2 2 7" xfId="16888" xr:uid="{00000000-0005-0000-0000-00004B420000}"/>
    <cellStyle name="40% - Accent3 2 3 2 2 7 2" xfId="21352" xr:uid="{00000000-0005-0000-0000-00004C420000}"/>
    <cellStyle name="40% - Accent3 2 3 2 2 7 2 2" xfId="31720" xr:uid="{00000000-0005-0000-0000-00004D420000}"/>
    <cellStyle name="40% - Accent3 2 3 2 2 7 2 2 2" xfId="50909" xr:uid="{00000000-0005-0000-0000-00004E420000}"/>
    <cellStyle name="40% - Accent3 2 3 2 2 7 2 3" xfId="41211" xr:uid="{00000000-0005-0000-0000-00004F420000}"/>
    <cellStyle name="40% - Accent3 2 3 2 2 7 3" xfId="27265" xr:uid="{00000000-0005-0000-0000-000050420000}"/>
    <cellStyle name="40% - Accent3 2 3 2 2 7 3 2" xfId="46454" xr:uid="{00000000-0005-0000-0000-000051420000}"/>
    <cellStyle name="40% - Accent3 2 3 2 2 7 4" xfId="36756" xr:uid="{00000000-0005-0000-0000-000052420000}"/>
    <cellStyle name="40% - Accent3 2 3 2 2 8" xfId="17454" xr:uid="{00000000-0005-0000-0000-000053420000}"/>
    <cellStyle name="40% - Accent3 2 3 2 2 8 2" xfId="21909" xr:uid="{00000000-0005-0000-0000-000054420000}"/>
    <cellStyle name="40% - Accent3 2 3 2 2 8 2 2" xfId="32277" xr:uid="{00000000-0005-0000-0000-000055420000}"/>
    <cellStyle name="40% - Accent3 2 3 2 2 8 2 2 2" xfId="51466" xr:uid="{00000000-0005-0000-0000-000056420000}"/>
    <cellStyle name="40% - Accent3 2 3 2 2 8 2 3" xfId="41768" xr:uid="{00000000-0005-0000-0000-000057420000}"/>
    <cellStyle name="40% - Accent3 2 3 2 2 8 3" xfId="27822" xr:uid="{00000000-0005-0000-0000-000058420000}"/>
    <cellStyle name="40% - Accent3 2 3 2 2 8 3 2" xfId="47011" xr:uid="{00000000-0005-0000-0000-000059420000}"/>
    <cellStyle name="40% - Accent3 2 3 2 2 8 4" xfId="37313" xr:uid="{00000000-0005-0000-0000-00005A420000}"/>
    <cellStyle name="40% - Accent3 2 3 2 2 9" xfId="18011" xr:uid="{00000000-0005-0000-0000-00005B420000}"/>
    <cellStyle name="40% - Accent3 2 3 2 2 9 2" xfId="28379" xr:uid="{00000000-0005-0000-0000-00005C420000}"/>
    <cellStyle name="40% - Accent3 2 3 2 2 9 2 2" xfId="47568" xr:uid="{00000000-0005-0000-0000-00005D420000}"/>
    <cellStyle name="40% - Accent3 2 3 2 2 9 3" xfId="37870" xr:uid="{00000000-0005-0000-0000-00005E420000}"/>
    <cellStyle name="40% - Accent3 2 3 2 3" xfId="13130" xr:uid="{00000000-0005-0000-0000-00005F420000}"/>
    <cellStyle name="40% - Accent3 2 3 2 3 10" xfId="53620" xr:uid="{00000000-0005-0000-0000-000060420000}"/>
    <cellStyle name="40% - Accent3 2 3 2 3 2" xfId="14070" xr:uid="{00000000-0005-0000-0000-000061420000}"/>
    <cellStyle name="40% - Accent3 2 3 2 3 2 2" xfId="16334" xr:uid="{00000000-0005-0000-0000-000062420000}"/>
    <cellStyle name="40% - Accent3 2 3 2 3 2 2 2" xfId="20798" xr:uid="{00000000-0005-0000-0000-000063420000}"/>
    <cellStyle name="40% - Accent3 2 3 2 3 2 2 2 2" xfId="31166" xr:uid="{00000000-0005-0000-0000-000064420000}"/>
    <cellStyle name="40% - Accent3 2 3 2 3 2 2 2 2 2" xfId="50355" xr:uid="{00000000-0005-0000-0000-000065420000}"/>
    <cellStyle name="40% - Accent3 2 3 2 3 2 2 2 3" xfId="40657" xr:uid="{00000000-0005-0000-0000-000066420000}"/>
    <cellStyle name="40% - Accent3 2 3 2 3 2 2 3" xfId="26711" xr:uid="{00000000-0005-0000-0000-000067420000}"/>
    <cellStyle name="40% - Accent3 2 3 2 3 2 2 3 2" xfId="45900" xr:uid="{00000000-0005-0000-0000-000068420000}"/>
    <cellStyle name="40% - Accent3 2 3 2 3 2 2 4" xfId="36202" xr:uid="{00000000-0005-0000-0000-000069420000}"/>
    <cellStyle name="40% - Accent3 2 3 2 3 2 3" xfId="18570" xr:uid="{00000000-0005-0000-0000-00006A420000}"/>
    <cellStyle name="40% - Accent3 2 3 2 3 2 3 2" xfId="28938" xr:uid="{00000000-0005-0000-0000-00006B420000}"/>
    <cellStyle name="40% - Accent3 2 3 2 3 2 3 2 2" xfId="48127" xr:uid="{00000000-0005-0000-0000-00006C420000}"/>
    <cellStyle name="40% - Accent3 2 3 2 3 2 3 3" xfId="38429" xr:uid="{00000000-0005-0000-0000-00006D420000}"/>
    <cellStyle name="40% - Accent3 2 3 2 3 2 4" xfId="24478" xr:uid="{00000000-0005-0000-0000-00006E420000}"/>
    <cellStyle name="40% - Accent3 2 3 2 3 2 4 2" xfId="43672" xr:uid="{00000000-0005-0000-0000-00006F420000}"/>
    <cellStyle name="40% - Accent3 2 3 2 3 2 5" xfId="33974" xr:uid="{00000000-0005-0000-0000-000070420000}"/>
    <cellStyle name="40% - Accent3 2 3 2 3 3" xfId="14649" xr:uid="{00000000-0005-0000-0000-000071420000}"/>
    <cellStyle name="40% - Accent3 2 3 2 3 3 2" xfId="15778" xr:uid="{00000000-0005-0000-0000-000072420000}"/>
    <cellStyle name="40% - Accent3 2 3 2 3 3 2 2" xfId="20242" xr:uid="{00000000-0005-0000-0000-000073420000}"/>
    <cellStyle name="40% - Accent3 2 3 2 3 3 2 2 2" xfId="30610" xr:uid="{00000000-0005-0000-0000-000074420000}"/>
    <cellStyle name="40% - Accent3 2 3 2 3 3 2 2 2 2" xfId="49799" xr:uid="{00000000-0005-0000-0000-000075420000}"/>
    <cellStyle name="40% - Accent3 2 3 2 3 3 2 2 3" xfId="40101" xr:uid="{00000000-0005-0000-0000-000076420000}"/>
    <cellStyle name="40% - Accent3 2 3 2 3 3 2 3" xfId="26155" xr:uid="{00000000-0005-0000-0000-000077420000}"/>
    <cellStyle name="40% - Accent3 2 3 2 3 3 2 3 2" xfId="45344" xr:uid="{00000000-0005-0000-0000-000078420000}"/>
    <cellStyle name="40% - Accent3 2 3 2 3 3 2 4" xfId="35646" xr:uid="{00000000-0005-0000-0000-000079420000}"/>
    <cellStyle name="40% - Accent3 2 3 2 3 3 3" xfId="19127" xr:uid="{00000000-0005-0000-0000-00007A420000}"/>
    <cellStyle name="40% - Accent3 2 3 2 3 3 3 2" xfId="29495" xr:uid="{00000000-0005-0000-0000-00007B420000}"/>
    <cellStyle name="40% - Accent3 2 3 2 3 3 3 2 2" xfId="48684" xr:uid="{00000000-0005-0000-0000-00007C420000}"/>
    <cellStyle name="40% - Accent3 2 3 2 3 3 3 3" xfId="38986" xr:uid="{00000000-0005-0000-0000-00007D420000}"/>
    <cellStyle name="40% - Accent3 2 3 2 3 3 4" xfId="25040" xr:uid="{00000000-0005-0000-0000-00007E420000}"/>
    <cellStyle name="40% - Accent3 2 3 2 3 3 4 2" xfId="44229" xr:uid="{00000000-0005-0000-0000-00007F420000}"/>
    <cellStyle name="40% - Accent3 2 3 2 3 3 5" xfId="34531" xr:uid="{00000000-0005-0000-0000-000080420000}"/>
    <cellStyle name="40% - Accent3 2 3 2 3 4" xfId="15221" xr:uid="{00000000-0005-0000-0000-000081420000}"/>
    <cellStyle name="40% - Accent3 2 3 2 3 4 2" xfId="19685" xr:uid="{00000000-0005-0000-0000-000082420000}"/>
    <cellStyle name="40% - Accent3 2 3 2 3 4 2 2" xfId="30053" xr:uid="{00000000-0005-0000-0000-000083420000}"/>
    <cellStyle name="40% - Accent3 2 3 2 3 4 2 2 2" xfId="49242" xr:uid="{00000000-0005-0000-0000-000084420000}"/>
    <cellStyle name="40% - Accent3 2 3 2 3 4 2 3" xfId="39544" xr:uid="{00000000-0005-0000-0000-000085420000}"/>
    <cellStyle name="40% - Accent3 2 3 2 3 4 3" xfId="25598" xr:uid="{00000000-0005-0000-0000-000086420000}"/>
    <cellStyle name="40% - Accent3 2 3 2 3 4 3 2" xfId="44787" xr:uid="{00000000-0005-0000-0000-000087420000}"/>
    <cellStyle name="40% - Accent3 2 3 2 3 4 4" xfId="35089" xr:uid="{00000000-0005-0000-0000-000088420000}"/>
    <cellStyle name="40% - Accent3 2 3 2 3 5" xfId="16891" xr:uid="{00000000-0005-0000-0000-000089420000}"/>
    <cellStyle name="40% - Accent3 2 3 2 3 5 2" xfId="21355" xr:uid="{00000000-0005-0000-0000-00008A420000}"/>
    <cellStyle name="40% - Accent3 2 3 2 3 5 2 2" xfId="31723" xr:uid="{00000000-0005-0000-0000-00008B420000}"/>
    <cellStyle name="40% - Accent3 2 3 2 3 5 2 2 2" xfId="50912" xr:uid="{00000000-0005-0000-0000-00008C420000}"/>
    <cellStyle name="40% - Accent3 2 3 2 3 5 2 3" xfId="41214" xr:uid="{00000000-0005-0000-0000-00008D420000}"/>
    <cellStyle name="40% - Accent3 2 3 2 3 5 3" xfId="27268" xr:uid="{00000000-0005-0000-0000-00008E420000}"/>
    <cellStyle name="40% - Accent3 2 3 2 3 5 3 2" xfId="46457" xr:uid="{00000000-0005-0000-0000-00008F420000}"/>
    <cellStyle name="40% - Accent3 2 3 2 3 5 4" xfId="36759" xr:uid="{00000000-0005-0000-0000-000090420000}"/>
    <cellStyle name="40% - Accent3 2 3 2 3 6" xfId="17457" xr:uid="{00000000-0005-0000-0000-000091420000}"/>
    <cellStyle name="40% - Accent3 2 3 2 3 6 2" xfId="21912" xr:uid="{00000000-0005-0000-0000-000092420000}"/>
    <cellStyle name="40% - Accent3 2 3 2 3 6 2 2" xfId="32280" xr:uid="{00000000-0005-0000-0000-000093420000}"/>
    <cellStyle name="40% - Accent3 2 3 2 3 6 2 2 2" xfId="51469" xr:uid="{00000000-0005-0000-0000-000094420000}"/>
    <cellStyle name="40% - Accent3 2 3 2 3 6 2 3" xfId="41771" xr:uid="{00000000-0005-0000-0000-000095420000}"/>
    <cellStyle name="40% - Accent3 2 3 2 3 6 3" xfId="27825" xr:uid="{00000000-0005-0000-0000-000096420000}"/>
    <cellStyle name="40% - Accent3 2 3 2 3 6 3 2" xfId="47014" xr:uid="{00000000-0005-0000-0000-000097420000}"/>
    <cellStyle name="40% - Accent3 2 3 2 3 6 4" xfId="37316" xr:uid="{00000000-0005-0000-0000-000098420000}"/>
    <cellStyle name="40% - Accent3 2 3 2 3 7" xfId="18014" xr:uid="{00000000-0005-0000-0000-000099420000}"/>
    <cellStyle name="40% - Accent3 2 3 2 3 7 2" xfId="28382" xr:uid="{00000000-0005-0000-0000-00009A420000}"/>
    <cellStyle name="40% - Accent3 2 3 2 3 7 2 2" xfId="47571" xr:uid="{00000000-0005-0000-0000-00009B420000}"/>
    <cellStyle name="40% - Accent3 2 3 2 3 7 3" xfId="37873" xr:uid="{00000000-0005-0000-0000-00009C420000}"/>
    <cellStyle name="40% - Accent3 2 3 2 3 8" xfId="23877" xr:uid="{00000000-0005-0000-0000-00009D420000}"/>
    <cellStyle name="40% - Accent3 2 3 2 3 8 2" xfId="43116" xr:uid="{00000000-0005-0000-0000-00009E420000}"/>
    <cellStyle name="40% - Accent3 2 3 2 3 9" xfId="33418" xr:uid="{00000000-0005-0000-0000-00009F420000}"/>
    <cellStyle name="40% - Accent3 2 3 2 4" xfId="13131" xr:uid="{00000000-0005-0000-0000-0000A0420000}"/>
    <cellStyle name="40% - Accent3 2 3 2 4 2" xfId="14071" xr:uid="{00000000-0005-0000-0000-0000A1420000}"/>
    <cellStyle name="40% - Accent3 2 3 2 4 2 2" xfId="16335" xr:uid="{00000000-0005-0000-0000-0000A2420000}"/>
    <cellStyle name="40% - Accent3 2 3 2 4 2 2 2" xfId="20799" xr:uid="{00000000-0005-0000-0000-0000A3420000}"/>
    <cellStyle name="40% - Accent3 2 3 2 4 2 2 2 2" xfId="31167" xr:uid="{00000000-0005-0000-0000-0000A4420000}"/>
    <cellStyle name="40% - Accent3 2 3 2 4 2 2 2 2 2" xfId="50356" xr:uid="{00000000-0005-0000-0000-0000A5420000}"/>
    <cellStyle name="40% - Accent3 2 3 2 4 2 2 2 3" xfId="40658" xr:uid="{00000000-0005-0000-0000-0000A6420000}"/>
    <cellStyle name="40% - Accent3 2 3 2 4 2 2 3" xfId="26712" xr:uid="{00000000-0005-0000-0000-0000A7420000}"/>
    <cellStyle name="40% - Accent3 2 3 2 4 2 2 3 2" xfId="45901" xr:uid="{00000000-0005-0000-0000-0000A8420000}"/>
    <cellStyle name="40% - Accent3 2 3 2 4 2 2 4" xfId="36203" xr:uid="{00000000-0005-0000-0000-0000A9420000}"/>
    <cellStyle name="40% - Accent3 2 3 2 4 2 3" xfId="18571" xr:uid="{00000000-0005-0000-0000-0000AA420000}"/>
    <cellStyle name="40% - Accent3 2 3 2 4 2 3 2" xfId="28939" xr:uid="{00000000-0005-0000-0000-0000AB420000}"/>
    <cellStyle name="40% - Accent3 2 3 2 4 2 3 2 2" xfId="48128" xr:uid="{00000000-0005-0000-0000-0000AC420000}"/>
    <cellStyle name="40% - Accent3 2 3 2 4 2 3 3" xfId="38430" xr:uid="{00000000-0005-0000-0000-0000AD420000}"/>
    <cellStyle name="40% - Accent3 2 3 2 4 2 4" xfId="24479" xr:uid="{00000000-0005-0000-0000-0000AE420000}"/>
    <cellStyle name="40% - Accent3 2 3 2 4 2 4 2" xfId="43673" xr:uid="{00000000-0005-0000-0000-0000AF420000}"/>
    <cellStyle name="40% - Accent3 2 3 2 4 2 5" xfId="33975" xr:uid="{00000000-0005-0000-0000-0000B0420000}"/>
    <cellStyle name="40% - Accent3 2 3 2 4 3" xfId="14650" xr:uid="{00000000-0005-0000-0000-0000B1420000}"/>
    <cellStyle name="40% - Accent3 2 3 2 4 3 2" xfId="15779" xr:uid="{00000000-0005-0000-0000-0000B2420000}"/>
    <cellStyle name="40% - Accent3 2 3 2 4 3 2 2" xfId="20243" xr:uid="{00000000-0005-0000-0000-0000B3420000}"/>
    <cellStyle name="40% - Accent3 2 3 2 4 3 2 2 2" xfId="30611" xr:uid="{00000000-0005-0000-0000-0000B4420000}"/>
    <cellStyle name="40% - Accent3 2 3 2 4 3 2 2 2 2" xfId="49800" xr:uid="{00000000-0005-0000-0000-0000B5420000}"/>
    <cellStyle name="40% - Accent3 2 3 2 4 3 2 2 3" xfId="40102" xr:uid="{00000000-0005-0000-0000-0000B6420000}"/>
    <cellStyle name="40% - Accent3 2 3 2 4 3 2 3" xfId="26156" xr:uid="{00000000-0005-0000-0000-0000B7420000}"/>
    <cellStyle name="40% - Accent3 2 3 2 4 3 2 3 2" xfId="45345" xr:uid="{00000000-0005-0000-0000-0000B8420000}"/>
    <cellStyle name="40% - Accent3 2 3 2 4 3 2 4" xfId="35647" xr:uid="{00000000-0005-0000-0000-0000B9420000}"/>
    <cellStyle name="40% - Accent3 2 3 2 4 3 3" xfId="19128" xr:uid="{00000000-0005-0000-0000-0000BA420000}"/>
    <cellStyle name="40% - Accent3 2 3 2 4 3 3 2" xfId="29496" xr:uid="{00000000-0005-0000-0000-0000BB420000}"/>
    <cellStyle name="40% - Accent3 2 3 2 4 3 3 2 2" xfId="48685" xr:uid="{00000000-0005-0000-0000-0000BC420000}"/>
    <cellStyle name="40% - Accent3 2 3 2 4 3 3 3" xfId="38987" xr:uid="{00000000-0005-0000-0000-0000BD420000}"/>
    <cellStyle name="40% - Accent3 2 3 2 4 3 4" xfId="25041" xr:uid="{00000000-0005-0000-0000-0000BE420000}"/>
    <cellStyle name="40% - Accent3 2 3 2 4 3 4 2" xfId="44230" xr:uid="{00000000-0005-0000-0000-0000BF420000}"/>
    <cellStyle name="40% - Accent3 2 3 2 4 3 5" xfId="34532" xr:uid="{00000000-0005-0000-0000-0000C0420000}"/>
    <cellStyle name="40% - Accent3 2 3 2 4 4" xfId="15222" xr:uid="{00000000-0005-0000-0000-0000C1420000}"/>
    <cellStyle name="40% - Accent3 2 3 2 4 4 2" xfId="19686" xr:uid="{00000000-0005-0000-0000-0000C2420000}"/>
    <cellStyle name="40% - Accent3 2 3 2 4 4 2 2" xfId="30054" xr:uid="{00000000-0005-0000-0000-0000C3420000}"/>
    <cellStyle name="40% - Accent3 2 3 2 4 4 2 2 2" xfId="49243" xr:uid="{00000000-0005-0000-0000-0000C4420000}"/>
    <cellStyle name="40% - Accent3 2 3 2 4 4 2 3" xfId="39545" xr:uid="{00000000-0005-0000-0000-0000C5420000}"/>
    <cellStyle name="40% - Accent3 2 3 2 4 4 3" xfId="25599" xr:uid="{00000000-0005-0000-0000-0000C6420000}"/>
    <cellStyle name="40% - Accent3 2 3 2 4 4 3 2" xfId="44788" xr:uid="{00000000-0005-0000-0000-0000C7420000}"/>
    <cellStyle name="40% - Accent3 2 3 2 4 4 4" xfId="35090" xr:uid="{00000000-0005-0000-0000-0000C8420000}"/>
    <cellStyle name="40% - Accent3 2 3 2 4 5" xfId="16892" xr:uid="{00000000-0005-0000-0000-0000C9420000}"/>
    <cellStyle name="40% - Accent3 2 3 2 4 5 2" xfId="21356" xr:uid="{00000000-0005-0000-0000-0000CA420000}"/>
    <cellStyle name="40% - Accent3 2 3 2 4 5 2 2" xfId="31724" xr:uid="{00000000-0005-0000-0000-0000CB420000}"/>
    <cellStyle name="40% - Accent3 2 3 2 4 5 2 2 2" xfId="50913" xr:uid="{00000000-0005-0000-0000-0000CC420000}"/>
    <cellStyle name="40% - Accent3 2 3 2 4 5 2 3" xfId="41215" xr:uid="{00000000-0005-0000-0000-0000CD420000}"/>
    <cellStyle name="40% - Accent3 2 3 2 4 5 3" xfId="27269" xr:uid="{00000000-0005-0000-0000-0000CE420000}"/>
    <cellStyle name="40% - Accent3 2 3 2 4 5 3 2" xfId="46458" xr:uid="{00000000-0005-0000-0000-0000CF420000}"/>
    <cellStyle name="40% - Accent3 2 3 2 4 5 4" xfId="36760" xr:uid="{00000000-0005-0000-0000-0000D0420000}"/>
    <cellStyle name="40% - Accent3 2 3 2 4 6" xfId="17458" xr:uid="{00000000-0005-0000-0000-0000D1420000}"/>
    <cellStyle name="40% - Accent3 2 3 2 4 6 2" xfId="21913" xr:uid="{00000000-0005-0000-0000-0000D2420000}"/>
    <cellStyle name="40% - Accent3 2 3 2 4 6 2 2" xfId="32281" xr:uid="{00000000-0005-0000-0000-0000D3420000}"/>
    <cellStyle name="40% - Accent3 2 3 2 4 6 2 2 2" xfId="51470" xr:uid="{00000000-0005-0000-0000-0000D4420000}"/>
    <cellStyle name="40% - Accent3 2 3 2 4 6 2 3" xfId="41772" xr:uid="{00000000-0005-0000-0000-0000D5420000}"/>
    <cellStyle name="40% - Accent3 2 3 2 4 6 3" xfId="27826" xr:uid="{00000000-0005-0000-0000-0000D6420000}"/>
    <cellStyle name="40% - Accent3 2 3 2 4 6 3 2" xfId="47015" xr:uid="{00000000-0005-0000-0000-0000D7420000}"/>
    <cellStyle name="40% - Accent3 2 3 2 4 6 4" xfId="37317" xr:uid="{00000000-0005-0000-0000-0000D8420000}"/>
    <cellStyle name="40% - Accent3 2 3 2 4 7" xfId="18015" xr:uid="{00000000-0005-0000-0000-0000D9420000}"/>
    <cellStyle name="40% - Accent3 2 3 2 4 7 2" xfId="28383" xr:uid="{00000000-0005-0000-0000-0000DA420000}"/>
    <cellStyle name="40% - Accent3 2 3 2 4 7 2 2" xfId="47572" xr:uid="{00000000-0005-0000-0000-0000DB420000}"/>
    <cellStyle name="40% - Accent3 2 3 2 4 7 3" xfId="37874" xr:uid="{00000000-0005-0000-0000-0000DC420000}"/>
    <cellStyle name="40% - Accent3 2 3 2 4 8" xfId="23878" xr:uid="{00000000-0005-0000-0000-0000DD420000}"/>
    <cellStyle name="40% - Accent3 2 3 2 4 8 2" xfId="43117" xr:uid="{00000000-0005-0000-0000-0000DE420000}"/>
    <cellStyle name="40% - Accent3 2 3 2 4 9" xfId="33419" xr:uid="{00000000-0005-0000-0000-0000DF420000}"/>
    <cellStyle name="40% - Accent3 2 3 2 5" xfId="14066" xr:uid="{00000000-0005-0000-0000-0000E0420000}"/>
    <cellStyle name="40% - Accent3 2 3 2 5 2" xfId="16330" xr:uid="{00000000-0005-0000-0000-0000E1420000}"/>
    <cellStyle name="40% - Accent3 2 3 2 5 2 2" xfId="20794" xr:uid="{00000000-0005-0000-0000-0000E2420000}"/>
    <cellStyle name="40% - Accent3 2 3 2 5 2 2 2" xfId="31162" xr:uid="{00000000-0005-0000-0000-0000E3420000}"/>
    <cellStyle name="40% - Accent3 2 3 2 5 2 2 2 2" xfId="50351" xr:uid="{00000000-0005-0000-0000-0000E4420000}"/>
    <cellStyle name="40% - Accent3 2 3 2 5 2 2 3" xfId="40653" xr:uid="{00000000-0005-0000-0000-0000E5420000}"/>
    <cellStyle name="40% - Accent3 2 3 2 5 2 3" xfId="26707" xr:uid="{00000000-0005-0000-0000-0000E6420000}"/>
    <cellStyle name="40% - Accent3 2 3 2 5 2 3 2" xfId="45896" xr:uid="{00000000-0005-0000-0000-0000E7420000}"/>
    <cellStyle name="40% - Accent3 2 3 2 5 2 4" xfId="36198" xr:uid="{00000000-0005-0000-0000-0000E8420000}"/>
    <cellStyle name="40% - Accent3 2 3 2 5 3" xfId="18566" xr:uid="{00000000-0005-0000-0000-0000E9420000}"/>
    <cellStyle name="40% - Accent3 2 3 2 5 3 2" xfId="28934" xr:uid="{00000000-0005-0000-0000-0000EA420000}"/>
    <cellStyle name="40% - Accent3 2 3 2 5 3 2 2" xfId="48123" xr:uid="{00000000-0005-0000-0000-0000EB420000}"/>
    <cellStyle name="40% - Accent3 2 3 2 5 3 3" xfId="38425" xr:uid="{00000000-0005-0000-0000-0000EC420000}"/>
    <cellStyle name="40% - Accent3 2 3 2 5 4" xfId="24474" xr:uid="{00000000-0005-0000-0000-0000ED420000}"/>
    <cellStyle name="40% - Accent3 2 3 2 5 4 2" xfId="43668" xr:uid="{00000000-0005-0000-0000-0000EE420000}"/>
    <cellStyle name="40% - Accent3 2 3 2 5 5" xfId="33970" xr:uid="{00000000-0005-0000-0000-0000EF420000}"/>
    <cellStyle name="40% - Accent3 2 3 2 6" xfId="14645" xr:uid="{00000000-0005-0000-0000-0000F0420000}"/>
    <cellStyle name="40% - Accent3 2 3 2 6 2" xfId="15774" xr:uid="{00000000-0005-0000-0000-0000F1420000}"/>
    <cellStyle name="40% - Accent3 2 3 2 6 2 2" xfId="20238" xr:uid="{00000000-0005-0000-0000-0000F2420000}"/>
    <cellStyle name="40% - Accent3 2 3 2 6 2 2 2" xfId="30606" xr:uid="{00000000-0005-0000-0000-0000F3420000}"/>
    <cellStyle name="40% - Accent3 2 3 2 6 2 2 2 2" xfId="49795" xr:uid="{00000000-0005-0000-0000-0000F4420000}"/>
    <cellStyle name="40% - Accent3 2 3 2 6 2 2 3" xfId="40097" xr:uid="{00000000-0005-0000-0000-0000F5420000}"/>
    <cellStyle name="40% - Accent3 2 3 2 6 2 3" xfId="26151" xr:uid="{00000000-0005-0000-0000-0000F6420000}"/>
    <cellStyle name="40% - Accent3 2 3 2 6 2 3 2" xfId="45340" xr:uid="{00000000-0005-0000-0000-0000F7420000}"/>
    <cellStyle name="40% - Accent3 2 3 2 6 2 4" xfId="35642" xr:uid="{00000000-0005-0000-0000-0000F8420000}"/>
    <cellStyle name="40% - Accent3 2 3 2 6 3" xfId="19123" xr:uid="{00000000-0005-0000-0000-0000F9420000}"/>
    <cellStyle name="40% - Accent3 2 3 2 6 3 2" xfId="29491" xr:uid="{00000000-0005-0000-0000-0000FA420000}"/>
    <cellStyle name="40% - Accent3 2 3 2 6 3 2 2" xfId="48680" xr:uid="{00000000-0005-0000-0000-0000FB420000}"/>
    <cellStyle name="40% - Accent3 2 3 2 6 3 3" xfId="38982" xr:uid="{00000000-0005-0000-0000-0000FC420000}"/>
    <cellStyle name="40% - Accent3 2 3 2 6 4" xfId="25036" xr:uid="{00000000-0005-0000-0000-0000FD420000}"/>
    <cellStyle name="40% - Accent3 2 3 2 6 4 2" xfId="44225" xr:uid="{00000000-0005-0000-0000-0000FE420000}"/>
    <cellStyle name="40% - Accent3 2 3 2 6 5" xfId="34527" xr:uid="{00000000-0005-0000-0000-0000FF420000}"/>
    <cellStyle name="40% - Accent3 2 3 2 7" xfId="15217" xr:uid="{00000000-0005-0000-0000-000000430000}"/>
    <cellStyle name="40% - Accent3 2 3 2 7 2" xfId="19681" xr:uid="{00000000-0005-0000-0000-000001430000}"/>
    <cellStyle name="40% - Accent3 2 3 2 7 2 2" xfId="30049" xr:uid="{00000000-0005-0000-0000-000002430000}"/>
    <cellStyle name="40% - Accent3 2 3 2 7 2 2 2" xfId="49238" xr:uid="{00000000-0005-0000-0000-000003430000}"/>
    <cellStyle name="40% - Accent3 2 3 2 7 2 3" xfId="39540" xr:uid="{00000000-0005-0000-0000-000004430000}"/>
    <cellStyle name="40% - Accent3 2 3 2 7 3" xfId="25594" xr:uid="{00000000-0005-0000-0000-000005430000}"/>
    <cellStyle name="40% - Accent3 2 3 2 7 3 2" xfId="44783" xr:uid="{00000000-0005-0000-0000-000006430000}"/>
    <cellStyle name="40% - Accent3 2 3 2 7 4" xfId="35085" xr:uid="{00000000-0005-0000-0000-000007430000}"/>
    <cellStyle name="40% - Accent3 2 3 2 8" xfId="16887" xr:uid="{00000000-0005-0000-0000-000008430000}"/>
    <cellStyle name="40% - Accent3 2 3 2 8 2" xfId="21351" xr:uid="{00000000-0005-0000-0000-000009430000}"/>
    <cellStyle name="40% - Accent3 2 3 2 8 2 2" xfId="31719" xr:uid="{00000000-0005-0000-0000-00000A430000}"/>
    <cellStyle name="40% - Accent3 2 3 2 8 2 2 2" xfId="50908" xr:uid="{00000000-0005-0000-0000-00000B430000}"/>
    <cellStyle name="40% - Accent3 2 3 2 8 2 3" xfId="41210" xr:uid="{00000000-0005-0000-0000-00000C430000}"/>
    <cellStyle name="40% - Accent3 2 3 2 8 3" xfId="27264" xr:uid="{00000000-0005-0000-0000-00000D430000}"/>
    <cellStyle name="40% - Accent3 2 3 2 8 3 2" xfId="46453" xr:uid="{00000000-0005-0000-0000-00000E430000}"/>
    <cellStyle name="40% - Accent3 2 3 2 8 4" xfId="36755" xr:uid="{00000000-0005-0000-0000-00000F430000}"/>
    <cellStyle name="40% - Accent3 2 3 2 9" xfId="17453" xr:uid="{00000000-0005-0000-0000-000010430000}"/>
    <cellStyle name="40% - Accent3 2 3 2 9 2" xfId="21908" xr:uid="{00000000-0005-0000-0000-000011430000}"/>
    <cellStyle name="40% - Accent3 2 3 2 9 2 2" xfId="32276" xr:uid="{00000000-0005-0000-0000-000012430000}"/>
    <cellStyle name="40% - Accent3 2 3 2 9 2 2 2" xfId="51465" xr:uid="{00000000-0005-0000-0000-000013430000}"/>
    <cellStyle name="40% - Accent3 2 3 2 9 2 3" xfId="41767" xr:uid="{00000000-0005-0000-0000-000014430000}"/>
    <cellStyle name="40% - Accent3 2 3 2 9 3" xfId="27821" xr:uid="{00000000-0005-0000-0000-000015430000}"/>
    <cellStyle name="40% - Accent3 2 3 2 9 3 2" xfId="47010" xr:uid="{00000000-0005-0000-0000-000016430000}"/>
    <cellStyle name="40% - Accent3 2 3 2 9 4" xfId="37312" xr:uid="{00000000-0005-0000-0000-000017430000}"/>
    <cellStyle name="40% - Accent3 2 3 3" xfId="1918" xr:uid="{00000000-0005-0000-0000-000018430000}"/>
    <cellStyle name="40% - Accent3 2 3 3 10" xfId="23879" xr:uid="{00000000-0005-0000-0000-000019430000}"/>
    <cellStyle name="40% - Accent3 2 3 3 10 2" xfId="43118" xr:uid="{00000000-0005-0000-0000-00001A430000}"/>
    <cellStyle name="40% - Accent3 2 3 3 11" xfId="33420" xr:uid="{00000000-0005-0000-0000-00001B430000}"/>
    <cellStyle name="40% - Accent3 2 3 3 12" xfId="52945" xr:uid="{00000000-0005-0000-0000-00001C430000}"/>
    <cellStyle name="40% - Accent3 2 3 3 13" xfId="13132" xr:uid="{00000000-0005-0000-0000-00001D430000}"/>
    <cellStyle name="40% - Accent3 2 3 3 2" xfId="13133" xr:uid="{00000000-0005-0000-0000-00001E430000}"/>
    <cellStyle name="40% - Accent3 2 3 3 2 10" xfId="53820" xr:uid="{00000000-0005-0000-0000-00001F430000}"/>
    <cellStyle name="40% - Accent3 2 3 3 2 2" xfId="14073" xr:uid="{00000000-0005-0000-0000-000020430000}"/>
    <cellStyle name="40% - Accent3 2 3 3 2 2 2" xfId="16337" xr:uid="{00000000-0005-0000-0000-000021430000}"/>
    <cellStyle name="40% - Accent3 2 3 3 2 2 2 2" xfId="20801" xr:uid="{00000000-0005-0000-0000-000022430000}"/>
    <cellStyle name="40% - Accent3 2 3 3 2 2 2 2 2" xfId="31169" xr:uid="{00000000-0005-0000-0000-000023430000}"/>
    <cellStyle name="40% - Accent3 2 3 3 2 2 2 2 2 2" xfId="50358" xr:uid="{00000000-0005-0000-0000-000024430000}"/>
    <cellStyle name="40% - Accent3 2 3 3 2 2 2 2 3" xfId="40660" xr:uid="{00000000-0005-0000-0000-000025430000}"/>
    <cellStyle name="40% - Accent3 2 3 3 2 2 2 3" xfId="26714" xr:uid="{00000000-0005-0000-0000-000026430000}"/>
    <cellStyle name="40% - Accent3 2 3 3 2 2 2 3 2" xfId="45903" xr:uid="{00000000-0005-0000-0000-000027430000}"/>
    <cellStyle name="40% - Accent3 2 3 3 2 2 2 4" xfId="36205" xr:uid="{00000000-0005-0000-0000-000028430000}"/>
    <cellStyle name="40% - Accent3 2 3 3 2 2 3" xfId="18573" xr:uid="{00000000-0005-0000-0000-000029430000}"/>
    <cellStyle name="40% - Accent3 2 3 3 2 2 3 2" xfId="28941" xr:uid="{00000000-0005-0000-0000-00002A430000}"/>
    <cellStyle name="40% - Accent3 2 3 3 2 2 3 2 2" xfId="48130" xr:uid="{00000000-0005-0000-0000-00002B430000}"/>
    <cellStyle name="40% - Accent3 2 3 3 2 2 3 3" xfId="38432" xr:uid="{00000000-0005-0000-0000-00002C430000}"/>
    <cellStyle name="40% - Accent3 2 3 3 2 2 4" xfId="24481" xr:uid="{00000000-0005-0000-0000-00002D430000}"/>
    <cellStyle name="40% - Accent3 2 3 3 2 2 4 2" xfId="43675" xr:uid="{00000000-0005-0000-0000-00002E430000}"/>
    <cellStyle name="40% - Accent3 2 3 3 2 2 5" xfId="33977" xr:uid="{00000000-0005-0000-0000-00002F430000}"/>
    <cellStyle name="40% - Accent3 2 3 3 2 3" xfId="14652" xr:uid="{00000000-0005-0000-0000-000030430000}"/>
    <cellStyle name="40% - Accent3 2 3 3 2 3 2" xfId="15781" xr:uid="{00000000-0005-0000-0000-000031430000}"/>
    <cellStyle name="40% - Accent3 2 3 3 2 3 2 2" xfId="20245" xr:uid="{00000000-0005-0000-0000-000032430000}"/>
    <cellStyle name="40% - Accent3 2 3 3 2 3 2 2 2" xfId="30613" xr:uid="{00000000-0005-0000-0000-000033430000}"/>
    <cellStyle name="40% - Accent3 2 3 3 2 3 2 2 2 2" xfId="49802" xr:uid="{00000000-0005-0000-0000-000034430000}"/>
    <cellStyle name="40% - Accent3 2 3 3 2 3 2 2 3" xfId="40104" xr:uid="{00000000-0005-0000-0000-000035430000}"/>
    <cellStyle name="40% - Accent3 2 3 3 2 3 2 3" xfId="26158" xr:uid="{00000000-0005-0000-0000-000036430000}"/>
    <cellStyle name="40% - Accent3 2 3 3 2 3 2 3 2" xfId="45347" xr:uid="{00000000-0005-0000-0000-000037430000}"/>
    <cellStyle name="40% - Accent3 2 3 3 2 3 2 4" xfId="35649" xr:uid="{00000000-0005-0000-0000-000038430000}"/>
    <cellStyle name="40% - Accent3 2 3 3 2 3 3" xfId="19130" xr:uid="{00000000-0005-0000-0000-000039430000}"/>
    <cellStyle name="40% - Accent3 2 3 3 2 3 3 2" xfId="29498" xr:uid="{00000000-0005-0000-0000-00003A430000}"/>
    <cellStyle name="40% - Accent3 2 3 3 2 3 3 2 2" xfId="48687" xr:uid="{00000000-0005-0000-0000-00003B430000}"/>
    <cellStyle name="40% - Accent3 2 3 3 2 3 3 3" xfId="38989" xr:uid="{00000000-0005-0000-0000-00003C430000}"/>
    <cellStyle name="40% - Accent3 2 3 3 2 3 4" xfId="25043" xr:uid="{00000000-0005-0000-0000-00003D430000}"/>
    <cellStyle name="40% - Accent3 2 3 3 2 3 4 2" xfId="44232" xr:uid="{00000000-0005-0000-0000-00003E430000}"/>
    <cellStyle name="40% - Accent3 2 3 3 2 3 5" xfId="34534" xr:uid="{00000000-0005-0000-0000-00003F430000}"/>
    <cellStyle name="40% - Accent3 2 3 3 2 4" xfId="15224" xr:uid="{00000000-0005-0000-0000-000040430000}"/>
    <cellStyle name="40% - Accent3 2 3 3 2 4 2" xfId="19688" xr:uid="{00000000-0005-0000-0000-000041430000}"/>
    <cellStyle name="40% - Accent3 2 3 3 2 4 2 2" xfId="30056" xr:uid="{00000000-0005-0000-0000-000042430000}"/>
    <cellStyle name="40% - Accent3 2 3 3 2 4 2 2 2" xfId="49245" xr:uid="{00000000-0005-0000-0000-000043430000}"/>
    <cellStyle name="40% - Accent3 2 3 3 2 4 2 3" xfId="39547" xr:uid="{00000000-0005-0000-0000-000044430000}"/>
    <cellStyle name="40% - Accent3 2 3 3 2 4 3" xfId="25601" xr:uid="{00000000-0005-0000-0000-000045430000}"/>
    <cellStyle name="40% - Accent3 2 3 3 2 4 3 2" xfId="44790" xr:uid="{00000000-0005-0000-0000-000046430000}"/>
    <cellStyle name="40% - Accent3 2 3 3 2 4 4" xfId="35092" xr:uid="{00000000-0005-0000-0000-000047430000}"/>
    <cellStyle name="40% - Accent3 2 3 3 2 5" xfId="16894" xr:uid="{00000000-0005-0000-0000-000048430000}"/>
    <cellStyle name="40% - Accent3 2 3 3 2 5 2" xfId="21358" xr:uid="{00000000-0005-0000-0000-000049430000}"/>
    <cellStyle name="40% - Accent3 2 3 3 2 5 2 2" xfId="31726" xr:uid="{00000000-0005-0000-0000-00004A430000}"/>
    <cellStyle name="40% - Accent3 2 3 3 2 5 2 2 2" xfId="50915" xr:uid="{00000000-0005-0000-0000-00004B430000}"/>
    <cellStyle name="40% - Accent3 2 3 3 2 5 2 3" xfId="41217" xr:uid="{00000000-0005-0000-0000-00004C430000}"/>
    <cellStyle name="40% - Accent3 2 3 3 2 5 3" xfId="27271" xr:uid="{00000000-0005-0000-0000-00004D430000}"/>
    <cellStyle name="40% - Accent3 2 3 3 2 5 3 2" xfId="46460" xr:uid="{00000000-0005-0000-0000-00004E430000}"/>
    <cellStyle name="40% - Accent3 2 3 3 2 5 4" xfId="36762" xr:uid="{00000000-0005-0000-0000-00004F430000}"/>
    <cellStyle name="40% - Accent3 2 3 3 2 6" xfId="17460" xr:uid="{00000000-0005-0000-0000-000050430000}"/>
    <cellStyle name="40% - Accent3 2 3 3 2 6 2" xfId="21915" xr:uid="{00000000-0005-0000-0000-000051430000}"/>
    <cellStyle name="40% - Accent3 2 3 3 2 6 2 2" xfId="32283" xr:uid="{00000000-0005-0000-0000-000052430000}"/>
    <cellStyle name="40% - Accent3 2 3 3 2 6 2 2 2" xfId="51472" xr:uid="{00000000-0005-0000-0000-000053430000}"/>
    <cellStyle name="40% - Accent3 2 3 3 2 6 2 3" xfId="41774" xr:uid="{00000000-0005-0000-0000-000054430000}"/>
    <cellStyle name="40% - Accent3 2 3 3 2 6 3" xfId="27828" xr:uid="{00000000-0005-0000-0000-000055430000}"/>
    <cellStyle name="40% - Accent3 2 3 3 2 6 3 2" xfId="47017" xr:uid="{00000000-0005-0000-0000-000056430000}"/>
    <cellStyle name="40% - Accent3 2 3 3 2 6 4" xfId="37319" xr:uid="{00000000-0005-0000-0000-000057430000}"/>
    <cellStyle name="40% - Accent3 2 3 3 2 7" xfId="18017" xr:uid="{00000000-0005-0000-0000-000058430000}"/>
    <cellStyle name="40% - Accent3 2 3 3 2 7 2" xfId="28385" xr:uid="{00000000-0005-0000-0000-000059430000}"/>
    <cellStyle name="40% - Accent3 2 3 3 2 7 2 2" xfId="47574" xr:uid="{00000000-0005-0000-0000-00005A430000}"/>
    <cellStyle name="40% - Accent3 2 3 3 2 7 3" xfId="37876" xr:uid="{00000000-0005-0000-0000-00005B430000}"/>
    <cellStyle name="40% - Accent3 2 3 3 2 8" xfId="23880" xr:uid="{00000000-0005-0000-0000-00005C430000}"/>
    <cellStyle name="40% - Accent3 2 3 3 2 8 2" xfId="43119" xr:uid="{00000000-0005-0000-0000-00005D430000}"/>
    <cellStyle name="40% - Accent3 2 3 3 2 9" xfId="33421" xr:uid="{00000000-0005-0000-0000-00005E430000}"/>
    <cellStyle name="40% - Accent3 2 3 3 3" xfId="13134" xr:uid="{00000000-0005-0000-0000-00005F430000}"/>
    <cellStyle name="40% - Accent3 2 3 3 3 2" xfId="14074" xr:uid="{00000000-0005-0000-0000-000060430000}"/>
    <cellStyle name="40% - Accent3 2 3 3 3 2 2" xfId="16338" xr:uid="{00000000-0005-0000-0000-000061430000}"/>
    <cellStyle name="40% - Accent3 2 3 3 3 2 2 2" xfId="20802" xr:uid="{00000000-0005-0000-0000-000062430000}"/>
    <cellStyle name="40% - Accent3 2 3 3 3 2 2 2 2" xfId="31170" xr:uid="{00000000-0005-0000-0000-000063430000}"/>
    <cellStyle name="40% - Accent3 2 3 3 3 2 2 2 2 2" xfId="50359" xr:uid="{00000000-0005-0000-0000-000064430000}"/>
    <cellStyle name="40% - Accent3 2 3 3 3 2 2 2 3" xfId="40661" xr:uid="{00000000-0005-0000-0000-000065430000}"/>
    <cellStyle name="40% - Accent3 2 3 3 3 2 2 3" xfId="26715" xr:uid="{00000000-0005-0000-0000-000066430000}"/>
    <cellStyle name="40% - Accent3 2 3 3 3 2 2 3 2" xfId="45904" xr:uid="{00000000-0005-0000-0000-000067430000}"/>
    <cellStyle name="40% - Accent3 2 3 3 3 2 2 4" xfId="36206" xr:uid="{00000000-0005-0000-0000-000068430000}"/>
    <cellStyle name="40% - Accent3 2 3 3 3 2 3" xfId="18574" xr:uid="{00000000-0005-0000-0000-000069430000}"/>
    <cellStyle name="40% - Accent3 2 3 3 3 2 3 2" xfId="28942" xr:uid="{00000000-0005-0000-0000-00006A430000}"/>
    <cellStyle name="40% - Accent3 2 3 3 3 2 3 2 2" xfId="48131" xr:uid="{00000000-0005-0000-0000-00006B430000}"/>
    <cellStyle name="40% - Accent3 2 3 3 3 2 3 3" xfId="38433" xr:uid="{00000000-0005-0000-0000-00006C430000}"/>
    <cellStyle name="40% - Accent3 2 3 3 3 2 4" xfId="24482" xr:uid="{00000000-0005-0000-0000-00006D430000}"/>
    <cellStyle name="40% - Accent3 2 3 3 3 2 4 2" xfId="43676" xr:uid="{00000000-0005-0000-0000-00006E430000}"/>
    <cellStyle name="40% - Accent3 2 3 3 3 2 5" xfId="33978" xr:uid="{00000000-0005-0000-0000-00006F430000}"/>
    <cellStyle name="40% - Accent3 2 3 3 3 3" xfId="14653" xr:uid="{00000000-0005-0000-0000-000070430000}"/>
    <cellStyle name="40% - Accent3 2 3 3 3 3 2" xfId="15782" xr:uid="{00000000-0005-0000-0000-000071430000}"/>
    <cellStyle name="40% - Accent3 2 3 3 3 3 2 2" xfId="20246" xr:uid="{00000000-0005-0000-0000-000072430000}"/>
    <cellStyle name="40% - Accent3 2 3 3 3 3 2 2 2" xfId="30614" xr:uid="{00000000-0005-0000-0000-000073430000}"/>
    <cellStyle name="40% - Accent3 2 3 3 3 3 2 2 2 2" xfId="49803" xr:uid="{00000000-0005-0000-0000-000074430000}"/>
    <cellStyle name="40% - Accent3 2 3 3 3 3 2 2 3" xfId="40105" xr:uid="{00000000-0005-0000-0000-000075430000}"/>
    <cellStyle name="40% - Accent3 2 3 3 3 3 2 3" xfId="26159" xr:uid="{00000000-0005-0000-0000-000076430000}"/>
    <cellStyle name="40% - Accent3 2 3 3 3 3 2 3 2" xfId="45348" xr:uid="{00000000-0005-0000-0000-000077430000}"/>
    <cellStyle name="40% - Accent3 2 3 3 3 3 2 4" xfId="35650" xr:uid="{00000000-0005-0000-0000-000078430000}"/>
    <cellStyle name="40% - Accent3 2 3 3 3 3 3" xfId="19131" xr:uid="{00000000-0005-0000-0000-000079430000}"/>
    <cellStyle name="40% - Accent3 2 3 3 3 3 3 2" xfId="29499" xr:uid="{00000000-0005-0000-0000-00007A430000}"/>
    <cellStyle name="40% - Accent3 2 3 3 3 3 3 2 2" xfId="48688" xr:uid="{00000000-0005-0000-0000-00007B430000}"/>
    <cellStyle name="40% - Accent3 2 3 3 3 3 3 3" xfId="38990" xr:uid="{00000000-0005-0000-0000-00007C430000}"/>
    <cellStyle name="40% - Accent3 2 3 3 3 3 4" xfId="25044" xr:uid="{00000000-0005-0000-0000-00007D430000}"/>
    <cellStyle name="40% - Accent3 2 3 3 3 3 4 2" xfId="44233" xr:uid="{00000000-0005-0000-0000-00007E430000}"/>
    <cellStyle name="40% - Accent3 2 3 3 3 3 5" xfId="34535" xr:uid="{00000000-0005-0000-0000-00007F430000}"/>
    <cellStyle name="40% - Accent3 2 3 3 3 4" xfId="15225" xr:uid="{00000000-0005-0000-0000-000080430000}"/>
    <cellStyle name="40% - Accent3 2 3 3 3 4 2" xfId="19689" xr:uid="{00000000-0005-0000-0000-000081430000}"/>
    <cellStyle name="40% - Accent3 2 3 3 3 4 2 2" xfId="30057" xr:uid="{00000000-0005-0000-0000-000082430000}"/>
    <cellStyle name="40% - Accent3 2 3 3 3 4 2 2 2" xfId="49246" xr:uid="{00000000-0005-0000-0000-000083430000}"/>
    <cellStyle name="40% - Accent3 2 3 3 3 4 2 3" xfId="39548" xr:uid="{00000000-0005-0000-0000-000084430000}"/>
    <cellStyle name="40% - Accent3 2 3 3 3 4 3" xfId="25602" xr:uid="{00000000-0005-0000-0000-000085430000}"/>
    <cellStyle name="40% - Accent3 2 3 3 3 4 3 2" xfId="44791" xr:uid="{00000000-0005-0000-0000-000086430000}"/>
    <cellStyle name="40% - Accent3 2 3 3 3 4 4" xfId="35093" xr:uid="{00000000-0005-0000-0000-000087430000}"/>
    <cellStyle name="40% - Accent3 2 3 3 3 5" xfId="16895" xr:uid="{00000000-0005-0000-0000-000088430000}"/>
    <cellStyle name="40% - Accent3 2 3 3 3 5 2" xfId="21359" xr:uid="{00000000-0005-0000-0000-000089430000}"/>
    <cellStyle name="40% - Accent3 2 3 3 3 5 2 2" xfId="31727" xr:uid="{00000000-0005-0000-0000-00008A430000}"/>
    <cellStyle name="40% - Accent3 2 3 3 3 5 2 2 2" xfId="50916" xr:uid="{00000000-0005-0000-0000-00008B430000}"/>
    <cellStyle name="40% - Accent3 2 3 3 3 5 2 3" xfId="41218" xr:uid="{00000000-0005-0000-0000-00008C430000}"/>
    <cellStyle name="40% - Accent3 2 3 3 3 5 3" xfId="27272" xr:uid="{00000000-0005-0000-0000-00008D430000}"/>
    <cellStyle name="40% - Accent3 2 3 3 3 5 3 2" xfId="46461" xr:uid="{00000000-0005-0000-0000-00008E430000}"/>
    <cellStyle name="40% - Accent3 2 3 3 3 5 4" xfId="36763" xr:uid="{00000000-0005-0000-0000-00008F430000}"/>
    <cellStyle name="40% - Accent3 2 3 3 3 6" xfId="17461" xr:uid="{00000000-0005-0000-0000-000090430000}"/>
    <cellStyle name="40% - Accent3 2 3 3 3 6 2" xfId="21916" xr:uid="{00000000-0005-0000-0000-000091430000}"/>
    <cellStyle name="40% - Accent3 2 3 3 3 6 2 2" xfId="32284" xr:uid="{00000000-0005-0000-0000-000092430000}"/>
    <cellStyle name="40% - Accent3 2 3 3 3 6 2 2 2" xfId="51473" xr:uid="{00000000-0005-0000-0000-000093430000}"/>
    <cellStyle name="40% - Accent3 2 3 3 3 6 2 3" xfId="41775" xr:uid="{00000000-0005-0000-0000-000094430000}"/>
    <cellStyle name="40% - Accent3 2 3 3 3 6 3" xfId="27829" xr:uid="{00000000-0005-0000-0000-000095430000}"/>
    <cellStyle name="40% - Accent3 2 3 3 3 6 3 2" xfId="47018" xr:uid="{00000000-0005-0000-0000-000096430000}"/>
    <cellStyle name="40% - Accent3 2 3 3 3 6 4" xfId="37320" xr:uid="{00000000-0005-0000-0000-000097430000}"/>
    <cellStyle name="40% - Accent3 2 3 3 3 7" xfId="18018" xr:uid="{00000000-0005-0000-0000-000098430000}"/>
    <cellStyle name="40% - Accent3 2 3 3 3 7 2" xfId="28386" xr:uid="{00000000-0005-0000-0000-000099430000}"/>
    <cellStyle name="40% - Accent3 2 3 3 3 7 2 2" xfId="47575" xr:uid="{00000000-0005-0000-0000-00009A430000}"/>
    <cellStyle name="40% - Accent3 2 3 3 3 7 3" xfId="37877" xr:uid="{00000000-0005-0000-0000-00009B430000}"/>
    <cellStyle name="40% - Accent3 2 3 3 3 8" xfId="23881" xr:uid="{00000000-0005-0000-0000-00009C430000}"/>
    <cellStyle name="40% - Accent3 2 3 3 3 8 2" xfId="43120" xr:uid="{00000000-0005-0000-0000-00009D430000}"/>
    <cellStyle name="40% - Accent3 2 3 3 3 9" xfId="33422" xr:uid="{00000000-0005-0000-0000-00009E430000}"/>
    <cellStyle name="40% - Accent3 2 3 3 4" xfId="14072" xr:uid="{00000000-0005-0000-0000-00009F430000}"/>
    <cellStyle name="40% - Accent3 2 3 3 4 2" xfId="16336" xr:uid="{00000000-0005-0000-0000-0000A0430000}"/>
    <cellStyle name="40% - Accent3 2 3 3 4 2 2" xfId="20800" xr:uid="{00000000-0005-0000-0000-0000A1430000}"/>
    <cellStyle name="40% - Accent3 2 3 3 4 2 2 2" xfId="31168" xr:uid="{00000000-0005-0000-0000-0000A2430000}"/>
    <cellStyle name="40% - Accent3 2 3 3 4 2 2 2 2" xfId="50357" xr:uid="{00000000-0005-0000-0000-0000A3430000}"/>
    <cellStyle name="40% - Accent3 2 3 3 4 2 2 3" xfId="40659" xr:uid="{00000000-0005-0000-0000-0000A4430000}"/>
    <cellStyle name="40% - Accent3 2 3 3 4 2 3" xfId="26713" xr:uid="{00000000-0005-0000-0000-0000A5430000}"/>
    <cellStyle name="40% - Accent3 2 3 3 4 2 3 2" xfId="45902" xr:uid="{00000000-0005-0000-0000-0000A6430000}"/>
    <cellStyle name="40% - Accent3 2 3 3 4 2 4" xfId="36204" xr:uid="{00000000-0005-0000-0000-0000A7430000}"/>
    <cellStyle name="40% - Accent3 2 3 3 4 3" xfId="18572" xr:uid="{00000000-0005-0000-0000-0000A8430000}"/>
    <cellStyle name="40% - Accent3 2 3 3 4 3 2" xfId="28940" xr:uid="{00000000-0005-0000-0000-0000A9430000}"/>
    <cellStyle name="40% - Accent3 2 3 3 4 3 2 2" xfId="48129" xr:uid="{00000000-0005-0000-0000-0000AA430000}"/>
    <cellStyle name="40% - Accent3 2 3 3 4 3 3" xfId="38431" xr:uid="{00000000-0005-0000-0000-0000AB430000}"/>
    <cellStyle name="40% - Accent3 2 3 3 4 4" xfId="24480" xr:uid="{00000000-0005-0000-0000-0000AC430000}"/>
    <cellStyle name="40% - Accent3 2 3 3 4 4 2" xfId="43674" xr:uid="{00000000-0005-0000-0000-0000AD430000}"/>
    <cellStyle name="40% - Accent3 2 3 3 4 5" xfId="33976" xr:uid="{00000000-0005-0000-0000-0000AE430000}"/>
    <cellStyle name="40% - Accent3 2 3 3 5" xfId="14651" xr:uid="{00000000-0005-0000-0000-0000AF430000}"/>
    <cellStyle name="40% - Accent3 2 3 3 5 2" xfId="15780" xr:uid="{00000000-0005-0000-0000-0000B0430000}"/>
    <cellStyle name="40% - Accent3 2 3 3 5 2 2" xfId="20244" xr:uid="{00000000-0005-0000-0000-0000B1430000}"/>
    <cellStyle name="40% - Accent3 2 3 3 5 2 2 2" xfId="30612" xr:uid="{00000000-0005-0000-0000-0000B2430000}"/>
    <cellStyle name="40% - Accent3 2 3 3 5 2 2 2 2" xfId="49801" xr:uid="{00000000-0005-0000-0000-0000B3430000}"/>
    <cellStyle name="40% - Accent3 2 3 3 5 2 2 3" xfId="40103" xr:uid="{00000000-0005-0000-0000-0000B4430000}"/>
    <cellStyle name="40% - Accent3 2 3 3 5 2 3" xfId="26157" xr:uid="{00000000-0005-0000-0000-0000B5430000}"/>
    <cellStyle name="40% - Accent3 2 3 3 5 2 3 2" xfId="45346" xr:uid="{00000000-0005-0000-0000-0000B6430000}"/>
    <cellStyle name="40% - Accent3 2 3 3 5 2 4" xfId="35648" xr:uid="{00000000-0005-0000-0000-0000B7430000}"/>
    <cellStyle name="40% - Accent3 2 3 3 5 3" xfId="19129" xr:uid="{00000000-0005-0000-0000-0000B8430000}"/>
    <cellStyle name="40% - Accent3 2 3 3 5 3 2" xfId="29497" xr:uid="{00000000-0005-0000-0000-0000B9430000}"/>
    <cellStyle name="40% - Accent3 2 3 3 5 3 2 2" xfId="48686" xr:uid="{00000000-0005-0000-0000-0000BA430000}"/>
    <cellStyle name="40% - Accent3 2 3 3 5 3 3" xfId="38988" xr:uid="{00000000-0005-0000-0000-0000BB430000}"/>
    <cellStyle name="40% - Accent3 2 3 3 5 4" xfId="25042" xr:uid="{00000000-0005-0000-0000-0000BC430000}"/>
    <cellStyle name="40% - Accent3 2 3 3 5 4 2" xfId="44231" xr:uid="{00000000-0005-0000-0000-0000BD430000}"/>
    <cellStyle name="40% - Accent3 2 3 3 5 5" xfId="34533" xr:uid="{00000000-0005-0000-0000-0000BE430000}"/>
    <cellStyle name="40% - Accent3 2 3 3 6" xfId="15223" xr:uid="{00000000-0005-0000-0000-0000BF430000}"/>
    <cellStyle name="40% - Accent3 2 3 3 6 2" xfId="19687" xr:uid="{00000000-0005-0000-0000-0000C0430000}"/>
    <cellStyle name="40% - Accent3 2 3 3 6 2 2" xfId="30055" xr:uid="{00000000-0005-0000-0000-0000C1430000}"/>
    <cellStyle name="40% - Accent3 2 3 3 6 2 2 2" xfId="49244" xr:uid="{00000000-0005-0000-0000-0000C2430000}"/>
    <cellStyle name="40% - Accent3 2 3 3 6 2 3" xfId="39546" xr:uid="{00000000-0005-0000-0000-0000C3430000}"/>
    <cellStyle name="40% - Accent3 2 3 3 6 3" xfId="25600" xr:uid="{00000000-0005-0000-0000-0000C4430000}"/>
    <cellStyle name="40% - Accent3 2 3 3 6 3 2" xfId="44789" xr:uid="{00000000-0005-0000-0000-0000C5430000}"/>
    <cellStyle name="40% - Accent3 2 3 3 6 4" xfId="35091" xr:uid="{00000000-0005-0000-0000-0000C6430000}"/>
    <cellStyle name="40% - Accent3 2 3 3 7" xfId="16893" xr:uid="{00000000-0005-0000-0000-0000C7430000}"/>
    <cellStyle name="40% - Accent3 2 3 3 7 2" xfId="21357" xr:uid="{00000000-0005-0000-0000-0000C8430000}"/>
    <cellStyle name="40% - Accent3 2 3 3 7 2 2" xfId="31725" xr:uid="{00000000-0005-0000-0000-0000C9430000}"/>
    <cellStyle name="40% - Accent3 2 3 3 7 2 2 2" xfId="50914" xr:uid="{00000000-0005-0000-0000-0000CA430000}"/>
    <cellStyle name="40% - Accent3 2 3 3 7 2 3" xfId="41216" xr:uid="{00000000-0005-0000-0000-0000CB430000}"/>
    <cellStyle name="40% - Accent3 2 3 3 7 3" xfId="27270" xr:uid="{00000000-0005-0000-0000-0000CC430000}"/>
    <cellStyle name="40% - Accent3 2 3 3 7 3 2" xfId="46459" xr:uid="{00000000-0005-0000-0000-0000CD430000}"/>
    <cellStyle name="40% - Accent3 2 3 3 7 4" xfId="36761" xr:uid="{00000000-0005-0000-0000-0000CE430000}"/>
    <cellStyle name="40% - Accent3 2 3 3 8" xfId="17459" xr:uid="{00000000-0005-0000-0000-0000CF430000}"/>
    <cellStyle name="40% - Accent3 2 3 3 8 2" xfId="21914" xr:uid="{00000000-0005-0000-0000-0000D0430000}"/>
    <cellStyle name="40% - Accent3 2 3 3 8 2 2" xfId="32282" xr:uid="{00000000-0005-0000-0000-0000D1430000}"/>
    <cellStyle name="40% - Accent3 2 3 3 8 2 2 2" xfId="51471" xr:uid="{00000000-0005-0000-0000-0000D2430000}"/>
    <cellStyle name="40% - Accent3 2 3 3 8 2 3" xfId="41773" xr:uid="{00000000-0005-0000-0000-0000D3430000}"/>
    <cellStyle name="40% - Accent3 2 3 3 8 3" xfId="27827" xr:uid="{00000000-0005-0000-0000-0000D4430000}"/>
    <cellStyle name="40% - Accent3 2 3 3 8 3 2" xfId="47016" xr:uid="{00000000-0005-0000-0000-0000D5430000}"/>
    <cellStyle name="40% - Accent3 2 3 3 8 4" xfId="37318" xr:uid="{00000000-0005-0000-0000-0000D6430000}"/>
    <cellStyle name="40% - Accent3 2 3 3 9" xfId="18016" xr:uid="{00000000-0005-0000-0000-0000D7430000}"/>
    <cellStyle name="40% - Accent3 2 3 3 9 2" xfId="28384" xr:uid="{00000000-0005-0000-0000-0000D8430000}"/>
    <cellStyle name="40% - Accent3 2 3 3 9 2 2" xfId="47573" xr:uid="{00000000-0005-0000-0000-0000D9430000}"/>
    <cellStyle name="40% - Accent3 2 3 3 9 3" xfId="37875" xr:uid="{00000000-0005-0000-0000-0000DA430000}"/>
    <cellStyle name="40% - Accent3 2 3 4" xfId="13135" xr:uid="{00000000-0005-0000-0000-0000DB430000}"/>
    <cellStyle name="40% - Accent3 2 3 4 10" xfId="53424" xr:uid="{00000000-0005-0000-0000-0000DC430000}"/>
    <cellStyle name="40% - Accent3 2 3 4 2" xfId="14075" xr:uid="{00000000-0005-0000-0000-0000DD430000}"/>
    <cellStyle name="40% - Accent3 2 3 4 2 2" xfId="16339" xr:uid="{00000000-0005-0000-0000-0000DE430000}"/>
    <cellStyle name="40% - Accent3 2 3 4 2 2 2" xfId="20803" xr:uid="{00000000-0005-0000-0000-0000DF430000}"/>
    <cellStyle name="40% - Accent3 2 3 4 2 2 2 2" xfId="31171" xr:uid="{00000000-0005-0000-0000-0000E0430000}"/>
    <cellStyle name="40% - Accent3 2 3 4 2 2 2 2 2" xfId="50360" xr:uid="{00000000-0005-0000-0000-0000E1430000}"/>
    <cellStyle name="40% - Accent3 2 3 4 2 2 2 3" xfId="40662" xr:uid="{00000000-0005-0000-0000-0000E2430000}"/>
    <cellStyle name="40% - Accent3 2 3 4 2 2 3" xfId="26716" xr:uid="{00000000-0005-0000-0000-0000E3430000}"/>
    <cellStyle name="40% - Accent3 2 3 4 2 2 3 2" xfId="45905" xr:uid="{00000000-0005-0000-0000-0000E4430000}"/>
    <cellStyle name="40% - Accent3 2 3 4 2 2 4" xfId="36207" xr:uid="{00000000-0005-0000-0000-0000E5430000}"/>
    <cellStyle name="40% - Accent3 2 3 4 2 3" xfId="18575" xr:uid="{00000000-0005-0000-0000-0000E6430000}"/>
    <cellStyle name="40% - Accent3 2 3 4 2 3 2" xfId="28943" xr:uid="{00000000-0005-0000-0000-0000E7430000}"/>
    <cellStyle name="40% - Accent3 2 3 4 2 3 2 2" xfId="48132" xr:uid="{00000000-0005-0000-0000-0000E8430000}"/>
    <cellStyle name="40% - Accent3 2 3 4 2 3 3" xfId="38434" xr:uid="{00000000-0005-0000-0000-0000E9430000}"/>
    <cellStyle name="40% - Accent3 2 3 4 2 4" xfId="24483" xr:uid="{00000000-0005-0000-0000-0000EA430000}"/>
    <cellStyle name="40% - Accent3 2 3 4 2 4 2" xfId="43677" xr:uid="{00000000-0005-0000-0000-0000EB430000}"/>
    <cellStyle name="40% - Accent3 2 3 4 2 5" xfId="33979" xr:uid="{00000000-0005-0000-0000-0000EC430000}"/>
    <cellStyle name="40% - Accent3 2 3 4 3" xfId="14654" xr:uid="{00000000-0005-0000-0000-0000ED430000}"/>
    <cellStyle name="40% - Accent3 2 3 4 3 2" xfId="15783" xr:uid="{00000000-0005-0000-0000-0000EE430000}"/>
    <cellStyle name="40% - Accent3 2 3 4 3 2 2" xfId="20247" xr:uid="{00000000-0005-0000-0000-0000EF430000}"/>
    <cellStyle name="40% - Accent3 2 3 4 3 2 2 2" xfId="30615" xr:uid="{00000000-0005-0000-0000-0000F0430000}"/>
    <cellStyle name="40% - Accent3 2 3 4 3 2 2 2 2" xfId="49804" xr:uid="{00000000-0005-0000-0000-0000F1430000}"/>
    <cellStyle name="40% - Accent3 2 3 4 3 2 2 3" xfId="40106" xr:uid="{00000000-0005-0000-0000-0000F2430000}"/>
    <cellStyle name="40% - Accent3 2 3 4 3 2 3" xfId="26160" xr:uid="{00000000-0005-0000-0000-0000F3430000}"/>
    <cellStyle name="40% - Accent3 2 3 4 3 2 3 2" xfId="45349" xr:uid="{00000000-0005-0000-0000-0000F4430000}"/>
    <cellStyle name="40% - Accent3 2 3 4 3 2 4" xfId="35651" xr:uid="{00000000-0005-0000-0000-0000F5430000}"/>
    <cellStyle name="40% - Accent3 2 3 4 3 3" xfId="19132" xr:uid="{00000000-0005-0000-0000-0000F6430000}"/>
    <cellStyle name="40% - Accent3 2 3 4 3 3 2" xfId="29500" xr:uid="{00000000-0005-0000-0000-0000F7430000}"/>
    <cellStyle name="40% - Accent3 2 3 4 3 3 2 2" xfId="48689" xr:uid="{00000000-0005-0000-0000-0000F8430000}"/>
    <cellStyle name="40% - Accent3 2 3 4 3 3 3" xfId="38991" xr:uid="{00000000-0005-0000-0000-0000F9430000}"/>
    <cellStyle name="40% - Accent3 2 3 4 3 4" xfId="25045" xr:uid="{00000000-0005-0000-0000-0000FA430000}"/>
    <cellStyle name="40% - Accent3 2 3 4 3 4 2" xfId="44234" xr:uid="{00000000-0005-0000-0000-0000FB430000}"/>
    <cellStyle name="40% - Accent3 2 3 4 3 5" xfId="34536" xr:uid="{00000000-0005-0000-0000-0000FC430000}"/>
    <cellStyle name="40% - Accent3 2 3 4 4" xfId="15226" xr:uid="{00000000-0005-0000-0000-0000FD430000}"/>
    <cellStyle name="40% - Accent3 2 3 4 4 2" xfId="19690" xr:uid="{00000000-0005-0000-0000-0000FE430000}"/>
    <cellStyle name="40% - Accent3 2 3 4 4 2 2" xfId="30058" xr:uid="{00000000-0005-0000-0000-0000FF430000}"/>
    <cellStyle name="40% - Accent3 2 3 4 4 2 2 2" xfId="49247" xr:uid="{00000000-0005-0000-0000-000000440000}"/>
    <cellStyle name="40% - Accent3 2 3 4 4 2 3" xfId="39549" xr:uid="{00000000-0005-0000-0000-000001440000}"/>
    <cellStyle name="40% - Accent3 2 3 4 4 3" xfId="25603" xr:uid="{00000000-0005-0000-0000-000002440000}"/>
    <cellStyle name="40% - Accent3 2 3 4 4 3 2" xfId="44792" xr:uid="{00000000-0005-0000-0000-000003440000}"/>
    <cellStyle name="40% - Accent3 2 3 4 4 4" xfId="35094" xr:uid="{00000000-0005-0000-0000-000004440000}"/>
    <cellStyle name="40% - Accent3 2 3 4 5" xfId="16896" xr:uid="{00000000-0005-0000-0000-000005440000}"/>
    <cellStyle name="40% - Accent3 2 3 4 5 2" xfId="21360" xr:uid="{00000000-0005-0000-0000-000006440000}"/>
    <cellStyle name="40% - Accent3 2 3 4 5 2 2" xfId="31728" xr:uid="{00000000-0005-0000-0000-000007440000}"/>
    <cellStyle name="40% - Accent3 2 3 4 5 2 2 2" xfId="50917" xr:uid="{00000000-0005-0000-0000-000008440000}"/>
    <cellStyle name="40% - Accent3 2 3 4 5 2 3" xfId="41219" xr:uid="{00000000-0005-0000-0000-000009440000}"/>
    <cellStyle name="40% - Accent3 2 3 4 5 3" xfId="27273" xr:uid="{00000000-0005-0000-0000-00000A440000}"/>
    <cellStyle name="40% - Accent3 2 3 4 5 3 2" xfId="46462" xr:uid="{00000000-0005-0000-0000-00000B440000}"/>
    <cellStyle name="40% - Accent3 2 3 4 5 4" xfId="36764" xr:uid="{00000000-0005-0000-0000-00000C440000}"/>
    <cellStyle name="40% - Accent3 2 3 4 6" xfId="17462" xr:uid="{00000000-0005-0000-0000-00000D440000}"/>
    <cellStyle name="40% - Accent3 2 3 4 6 2" xfId="21917" xr:uid="{00000000-0005-0000-0000-00000E440000}"/>
    <cellStyle name="40% - Accent3 2 3 4 6 2 2" xfId="32285" xr:uid="{00000000-0005-0000-0000-00000F440000}"/>
    <cellStyle name="40% - Accent3 2 3 4 6 2 2 2" xfId="51474" xr:uid="{00000000-0005-0000-0000-000010440000}"/>
    <cellStyle name="40% - Accent3 2 3 4 6 2 3" xfId="41776" xr:uid="{00000000-0005-0000-0000-000011440000}"/>
    <cellStyle name="40% - Accent3 2 3 4 6 3" xfId="27830" xr:uid="{00000000-0005-0000-0000-000012440000}"/>
    <cellStyle name="40% - Accent3 2 3 4 6 3 2" xfId="47019" xr:uid="{00000000-0005-0000-0000-000013440000}"/>
    <cellStyle name="40% - Accent3 2 3 4 6 4" xfId="37321" xr:uid="{00000000-0005-0000-0000-000014440000}"/>
    <cellStyle name="40% - Accent3 2 3 4 7" xfId="18019" xr:uid="{00000000-0005-0000-0000-000015440000}"/>
    <cellStyle name="40% - Accent3 2 3 4 7 2" xfId="28387" xr:uid="{00000000-0005-0000-0000-000016440000}"/>
    <cellStyle name="40% - Accent3 2 3 4 7 2 2" xfId="47576" xr:uid="{00000000-0005-0000-0000-000017440000}"/>
    <cellStyle name="40% - Accent3 2 3 4 7 3" xfId="37878" xr:uid="{00000000-0005-0000-0000-000018440000}"/>
    <cellStyle name="40% - Accent3 2 3 4 8" xfId="23882" xr:uid="{00000000-0005-0000-0000-000019440000}"/>
    <cellStyle name="40% - Accent3 2 3 4 8 2" xfId="43121" xr:uid="{00000000-0005-0000-0000-00001A440000}"/>
    <cellStyle name="40% - Accent3 2 3 4 9" xfId="33423" xr:uid="{00000000-0005-0000-0000-00001B440000}"/>
    <cellStyle name="40% - Accent3 2 3 5" xfId="13136" xr:uid="{00000000-0005-0000-0000-00001C440000}"/>
    <cellStyle name="40% - Accent3 2 3 5 2" xfId="14076" xr:uid="{00000000-0005-0000-0000-00001D440000}"/>
    <cellStyle name="40% - Accent3 2 3 5 2 2" xfId="16340" xr:uid="{00000000-0005-0000-0000-00001E440000}"/>
    <cellStyle name="40% - Accent3 2 3 5 2 2 2" xfId="20804" xr:uid="{00000000-0005-0000-0000-00001F440000}"/>
    <cellStyle name="40% - Accent3 2 3 5 2 2 2 2" xfId="31172" xr:uid="{00000000-0005-0000-0000-000020440000}"/>
    <cellStyle name="40% - Accent3 2 3 5 2 2 2 2 2" xfId="50361" xr:uid="{00000000-0005-0000-0000-000021440000}"/>
    <cellStyle name="40% - Accent3 2 3 5 2 2 2 3" xfId="40663" xr:uid="{00000000-0005-0000-0000-000022440000}"/>
    <cellStyle name="40% - Accent3 2 3 5 2 2 3" xfId="26717" xr:uid="{00000000-0005-0000-0000-000023440000}"/>
    <cellStyle name="40% - Accent3 2 3 5 2 2 3 2" xfId="45906" xr:uid="{00000000-0005-0000-0000-000024440000}"/>
    <cellStyle name="40% - Accent3 2 3 5 2 2 4" xfId="36208" xr:uid="{00000000-0005-0000-0000-000025440000}"/>
    <cellStyle name="40% - Accent3 2 3 5 2 3" xfId="18576" xr:uid="{00000000-0005-0000-0000-000026440000}"/>
    <cellStyle name="40% - Accent3 2 3 5 2 3 2" xfId="28944" xr:uid="{00000000-0005-0000-0000-000027440000}"/>
    <cellStyle name="40% - Accent3 2 3 5 2 3 2 2" xfId="48133" xr:uid="{00000000-0005-0000-0000-000028440000}"/>
    <cellStyle name="40% - Accent3 2 3 5 2 3 3" xfId="38435" xr:uid="{00000000-0005-0000-0000-000029440000}"/>
    <cellStyle name="40% - Accent3 2 3 5 2 4" xfId="24484" xr:uid="{00000000-0005-0000-0000-00002A440000}"/>
    <cellStyle name="40% - Accent3 2 3 5 2 4 2" xfId="43678" xr:uid="{00000000-0005-0000-0000-00002B440000}"/>
    <cellStyle name="40% - Accent3 2 3 5 2 5" xfId="33980" xr:uid="{00000000-0005-0000-0000-00002C440000}"/>
    <cellStyle name="40% - Accent3 2 3 5 3" xfId="14655" xr:uid="{00000000-0005-0000-0000-00002D440000}"/>
    <cellStyle name="40% - Accent3 2 3 5 3 2" xfId="15784" xr:uid="{00000000-0005-0000-0000-00002E440000}"/>
    <cellStyle name="40% - Accent3 2 3 5 3 2 2" xfId="20248" xr:uid="{00000000-0005-0000-0000-00002F440000}"/>
    <cellStyle name="40% - Accent3 2 3 5 3 2 2 2" xfId="30616" xr:uid="{00000000-0005-0000-0000-000030440000}"/>
    <cellStyle name="40% - Accent3 2 3 5 3 2 2 2 2" xfId="49805" xr:uid="{00000000-0005-0000-0000-000031440000}"/>
    <cellStyle name="40% - Accent3 2 3 5 3 2 2 3" xfId="40107" xr:uid="{00000000-0005-0000-0000-000032440000}"/>
    <cellStyle name="40% - Accent3 2 3 5 3 2 3" xfId="26161" xr:uid="{00000000-0005-0000-0000-000033440000}"/>
    <cellStyle name="40% - Accent3 2 3 5 3 2 3 2" xfId="45350" xr:uid="{00000000-0005-0000-0000-000034440000}"/>
    <cellStyle name="40% - Accent3 2 3 5 3 2 4" xfId="35652" xr:uid="{00000000-0005-0000-0000-000035440000}"/>
    <cellStyle name="40% - Accent3 2 3 5 3 3" xfId="19133" xr:uid="{00000000-0005-0000-0000-000036440000}"/>
    <cellStyle name="40% - Accent3 2 3 5 3 3 2" xfId="29501" xr:uid="{00000000-0005-0000-0000-000037440000}"/>
    <cellStyle name="40% - Accent3 2 3 5 3 3 2 2" xfId="48690" xr:uid="{00000000-0005-0000-0000-000038440000}"/>
    <cellStyle name="40% - Accent3 2 3 5 3 3 3" xfId="38992" xr:uid="{00000000-0005-0000-0000-000039440000}"/>
    <cellStyle name="40% - Accent3 2 3 5 3 4" xfId="25046" xr:uid="{00000000-0005-0000-0000-00003A440000}"/>
    <cellStyle name="40% - Accent3 2 3 5 3 4 2" xfId="44235" xr:uid="{00000000-0005-0000-0000-00003B440000}"/>
    <cellStyle name="40% - Accent3 2 3 5 3 5" xfId="34537" xr:uid="{00000000-0005-0000-0000-00003C440000}"/>
    <cellStyle name="40% - Accent3 2 3 5 4" xfId="15227" xr:uid="{00000000-0005-0000-0000-00003D440000}"/>
    <cellStyle name="40% - Accent3 2 3 5 4 2" xfId="19691" xr:uid="{00000000-0005-0000-0000-00003E440000}"/>
    <cellStyle name="40% - Accent3 2 3 5 4 2 2" xfId="30059" xr:uid="{00000000-0005-0000-0000-00003F440000}"/>
    <cellStyle name="40% - Accent3 2 3 5 4 2 2 2" xfId="49248" xr:uid="{00000000-0005-0000-0000-000040440000}"/>
    <cellStyle name="40% - Accent3 2 3 5 4 2 3" xfId="39550" xr:uid="{00000000-0005-0000-0000-000041440000}"/>
    <cellStyle name="40% - Accent3 2 3 5 4 3" xfId="25604" xr:uid="{00000000-0005-0000-0000-000042440000}"/>
    <cellStyle name="40% - Accent3 2 3 5 4 3 2" xfId="44793" xr:uid="{00000000-0005-0000-0000-000043440000}"/>
    <cellStyle name="40% - Accent3 2 3 5 4 4" xfId="35095" xr:uid="{00000000-0005-0000-0000-000044440000}"/>
    <cellStyle name="40% - Accent3 2 3 5 5" xfId="16897" xr:uid="{00000000-0005-0000-0000-000045440000}"/>
    <cellStyle name="40% - Accent3 2 3 5 5 2" xfId="21361" xr:uid="{00000000-0005-0000-0000-000046440000}"/>
    <cellStyle name="40% - Accent3 2 3 5 5 2 2" xfId="31729" xr:uid="{00000000-0005-0000-0000-000047440000}"/>
    <cellStyle name="40% - Accent3 2 3 5 5 2 2 2" xfId="50918" xr:uid="{00000000-0005-0000-0000-000048440000}"/>
    <cellStyle name="40% - Accent3 2 3 5 5 2 3" xfId="41220" xr:uid="{00000000-0005-0000-0000-000049440000}"/>
    <cellStyle name="40% - Accent3 2 3 5 5 3" xfId="27274" xr:uid="{00000000-0005-0000-0000-00004A440000}"/>
    <cellStyle name="40% - Accent3 2 3 5 5 3 2" xfId="46463" xr:uid="{00000000-0005-0000-0000-00004B440000}"/>
    <cellStyle name="40% - Accent3 2 3 5 5 4" xfId="36765" xr:uid="{00000000-0005-0000-0000-00004C440000}"/>
    <cellStyle name="40% - Accent3 2 3 5 6" xfId="17463" xr:uid="{00000000-0005-0000-0000-00004D440000}"/>
    <cellStyle name="40% - Accent3 2 3 5 6 2" xfId="21918" xr:uid="{00000000-0005-0000-0000-00004E440000}"/>
    <cellStyle name="40% - Accent3 2 3 5 6 2 2" xfId="32286" xr:uid="{00000000-0005-0000-0000-00004F440000}"/>
    <cellStyle name="40% - Accent3 2 3 5 6 2 2 2" xfId="51475" xr:uid="{00000000-0005-0000-0000-000050440000}"/>
    <cellStyle name="40% - Accent3 2 3 5 6 2 3" xfId="41777" xr:uid="{00000000-0005-0000-0000-000051440000}"/>
    <cellStyle name="40% - Accent3 2 3 5 6 3" xfId="27831" xr:uid="{00000000-0005-0000-0000-000052440000}"/>
    <cellStyle name="40% - Accent3 2 3 5 6 3 2" xfId="47020" xr:uid="{00000000-0005-0000-0000-000053440000}"/>
    <cellStyle name="40% - Accent3 2 3 5 6 4" xfId="37322" xr:uid="{00000000-0005-0000-0000-000054440000}"/>
    <cellStyle name="40% - Accent3 2 3 5 7" xfId="18020" xr:uid="{00000000-0005-0000-0000-000055440000}"/>
    <cellStyle name="40% - Accent3 2 3 5 7 2" xfId="28388" xr:uid="{00000000-0005-0000-0000-000056440000}"/>
    <cellStyle name="40% - Accent3 2 3 5 7 2 2" xfId="47577" xr:uid="{00000000-0005-0000-0000-000057440000}"/>
    <cellStyle name="40% - Accent3 2 3 5 7 3" xfId="37879" xr:uid="{00000000-0005-0000-0000-000058440000}"/>
    <cellStyle name="40% - Accent3 2 3 5 8" xfId="23883" xr:uid="{00000000-0005-0000-0000-000059440000}"/>
    <cellStyle name="40% - Accent3 2 3 5 8 2" xfId="43122" xr:uid="{00000000-0005-0000-0000-00005A440000}"/>
    <cellStyle name="40% - Accent3 2 3 5 9" xfId="33424" xr:uid="{00000000-0005-0000-0000-00005B440000}"/>
    <cellStyle name="40% - Accent3 2 3 6" xfId="22869" xr:uid="{00000000-0005-0000-0000-00005C440000}"/>
    <cellStyle name="40% - Accent3 2 3 6 2" xfId="32953" xr:uid="{00000000-0005-0000-0000-00005D440000}"/>
    <cellStyle name="40% - Accent3 2 3 6 2 2" xfId="52139" xr:uid="{00000000-0005-0000-0000-00005E440000}"/>
    <cellStyle name="40% - Accent3 2 3 6 3" xfId="42441" xr:uid="{00000000-0005-0000-0000-00005F440000}"/>
    <cellStyle name="40% - Accent3 2 3 7" xfId="23335" xr:uid="{00000000-0005-0000-0000-000060440000}"/>
    <cellStyle name="40% - Accent3 2 3 8" xfId="23226" xr:uid="{00000000-0005-0000-0000-000061440000}"/>
    <cellStyle name="40% - Accent3 2 3 8 2" xfId="42794" xr:uid="{00000000-0005-0000-0000-000062440000}"/>
    <cellStyle name="40% - Accent3 2 3 9" xfId="12212" xr:uid="{00000000-0005-0000-0000-000063440000}"/>
    <cellStyle name="40% - Accent3 2 4" xfId="1920" xr:uid="{00000000-0005-0000-0000-000064440000}"/>
    <cellStyle name="40% - Accent3 2 4 2" xfId="13137" xr:uid="{00000000-0005-0000-0000-000065440000}"/>
    <cellStyle name="40% - Accent3 2 4 2 10" xfId="23884" xr:uid="{00000000-0005-0000-0000-000066440000}"/>
    <cellStyle name="40% - Accent3 2 4 2 10 2" xfId="43123" xr:uid="{00000000-0005-0000-0000-000067440000}"/>
    <cellStyle name="40% - Accent3 2 4 2 11" xfId="33425" xr:uid="{00000000-0005-0000-0000-000068440000}"/>
    <cellStyle name="40% - Accent3 2 4 2 12" xfId="52766" xr:uid="{00000000-0005-0000-0000-000069440000}"/>
    <cellStyle name="40% - Accent3 2 4 2 2" xfId="13138" xr:uid="{00000000-0005-0000-0000-00006A440000}"/>
    <cellStyle name="40% - Accent3 2 4 2 2 10" xfId="53194" xr:uid="{00000000-0005-0000-0000-00006B440000}"/>
    <cellStyle name="40% - Accent3 2 4 2 2 2" xfId="14078" xr:uid="{00000000-0005-0000-0000-00006C440000}"/>
    <cellStyle name="40% - Accent3 2 4 2 2 2 2" xfId="16342" xr:uid="{00000000-0005-0000-0000-00006D440000}"/>
    <cellStyle name="40% - Accent3 2 4 2 2 2 2 2" xfId="20806" xr:uid="{00000000-0005-0000-0000-00006E440000}"/>
    <cellStyle name="40% - Accent3 2 4 2 2 2 2 2 2" xfId="31174" xr:uid="{00000000-0005-0000-0000-00006F440000}"/>
    <cellStyle name="40% - Accent3 2 4 2 2 2 2 2 2 2" xfId="50363" xr:uid="{00000000-0005-0000-0000-000070440000}"/>
    <cellStyle name="40% - Accent3 2 4 2 2 2 2 2 3" xfId="40665" xr:uid="{00000000-0005-0000-0000-000071440000}"/>
    <cellStyle name="40% - Accent3 2 4 2 2 2 2 3" xfId="26719" xr:uid="{00000000-0005-0000-0000-000072440000}"/>
    <cellStyle name="40% - Accent3 2 4 2 2 2 2 3 2" xfId="45908" xr:uid="{00000000-0005-0000-0000-000073440000}"/>
    <cellStyle name="40% - Accent3 2 4 2 2 2 2 4" xfId="36210" xr:uid="{00000000-0005-0000-0000-000074440000}"/>
    <cellStyle name="40% - Accent3 2 4 2 2 2 3" xfId="18578" xr:uid="{00000000-0005-0000-0000-000075440000}"/>
    <cellStyle name="40% - Accent3 2 4 2 2 2 3 2" xfId="28946" xr:uid="{00000000-0005-0000-0000-000076440000}"/>
    <cellStyle name="40% - Accent3 2 4 2 2 2 3 2 2" xfId="48135" xr:uid="{00000000-0005-0000-0000-000077440000}"/>
    <cellStyle name="40% - Accent3 2 4 2 2 2 3 3" xfId="38437" xr:uid="{00000000-0005-0000-0000-000078440000}"/>
    <cellStyle name="40% - Accent3 2 4 2 2 2 4" xfId="24486" xr:uid="{00000000-0005-0000-0000-000079440000}"/>
    <cellStyle name="40% - Accent3 2 4 2 2 2 4 2" xfId="43680" xr:uid="{00000000-0005-0000-0000-00007A440000}"/>
    <cellStyle name="40% - Accent3 2 4 2 2 2 5" xfId="33982" xr:uid="{00000000-0005-0000-0000-00007B440000}"/>
    <cellStyle name="40% - Accent3 2 4 2 2 2 6" xfId="54047" xr:uid="{00000000-0005-0000-0000-00007C440000}"/>
    <cellStyle name="40% - Accent3 2 4 2 2 3" xfId="14657" xr:uid="{00000000-0005-0000-0000-00007D440000}"/>
    <cellStyle name="40% - Accent3 2 4 2 2 3 2" xfId="15786" xr:uid="{00000000-0005-0000-0000-00007E440000}"/>
    <cellStyle name="40% - Accent3 2 4 2 2 3 2 2" xfId="20250" xr:uid="{00000000-0005-0000-0000-00007F440000}"/>
    <cellStyle name="40% - Accent3 2 4 2 2 3 2 2 2" xfId="30618" xr:uid="{00000000-0005-0000-0000-000080440000}"/>
    <cellStyle name="40% - Accent3 2 4 2 2 3 2 2 2 2" xfId="49807" xr:uid="{00000000-0005-0000-0000-000081440000}"/>
    <cellStyle name="40% - Accent3 2 4 2 2 3 2 2 3" xfId="40109" xr:uid="{00000000-0005-0000-0000-000082440000}"/>
    <cellStyle name="40% - Accent3 2 4 2 2 3 2 3" xfId="26163" xr:uid="{00000000-0005-0000-0000-000083440000}"/>
    <cellStyle name="40% - Accent3 2 4 2 2 3 2 3 2" xfId="45352" xr:uid="{00000000-0005-0000-0000-000084440000}"/>
    <cellStyle name="40% - Accent3 2 4 2 2 3 2 4" xfId="35654" xr:uid="{00000000-0005-0000-0000-000085440000}"/>
    <cellStyle name="40% - Accent3 2 4 2 2 3 3" xfId="19135" xr:uid="{00000000-0005-0000-0000-000086440000}"/>
    <cellStyle name="40% - Accent3 2 4 2 2 3 3 2" xfId="29503" xr:uid="{00000000-0005-0000-0000-000087440000}"/>
    <cellStyle name="40% - Accent3 2 4 2 2 3 3 2 2" xfId="48692" xr:uid="{00000000-0005-0000-0000-000088440000}"/>
    <cellStyle name="40% - Accent3 2 4 2 2 3 3 3" xfId="38994" xr:uid="{00000000-0005-0000-0000-000089440000}"/>
    <cellStyle name="40% - Accent3 2 4 2 2 3 4" xfId="25048" xr:uid="{00000000-0005-0000-0000-00008A440000}"/>
    <cellStyle name="40% - Accent3 2 4 2 2 3 4 2" xfId="44237" xr:uid="{00000000-0005-0000-0000-00008B440000}"/>
    <cellStyle name="40% - Accent3 2 4 2 2 3 5" xfId="34539" xr:uid="{00000000-0005-0000-0000-00008C440000}"/>
    <cellStyle name="40% - Accent3 2 4 2 2 4" xfId="15229" xr:uid="{00000000-0005-0000-0000-00008D440000}"/>
    <cellStyle name="40% - Accent3 2 4 2 2 4 2" xfId="19693" xr:uid="{00000000-0005-0000-0000-00008E440000}"/>
    <cellStyle name="40% - Accent3 2 4 2 2 4 2 2" xfId="30061" xr:uid="{00000000-0005-0000-0000-00008F440000}"/>
    <cellStyle name="40% - Accent3 2 4 2 2 4 2 2 2" xfId="49250" xr:uid="{00000000-0005-0000-0000-000090440000}"/>
    <cellStyle name="40% - Accent3 2 4 2 2 4 2 3" xfId="39552" xr:uid="{00000000-0005-0000-0000-000091440000}"/>
    <cellStyle name="40% - Accent3 2 4 2 2 4 3" xfId="25606" xr:uid="{00000000-0005-0000-0000-000092440000}"/>
    <cellStyle name="40% - Accent3 2 4 2 2 4 3 2" xfId="44795" xr:uid="{00000000-0005-0000-0000-000093440000}"/>
    <cellStyle name="40% - Accent3 2 4 2 2 4 4" xfId="35097" xr:uid="{00000000-0005-0000-0000-000094440000}"/>
    <cellStyle name="40% - Accent3 2 4 2 2 5" xfId="16899" xr:uid="{00000000-0005-0000-0000-000095440000}"/>
    <cellStyle name="40% - Accent3 2 4 2 2 5 2" xfId="21363" xr:uid="{00000000-0005-0000-0000-000096440000}"/>
    <cellStyle name="40% - Accent3 2 4 2 2 5 2 2" xfId="31731" xr:uid="{00000000-0005-0000-0000-000097440000}"/>
    <cellStyle name="40% - Accent3 2 4 2 2 5 2 2 2" xfId="50920" xr:uid="{00000000-0005-0000-0000-000098440000}"/>
    <cellStyle name="40% - Accent3 2 4 2 2 5 2 3" xfId="41222" xr:uid="{00000000-0005-0000-0000-000099440000}"/>
    <cellStyle name="40% - Accent3 2 4 2 2 5 3" xfId="27276" xr:uid="{00000000-0005-0000-0000-00009A440000}"/>
    <cellStyle name="40% - Accent3 2 4 2 2 5 3 2" xfId="46465" xr:uid="{00000000-0005-0000-0000-00009B440000}"/>
    <cellStyle name="40% - Accent3 2 4 2 2 5 4" xfId="36767" xr:uid="{00000000-0005-0000-0000-00009C440000}"/>
    <cellStyle name="40% - Accent3 2 4 2 2 6" xfId="17465" xr:uid="{00000000-0005-0000-0000-00009D440000}"/>
    <cellStyle name="40% - Accent3 2 4 2 2 6 2" xfId="21920" xr:uid="{00000000-0005-0000-0000-00009E440000}"/>
    <cellStyle name="40% - Accent3 2 4 2 2 6 2 2" xfId="32288" xr:uid="{00000000-0005-0000-0000-00009F440000}"/>
    <cellStyle name="40% - Accent3 2 4 2 2 6 2 2 2" xfId="51477" xr:uid="{00000000-0005-0000-0000-0000A0440000}"/>
    <cellStyle name="40% - Accent3 2 4 2 2 6 2 3" xfId="41779" xr:uid="{00000000-0005-0000-0000-0000A1440000}"/>
    <cellStyle name="40% - Accent3 2 4 2 2 6 3" xfId="27833" xr:uid="{00000000-0005-0000-0000-0000A2440000}"/>
    <cellStyle name="40% - Accent3 2 4 2 2 6 3 2" xfId="47022" xr:uid="{00000000-0005-0000-0000-0000A3440000}"/>
    <cellStyle name="40% - Accent3 2 4 2 2 6 4" xfId="37324" xr:uid="{00000000-0005-0000-0000-0000A4440000}"/>
    <cellStyle name="40% - Accent3 2 4 2 2 7" xfId="18022" xr:uid="{00000000-0005-0000-0000-0000A5440000}"/>
    <cellStyle name="40% - Accent3 2 4 2 2 7 2" xfId="28390" xr:uid="{00000000-0005-0000-0000-0000A6440000}"/>
    <cellStyle name="40% - Accent3 2 4 2 2 7 2 2" xfId="47579" xr:uid="{00000000-0005-0000-0000-0000A7440000}"/>
    <cellStyle name="40% - Accent3 2 4 2 2 7 3" xfId="37881" xr:uid="{00000000-0005-0000-0000-0000A8440000}"/>
    <cellStyle name="40% - Accent3 2 4 2 2 8" xfId="23885" xr:uid="{00000000-0005-0000-0000-0000A9440000}"/>
    <cellStyle name="40% - Accent3 2 4 2 2 8 2" xfId="43124" xr:uid="{00000000-0005-0000-0000-0000AA440000}"/>
    <cellStyle name="40% - Accent3 2 4 2 2 9" xfId="33426" xr:uid="{00000000-0005-0000-0000-0000AB440000}"/>
    <cellStyle name="40% - Accent3 2 4 2 3" xfId="13139" xr:uid="{00000000-0005-0000-0000-0000AC440000}"/>
    <cellStyle name="40% - Accent3 2 4 2 3 10" xfId="53651" xr:uid="{00000000-0005-0000-0000-0000AD440000}"/>
    <cellStyle name="40% - Accent3 2 4 2 3 2" xfId="14079" xr:uid="{00000000-0005-0000-0000-0000AE440000}"/>
    <cellStyle name="40% - Accent3 2 4 2 3 2 2" xfId="16343" xr:uid="{00000000-0005-0000-0000-0000AF440000}"/>
    <cellStyle name="40% - Accent3 2 4 2 3 2 2 2" xfId="20807" xr:uid="{00000000-0005-0000-0000-0000B0440000}"/>
    <cellStyle name="40% - Accent3 2 4 2 3 2 2 2 2" xfId="31175" xr:uid="{00000000-0005-0000-0000-0000B1440000}"/>
    <cellStyle name="40% - Accent3 2 4 2 3 2 2 2 2 2" xfId="50364" xr:uid="{00000000-0005-0000-0000-0000B2440000}"/>
    <cellStyle name="40% - Accent3 2 4 2 3 2 2 2 3" xfId="40666" xr:uid="{00000000-0005-0000-0000-0000B3440000}"/>
    <cellStyle name="40% - Accent3 2 4 2 3 2 2 3" xfId="26720" xr:uid="{00000000-0005-0000-0000-0000B4440000}"/>
    <cellStyle name="40% - Accent3 2 4 2 3 2 2 3 2" xfId="45909" xr:uid="{00000000-0005-0000-0000-0000B5440000}"/>
    <cellStyle name="40% - Accent3 2 4 2 3 2 2 4" xfId="36211" xr:uid="{00000000-0005-0000-0000-0000B6440000}"/>
    <cellStyle name="40% - Accent3 2 4 2 3 2 3" xfId="18579" xr:uid="{00000000-0005-0000-0000-0000B7440000}"/>
    <cellStyle name="40% - Accent3 2 4 2 3 2 3 2" xfId="28947" xr:uid="{00000000-0005-0000-0000-0000B8440000}"/>
    <cellStyle name="40% - Accent3 2 4 2 3 2 3 2 2" xfId="48136" xr:uid="{00000000-0005-0000-0000-0000B9440000}"/>
    <cellStyle name="40% - Accent3 2 4 2 3 2 3 3" xfId="38438" xr:uid="{00000000-0005-0000-0000-0000BA440000}"/>
    <cellStyle name="40% - Accent3 2 4 2 3 2 4" xfId="24487" xr:uid="{00000000-0005-0000-0000-0000BB440000}"/>
    <cellStyle name="40% - Accent3 2 4 2 3 2 4 2" xfId="43681" xr:uid="{00000000-0005-0000-0000-0000BC440000}"/>
    <cellStyle name="40% - Accent3 2 4 2 3 2 5" xfId="33983" xr:uid="{00000000-0005-0000-0000-0000BD440000}"/>
    <cellStyle name="40% - Accent3 2 4 2 3 3" xfId="14658" xr:uid="{00000000-0005-0000-0000-0000BE440000}"/>
    <cellStyle name="40% - Accent3 2 4 2 3 3 2" xfId="15787" xr:uid="{00000000-0005-0000-0000-0000BF440000}"/>
    <cellStyle name="40% - Accent3 2 4 2 3 3 2 2" xfId="20251" xr:uid="{00000000-0005-0000-0000-0000C0440000}"/>
    <cellStyle name="40% - Accent3 2 4 2 3 3 2 2 2" xfId="30619" xr:uid="{00000000-0005-0000-0000-0000C1440000}"/>
    <cellStyle name="40% - Accent3 2 4 2 3 3 2 2 2 2" xfId="49808" xr:uid="{00000000-0005-0000-0000-0000C2440000}"/>
    <cellStyle name="40% - Accent3 2 4 2 3 3 2 2 3" xfId="40110" xr:uid="{00000000-0005-0000-0000-0000C3440000}"/>
    <cellStyle name="40% - Accent3 2 4 2 3 3 2 3" xfId="26164" xr:uid="{00000000-0005-0000-0000-0000C4440000}"/>
    <cellStyle name="40% - Accent3 2 4 2 3 3 2 3 2" xfId="45353" xr:uid="{00000000-0005-0000-0000-0000C5440000}"/>
    <cellStyle name="40% - Accent3 2 4 2 3 3 2 4" xfId="35655" xr:uid="{00000000-0005-0000-0000-0000C6440000}"/>
    <cellStyle name="40% - Accent3 2 4 2 3 3 3" xfId="19136" xr:uid="{00000000-0005-0000-0000-0000C7440000}"/>
    <cellStyle name="40% - Accent3 2 4 2 3 3 3 2" xfId="29504" xr:uid="{00000000-0005-0000-0000-0000C8440000}"/>
    <cellStyle name="40% - Accent3 2 4 2 3 3 3 2 2" xfId="48693" xr:uid="{00000000-0005-0000-0000-0000C9440000}"/>
    <cellStyle name="40% - Accent3 2 4 2 3 3 3 3" xfId="38995" xr:uid="{00000000-0005-0000-0000-0000CA440000}"/>
    <cellStyle name="40% - Accent3 2 4 2 3 3 4" xfId="25049" xr:uid="{00000000-0005-0000-0000-0000CB440000}"/>
    <cellStyle name="40% - Accent3 2 4 2 3 3 4 2" xfId="44238" xr:uid="{00000000-0005-0000-0000-0000CC440000}"/>
    <cellStyle name="40% - Accent3 2 4 2 3 3 5" xfId="34540" xr:uid="{00000000-0005-0000-0000-0000CD440000}"/>
    <cellStyle name="40% - Accent3 2 4 2 3 4" xfId="15230" xr:uid="{00000000-0005-0000-0000-0000CE440000}"/>
    <cellStyle name="40% - Accent3 2 4 2 3 4 2" xfId="19694" xr:uid="{00000000-0005-0000-0000-0000CF440000}"/>
    <cellStyle name="40% - Accent3 2 4 2 3 4 2 2" xfId="30062" xr:uid="{00000000-0005-0000-0000-0000D0440000}"/>
    <cellStyle name="40% - Accent3 2 4 2 3 4 2 2 2" xfId="49251" xr:uid="{00000000-0005-0000-0000-0000D1440000}"/>
    <cellStyle name="40% - Accent3 2 4 2 3 4 2 3" xfId="39553" xr:uid="{00000000-0005-0000-0000-0000D2440000}"/>
    <cellStyle name="40% - Accent3 2 4 2 3 4 3" xfId="25607" xr:uid="{00000000-0005-0000-0000-0000D3440000}"/>
    <cellStyle name="40% - Accent3 2 4 2 3 4 3 2" xfId="44796" xr:uid="{00000000-0005-0000-0000-0000D4440000}"/>
    <cellStyle name="40% - Accent3 2 4 2 3 4 4" xfId="35098" xr:uid="{00000000-0005-0000-0000-0000D5440000}"/>
    <cellStyle name="40% - Accent3 2 4 2 3 5" xfId="16900" xr:uid="{00000000-0005-0000-0000-0000D6440000}"/>
    <cellStyle name="40% - Accent3 2 4 2 3 5 2" xfId="21364" xr:uid="{00000000-0005-0000-0000-0000D7440000}"/>
    <cellStyle name="40% - Accent3 2 4 2 3 5 2 2" xfId="31732" xr:uid="{00000000-0005-0000-0000-0000D8440000}"/>
    <cellStyle name="40% - Accent3 2 4 2 3 5 2 2 2" xfId="50921" xr:uid="{00000000-0005-0000-0000-0000D9440000}"/>
    <cellStyle name="40% - Accent3 2 4 2 3 5 2 3" xfId="41223" xr:uid="{00000000-0005-0000-0000-0000DA440000}"/>
    <cellStyle name="40% - Accent3 2 4 2 3 5 3" xfId="27277" xr:uid="{00000000-0005-0000-0000-0000DB440000}"/>
    <cellStyle name="40% - Accent3 2 4 2 3 5 3 2" xfId="46466" xr:uid="{00000000-0005-0000-0000-0000DC440000}"/>
    <cellStyle name="40% - Accent3 2 4 2 3 5 4" xfId="36768" xr:uid="{00000000-0005-0000-0000-0000DD440000}"/>
    <cellStyle name="40% - Accent3 2 4 2 3 6" xfId="17466" xr:uid="{00000000-0005-0000-0000-0000DE440000}"/>
    <cellStyle name="40% - Accent3 2 4 2 3 6 2" xfId="21921" xr:uid="{00000000-0005-0000-0000-0000DF440000}"/>
    <cellStyle name="40% - Accent3 2 4 2 3 6 2 2" xfId="32289" xr:uid="{00000000-0005-0000-0000-0000E0440000}"/>
    <cellStyle name="40% - Accent3 2 4 2 3 6 2 2 2" xfId="51478" xr:uid="{00000000-0005-0000-0000-0000E1440000}"/>
    <cellStyle name="40% - Accent3 2 4 2 3 6 2 3" xfId="41780" xr:uid="{00000000-0005-0000-0000-0000E2440000}"/>
    <cellStyle name="40% - Accent3 2 4 2 3 6 3" xfId="27834" xr:uid="{00000000-0005-0000-0000-0000E3440000}"/>
    <cellStyle name="40% - Accent3 2 4 2 3 6 3 2" xfId="47023" xr:uid="{00000000-0005-0000-0000-0000E4440000}"/>
    <cellStyle name="40% - Accent3 2 4 2 3 6 4" xfId="37325" xr:uid="{00000000-0005-0000-0000-0000E5440000}"/>
    <cellStyle name="40% - Accent3 2 4 2 3 7" xfId="18023" xr:uid="{00000000-0005-0000-0000-0000E6440000}"/>
    <cellStyle name="40% - Accent3 2 4 2 3 7 2" xfId="28391" xr:uid="{00000000-0005-0000-0000-0000E7440000}"/>
    <cellStyle name="40% - Accent3 2 4 2 3 7 2 2" xfId="47580" xr:uid="{00000000-0005-0000-0000-0000E8440000}"/>
    <cellStyle name="40% - Accent3 2 4 2 3 7 3" xfId="37882" xr:uid="{00000000-0005-0000-0000-0000E9440000}"/>
    <cellStyle name="40% - Accent3 2 4 2 3 8" xfId="23886" xr:uid="{00000000-0005-0000-0000-0000EA440000}"/>
    <cellStyle name="40% - Accent3 2 4 2 3 8 2" xfId="43125" xr:uid="{00000000-0005-0000-0000-0000EB440000}"/>
    <cellStyle name="40% - Accent3 2 4 2 3 9" xfId="33427" xr:uid="{00000000-0005-0000-0000-0000EC440000}"/>
    <cellStyle name="40% - Accent3 2 4 2 4" xfId="14077" xr:uid="{00000000-0005-0000-0000-0000ED440000}"/>
    <cellStyle name="40% - Accent3 2 4 2 4 2" xfId="16341" xr:uid="{00000000-0005-0000-0000-0000EE440000}"/>
    <cellStyle name="40% - Accent3 2 4 2 4 2 2" xfId="20805" xr:uid="{00000000-0005-0000-0000-0000EF440000}"/>
    <cellStyle name="40% - Accent3 2 4 2 4 2 2 2" xfId="31173" xr:uid="{00000000-0005-0000-0000-0000F0440000}"/>
    <cellStyle name="40% - Accent3 2 4 2 4 2 2 2 2" xfId="50362" xr:uid="{00000000-0005-0000-0000-0000F1440000}"/>
    <cellStyle name="40% - Accent3 2 4 2 4 2 2 3" xfId="40664" xr:uid="{00000000-0005-0000-0000-0000F2440000}"/>
    <cellStyle name="40% - Accent3 2 4 2 4 2 3" xfId="26718" xr:uid="{00000000-0005-0000-0000-0000F3440000}"/>
    <cellStyle name="40% - Accent3 2 4 2 4 2 3 2" xfId="45907" xr:uid="{00000000-0005-0000-0000-0000F4440000}"/>
    <cellStyle name="40% - Accent3 2 4 2 4 2 4" xfId="36209" xr:uid="{00000000-0005-0000-0000-0000F5440000}"/>
    <cellStyle name="40% - Accent3 2 4 2 4 3" xfId="18577" xr:uid="{00000000-0005-0000-0000-0000F6440000}"/>
    <cellStyle name="40% - Accent3 2 4 2 4 3 2" xfId="28945" xr:uid="{00000000-0005-0000-0000-0000F7440000}"/>
    <cellStyle name="40% - Accent3 2 4 2 4 3 2 2" xfId="48134" xr:uid="{00000000-0005-0000-0000-0000F8440000}"/>
    <cellStyle name="40% - Accent3 2 4 2 4 3 3" xfId="38436" xr:uid="{00000000-0005-0000-0000-0000F9440000}"/>
    <cellStyle name="40% - Accent3 2 4 2 4 4" xfId="24485" xr:uid="{00000000-0005-0000-0000-0000FA440000}"/>
    <cellStyle name="40% - Accent3 2 4 2 4 4 2" xfId="43679" xr:uid="{00000000-0005-0000-0000-0000FB440000}"/>
    <cellStyle name="40% - Accent3 2 4 2 4 5" xfId="33981" xr:uid="{00000000-0005-0000-0000-0000FC440000}"/>
    <cellStyle name="40% - Accent3 2 4 2 5" xfId="14656" xr:uid="{00000000-0005-0000-0000-0000FD440000}"/>
    <cellStyle name="40% - Accent3 2 4 2 5 2" xfId="15785" xr:uid="{00000000-0005-0000-0000-0000FE440000}"/>
    <cellStyle name="40% - Accent3 2 4 2 5 2 2" xfId="20249" xr:uid="{00000000-0005-0000-0000-0000FF440000}"/>
    <cellStyle name="40% - Accent3 2 4 2 5 2 2 2" xfId="30617" xr:uid="{00000000-0005-0000-0000-000000450000}"/>
    <cellStyle name="40% - Accent3 2 4 2 5 2 2 2 2" xfId="49806" xr:uid="{00000000-0005-0000-0000-000001450000}"/>
    <cellStyle name="40% - Accent3 2 4 2 5 2 2 3" xfId="40108" xr:uid="{00000000-0005-0000-0000-000002450000}"/>
    <cellStyle name="40% - Accent3 2 4 2 5 2 3" xfId="26162" xr:uid="{00000000-0005-0000-0000-000003450000}"/>
    <cellStyle name="40% - Accent3 2 4 2 5 2 3 2" xfId="45351" xr:uid="{00000000-0005-0000-0000-000004450000}"/>
    <cellStyle name="40% - Accent3 2 4 2 5 2 4" xfId="35653" xr:uid="{00000000-0005-0000-0000-000005450000}"/>
    <cellStyle name="40% - Accent3 2 4 2 5 3" xfId="19134" xr:uid="{00000000-0005-0000-0000-000006450000}"/>
    <cellStyle name="40% - Accent3 2 4 2 5 3 2" xfId="29502" xr:uid="{00000000-0005-0000-0000-000007450000}"/>
    <cellStyle name="40% - Accent3 2 4 2 5 3 2 2" xfId="48691" xr:uid="{00000000-0005-0000-0000-000008450000}"/>
    <cellStyle name="40% - Accent3 2 4 2 5 3 3" xfId="38993" xr:uid="{00000000-0005-0000-0000-000009450000}"/>
    <cellStyle name="40% - Accent3 2 4 2 5 4" xfId="25047" xr:uid="{00000000-0005-0000-0000-00000A450000}"/>
    <cellStyle name="40% - Accent3 2 4 2 5 4 2" xfId="44236" xr:uid="{00000000-0005-0000-0000-00000B450000}"/>
    <cellStyle name="40% - Accent3 2 4 2 5 5" xfId="34538" xr:uid="{00000000-0005-0000-0000-00000C450000}"/>
    <cellStyle name="40% - Accent3 2 4 2 6" xfId="15228" xr:uid="{00000000-0005-0000-0000-00000D450000}"/>
    <cellStyle name="40% - Accent3 2 4 2 6 2" xfId="19692" xr:uid="{00000000-0005-0000-0000-00000E450000}"/>
    <cellStyle name="40% - Accent3 2 4 2 6 2 2" xfId="30060" xr:uid="{00000000-0005-0000-0000-00000F450000}"/>
    <cellStyle name="40% - Accent3 2 4 2 6 2 2 2" xfId="49249" xr:uid="{00000000-0005-0000-0000-000010450000}"/>
    <cellStyle name="40% - Accent3 2 4 2 6 2 3" xfId="39551" xr:uid="{00000000-0005-0000-0000-000011450000}"/>
    <cellStyle name="40% - Accent3 2 4 2 6 3" xfId="25605" xr:uid="{00000000-0005-0000-0000-000012450000}"/>
    <cellStyle name="40% - Accent3 2 4 2 6 3 2" xfId="44794" xr:uid="{00000000-0005-0000-0000-000013450000}"/>
    <cellStyle name="40% - Accent3 2 4 2 6 4" xfId="35096" xr:uid="{00000000-0005-0000-0000-000014450000}"/>
    <cellStyle name="40% - Accent3 2 4 2 7" xfId="16898" xr:uid="{00000000-0005-0000-0000-000015450000}"/>
    <cellStyle name="40% - Accent3 2 4 2 7 2" xfId="21362" xr:uid="{00000000-0005-0000-0000-000016450000}"/>
    <cellStyle name="40% - Accent3 2 4 2 7 2 2" xfId="31730" xr:uid="{00000000-0005-0000-0000-000017450000}"/>
    <cellStyle name="40% - Accent3 2 4 2 7 2 2 2" xfId="50919" xr:uid="{00000000-0005-0000-0000-000018450000}"/>
    <cellStyle name="40% - Accent3 2 4 2 7 2 3" xfId="41221" xr:uid="{00000000-0005-0000-0000-000019450000}"/>
    <cellStyle name="40% - Accent3 2 4 2 7 3" xfId="27275" xr:uid="{00000000-0005-0000-0000-00001A450000}"/>
    <cellStyle name="40% - Accent3 2 4 2 7 3 2" xfId="46464" xr:uid="{00000000-0005-0000-0000-00001B450000}"/>
    <cellStyle name="40% - Accent3 2 4 2 7 4" xfId="36766" xr:uid="{00000000-0005-0000-0000-00001C450000}"/>
    <cellStyle name="40% - Accent3 2 4 2 8" xfId="17464" xr:uid="{00000000-0005-0000-0000-00001D450000}"/>
    <cellStyle name="40% - Accent3 2 4 2 8 2" xfId="21919" xr:uid="{00000000-0005-0000-0000-00001E450000}"/>
    <cellStyle name="40% - Accent3 2 4 2 8 2 2" xfId="32287" xr:uid="{00000000-0005-0000-0000-00001F450000}"/>
    <cellStyle name="40% - Accent3 2 4 2 8 2 2 2" xfId="51476" xr:uid="{00000000-0005-0000-0000-000020450000}"/>
    <cellStyle name="40% - Accent3 2 4 2 8 2 3" xfId="41778" xr:uid="{00000000-0005-0000-0000-000021450000}"/>
    <cellStyle name="40% - Accent3 2 4 2 8 3" xfId="27832" xr:uid="{00000000-0005-0000-0000-000022450000}"/>
    <cellStyle name="40% - Accent3 2 4 2 8 3 2" xfId="47021" xr:uid="{00000000-0005-0000-0000-000023450000}"/>
    <cellStyle name="40% - Accent3 2 4 2 8 4" xfId="37323" xr:uid="{00000000-0005-0000-0000-000024450000}"/>
    <cellStyle name="40% - Accent3 2 4 2 9" xfId="18021" xr:uid="{00000000-0005-0000-0000-000025450000}"/>
    <cellStyle name="40% - Accent3 2 4 2 9 2" xfId="28389" xr:uid="{00000000-0005-0000-0000-000026450000}"/>
    <cellStyle name="40% - Accent3 2 4 2 9 2 2" xfId="47578" xr:uid="{00000000-0005-0000-0000-000027450000}"/>
    <cellStyle name="40% - Accent3 2 4 2 9 3" xfId="37880" xr:uid="{00000000-0005-0000-0000-000028450000}"/>
    <cellStyle name="40% - Accent3 2 4 3" xfId="13140" xr:uid="{00000000-0005-0000-0000-000029450000}"/>
    <cellStyle name="40% - Accent3 2 4 3 10" xfId="23887" xr:uid="{00000000-0005-0000-0000-00002A450000}"/>
    <cellStyle name="40% - Accent3 2 4 3 10 2" xfId="43126" xr:uid="{00000000-0005-0000-0000-00002B450000}"/>
    <cellStyle name="40% - Accent3 2 4 3 11" xfId="33428" xr:uid="{00000000-0005-0000-0000-00002C450000}"/>
    <cellStyle name="40% - Accent3 2 4 3 12" xfId="52976" xr:uid="{00000000-0005-0000-0000-00002D450000}"/>
    <cellStyle name="40% - Accent3 2 4 3 2" xfId="13141" xr:uid="{00000000-0005-0000-0000-00002E450000}"/>
    <cellStyle name="40% - Accent3 2 4 3 2 10" xfId="53851" xr:uid="{00000000-0005-0000-0000-00002F450000}"/>
    <cellStyle name="40% - Accent3 2 4 3 2 2" xfId="14081" xr:uid="{00000000-0005-0000-0000-000030450000}"/>
    <cellStyle name="40% - Accent3 2 4 3 2 2 2" xfId="16345" xr:uid="{00000000-0005-0000-0000-000031450000}"/>
    <cellStyle name="40% - Accent3 2 4 3 2 2 2 2" xfId="20809" xr:uid="{00000000-0005-0000-0000-000032450000}"/>
    <cellStyle name="40% - Accent3 2 4 3 2 2 2 2 2" xfId="31177" xr:uid="{00000000-0005-0000-0000-000033450000}"/>
    <cellStyle name="40% - Accent3 2 4 3 2 2 2 2 2 2" xfId="50366" xr:uid="{00000000-0005-0000-0000-000034450000}"/>
    <cellStyle name="40% - Accent3 2 4 3 2 2 2 2 3" xfId="40668" xr:uid="{00000000-0005-0000-0000-000035450000}"/>
    <cellStyle name="40% - Accent3 2 4 3 2 2 2 3" xfId="26722" xr:uid="{00000000-0005-0000-0000-000036450000}"/>
    <cellStyle name="40% - Accent3 2 4 3 2 2 2 3 2" xfId="45911" xr:uid="{00000000-0005-0000-0000-000037450000}"/>
    <cellStyle name="40% - Accent3 2 4 3 2 2 2 4" xfId="36213" xr:uid="{00000000-0005-0000-0000-000038450000}"/>
    <cellStyle name="40% - Accent3 2 4 3 2 2 3" xfId="18581" xr:uid="{00000000-0005-0000-0000-000039450000}"/>
    <cellStyle name="40% - Accent3 2 4 3 2 2 3 2" xfId="28949" xr:uid="{00000000-0005-0000-0000-00003A450000}"/>
    <cellStyle name="40% - Accent3 2 4 3 2 2 3 2 2" xfId="48138" xr:uid="{00000000-0005-0000-0000-00003B450000}"/>
    <cellStyle name="40% - Accent3 2 4 3 2 2 3 3" xfId="38440" xr:uid="{00000000-0005-0000-0000-00003C450000}"/>
    <cellStyle name="40% - Accent3 2 4 3 2 2 4" xfId="24489" xr:uid="{00000000-0005-0000-0000-00003D450000}"/>
    <cellStyle name="40% - Accent3 2 4 3 2 2 4 2" xfId="43683" xr:uid="{00000000-0005-0000-0000-00003E450000}"/>
    <cellStyle name="40% - Accent3 2 4 3 2 2 5" xfId="33985" xr:uid="{00000000-0005-0000-0000-00003F450000}"/>
    <cellStyle name="40% - Accent3 2 4 3 2 3" xfId="14660" xr:uid="{00000000-0005-0000-0000-000040450000}"/>
    <cellStyle name="40% - Accent3 2 4 3 2 3 2" xfId="15789" xr:uid="{00000000-0005-0000-0000-000041450000}"/>
    <cellStyle name="40% - Accent3 2 4 3 2 3 2 2" xfId="20253" xr:uid="{00000000-0005-0000-0000-000042450000}"/>
    <cellStyle name="40% - Accent3 2 4 3 2 3 2 2 2" xfId="30621" xr:uid="{00000000-0005-0000-0000-000043450000}"/>
    <cellStyle name="40% - Accent3 2 4 3 2 3 2 2 2 2" xfId="49810" xr:uid="{00000000-0005-0000-0000-000044450000}"/>
    <cellStyle name="40% - Accent3 2 4 3 2 3 2 2 3" xfId="40112" xr:uid="{00000000-0005-0000-0000-000045450000}"/>
    <cellStyle name="40% - Accent3 2 4 3 2 3 2 3" xfId="26166" xr:uid="{00000000-0005-0000-0000-000046450000}"/>
    <cellStyle name="40% - Accent3 2 4 3 2 3 2 3 2" xfId="45355" xr:uid="{00000000-0005-0000-0000-000047450000}"/>
    <cellStyle name="40% - Accent3 2 4 3 2 3 2 4" xfId="35657" xr:uid="{00000000-0005-0000-0000-000048450000}"/>
    <cellStyle name="40% - Accent3 2 4 3 2 3 3" xfId="19138" xr:uid="{00000000-0005-0000-0000-000049450000}"/>
    <cellStyle name="40% - Accent3 2 4 3 2 3 3 2" xfId="29506" xr:uid="{00000000-0005-0000-0000-00004A450000}"/>
    <cellStyle name="40% - Accent3 2 4 3 2 3 3 2 2" xfId="48695" xr:uid="{00000000-0005-0000-0000-00004B450000}"/>
    <cellStyle name="40% - Accent3 2 4 3 2 3 3 3" xfId="38997" xr:uid="{00000000-0005-0000-0000-00004C450000}"/>
    <cellStyle name="40% - Accent3 2 4 3 2 3 4" xfId="25051" xr:uid="{00000000-0005-0000-0000-00004D450000}"/>
    <cellStyle name="40% - Accent3 2 4 3 2 3 4 2" xfId="44240" xr:uid="{00000000-0005-0000-0000-00004E450000}"/>
    <cellStyle name="40% - Accent3 2 4 3 2 3 5" xfId="34542" xr:uid="{00000000-0005-0000-0000-00004F450000}"/>
    <cellStyle name="40% - Accent3 2 4 3 2 4" xfId="15232" xr:uid="{00000000-0005-0000-0000-000050450000}"/>
    <cellStyle name="40% - Accent3 2 4 3 2 4 2" xfId="19696" xr:uid="{00000000-0005-0000-0000-000051450000}"/>
    <cellStyle name="40% - Accent3 2 4 3 2 4 2 2" xfId="30064" xr:uid="{00000000-0005-0000-0000-000052450000}"/>
    <cellStyle name="40% - Accent3 2 4 3 2 4 2 2 2" xfId="49253" xr:uid="{00000000-0005-0000-0000-000053450000}"/>
    <cellStyle name="40% - Accent3 2 4 3 2 4 2 3" xfId="39555" xr:uid="{00000000-0005-0000-0000-000054450000}"/>
    <cellStyle name="40% - Accent3 2 4 3 2 4 3" xfId="25609" xr:uid="{00000000-0005-0000-0000-000055450000}"/>
    <cellStyle name="40% - Accent3 2 4 3 2 4 3 2" xfId="44798" xr:uid="{00000000-0005-0000-0000-000056450000}"/>
    <cellStyle name="40% - Accent3 2 4 3 2 4 4" xfId="35100" xr:uid="{00000000-0005-0000-0000-000057450000}"/>
    <cellStyle name="40% - Accent3 2 4 3 2 5" xfId="16902" xr:uid="{00000000-0005-0000-0000-000058450000}"/>
    <cellStyle name="40% - Accent3 2 4 3 2 5 2" xfId="21366" xr:uid="{00000000-0005-0000-0000-000059450000}"/>
    <cellStyle name="40% - Accent3 2 4 3 2 5 2 2" xfId="31734" xr:uid="{00000000-0005-0000-0000-00005A450000}"/>
    <cellStyle name="40% - Accent3 2 4 3 2 5 2 2 2" xfId="50923" xr:uid="{00000000-0005-0000-0000-00005B450000}"/>
    <cellStyle name="40% - Accent3 2 4 3 2 5 2 3" xfId="41225" xr:uid="{00000000-0005-0000-0000-00005C450000}"/>
    <cellStyle name="40% - Accent3 2 4 3 2 5 3" xfId="27279" xr:uid="{00000000-0005-0000-0000-00005D450000}"/>
    <cellStyle name="40% - Accent3 2 4 3 2 5 3 2" xfId="46468" xr:uid="{00000000-0005-0000-0000-00005E450000}"/>
    <cellStyle name="40% - Accent3 2 4 3 2 5 4" xfId="36770" xr:uid="{00000000-0005-0000-0000-00005F450000}"/>
    <cellStyle name="40% - Accent3 2 4 3 2 6" xfId="17468" xr:uid="{00000000-0005-0000-0000-000060450000}"/>
    <cellStyle name="40% - Accent3 2 4 3 2 6 2" xfId="21923" xr:uid="{00000000-0005-0000-0000-000061450000}"/>
    <cellStyle name="40% - Accent3 2 4 3 2 6 2 2" xfId="32291" xr:uid="{00000000-0005-0000-0000-000062450000}"/>
    <cellStyle name="40% - Accent3 2 4 3 2 6 2 2 2" xfId="51480" xr:uid="{00000000-0005-0000-0000-000063450000}"/>
    <cellStyle name="40% - Accent3 2 4 3 2 6 2 3" xfId="41782" xr:uid="{00000000-0005-0000-0000-000064450000}"/>
    <cellStyle name="40% - Accent3 2 4 3 2 6 3" xfId="27836" xr:uid="{00000000-0005-0000-0000-000065450000}"/>
    <cellStyle name="40% - Accent3 2 4 3 2 6 3 2" xfId="47025" xr:uid="{00000000-0005-0000-0000-000066450000}"/>
    <cellStyle name="40% - Accent3 2 4 3 2 6 4" xfId="37327" xr:uid="{00000000-0005-0000-0000-000067450000}"/>
    <cellStyle name="40% - Accent3 2 4 3 2 7" xfId="18025" xr:uid="{00000000-0005-0000-0000-000068450000}"/>
    <cellStyle name="40% - Accent3 2 4 3 2 7 2" xfId="28393" xr:uid="{00000000-0005-0000-0000-000069450000}"/>
    <cellStyle name="40% - Accent3 2 4 3 2 7 2 2" xfId="47582" xr:uid="{00000000-0005-0000-0000-00006A450000}"/>
    <cellStyle name="40% - Accent3 2 4 3 2 7 3" xfId="37884" xr:uid="{00000000-0005-0000-0000-00006B450000}"/>
    <cellStyle name="40% - Accent3 2 4 3 2 8" xfId="23888" xr:uid="{00000000-0005-0000-0000-00006C450000}"/>
    <cellStyle name="40% - Accent3 2 4 3 2 8 2" xfId="43127" xr:uid="{00000000-0005-0000-0000-00006D450000}"/>
    <cellStyle name="40% - Accent3 2 4 3 2 9" xfId="33429" xr:uid="{00000000-0005-0000-0000-00006E450000}"/>
    <cellStyle name="40% - Accent3 2 4 3 3" xfId="13142" xr:uid="{00000000-0005-0000-0000-00006F450000}"/>
    <cellStyle name="40% - Accent3 2 4 3 3 2" xfId="14082" xr:uid="{00000000-0005-0000-0000-000070450000}"/>
    <cellStyle name="40% - Accent3 2 4 3 3 2 2" xfId="16346" xr:uid="{00000000-0005-0000-0000-000071450000}"/>
    <cellStyle name="40% - Accent3 2 4 3 3 2 2 2" xfId="20810" xr:uid="{00000000-0005-0000-0000-000072450000}"/>
    <cellStyle name="40% - Accent3 2 4 3 3 2 2 2 2" xfId="31178" xr:uid="{00000000-0005-0000-0000-000073450000}"/>
    <cellStyle name="40% - Accent3 2 4 3 3 2 2 2 2 2" xfId="50367" xr:uid="{00000000-0005-0000-0000-000074450000}"/>
    <cellStyle name="40% - Accent3 2 4 3 3 2 2 2 3" xfId="40669" xr:uid="{00000000-0005-0000-0000-000075450000}"/>
    <cellStyle name="40% - Accent3 2 4 3 3 2 2 3" xfId="26723" xr:uid="{00000000-0005-0000-0000-000076450000}"/>
    <cellStyle name="40% - Accent3 2 4 3 3 2 2 3 2" xfId="45912" xr:uid="{00000000-0005-0000-0000-000077450000}"/>
    <cellStyle name="40% - Accent3 2 4 3 3 2 2 4" xfId="36214" xr:uid="{00000000-0005-0000-0000-000078450000}"/>
    <cellStyle name="40% - Accent3 2 4 3 3 2 3" xfId="18582" xr:uid="{00000000-0005-0000-0000-000079450000}"/>
    <cellStyle name="40% - Accent3 2 4 3 3 2 3 2" xfId="28950" xr:uid="{00000000-0005-0000-0000-00007A450000}"/>
    <cellStyle name="40% - Accent3 2 4 3 3 2 3 2 2" xfId="48139" xr:uid="{00000000-0005-0000-0000-00007B450000}"/>
    <cellStyle name="40% - Accent3 2 4 3 3 2 3 3" xfId="38441" xr:uid="{00000000-0005-0000-0000-00007C450000}"/>
    <cellStyle name="40% - Accent3 2 4 3 3 2 4" xfId="24490" xr:uid="{00000000-0005-0000-0000-00007D450000}"/>
    <cellStyle name="40% - Accent3 2 4 3 3 2 4 2" xfId="43684" xr:uid="{00000000-0005-0000-0000-00007E450000}"/>
    <cellStyle name="40% - Accent3 2 4 3 3 2 5" xfId="33986" xr:uid="{00000000-0005-0000-0000-00007F450000}"/>
    <cellStyle name="40% - Accent3 2 4 3 3 3" xfId="14661" xr:uid="{00000000-0005-0000-0000-000080450000}"/>
    <cellStyle name="40% - Accent3 2 4 3 3 3 2" xfId="15790" xr:uid="{00000000-0005-0000-0000-000081450000}"/>
    <cellStyle name="40% - Accent3 2 4 3 3 3 2 2" xfId="20254" xr:uid="{00000000-0005-0000-0000-000082450000}"/>
    <cellStyle name="40% - Accent3 2 4 3 3 3 2 2 2" xfId="30622" xr:uid="{00000000-0005-0000-0000-000083450000}"/>
    <cellStyle name="40% - Accent3 2 4 3 3 3 2 2 2 2" xfId="49811" xr:uid="{00000000-0005-0000-0000-000084450000}"/>
    <cellStyle name="40% - Accent3 2 4 3 3 3 2 2 3" xfId="40113" xr:uid="{00000000-0005-0000-0000-000085450000}"/>
    <cellStyle name="40% - Accent3 2 4 3 3 3 2 3" xfId="26167" xr:uid="{00000000-0005-0000-0000-000086450000}"/>
    <cellStyle name="40% - Accent3 2 4 3 3 3 2 3 2" xfId="45356" xr:uid="{00000000-0005-0000-0000-000087450000}"/>
    <cellStyle name="40% - Accent3 2 4 3 3 3 2 4" xfId="35658" xr:uid="{00000000-0005-0000-0000-000088450000}"/>
    <cellStyle name="40% - Accent3 2 4 3 3 3 3" xfId="19139" xr:uid="{00000000-0005-0000-0000-000089450000}"/>
    <cellStyle name="40% - Accent3 2 4 3 3 3 3 2" xfId="29507" xr:uid="{00000000-0005-0000-0000-00008A450000}"/>
    <cellStyle name="40% - Accent3 2 4 3 3 3 3 2 2" xfId="48696" xr:uid="{00000000-0005-0000-0000-00008B450000}"/>
    <cellStyle name="40% - Accent3 2 4 3 3 3 3 3" xfId="38998" xr:uid="{00000000-0005-0000-0000-00008C450000}"/>
    <cellStyle name="40% - Accent3 2 4 3 3 3 4" xfId="25052" xr:uid="{00000000-0005-0000-0000-00008D450000}"/>
    <cellStyle name="40% - Accent3 2 4 3 3 3 4 2" xfId="44241" xr:uid="{00000000-0005-0000-0000-00008E450000}"/>
    <cellStyle name="40% - Accent3 2 4 3 3 3 5" xfId="34543" xr:uid="{00000000-0005-0000-0000-00008F450000}"/>
    <cellStyle name="40% - Accent3 2 4 3 3 4" xfId="15233" xr:uid="{00000000-0005-0000-0000-000090450000}"/>
    <cellStyle name="40% - Accent3 2 4 3 3 4 2" xfId="19697" xr:uid="{00000000-0005-0000-0000-000091450000}"/>
    <cellStyle name="40% - Accent3 2 4 3 3 4 2 2" xfId="30065" xr:uid="{00000000-0005-0000-0000-000092450000}"/>
    <cellStyle name="40% - Accent3 2 4 3 3 4 2 2 2" xfId="49254" xr:uid="{00000000-0005-0000-0000-000093450000}"/>
    <cellStyle name="40% - Accent3 2 4 3 3 4 2 3" xfId="39556" xr:uid="{00000000-0005-0000-0000-000094450000}"/>
    <cellStyle name="40% - Accent3 2 4 3 3 4 3" xfId="25610" xr:uid="{00000000-0005-0000-0000-000095450000}"/>
    <cellStyle name="40% - Accent3 2 4 3 3 4 3 2" xfId="44799" xr:uid="{00000000-0005-0000-0000-000096450000}"/>
    <cellStyle name="40% - Accent3 2 4 3 3 4 4" xfId="35101" xr:uid="{00000000-0005-0000-0000-000097450000}"/>
    <cellStyle name="40% - Accent3 2 4 3 3 5" xfId="16903" xr:uid="{00000000-0005-0000-0000-000098450000}"/>
    <cellStyle name="40% - Accent3 2 4 3 3 5 2" xfId="21367" xr:uid="{00000000-0005-0000-0000-000099450000}"/>
    <cellStyle name="40% - Accent3 2 4 3 3 5 2 2" xfId="31735" xr:uid="{00000000-0005-0000-0000-00009A450000}"/>
    <cellStyle name="40% - Accent3 2 4 3 3 5 2 2 2" xfId="50924" xr:uid="{00000000-0005-0000-0000-00009B450000}"/>
    <cellStyle name="40% - Accent3 2 4 3 3 5 2 3" xfId="41226" xr:uid="{00000000-0005-0000-0000-00009C450000}"/>
    <cellStyle name="40% - Accent3 2 4 3 3 5 3" xfId="27280" xr:uid="{00000000-0005-0000-0000-00009D450000}"/>
    <cellStyle name="40% - Accent3 2 4 3 3 5 3 2" xfId="46469" xr:uid="{00000000-0005-0000-0000-00009E450000}"/>
    <cellStyle name="40% - Accent3 2 4 3 3 5 4" xfId="36771" xr:uid="{00000000-0005-0000-0000-00009F450000}"/>
    <cellStyle name="40% - Accent3 2 4 3 3 6" xfId="17469" xr:uid="{00000000-0005-0000-0000-0000A0450000}"/>
    <cellStyle name="40% - Accent3 2 4 3 3 6 2" xfId="21924" xr:uid="{00000000-0005-0000-0000-0000A1450000}"/>
    <cellStyle name="40% - Accent3 2 4 3 3 6 2 2" xfId="32292" xr:uid="{00000000-0005-0000-0000-0000A2450000}"/>
    <cellStyle name="40% - Accent3 2 4 3 3 6 2 2 2" xfId="51481" xr:uid="{00000000-0005-0000-0000-0000A3450000}"/>
    <cellStyle name="40% - Accent3 2 4 3 3 6 2 3" xfId="41783" xr:uid="{00000000-0005-0000-0000-0000A4450000}"/>
    <cellStyle name="40% - Accent3 2 4 3 3 6 3" xfId="27837" xr:uid="{00000000-0005-0000-0000-0000A5450000}"/>
    <cellStyle name="40% - Accent3 2 4 3 3 6 3 2" xfId="47026" xr:uid="{00000000-0005-0000-0000-0000A6450000}"/>
    <cellStyle name="40% - Accent3 2 4 3 3 6 4" xfId="37328" xr:uid="{00000000-0005-0000-0000-0000A7450000}"/>
    <cellStyle name="40% - Accent3 2 4 3 3 7" xfId="18026" xr:uid="{00000000-0005-0000-0000-0000A8450000}"/>
    <cellStyle name="40% - Accent3 2 4 3 3 7 2" xfId="28394" xr:uid="{00000000-0005-0000-0000-0000A9450000}"/>
    <cellStyle name="40% - Accent3 2 4 3 3 7 2 2" xfId="47583" xr:uid="{00000000-0005-0000-0000-0000AA450000}"/>
    <cellStyle name="40% - Accent3 2 4 3 3 7 3" xfId="37885" xr:uid="{00000000-0005-0000-0000-0000AB450000}"/>
    <cellStyle name="40% - Accent3 2 4 3 3 8" xfId="23889" xr:uid="{00000000-0005-0000-0000-0000AC450000}"/>
    <cellStyle name="40% - Accent3 2 4 3 3 8 2" xfId="43128" xr:uid="{00000000-0005-0000-0000-0000AD450000}"/>
    <cellStyle name="40% - Accent3 2 4 3 3 9" xfId="33430" xr:uid="{00000000-0005-0000-0000-0000AE450000}"/>
    <cellStyle name="40% - Accent3 2 4 3 4" xfId="14080" xr:uid="{00000000-0005-0000-0000-0000AF450000}"/>
    <cellStyle name="40% - Accent3 2 4 3 4 2" xfId="16344" xr:uid="{00000000-0005-0000-0000-0000B0450000}"/>
    <cellStyle name="40% - Accent3 2 4 3 4 2 2" xfId="20808" xr:uid="{00000000-0005-0000-0000-0000B1450000}"/>
    <cellStyle name="40% - Accent3 2 4 3 4 2 2 2" xfId="31176" xr:uid="{00000000-0005-0000-0000-0000B2450000}"/>
    <cellStyle name="40% - Accent3 2 4 3 4 2 2 2 2" xfId="50365" xr:uid="{00000000-0005-0000-0000-0000B3450000}"/>
    <cellStyle name="40% - Accent3 2 4 3 4 2 2 3" xfId="40667" xr:uid="{00000000-0005-0000-0000-0000B4450000}"/>
    <cellStyle name="40% - Accent3 2 4 3 4 2 3" xfId="26721" xr:uid="{00000000-0005-0000-0000-0000B5450000}"/>
    <cellStyle name="40% - Accent3 2 4 3 4 2 3 2" xfId="45910" xr:uid="{00000000-0005-0000-0000-0000B6450000}"/>
    <cellStyle name="40% - Accent3 2 4 3 4 2 4" xfId="36212" xr:uid="{00000000-0005-0000-0000-0000B7450000}"/>
    <cellStyle name="40% - Accent3 2 4 3 4 3" xfId="18580" xr:uid="{00000000-0005-0000-0000-0000B8450000}"/>
    <cellStyle name="40% - Accent3 2 4 3 4 3 2" xfId="28948" xr:uid="{00000000-0005-0000-0000-0000B9450000}"/>
    <cellStyle name="40% - Accent3 2 4 3 4 3 2 2" xfId="48137" xr:uid="{00000000-0005-0000-0000-0000BA450000}"/>
    <cellStyle name="40% - Accent3 2 4 3 4 3 3" xfId="38439" xr:uid="{00000000-0005-0000-0000-0000BB450000}"/>
    <cellStyle name="40% - Accent3 2 4 3 4 4" xfId="24488" xr:uid="{00000000-0005-0000-0000-0000BC450000}"/>
    <cellStyle name="40% - Accent3 2 4 3 4 4 2" xfId="43682" xr:uid="{00000000-0005-0000-0000-0000BD450000}"/>
    <cellStyle name="40% - Accent3 2 4 3 4 5" xfId="33984" xr:uid="{00000000-0005-0000-0000-0000BE450000}"/>
    <cellStyle name="40% - Accent3 2 4 3 5" xfId="14659" xr:uid="{00000000-0005-0000-0000-0000BF450000}"/>
    <cellStyle name="40% - Accent3 2 4 3 5 2" xfId="15788" xr:uid="{00000000-0005-0000-0000-0000C0450000}"/>
    <cellStyle name="40% - Accent3 2 4 3 5 2 2" xfId="20252" xr:uid="{00000000-0005-0000-0000-0000C1450000}"/>
    <cellStyle name="40% - Accent3 2 4 3 5 2 2 2" xfId="30620" xr:uid="{00000000-0005-0000-0000-0000C2450000}"/>
    <cellStyle name="40% - Accent3 2 4 3 5 2 2 2 2" xfId="49809" xr:uid="{00000000-0005-0000-0000-0000C3450000}"/>
    <cellStyle name="40% - Accent3 2 4 3 5 2 2 3" xfId="40111" xr:uid="{00000000-0005-0000-0000-0000C4450000}"/>
    <cellStyle name="40% - Accent3 2 4 3 5 2 3" xfId="26165" xr:uid="{00000000-0005-0000-0000-0000C5450000}"/>
    <cellStyle name="40% - Accent3 2 4 3 5 2 3 2" xfId="45354" xr:uid="{00000000-0005-0000-0000-0000C6450000}"/>
    <cellStyle name="40% - Accent3 2 4 3 5 2 4" xfId="35656" xr:uid="{00000000-0005-0000-0000-0000C7450000}"/>
    <cellStyle name="40% - Accent3 2 4 3 5 3" xfId="19137" xr:uid="{00000000-0005-0000-0000-0000C8450000}"/>
    <cellStyle name="40% - Accent3 2 4 3 5 3 2" xfId="29505" xr:uid="{00000000-0005-0000-0000-0000C9450000}"/>
    <cellStyle name="40% - Accent3 2 4 3 5 3 2 2" xfId="48694" xr:uid="{00000000-0005-0000-0000-0000CA450000}"/>
    <cellStyle name="40% - Accent3 2 4 3 5 3 3" xfId="38996" xr:uid="{00000000-0005-0000-0000-0000CB450000}"/>
    <cellStyle name="40% - Accent3 2 4 3 5 4" xfId="25050" xr:uid="{00000000-0005-0000-0000-0000CC450000}"/>
    <cellStyle name="40% - Accent3 2 4 3 5 4 2" xfId="44239" xr:uid="{00000000-0005-0000-0000-0000CD450000}"/>
    <cellStyle name="40% - Accent3 2 4 3 5 5" xfId="34541" xr:uid="{00000000-0005-0000-0000-0000CE450000}"/>
    <cellStyle name="40% - Accent3 2 4 3 6" xfId="15231" xr:uid="{00000000-0005-0000-0000-0000CF450000}"/>
    <cellStyle name="40% - Accent3 2 4 3 6 2" xfId="19695" xr:uid="{00000000-0005-0000-0000-0000D0450000}"/>
    <cellStyle name="40% - Accent3 2 4 3 6 2 2" xfId="30063" xr:uid="{00000000-0005-0000-0000-0000D1450000}"/>
    <cellStyle name="40% - Accent3 2 4 3 6 2 2 2" xfId="49252" xr:uid="{00000000-0005-0000-0000-0000D2450000}"/>
    <cellStyle name="40% - Accent3 2 4 3 6 2 3" xfId="39554" xr:uid="{00000000-0005-0000-0000-0000D3450000}"/>
    <cellStyle name="40% - Accent3 2 4 3 6 3" xfId="25608" xr:uid="{00000000-0005-0000-0000-0000D4450000}"/>
    <cellStyle name="40% - Accent3 2 4 3 6 3 2" xfId="44797" xr:uid="{00000000-0005-0000-0000-0000D5450000}"/>
    <cellStyle name="40% - Accent3 2 4 3 6 4" xfId="35099" xr:uid="{00000000-0005-0000-0000-0000D6450000}"/>
    <cellStyle name="40% - Accent3 2 4 3 7" xfId="16901" xr:uid="{00000000-0005-0000-0000-0000D7450000}"/>
    <cellStyle name="40% - Accent3 2 4 3 7 2" xfId="21365" xr:uid="{00000000-0005-0000-0000-0000D8450000}"/>
    <cellStyle name="40% - Accent3 2 4 3 7 2 2" xfId="31733" xr:uid="{00000000-0005-0000-0000-0000D9450000}"/>
    <cellStyle name="40% - Accent3 2 4 3 7 2 2 2" xfId="50922" xr:uid="{00000000-0005-0000-0000-0000DA450000}"/>
    <cellStyle name="40% - Accent3 2 4 3 7 2 3" xfId="41224" xr:uid="{00000000-0005-0000-0000-0000DB450000}"/>
    <cellStyle name="40% - Accent3 2 4 3 7 3" xfId="27278" xr:uid="{00000000-0005-0000-0000-0000DC450000}"/>
    <cellStyle name="40% - Accent3 2 4 3 7 3 2" xfId="46467" xr:uid="{00000000-0005-0000-0000-0000DD450000}"/>
    <cellStyle name="40% - Accent3 2 4 3 7 4" xfId="36769" xr:uid="{00000000-0005-0000-0000-0000DE450000}"/>
    <cellStyle name="40% - Accent3 2 4 3 8" xfId="17467" xr:uid="{00000000-0005-0000-0000-0000DF450000}"/>
    <cellStyle name="40% - Accent3 2 4 3 8 2" xfId="21922" xr:uid="{00000000-0005-0000-0000-0000E0450000}"/>
    <cellStyle name="40% - Accent3 2 4 3 8 2 2" xfId="32290" xr:uid="{00000000-0005-0000-0000-0000E1450000}"/>
    <cellStyle name="40% - Accent3 2 4 3 8 2 2 2" xfId="51479" xr:uid="{00000000-0005-0000-0000-0000E2450000}"/>
    <cellStyle name="40% - Accent3 2 4 3 8 2 3" xfId="41781" xr:uid="{00000000-0005-0000-0000-0000E3450000}"/>
    <cellStyle name="40% - Accent3 2 4 3 8 3" xfId="27835" xr:uid="{00000000-0005-0000-0000-0000E4450000}"/>
    <cellStyle name="40% - Accent3 2 4 3 8 3 2" xfId="47024" xr:uid="{00000000-0005-0000-0000-0000E5450000}"/>
    <cellStyle name="40% - Accent3 2 4 3 8 4" xfId="37326" xr:uid="{00000000-0005-0000-0000-0000E6450000}"/>
    <cellStyle name="40% - Accent3 2 4 3 9" xfId="18024" xr:uid="{00000000-0005-0000-0000-0000E7450000}"/>
    <cellStyle name="40% - Accent3 2 4 3 9 2" xfId="28392" xr:uid="{00000000-0005-0000-0000-0000E8450000}"/>
    <cellStyle name="40% - Accent3 2 4 3 9 2 2" xfId="47581" xr:uid="{00000000-0005-0000-0000-0000E9450000}"/>
    <cellStyle name="40% - Accent3 2 4 3 9 3" xfId="37883" xr:uid="{00000000-0005-0000-0000-0000EA450000}"/>
    <cellStyle name="40% - Accent3 2 4 4" xfId="13143" xr:uid="{00000000-0005-0000-0000-0000EB450000}"/>
    <cellStyle name="40% - Accent3 2 4 4 10" xfId="53455" xr:uid="{00000000-0005-0000-0000-0000EC450000}"/>
    <cellStyle name="40% - Accent3 2 4 4 2" xfId="14083" xr:uid="{00000000-0005-0000-0000-0000ED450000}"/>
    <cellStyle name="40% - Accent3 2 4 4 2 2" xfId="16347" xr:uid="{00000000-0005-0000-0000-0000EE450000}"/>
    <cellStyle name="40% - Accent3 2 4 4 2 2 2" xfId="20811" xr:uid="{00000000-0005-0000-0000-0000EF450000}"/>
    <cellStyle name="40% - Accent3 2 4 4 2 2 2 2" xfId="31179" xr:uid="{00000000-0005-0000-0000-0000F0450000}"/>
    <cellStyle name="40% - Accent3 2 4 4 2 2 2 2 2" xfId="50368" xr:uid="{00000000-0005-0000-0000-0000F1450000}"/>
    <cellStyle name="40% - Accent3 2 4 4 2 2 2 3" xfId="40670" xr:uid="{00000000-0005-0000-0000-0000F2450000}"/>
    <cellStyle name="40% - Accent3 2 4 4 2 2 3" xfId="26724" xr:uid="{00000000-0005-0000-0000-0000F3450000}"/>
    <cellStyle name="40% - Accent3 2 4 4 2 2 3 2" xfId="45913" xr:uid="{00000000-0005-0000-0000-0000F4450000}"/>
    <cellStyle name="40% - Accent3 2 4 4 2 2 4" xfId="36215" xr:uid="{00000000-0005-0000-0000-0000F5450000}"/>
    <cellStyle name="40% - Accent3 2 4 4 2 3" xfId="18583" xr:uid="{00000000-0005-0000-0000-0000F6450000}"/>
    <cellStyle name="40% - Accent3 2 4 4 2 3 2" xfId="28951" xr:uid="{00000000-0005-0000-0000-0000F7450000}"/>
    <cellStyle name="40% - Accent3 2 4 4 2 3 2 2" xfId="48140" xr:uid="{00000000-0005-0000-0000-0000F8450000}"/>
    <cellStyle name="40% - Accent3 2 4 4 2 3 3" xfId="38442" xr:uid="{00000000-0005-0000-0000-0000F9450000}"/>
    <cellStyle name="40% - Accent3 2 4 4 2 4" xfId="24491" xr:uid="{00000000-0005-0000-0000-0000FA450000}"/>
    <cellStyle name="40% - Accent3 2 4 4 2 4 2" xfId="43685" xr:uid="{00000000-0005-0000-0000-0000FB450000}"/>
    <cellStyle name="40% - Accent3 2 4 4 2 5" xfId="33987" xr:uid="{00000000-0005-0000-0000-0000FC450000}"/>
    <cellStyle name="40% - Accent3 2 4 4 3" xfId="14662" xr:uid="{00000000-0005-0000-0000-0000FD450000}"/>
    <cellStyle name="40% - Accent3 2 4 4 3 2" xfId="15791" xr:uid="{00000000-0005-0000-0000-0000FE450000}"/>
    <cellStyle name="40% - Accent3 2 4 4 3 2 2" xfId="20255" xr:uid="{00000000-0005-0000-0000-0000FF450000}"/>
    <cellStyle name="40% - Accent3 2 4 4 3 2 2 2" xfId="30623" xr:uid="{00000000-0005-0000-0000-000000460000}"/>
    <cellStyle name="40% - Accent3 2 4 4 3 2 2 2 2" xfId="49812" xr:uid="{00000000-0005-0000-0000-000001460000}"/>
    <cellStyle name="40% - Accent3 2 4 4 3 2 2 3" xfId="40114" xr:uid="{00000000-0005-0000-0000-000002460000}"/>
    <cellStyle name="40% - Accent3 2 4 4 3 2 3" xfId="26168" xr:uid="{00000000-0005-0000-0000-000003460000}"/>
    <cellStyle name="40% - Accent3 2 4 4 3 2 3 2" xfId="45357" xr:uid="{00000000-0005-0000-0000-000004460000}"/>
    <cellStyle name="40% - Accent3 2 4 4 3 2 4" xfId="35659" xr:uid="{00000000-0005-0000-0000-000005460000}"/>
    <cellStyle name="40% - Accent3 2 4 4 3 3" xfId="19140" xr:uid="{00000000-0005-0000-0000-000006460000}"/>
    <cellStyle name="40% - Accent3 2 4 4 3 3 2" xfId="29508" xr:uid="{00000000-0005-0000-0000-000007460000}"/>
    <cellStyle name="40% - Accent3 2 4 4 3 3 2 2" xfId="48697" xr:uid="{00000000-0005-0000-0000-000008460000}"/>
    <cellStyle name="40% - Accent3 2 4 4 3 3 3" xfId="38999" xr:uid="{00000000-0005-0000-0000-000009460000}"/>
    <cellStyle name="40% - Accent3 2 4 4 3 4" xfId="25053" xr:uid="{00000000-0005-0000-0000-00000A460000}"/>
    <cellStyle name="40% - Accent3 2 4 4 3 4 2" xfId="44242" xr:uid="{00000000-0005-0000-0000-00000B460000}"/>
    <cellStyle name="40% - Accent3 2 4 4 3 5" xfId="34544" xr:uid="{00000000-0005-0000-0000-00000C460000}"/>
    <cellStyle name="40% - Accent3 2 4 4 4" xfId="15234" xr:uid="{00000000-0005-0000-0000-00000D460000}"/>
    <cellStyle name="40% - Accent3 2 4 4 4 2" xfId="19698" xr:uid="{00000000-0005-0000-0000-00000E460000}"/>
    <cellStyle name="40% - Accent3 2 4 4 4 2 2" xfId="30066" xr:uid="{00000000-0005-0000-0000-00000F460000}"/>
    <cellStyle name="40% - Accent3 2 4 4 4 2 2 2" xfId="49255" xr:uid="{00000000-0005-0000-0000-000010460000}"/>
    <cellStyle name="40% - Accent3 2 4 4 4 2 3" xfId="39557" xr:uid="{00000000-0005-0000-0000-000011460000}"/>
    <cellStyle name="40% - Accent3 2 4 4 4 3" xfId="25611" xr:uid="{00000000-0005-0000-0000-000012460000}"/>
    <cellStyle name="40% - Accent3 2 4 4 4 3 2" xfId="44800" xr:uid="{00000000-0005-0000-0000-000013460000}"/>
    <cellStyle name="40% - Accent3 2 4 4 4 4" xfId="35102" xr:uid="{00000000-0005-0000-0000-000014460000}"/>
    <cellStyle name="40% - Accent3 2 4 4 5" xfId="16904" xr:uid="{00000000-0005-0000-0000-000015460000}"/>
    <cellStyle name="40% - Accent3 2 4 4 5 2" xfId="21368" xr:uid="{00000000-0005-0000-0000-000016460000}"/>
    <cellStyle name="40% - Accent3 2 4 4 5 2 2" xfId="31736" xr:uid="{00000000-0005-0000-0000-000017460000}"/>
    <cellStyle name="40% - Accent3 2 4 4 5 2 2 2" xfId="50925" xr:uid="{00000000-0005-0000-0000-000018460000}"/>
    <cellStyle name="40% - Accent3 2 4 4 5 2 3" xfId="41227" xr:uid="{00000000-0005-0000-0000-000019460000}"/>
    <cellStyle name="40% - Accent3 2 4 4 5 3" xfId="27281" xr:uid="{00000000-0005-0000-0000-00001A460000}"/>
    <cellStyle name="40% - Accent3 2 4 4 5 3 2" xfId="46470" xr:uid="{00000000-0005-0000-0000-00001B460000}"/>
    <cellStyle name="40% - Accent3 2 4 4 5 4" xfId="36772" xr:uid="{00000000-0005-0000-0000-00001C460000}"/>
    <cellStyle name="40% - Accent3 2 4 4 6" xfId="17470" xr:uid="{00000000-0005-0000-0000-00001D460000}"/>
    <cellStyle name="40% - Accent3 2 4 4 6 2" xfId="21925" xr:uid="{00000000-0005-0000-0000-00001E460000}"/>
    <cellStyle name="40% - Accent3 2 4 4 6 2 2" xfId="32293" xr:uid="{00000000-0005-0000-0000-00001F460000}"/>
    <cellStyle name="40% - Accent3 2 4 4 6 2 2 2" xfId="51482" xr:uid="{00000000-0005-0000-0000-000020460000}"/>
    <cellStyle name="40% - Accent3 2 4 4 6 2 3" xfId="41784" xr:uid="{00000000-0005-0000-0000-000021460000}"/>
    <cellStyle name="40% - Accent3 2 4 4 6 3" xfId="27838" xr:uid="{00000000-0005-0000-0000-000022460000}"/>
    <cellStyle name="40% - Accent3 2 4 4 6 3 2" xfId="47027" xr:uid="{00000000-0005-0000-0000-000023460000}"/>
    <cellStyle name="40% - Accent3 2 4 4 6 4" xfId="37329" xr:uid="{00000000-0005-0000-0000-000024460000}"/>
    <cellStyle name="40% - Accent3 2 4 4 7" xfId="18027" xr:uid="{00000000-0005-0000-0000-000025460000}"/>
    <cellStyle name="40% - Accent3 2 4 4 7 2" xfId="28395" xr:uid="{00000000-0005-0000-0000-000026460000}"/>
    <cellStyle name="40% - Accent3 2 4 4 7 2 2" xfId="47584" xr:uid="{00000000-0005-0000-0000-000027460000}"/>
    <cellStyle name="40% - Accent3 2 4 4 7 3" xfId="37886" xr:uid="{00000000-0005-0000-0000-000028460000}"/>
    <cellStyle name="40% - Accent3 2 4 4 8" xfId="23890" xr:uid="{00000000-0005-0000-0000-000029460000}"/>
    <cellStyle name="40% - Accent3 2 4 4 8 2" xfId="43129" xr:uid="{00000000-0005-0000-0000-00002A460000}"/>
    <cellStyle name="40% - Accent3 2 4 4 9" xfId="33431" xr:uid="{00000000-0005-0000-0000-00002B460000}"/>
    <cellStyle name="40% - Accent3 2 4 5" xfId="13144" xr:uid="{00000000-0005-0000-0000-00002C460000}"/>
    <cellStyle name="40% - Accent3 2 4 5 2" xfId="14084" xr:uid="{00000000-0005-0000-0000-00002D460000}"/>
    <cellStyle name="40% - Accent3 2 4 5 2 2" xfId="16348" xr:uid="{00000000-0005-0000-0000-00002E460000}"/>
    <cellStyle name="40% - Accent3 2 4 5 2 2 2" xfId="20812" xr:uid="{00000000-0005-0000-0000-00002F460000}"/>
    <cellStyle name="40% - Accent3 2 4 5 2 2 2 2" xfId="31180" xr:uid="{00000000-0005-0000-0000-000030460000}"/>
    <cellStyle name="40% - Accent3 2 4 5 2 2 2 2 2" xfId="50369" xr:uid="{00000000-0005-0000-0000-000031460000}"/>
    <cellStyle name="40% - Accent3 2 4 5 2 2 2 3" xfId="40671" xr:uid="{00000000-0005-0000-0000-000032460000}"/>
    <cellStyle name="40% - Accent3 2 4 5 2 2 3" xfId="26725" xr:uid="{00000000-0005-0000-0000-000033460000}"/>
    <cellStyle name="40% - Accent3 2 4 5 2 2 3 2" xfId="45914" xr:uid="{00000000-0005-0000-0000-000034460000}"/>
    <cellStyle name="40% - Accent3 2 4 5 2 2 4" xfId="36216" xr:uid="{00000000-0005-0000-0000-000035460000}"/>
    <cellStyle name="40% - Accent3 2 4 5 2 3" xfId="18584" xr:uid="{00000000-0005-0000-0000-000036460000}"/>
    <cellStyle name="40% - Accent3 2 4 5 2 3 2" xfId="28952" xr:uid="{00000000-0005-0000-0000-000037460000}"/>
    <cellStyle name="40% - Accent3 2 4 5 2 3 2 2" xfId="48141" xr:uid="{00000000-0005-0000-0000-000038460000}"/>
    <cellStyle name="40% - Accent3 2 4 5 2 3 3" xfId="38443" xr:uid="{00000000-0005-0000-0000-000039460000}"/>
    <cellStyle name="40% - Accent3 2 4 5 2 4" xfId="24492" xr:uid="{00000000-0005-0000-0000-00003A460000}"/>
    <cellStyle name="40% - Accent3 2 4 5 2 4 2" xfId="43686" xr:uid="{00000000-0005-0000-0000-00003B460000}"/>
    <cellStyle name="40% - Accent3 2 4 5 2 5" xfId="33988" xr:uid="{00000000-0005-0000-0000-00003C460000}"/>
    <cellStyle name="40% - Accent3 2 4 5 3" xfId="14663" xr:uid="{00000000-0005-0000-0000-00003D460000}"/>
    <cellStyle name="40% - Accent3 2 4 5 3 2" xfId="15792" xr:uid="{00000000-0005-0000-0000-00003E460000}"/>
    <cellStyle name="40% - Accent3 2 4 5 3 2 2" xfId="20256" xr:uid="{00000000-0005-0000-0000-00003F460000}"/>
    <cellStyle name="40% - Accent3 2 4 5 3 2 2 2" xfId="30624" xr:uid="{00000000-0005-0000-0000-000040460000}"/>
    <cellStyle name="40% - Accent3 2 4 5 3 2 2 2 2" xfId="49813" xr:uid="{00000000-0005-0000-0000-000041460000}"/>
    <cellStyle name="40% - Accent3 2 4 5 3 2 2 3" xfId="40115" xr:uid="{00000000-0005-0000-0000-000042460000}"/>
    <cellStyle name="40% - Accent3 2 4 5 3 2 3" xfId="26169" xr:uid="{00000000-0005-0000-0000-000043460000}"/>
    <cellStyle name="40% - Accent3 2 4 5 3 2 3 2" xfId="45358" xr:uid="{00000000-0005-0000-0000-000044460000}"/>
    <cellStyle name="40% - Accent3 2 4 5 3 2 4" xfId="35660" xr:uid="{00000000-0005-0000-0000-000045460000}"/>
    <cellStyle name="40% - Accent3 2 4 5 3 3" xfId="19141" xr:uid="{00000000-0005-0000-0000-000046460000}"/>
    <cellStyle name="40% - Accent3 2 4 5 3 3 2" xfId="29509" xr:uid="{00000000-0005-0000-0000-000047460000}"/>
    <cellStyle name="40% - Accent3 2 4 5 3 3 2 2" xfId="48698" xr:uid="{00000000-0005-0000-0000-000048460000}"/>
    <cellStyle name="40% - Accent3 2 4 5 3 3 3" xfId="39000" xr:uid="{00000000-0005-0000-0000-000049460000}"/>
    <cellStyle name="40% - Accent3 2 4 5 3 4" xfId="25054" xr:uid="{00000000-0005-0000-0000-00004A460000}"/>
    <cellStyle name="40% - Accent3 2 4 5 3 4 2" xfId="44243" xr:uid="{00000000-0005-0000-0000-00004B460000}"/>
    <cellStyle name="40% - Accent3 2 4 5 3 5" xfId="34545" xr:uid="{00000000-0005-0000-0000-00004C460000}"/>
    <cellStyle name="40% - Accent3 2 4 5 4" xfId="15235" xr:uid="{00000000-0005-0000-0000-00004D460000}"/>
    <cellStyle name="40% - Accent3 2 4 5 4 2" xfId="19699" xr:uid="{00000000-0005-0000-0000-00004E460000}"/>
    <cellStyle name="40% - Accent3 2 4 5 4 2 2" xfId="30067" xr:uid="{00000000-0005-0000-0000-00004F460000}"/>
    <cellStyle name="40% - Accent3 2 4 5 4 2 2 2" xfId="49256" xr:uid="{00000000-0005-0000-0000-000050460000}"/>
    <cellStyle name="40% - Accent3 2 4 5 4 2 3" xfId="39558" xr:uid="{00000000-0005-0000-0000-000051460000}"/>
    <cellStyle name="40% - Accent3 2 4 5 4 3" xfId="25612" xr:uid="{00000000-0005-0000-0000-000052460000}"/>
    <cellStyle name="40% - Accent3 2 4 5 4 3 2" xfId="44801" xr:uid="{00000000-0005-0000-0000-000053460000}"/>
    <cellStyle name="40% - Accent3 2 4 5 4 4" xfId="35103" xr:uid="{00000000-0005-0000-0000-000054460000}"/>
    <cellStyle name="40% - Accent3 2 4 5 5" xfId="16905" xr:uid="{00000000-0005-0000-0000-000055460000}"/>
    <cellStyle name="40% - Accent3 2 4 5 5 2" xfId="21369" xr:uid="{00000000-0005-0000-0000-000056460000}"/>
    <cellStyle name="40% - Accent3 2 4 5 5 2 2" xfId="31737" xr:uid="{00000000-0005-0000-0000-000057460000}"/>
    <cellStyle name="40% - Accent3 2 4 5 5 2 2 2" xfId="50926" xr:uid="{00000000-0005-0000-0000-000058460000}"/>
    <cellStyle name="40% - Accent3 2 4 5 5 2 3" xfId="41228" xr:uid="{00000000-0005-0000-0000-000059460000}"/>
    <cellStyle name="40% - Accent3 2 4 5 5 3" xfId="27282" xr:uid="{00000000-0005-0000-0000-00005A460000}"/>
    <cellStyle name="40% - Accent3 2 4 5 5 3 2" xfId="46471" xr:uid="{00000000-0005-0000-0000-00005B460000}"/>
    <cellStyle name="40% - Accent3 2 4 5 5 4" xfId="36773" xr:uid="{00000000-0005-0000-0000-00005C460000}"/>
    <cellStyle name="40% - Accent3 2 4 5 6" xfId="17471" xr:uid="{00000000-0005-0000-0000-00005D460000}"/>
    <cellStyle name="40% - Accent3 2 4 5 6 2" xfId="21926" xr:uid="{00000000-0005-0000-0000-00005E460000}"/>
    <cellStyle name="40% - Accent3 2 4 5 6 2 2" xfId="32294" xr:uid="{00000000-0005-0000-0000-00005F460000}"/>
    <cellStyle name="40% - Accent3 2 4 5 6 2 2 2" xfId="51483" xr:uid="{00000000-0005-0000-0000-000060460000}"/>
    <cellStyle name="40% - Accent3 2 4 5 6 2 3" xfId="41785" xr:uid="{00000000-0005-0000-0000-000061460000}"/>
    <cellStyle name="40% - Accent3 2 4 5 6 3" xfId="27839" xr:uid="{00000000-0005-0000-0000-000062460000}"/>
    <cellStyle name="40% - Accent3 2 4 5 6 3 2" xfId="47028" xr:uid="{00000000-0005-0000-0000-000063460000}"/>
    <cellStyle name="40% - Accent3 2 4 5 6 4" xfId="37330" xr:uid="{00000000-0005-0000-0000-000064460000}"/>
    <cellStyle name="40% - Accent3 2 4 5 7" xfId="18028" xr:uid="{00000000-0005-0000-0000-000065460000}"/>
    <cellStyle name="40% - Accent3 2 4 5 7 2" xfId="28396" xr:uid="{00000000-0005-0000-0000-000066460000}"/>
    <cellStyle name="40% - Accent3 2 4 5 7 2 2" xfId="47585" xr:uid="{00000000-0005-0000-0000-000067460000}"/>
    <cellStyle name="40% - Accent3 2 4 5 7 3" xfId="37887" xr:uid="{00000000-0005-0000-0000-000068460000}"/>
    <cellStyle name="40% - Accent3 2 4 5 8" xfId="23891" xr:uid="{00000000-0005-0000-0000-000069460000}"/>
    <cellStyle name="40% - Accent3 2 4 5 8 2" xfId="43130" xr:uid="{00000000-0005-0000-0000-00006A460000}"/>
    <cellStyle name="40% - Accent3 2 4 5 9" xfId="33432" xr:uid="{00000000-0005-0000-0000-00006B460000}"/>
    <cellStyle name="40% - Accent3 2 4 6" xfId="12213" xr:uid="{00000000-0005-0000-0000-00006C460000}"/>
    <cellStyle name="40% - Accent3 2 4 7" xfId="52566" xr:uid="{00000000-0005-0000-0000-00006D460000}"/>
    <cellStyle name="40% - Accent3 2 4 8" xfId="12020" xr:uid="{00000000-0005-0000-0000-00006E460000}"/>
    <cellStyle name="40% - Accent3 2 5" xfId="1921" xr:uid="{00000000-0005-0000-0000-00006F460000}"/>
    <cellStyle name="40% - Accent3 2 5 2" xfId="13145" xr:uid="{00000000-0005-0000-0000-000070460000}"/>
    <cellStyle name="40% - Accent3 2 5 2 10" xfId="23892" xr:uid="{00000000-0005-0000-0000-000071460000}"/>
    <cellStyle name="40% - Accent3 2 5 2 10 2" xfId="43131" xr:uid="{00000000-0005-0000-0000-000072460000}"/>
    <cellStyle name="40% - Accent3 2 5 2 11" xfId="33433" xr:uid="{00000000-0005-0000-0000-000073460000}"/>
    <cellStyle name="40% - Accent3 2 5 2 12" xfId="52800" xr:uid="{00000000-0005-0000-0000-000074460000}"/>
    <cellStyle name="40% - Accent3 2 5 2 2" xfId="13146" xr:uid="{00000000-0005-0000-0000-000075460000}"/>
    <cellStyle name="40% - Accent3 2 5 2 2 10" xfId="53228" xr:uid="{00000000-0005-0000-0000-000076460000}"/>
    <cellStyle name="40% - Accent3 2 5 2 2 2" xfId="14086" xr:uid="{00000000-0005-0000-0000-000077460000}"/>
    <cellStyle name="40% - Accent3 2 5 2 2 2 2" xfId="16350" xr:uid="{00000000-0005-0000-0000-000078460000}"/>
    <cellStyle name="40% - Accent3 2 5 2 2 2 2 2" xfId="20814" xr:uid="{00000000-0005-0000-0000-000079460000}"/>
    <cellStyle name="40% - Accent3 2 5 2 2 2 2 2 2" xfId="31182" xr:uid="{00000000-0005-0000-0000-00007A460000}"/>
    <cellStyle name="40% - Accent3 2 5 2 2 2 2 2 2 2" xfId="50371" xr:uid="{00000000-0005-0000-0000-00007B460000}"/>
    <cellStyle name="40% - Accent3 2 5 2 2 2 2 2 3" xfId="40673" xr:uid="{00000000-0005-0000-0000-00007C460000}"/>
    <cellStyle name="40% - Accent3 2 5 2 2 2 2 3" xfId="26727" xr:uid="{00000000-0005-0000-0000-00007D460000}"/>
    <cellStyle name="40% - Accent3 2 5 2 2 2 2 3 2" xfId="45916" xr:uid="{00000000-0005-0000-0000-00007E460000}"/>
    <cellStyle name="40% - Accent3 2 5 2 2 2 2 4" xfId="36218" xr:uid="{00000000-0005-0000-0000-00007F460000}"/>
    <cellStyle name="40% - Accent3 2 5 2 2 2 3" xfId="18586" xr:uid="{00000000-0005-0000-0000-000080460000}"/>
    <cellStyle name="40% - Accent3 2 5 2 2 2 3 2" xfId="28954" xr:uid="{00000000-0005-0000-0000-000081460000}"/>
    <cellStyle name="40% - Accent3 2 5 2 2 2 3 2 2" xfId="48143" xr:uid="{00000000-0005-0000-0000-000082460000}"/>
    <cellStyle name="40% - Accent3 2 5 2 2 2 3 3" xfId="38445" xr:uid="{00000000-0005-0000-0000-000083460000}"/>
    <cellStyle name="40% - Accent3 2 5 2 2 2 4" xfId="24494" xr:uid="{00000000-0005-0000-0000-000084460000}"/>
    <cellStyle name="40% - Accent3 2 5 2 2 2 4 2" xfId="43688" xr:uid="{00000000-0005-0000-0000-000085460000}"/>
    <cellStyle name="40% - Accent3 2 5 2 2 2 5" xfId="33990" xr:uid="{00000000-0005-0000-0000-000086460000}"/>
    <cellStyle name="40% - Accent3 2 5 2 2 2 6" xfId="54081" xr:uid="{00000000-0005-0000-0000-000087460000}"/>
    <cellStyle name="40% - Accent3 2 5 2 2 3" xfId="14665" xr:uid="{00000000-0005-0000-0000-000088460000}"/>
    <cellStyle name="40% - Accent3 2 5 2 2 3 2" xfId="15794" xr:uid="{00000000-0005-0000-0000-000089460000}"/>
    <cellStyle name="40% - Accent3 2 5 2 2 3 2 2" xfId="20258" xr:uid="{00000000-0005-0000-0000-00008A460000}"/>
    <cellStyle name="40% - Accent3 2 5 2 2 3 2 2 2" xfId="30626" xr:uid="{00000000-0005-0000-0000-00008B460000}"/>
    <cellStyle name="40% - Accent3 2 5 2 2 3 2 2 2 2" xfId="49815" xr:uid="{00000000-0005-0000-0000-00008C460000}"/>
    <cellStyle name="40% - Accent3 2 5 2 2 3 2 2 3" xfId="40117" xr:uid="{00000000-0005-0000-0000-00008D460000}"/>
    <cellStyle name="40% - Accent3 2 5 2 2 3 2 3" xfId="26171" xr:uid="{00000000-0005-0000-0000-00008E460000}"/>
    <cellStyle name="40% - Accent3 2 5 2 2 3 2 3 2" xfId="45360" xr:uid="{00000000-0005-0000-0000-00008F460000}"/>
    <cellStyle name="40% - Accent3 2 5 2 2 3 2 4" xfId="35662" xr:uid="{00000000-0005-0000-0000-000090460000}"/>
    <cellStyle name="40% - Accent3 2 5 2 2 3 3" xfId="19143" xr:uid="{00000000-0005-0000-0000-000091460000}"/>
    <cellStyle name="40% - Accent3 2 5 2 2 3 3 2" xfId="29511" xr:uid="{00000000-0005-0000-0000-000092460000}"/>
    <cellStyle name="40% - Accent3 2 5 2 2 3 3 2 2" xfId="48700" xr:uid="{00000000-0005-0000-0000-000093460000}"/>
    <cellStyle name="40% - Accent3 2 5 2 2 3 3 3" xfId="39002" xr:uid="{00000000-0005-0000-0000-000094460000}"/>
    <cellStyle name="40% - Accent3 2 5 2 2 3 4" xfId="25056" xr:uid="{00000000-0005-0000-0000-000095460000}"/>
    <cellStyle name="40% - Accent3 2 5 2 2 3 4 2" xfId="44245" xr:uid="{00000000-0005-0000-0000-000096460000}"/>
    <cellStyle name="40% - Accent3 2 5 2 2 3 5" xfId="34547" xr:uid="{00000000-0005-0000-0000-000097460000}"/>
    <cellStyle name="40% - Accent3 2 5 2 2 4" xfId="15237" xr:uid="{00000000-0005-0000-0000-000098460000}"/>
    <cellStyle name="40% - Accent3 2 5 2 2 4 2" xfId="19701" xr:uid="{00000000-0005-0000-0000-000099460000}"/>
    <cellStyle name="40% - Accent3 2 5 2 2 4 2 2" xfId="30069" xr:uid="{00000000-0005-0000-0000-00009A460000}"/>
    <cellStyle name="40% - Accent3 2 5 2 2 4 2 2 2" xfId="49258" xr:uid="{00000000-0005-0000-0000-00009B460000}"/>
    <cellStyle name="40% - Accent3 2 5 2 2 4 2 3" xfId="39560" xr:uid="{00000000-0005-0000-0000-00009C460000}"/>
    <cellStyle name="40% - Accent3 2 5 2 2 4 3" xfId="25614" xr:uid="{00000000-0005-0000-0000-00009D460000}"/>
    <cellStyle name="40% - Accent3 2 5 2 2 4 3 2" xfId="44803" xr:uid="{00000000-0005-0000-0000-00009E460000}"/>
    <cellStyle name="40% - Accent3 2 5 2 2 4 4" xfId="35105" xr:uid="{00000000-0005-0000-0000-00009F460000}"/>
    <cellStyle name="40% - Accent3 2 5 2 2 5" xfId="16907" xr:uid="{00000000-0005-0000-0000-0000A0460000}"/>
    <cellStyle name="40% - Accent3 2 5 2 2 5 2" xfId="21371" xr:uid="{00000000-0005-0000-0000-0000A1460000}"/>
    <cellStyle name="40% - Accent3 2 5 2 2 5 2 2" xfId="31739" xr:uid="{00000000-0005-0000-0000-0000A2460000}"/>
    <cellStyle name="40% - Accent3 2 5 2 2 5 2 2 2" xfId="50928" xr:uid="{00000000-0005-0000-0000-0000A3460000}"/>
    <cellStyle name="40% - Accent3 2 5 2 2 5 2 3" xfId="41230" xr:uid="{00000000-0005-0000-0000-0000A4460000}"/>
    <cellStyle name="40% - Accent3 2 5 2 2 5 3" xfId="27284" xr:uid="{00000000-0005-0000-0000-0000A5460000}"/>
    <cellStyle name="40% - Accent3 2 5 2 2 5 3 2" xfId="46473" xr:uid="{00000000-0005-0000-0000-0000A6460000}"/>
    <cellStyle name="40% - Accent3 2 5 2 2 5 4" xfId="36775" xr:uid="{00000000-0005-0000-0000-0000A7460000}"/>
    <cellStyle name="40% - Accent3 2 5 2 2 6" xfId="17473" xr:uid="{00000000-0005-0000-0000-0000A8460000}"/>
    <cellStyle name="40% - Accent3 2 5 2 2 6 2" xfId="21928" xr:uid="{00000000-0005-0000-0000-0000A9460000}"/>
    <cellStyle name="40% - Accent3 2 5 2 2 6 2 2" xfId="32296" xr:uid="{00000000-0005-0000-0000-0000AA460000}"/>
    <cellStyle name="40% - Accent3 2 5 2 2 6 2 2 2" xfId="51485" xr:uid="{00000000-0005-0000-0000-0000AB460000}"/>
    <cellStyle name="40% - Accent3 2 5 2 2 6 2 3" xfId="41787" xr:uid="{00000000-0005-0000-0000-0000AC460000}"/>
    <cellStyle name="40% - Accent3 2 5 2 2 6 3" xfId="27841" xr:uid="{00000000-0005-0000-0000-0000AD460000}"/>
    <cellStyle name="40% - Accent3 2 5 2 2 6 3 2" xfId="47030" xr:uid="{00000000-0005-0000-0000-0000AE460000}"/>
    <cellStyle name="40% - Accent3 2 5 2 2 6 4" xfId="37332" xr:uid="{00000000-0005-0000-0000-0000AF460000}"/>
    <cellStyle name="40% - Accent3 2 5 2 2 7" xfId="18030" xr:uid="{00000000-0005-0000-0000-0000B0460000}"/>
    <cellStyle name="40% - Accent3 2 5 2 2 7 2" xfId="28398" xr:uid="{00000000-0005-0000-0000-0000B1460000}"/>
    <cellStyle name="40% - Accent3 2 5 2 2 7 2 2" xfId="47587" xr:uid="{00000000-0005-0000-0000-0000B2460000}"/>
    <cellStyle name="40% - Accent3 2 5 2 2 7 3" xfId="37889" xr:uid="{00000000-0005-0000-0000-0000B3460000}"/>
    <cellStyle name="40% - Accent3 2 5 2 2 8" xfId="23893" xr:uid="{00000000-0005-0000-0000-0000B4460000}"/>
    <cellStyle name="40% - Accent3 2 5 2 2 8 2" xfId="43132" xr:uid="{00000000-0005-0000-0000-0000B5460000}"/>
    <cellStyle name="40% - Accent3 2 5 2 2 9" xfId="33434" xr:uid="{00000000-0005-0000-0000-0000B6460000}"/>
    <cellStyle name="40% - Accent3 2 5 2 3" xfId="13147" xr:uid="{00000000-0005-0000-0000-0000B7460000}"/>
    <cellStyle name="40% - Accent3 2 5 2 3 10" xfId="53685" xr:uid="{00000000-0005-0000-0000-0000B8460000}"/>
    <cellStyle name="40% - Accent3 2 5 2 3 2" xfId="14087" xr:uid="{00000000-0005-0000-0000-0000B9460000}"/>
    <cellStyle name="40% - Accent3 2 5 2 3 2 2" xfId="16351" xr:uid="{00000000-0005-0000-0000-0000BA460000}"/>
    <cellStyle name="40% - Accent3 2 5 2 3 2 2 2" xfId="20815" xr:uid="{00000000-0005-0000-0000-0000BB460000}"/>
    <cellStyle name="40% - Accent3 2 5 2 3 2 2 2 2" xfId="31183" xr:uid="{00000000-0005-0000-0000-0000BC460000}"/>
    <cellStyle name="40% - Accent3 2 5 2 3 2 2 2 2 2" xfId="50372" xr:uid="{00000000-0005-0000-0000-0000BD460000}"/>
    <cellStyle name="40% - Accent3 2 5 2 3 2 2 2 3" xfId="40674" xr:uid="{00000000-0005-0000-0000-0000BE460000}"/>
    <cellStyle name="40% - Accent3 2 5 2 3 2 2 3" xfId="26728" xr:uid="{00000000-0005-0000-0000-0000BF460000}"/>
    <cellStyle name="40% - Accent3 2 5 2 3 2 2 3 2" xfId="45917" xr:uid="{00000000-0005-0000-0000-0000C0460000}"/>
    <cellStyle name="40% - Accent3 2 5 2 3 2 2 4" xfId="36219" xr:uid="{00000000-0005-0000-0000-0000C1460000}"/>
    <cellStyle name="40% - Accent3 2 5 2 3 2 3" xfId="18587" xr:uid="{00000000-0005-0000-0000-0000C2460000}"/>
    <cellStyle name="40% - Accent3 2 5 2 3 2 3 2" xfId="28955" xr:uid="{00000000-0005-0000-0000-0000C3460000}"/>
    <cellStyle name="40% - Accent3 2 5 2 3 2 3 2 2" xfId="48144" xr:uid="{00000000-0005-0000-0000-0000C4460000}"/>
    <cellStyle name="40% - Accent3 2 5 2 3 2 3 3" xfId="38446" xr:uid="{00000000-0005-0000-0000-0000C5460000}"/>
    <cellStyle name="40% - Accent3 2 5 2 3 2 4" xfId="24495" xr:uid="{00000000-0005-0000-0000-0000C6460000}"/>
    <cellStyle name="40% - Accent3 2 5 2 3 2 4 2" xfId="43689" xr:uid="{00000000-0005-0000-0000-0000C7460000}"/>
    <cellStyle name="40% - Accent3 2 5 2 3 2 5" xfId="33991" xr:uid="{00000000-0005-0000-0000-0000C8460000}"/>
    <cellStyle name="40% - Accent3 2 5 2 3 3" xfId="14666" xr:uid="{00000000-0005-0000-0000-0000C9460000}"/>
    <cellStyle name="40% - Accent3 2 5 2 3 3 2" xfId="15795" xr:uid="{00000000-0005-0000-0000-0000CA460000}"/>
    <cellStyle name="40% - Accent3 2 5 2 3 3 2 2" xfId="20259" xr:uid="{00000000-0005-0000-0000-0000CB460000}"/>
    <cellStyle name="40% - Accent3 2 5 2 3 3 2 2 2" xfId="30627" xr:uid="{00000000-0005-0000-0000-0000CC460000}"/>
    <cellStyle name="40% - Accent3 2 5 2 3 3 2 2 2 2" xfId="49816" xr:uid="{00000000-0005-0000-0000-0000CD460000}"/>
    <cellStyle name="40% - Accent3 2 5 2 3 3 2 2 3" xfId="40118" xr:uid="{00000000-0005-0000-0000-0000CE460000}"/>
    <cellStyle name="40% - Accent3 2 5 2 3 3 2 3" xfId="26172" xr:uid="{00000000-0005-0000-0000-0000CF460000}"/>
    <cellStyle name="40% - Accent3 2 5 2 3 3 2 3 2" xfId="45361" xr:uid="{00000000-0005-0000-0000-0000D0460000}"/>
    <cellStyle name="40% - Accent3 2 5 2 3 3 2 4" xfId="35663" xr:uid="{00000000-0005-0000-0000-0000D1460000}"/>
    <cellStyle name="40% - Accent3 2 5 2 3 3 3" xfId="19144" xr:uid="{00000000-0005-0000-0000-0000D2460000}"/>
    <cellStyle name="40% - Accent3 2 5 2 3 3 3 2" xfId="29512" xr:uid="{00000000-0005-0000-0000-0000D3460000}"/>
    <cellStyle name="40% - Accent3 2 5 2 3 3 3 2 2" xfId="48701" xr:uid="{00000000-0005-0000-0000-0000D4460000}"/>
    <cellStyle name="40% - Accent3 2 5 2 3 3 3 3" xfId="39003" xr:uid="{00000000-0005-0000-0000-0000D5460000}"/>
    <cellStyle name="40% - Accent3 2 5 2 3 3 4" xfId="25057" xr:uid="{00000000-0005-0000-0000-0000D6460000}"/>
    <cellStyle name="40% - Accent3 2 5 2 3 3 4 2" xfId="44246" xr:uid="{00000000-0005-0000-0000-0000D7460000}"/>
    <cellStyle name="40% - Accent3 2 5 2 3 3 5" xfId="34548" xr:uid="{00000000-0005-0000-0000-0000D8460000}"/>
    <cellStyle name="40% - Accent3 2 5 2 3 4" xfId="15238" xr:uid="{00000000-0005-0000-0000-0000D9460000}"/>
    <cellStyle name="40% - Accent3 2 5 2 3 4 2" xfId="19702" xr:uid="{00000000-0005-0000-0000-0000DA460000}"/>
    <cellStyle name="40% - Accent3 2 5 2 3 4 2 2" xfId="30070" xr:uid="{00000000-0005-0000-0000-0000DB460000}"/>
    <cellStyle name="40% - Accent3 2 5 2 3 4 2 2 2" xfId="49259" xr:uid="{00000000-0005-0000-0000-0000DC460000}"/>
    <cellStyle name="40% - Accent3 2 5 2 3 4 2 3" xfId="39561" xr:uid="{00000000-0005-0000-0000-0000DD460000}"/>
    <cellStyle name="40% - Accent3 2 5 2 3 4 3" xfId="25615" xr:uid="{00000000-0005-0000-0000-0000DE460000}"/>
    <cellStyle name="40% - Accent3 2 5 2 3 4 3 2" xfId="44804" xr:uid="{00000000-0005-0000-0000-0000DF460000}"/>
    <cellStyle name="40% - Accent3 2 5 2 3 4 4" xfId="35106" xr:uid="{00000000-0005-0000-0000-0000E0460000}"/>
    <cellStyle name="40% - Accent3 2 5 2 3 5" xfId="16908" xr:uid="{00000000-0005-0000-0000-0000E1460000}"/>
    <cellStyle name="40% - Accent3 2 5 2 3 5 2" xfId="21372" xr:uid="{00000000-0005-0000-0000-0000E2460000}"/>
    <cellStyle name="40% - Accent3 2 5 2 3 5 2 2" xfId="31740" xr:uid="{00000000-0005-0000-0000-0000E3460000}"/>
    <cellStyle name="40% - Accent3 2 5 2 3 5 2 2 2" xfId="50929" xr:uid="{00000000-0005-0000-0000-0000E4460000}"/>
    <cellStyle name="40% - Accent3 2 5 2 3 5 2 3" xfId="41231" xr:uid="{00000000-0005-0000-0000-0000E5460000}"/>
    <cellStyle name="40% - Accent3 2 5 2 3 5 3" xfId="27285" xr:uid="{00000000-0005-0000-0000-0000E6460000}"/>
    <cellStyle name="40% - Accent3 2 5 2 3 5 3 2" xfId="46474" xr:uid="{00000000-0005-0000-0000-0000E7460000}"/>
    <cellStyle name="40% - Accent3 2 5 2 3 5 4" xfId="36776" xr:uid="{00000000-0005-0000-0000-0000E8460000}"/>
    <cellStyle name="40% - Accent3 2 5 2 3 6" xfId="17474" xr:uid="{00000000-0005-0000-0000-0000E9460000}"/>
    <cellStyle name="40% - Accent3 2 5 2 3 6 2" xfId="21929" xr:uid="{00000000-0005-0000-0000-0000EA460000}"/>
    <cellStyle name="40% - Accent3 2 5 2 3 6 2 2" xfId="32297" xr:uid="{00000000-0005-0000-0000-0000EB460000}"/>
    <cellStyle name="40% - Accent3 2 5 2 3 6 2 2 2" xfId="51486" xr:uid="{00000000-0005-0000-0000-0000EC460000}"/>
    <cellStyle name="40% - Accent3 2 5 2 3 6 2 3" xfId="41788" xr:uid="{00000000-0005-0000-0000-0000ED460000}"/>
    <cellStyle name="40% - Accent3 2 5 2 3 6 3" xfId="27842" xr:uid="{00000000-0005-0000-0000-0000EE460000}"/>
    <cellStyle name="40% - Accent3 2 5 2 3 6 3 2" xfId="47031" xr:uid="{00000000-0005-0000-0000-0000EF460000}"/>
    <cellStyle name="40% - Accent3 2 5 2 3 6 4" xfId="37333" xr:uid="{00000000-0005-0000-0000-0000F0460000}"/>
    <cellStyle name="40% - Accent3 2 5 2 3 7" xfId="18031" xr:uid="{00000000-0005-0000-0000-0000F1460000}"/>
    <cellStyle name="40% - Accent3 2 5 2 3 7 2" xfId="28399" xr:uid="{00000000-0005-0000-0000-0000F2460000}"/>
    <cellStyle name="40% - Accent3 2 5 2 3 7 2 2" xfId="47588" xr:uid="{00000000-0005-0000-0000-0000F3460000}"/>
    <cellStyle name="40% - Accent3 2 5 2 3 7 3" xfId="37890" xr:uid="{00000000-0005-0000-0000-0000F4460000}"/>
    <cellStyle name="40% - Accent3 2 5 2 3 8" xfId="23894" xr:uid="{00000000-0005-0000-0000-0000F5460000}"/>
    <cellStyle name="40% - Accent3 2 5 2 3 8 2" xfId="43133" xr:uid="{00000000-0005-0000-0000-0000F6460000}"/>
    <cellStyle name="40% - Accent3 2 5 2 3 9" xfId="33435" xr:uid="{00000000-0005-0000-0000-0000F7460000}"/>
    <cellStyle name="40% - Accent3 2 5 2 4" xfId="14085" xr:uid="{00000000-0005-0000-0000-0000F8460000}"/>
    <cellStyle name="40% - Accent3 2 5 2 4 2" xfId="16349" xr:uid="{00000000-0005-0000-0000-0000F9460000}"/>
    <cellStyle name="40% - Accent3 2 5 2 4 2 2" xfId="20813" xr:uid="{00000000-0005-0000-0000-0000FA460000}"/>
    <cellStyle name="40% - Accent3 2 5 2 4 2 2 2" xfId="31181" xr:uid="{00000000-0005-0000-0000-0000FB460000}"/>
    <cellStyle name="40% - Accent3 2 5 2 4 2 2 2 2" xfId="50370" xr:uid="{00000000-0005-0000-0000-0000FC460000}"/>
    <cellStyle name="40% - Accent3 2 5 2 4 2 2 3" xfId="40672" xr:uid="{00000000-0005-0000-0000-0000FD460000}"/>
    <cellStyle name="40% - Accent3 2 5 2 4 2 3" xfId="26726" xr:uid="{00000000-0005-0000-0000-0000FE460000}"/>
    <cellStyle name="40% - Accent3 2 5 2 4 2 3 2" xfId="45915" xr:uid="{00000000-0005-0000-0000-0000FF460000}"/>
    <cellStyle name="40% - Accent3 2 5 2 4 2 4" xfId="36217" xr:uid="{00000000-0005-0000-0000-000000470000}"/>
    <cellStyle name="40% - Accent3 2 5 2 4 3" xfId="18585" xr:uid="{00000000-0005-0000-0000-000001470000}"/>
    <cellStyle name="40% - Accent3 2 5 2 4 3 2" xfId="28953" xr:uid="{00000000-0005-0000-0000-000002470000}"/>
    <cellStyle name="40% - Accent3 2 5 2 4 3 2 2" xfId="48142" xr:uid="{00000000-0005-0000-0000-000003470000}"/>
    <cellStyle name="40% - Accent3 2 5 2 4 3 3" xfId="38444" xr:uid="{00000000-0005-0000-0000-000004470000}"/>
    <cellStyle name="40% - Accent3 2 5 2 4 4" xfId="24493" xr:uid="{00000000-0005-0000-0000-000005470000}"/>
    <cellStyle name="40% - Accent3 2 5 2 4 4 2" xfId="43687" xr:uid="{00000000-0005-0000-0000-000006470000}"/>
    <cellStyle name="40% - Accent3 2 5 2 4 5" xfId="33989" xr:uid="{00000000-0005-0000-0000-000007470000}"/>
    <cellStyle name="40% - Accent3 2 5 2 5" xfId="14664" xr:uid="{00000000-0005-0000-0000-000008470000}"/>
    <cellStyle name="40% - Accent3 2 5 2 5 2" xfId="15793" xr:uid="{00000000-0005-0000-0000-000009470000}"/>
    <cellStyle name="40% - Accent3 2 5 2 5 2 2" xfId="20257" xr:uid="{00000000-0005-0000-0000-00000A470000}"/>
    <cellStyle name="40% - Accent3 2 5 2 5 2 2 2" xfId="30625" xr:uid="{00000000-0005-0000-0000-00000B470000}"/>
    <cellStyle name="40% - Accent3 2 5 2 5 2 2 2 2" xfId="49814" xr:uid="{00000000-0005-0000-0000-00000C470000}"/>
    <cellStyle name="40% - Accent3 2 5 2 5 2 2 3" xfId="40116" xr:uid="{00000000-0005-0000-0000-00000D470000}"/>
    <cellStyle name="40% - Accent3 2 5 2 5 2 3" xfId="26170" xr:uid="{00000000-0005-0000-0000-00000E470000}"/>
    <cellStyle name="40% - Accent3 2 5 2 5 2 3 2" xfId="45359" xr:uid="{00000000-0005-0000-0000-00000F470000}"/>
    <cellStyle name="40% - Accent3 2 5 2 5 2 4" xfId="35661" xr:uid="{00000000-0005-0000-0000-000010470000}"/>
    <cellStyle name="40% - Accent3 2 5 2 5 3" xfId="19142" xr:uid="{00000000-0005-0000-0000-000011470000}"/>
    <cellStyle name="40% - Accent3 2 5 2 5 3 2" xfId="29510" xr:uid="{00000000-0005-0000-0000-000012470000}"/>
    <cellStyle name="40% - Accent3 2 5 2 5 3 2 2" xfId="48699" xr:uid="{00000000-0005-0000-0000-000013470000}"/>
    <cellStyle name="40% - Accent3 2 5 2 5 3 3" xfId="39001" xr:uid="{00000000-0005-0000-0000-000014470000}"/>
    <cellStyle name="40% - Accent3 2 5 2 5 4" xfId="25055" xr:uid="{00000000-0005-0000-0000-000015470000}"/>
    <cellStyle name="40% - Accent3 2 5 2 5 4 2" xfId="44244" xr:uid="{00000000-0005-0000-0000-000016470000}"/>
    <cellStyle name="40% - Accent3 2 5 2 5 5" xfId="34546" xr:uid="{00000000-0005-0000-0000-000017470000}"/>
    <cellStyle name="40% - Accent3 2 5 2 6" xfId="15236" xr:uid="{00000000-0005-0000-0000-000018470000}"/>
    <cellStyle name="40% - Accent3 2 5 2 6 2" xfId="19700" xr:uid="{00000000-0005-0000-0000-000019470000}"/>
    <cellStyle name="40% - Accent3 2 5 2 6 2 2" xfId="30068" xr:uid="{00000000-0005-0000-0000-00001A470000}"/>
    <cellStyle name="40% - Accent3 2 5 2 6 2 2 2" xfId="49257" xr:uid="{00000000-0005-0000-0000-00001B470000}"/>
    <cellStyle name="40% - Accent3 2 5 2 6 2 3" xfId="39559" xr:uid="{00000000-0005-0000-0000-00001C470000}"/>
    <cellStyle name="40% - Accent3 2 5 2 6 3" xfId="25613" xr:uid="{00000000-0005-0000-0000-00001D470000}"/>
    <cellStyle name="40% - Accent3 2 5 2 6 3 2" xfId="44802" xr:uid="{00000000-0005-0000-0000-00001E470000}"/>
    <cellStyle name="40% - Accent3 2 5 2 6 4" xfId="35104" xr:uid="{00000000-0005-0000-0000-00001F470000}"/>
    <cellStyle name="40% - Accent3 2 5 2 7" xfId="16906" xr:uid="{00000000-0005-0000-0000-000020470000}"/>
    <cellStyle name="40% - Accent3 2 5 2 7 2" xfId="21370" xr:uid="{00000000-0005-0000-0000-000021470000}"/>
    <cellStyle name="40% - Accent3 2 5 2 7 2 2" xfId="31738" xr:uid="{00000000-0005-0000-0000-000022470000}"/>
    <cellStyle name="40% - Accent3 2 5 2 7 2 2 2" xfId="50927" xr:uid="{00000000-0005-0000-0000-000023470000}"/>
    <cellStyle name="40% - Accent3 2 5 2 7 2 3" xfId="41229" xr:uid="{00000000-0005-0000-0000-000024470000}"/>
    <cellStyle name="40% - Accent3 2 5 2 7 3" xfId="27283" xr:uid="{00000000-0005-0000-0000-000025470000}"/>
    <cellStyle name="40% - Accent3 2 5 2 7 3 2" xfId="46472" xr:uid="{00000000-0005-0000-0000-000026470000}"/>
    <cellStyle name="40% - Accent3 2 5 2 7 4" xfId="36774" xr:uid="{00000000-0005-0000-0000-000027470000}"/>
    <cellStyle name="40% - Accent3 2 5 2 8" xfId="17472" xr:uid="{00000000-0005-0000-0000-000028470000}"/>
    <cellStyle name="40% - Accent3 2 5 2 8 2" xfId="21927" xr:uid="{00000000-0005-0000-0000-000029470000}"/>
    <cellStyle name="40% - Accent3 2 5 2 8 2 2" xfId="32295" xr:uid="{00000000-0005-0000-0000-00002A470000}"/>
    <cellStyle name="40% - Accent3 2 5 2 8 2 2 2" xfId="51484" xr:uid="{00000000-0005-0000-0000-00002B470000}"/>
    <cellStyle name="40% - Accent3 2 5 2 8 2 3" xfId="41786" xr:uid="{00000000-0005-0000-0000-00002C470000}"/>
    <cellStyle name="40% - Accent3 2 5 2 8 3" xfId="27840" xr:uid="{00000000-0005-0000-0000-00002D470000}"/>
    <cellStyle name="40% - Accent3 2 5 2 8 3 2" xfId="47029" xr:uid="{00000000-0005-0000-0000-00002E470000}"/>
    <cellStyle name="40% - Accent3 2 5 2 8 4" xfId="37331" xr:uid="{00000000-0005-0000-0000-00002F470000}"/>
    <cellStyle name="40% - Accent3 2 5 2 9" xfId="18029" xr:uid="{00000000-0005-0000-0000-000030470000}"/>
    <cellStyle name="40% - Accent3 2 5 2 9 2" xfId="28397" xr:uid="{00000000-0005-0000-0000-000031470000}"/>
    <cellStyle name="40% - Accent3 2 5 2 9 2 2" xfId="47586" xr:uid="{00000000-0005-0000-0000-000032470000}"/>
    <cellStyle name="40% - Accent3 2 5 2 9 3" xfId="37888" xr:uid="{00000000-0005-0000-0000-000033470000}"/>
    <cellStyle name="40% - Accent3 2 5 3" xfId="13148" xr:uid="{00000000-0005-0000-0000-000034470000}"/>
    <cellStyle name="40% - Accent3 2 5 3 10" xfId="53010" xr:uid="{00000000-0005-0000-0000-000035470000}"/>
    <cellStyle name="40% - Accent3 2 5 3 2" xfId="14088" xr:uid="{00000000-0005-0000-0000-000036470000}"/>
    <cellStyle name="40% - Accent3 2 5 3 2 2" xfId="16352" xr:uid="{00000000-0005-0000-0000-000037470000}"/>
    <cellStyle name="40% - Accent3 2 5 3 2 2 2" xfId="20816" xr:uid="{00000000-0005-0000-0000-000038470000}"/>
    <cellStyle name="40% - Accent3 2 5 3 2 2 2 2" xfId="31184" xr:uid="{00000000-0005-0000-0000-000039470000}"/>
    <cellStyle name="40% - Accent3 2 5 3 2 2 2 2 2" xfId="50373" xr:uid="{00000000-0005-0000-0000-00003A470000}"/>
    <cellStyle name="40% - Accent3 2 5 3 2 2 2 3" xfId="40675" xr:uid="{00000000-0005-0000-0000-00003B470000}"/>
    <cellStyle name="40% - Accent3 2 5 3 2 2 3" xfId="26729" xr:uid="{00000000-0005-0000-0000-00003C470000}"/>
    <cellStyle name="40% - Accent3 2 5 3 2 2 3 2" xfId="45918" xr:uid="{00000000-0005-0000-0000-00003D470000}"/>
    <cellStyle name="40% - Accent3 2 5 3 2 2 4" xfId="36220" xr:uid="{00000000-0005-0000-0000-00003E470000}"/>
    <cellStyle name="40% - Accent3 2 5 3 2 3" xfId="18588" xr:uid="{00000000-0005-0000-0000-00003F470000}"/>
    <cellStyle name="40% - Accent3 2 5 3 2 3 2" xfId="28956" xr:uid="{00000000-0005-0000-0000-000040470000}"/>
    <cellStyle name="40% - Accent3 2 5 3 2 3 2 2" xfId="48145" xr:uid="{00000000-0005-0000-0000-000041470000}"/>
    <cellStyle name="40% - Accent3 2 5 3 2 3 3" xfId="38447" xr:uid="{00000000-0005-0000-0000-000042470000}"/>
    <cellStyle name="40% - Accent3 2 5 3 2 4" xfId="24496" xr:uid="{00000000-0005-0000-0000-000043470000}"/>
    <cellStyle name="40% - Accent3 2 5 3 2 4 2" xfId="43690" xr:uid="{00000000-0005-0000-0000-000044470000}"/>
    <cellStyle name="40% - Accent3 2 5 3 2 5" xfId="33992" xr:uid="{00000000-0005-0000-0000-000045470000}"/>
    <cellStyle name="40% - Accent3 2 5 3 2 6" xfId="53885" xr:uid="{00000000-0005-0000-0000-000046470000}"/>
    <cellStyle name="40% - Accent3 2 5 3 3" xfId="14667" xr:uid="{00000000-0005-0000-0000-000047470000}"/>
    <cellStyle name="40% - Accent3 2 5 3 3 2" xfId="15796" xr:uid="{00000000-0005-0000-0000-000048470000}"/>
    <cellStyle name="40% - Accent3 2 5 3 3 2 2" xfId="20260" xr:uid="{00000000-0005-0000-0000-000049470000}"/>
    <cellStyle name="40% - Accent3 2 5 3 3 2 2 2" xfId="30628" xr:uid="{00000000-0005-0000-0000-00004A470000}"/>
    <cellStyle name="40% - Accent3 2 5 3 3 2 2 2 2" xfId="49817" xr:uid="{00000000-0005-0000-0000-00004B470000}"/>
    <cellStyle name="40% - Accent3 2 5 3 3 2 2 3" xfId="40119" xr:uid="{00000000-0005-0000-0000-00004C470000}"/>
    <cellStyle name="40% - Accent3 2 5 3 3 2 3" xfId="26173" xr:uid="{00000000-0005-0000-0000-00004D470000}"/>
    <cellStyle name="40% - Accent3 2 5 3 3 2 3 2" xfId="45362" xr:uid="{00000000-0005-0000-0000-00004E470000}"/>
    <cellStyle name="40% - Accent3 2 5 3 3 2 4" xfId="35664" xr:uid="{00000000-0005-0000-0000-00004F470000}"/>
    <cellStyle name="40% - Accent3 2 5 3 3 3" xfId="19145" xr:uid="{00000000-0005-0000-0000-000050470000}"/>
    <cellStyle name="40% - Accent3 2 5 3 3 3 2" xfId="29513" xr:uid="{00000000-0005-0000-0000-000051470000}"/>
    <cellStyle name="40% - Accent3 2 5 3 3 3 2 2" xfId="48702" xr:uid="{00000000-0005-0000-0000-000052470000}"/>
    <cellStyle name="40% - Accent3 2 5 3 3 3 3" xfId="39004" xr:uid="{00000000-0005-0000-0000-000053470000}"/>
    <cellStyle name="40% - Accent3 2 5 3 3 4" xfId="25058" xr:uid="{00000000-0005-0000-0000-000054470000}"/>
    <cellStyle name="40% - Accent3 2 5 3 3 4 2" xfId="44247" xr:uid="{00000000-0005-0000-0000-000055470000}"/>
    <cellStyle name="40% - Accent3 2 5 3 3 5" xfId="34549" xr:uid="{00000000-0005-0000-0000-000056470000}"/>
    <cellStyle name="40% - Accent3 2 5 3 4" xfId="15239" xr:uid="{00000000-0005-0000-0000-000057470000}"/>
    <cellStyle name="40% - Accent3 2 5 3 4 2" xfId="19703" xr:uid="{00000000-0005-0000-0000-000058470000}"/>
    <cellStyle name="40% - Accent3 2 5 3 4 2 2" xfId="30071" xr:uid="{00000000-0005-0000-0000-000059470000}"/>
    <cellStyle name="40% - Accent3 2 5 3 4 2 2 2" xfId="49260" xr:uid="{00000000-0005-0000-0000-00005A470000}"/>
    <cellStyle name="40% - Accent3 2 5 3 4 2 3" xfId="39562" xr:uid="{00000000-0005-0000-0000-00005B470000}"/>
    <cellStyle name="40% - Accent3 2 5 3 4 3" xfId="25616" xr:uid="{00000000-0005-0000-0000-00005C470000}"/>
    <cellStyle name="40% - Accent3 2 5 3 4 3 2" xfId="44805" xr:uid="{00000000-0005-0000-0000-00005D470000}"/>
    <cellStyle name="40% - Accent3 2 5 3 4 4" xfId="35107" xr:uid="{00000000-0005-0000-0000-00005E470000}"/>
    <cellStyle name="40% - Accent3 2 5 3 5" xfId="16909" xr:uid="{00000000-0005-0000-0000-00005F470000}"/>
    <cellStyle name="40% - Accent3 2 5 3 5 2" xfId="21373" xr:uid="{00000000-0005-0000-0000-000060470000}"/>
    <cellStyle name="40% - Accent3 2 5 3 5 2 2" xfId="31741" xr:uid="{00000000-0005-0000-0000-000061470000}"/>
    <cellStyle name="40% - Accent3 2 5 3 5 2 2 2" xfId="50930" xr:uid="{00000000-0005-0000-0000-000062470000}"/>
    <cellStyle name="40% - Accent3 2 5 3 5 2 3" xfId="41232" xr:uid="{00000000-0005-0000-0000-000063470000}"/>
    <cellStyle name="40% - Accent3 2 5 3 5 3" xfId="27286" xr:uid="{00000000-0005-0000-0000-000064470000}"/>
    <cellStyle name="40% - Accent3 2 5 3 5 3 2" xfId="46475" xr:uid="{00000000-0005-0000-0000-000065470000}"/>
    <cellStyle name="40% - Accent3 2 5 3 5 4" xfId="36777" xr:uid="{00000000-0005-0000-0000-000066470000}"/>
    <cellStyle name="40% - Accent3 2 5 3 6" xfId="17475" xr:uid="{00000000-0005-0000-0000-000067470000}"/>
    <cellStyle name="40% - Accent3 2 5 3 6 2" xfId="21930" xr:uid="{00000000-0005-0000-0000-000068470000}"/>
    <cellStyle name="40% - Accent3 2 5 3 6 2 2" xfId="32298" xr:uid="{00000000-0005-0000-0000-000069470000}"/>
    <cellStyle name="40% - Accent3 2 5 3 6 2 2 2" xfId="51487" xr:uid="{00000000-0005-0000-0000-00006A470000}"/>
    <cellStyle name="40% - Accent3 2 5 3 6 2 3" xfId="41789" xr:uid="{00000000-0005-0000-0000-00006B470000}"/>
    <cellStyle name="40% - Accent3 2 5 3 6 3" xfId="27843" xr:uid="{00000000-0005-0000-0000-00006C470000}"/>
    <cellStyle name="40% - Accent3 2 5 3 6 3 2" xfId="47032" xr:uid="{00000000-0005-0000-0000-00006D470000}"/>
    <cellStyle name="40% - Accent3 2 5 3 6 4" xfId="37334" xr:uid="{00000000-0005-0000-0000-00006E470000}"/>
    <cellStyle name="40% - Accent3 2 5 3 7" xfId="18032" xr:uid="{00000000-0005-0000-0000-00006F470000}"/>
    <cellStyle name="40% - Accent3 2 5 3 7 2" xfId="28400" xr:uid="{00000000-0005-0000-0000-000070470000}"/>
    <cellStyle name="40% - Accent3 2 5 3 7 2 2" xfId="47589" xr:uid="{00000000-0005-0000-0000-000071470000}"/>
    <cellStyle name="40% - Accent3 2 5 3 7 3" xfId="37891" xr:uid="{00000000-0005-0000-0000-000072470000}"/>
    <cellStyle name="40% - Accent3 2 5 3 8" xfId="23895" xr:uid="{00000000-0005-0000-0000-000073470000}"/>
    <cellStyle name="40% - Accent3 2 5 3 8 2" xfId="43134" xr:uid="{00000000-0005-0000-0000-000074470000}"/>
    <cellStyle name="40% - Accent3 2 5 3 9" xfId="33436" xr:uid="{00000000-0005-0000-0000-000075470000}"/>
    <cellStyle name="40% - Accent3 2 5 4" xfId="13149" xr:uid="{00000000-0005-0000-0000-000076470000}"/>
    <cellStyle name="40% - Accent3 2 5 4 10" xfId="53489" xr:uid="{00000000-0005-0000-0000-000077470000}"/>
    <cellStyle name="40% - Accent3 2 5 4 2" xfId="14089" xr:uid="{00000000-0005-0000-0000-000078470000}"/>
    <cellStyle name="40% - Accent3 2 5 4 2 2" xfId="16353" xr:uid="{00000000-0005-0000-0000-000079470000}"/>
    <cellStyle name="40% - Accent3 2 5 4 2 2 2" xfId="20817" xr:uid="{00000000-0005-0000-0000-00007A470000}"/>
    <cellStyle name="40% - Accent3 2 5 4 2 2 2 2" xfId="31185" xr:uid="{00000000-0005-0000-0000-00007B470000}"/>
    <cellStyle name="40% - Accent3 2 5 4 2 2 2 2 2" xfId="50374" xr:uid="{00000000-0005-0000-0000-00007C470000}"/>
    <cellStyle name="40% - Accent3 2 5 4 2 2 2 3" xfId="40676" xr:uid="{00000000-0005-0000-0000-00007D470000}"/>
    <cellStyle name="40% - Accent3 2 5 4 2 2 3" xfId="26730" xr:uid="{00000000-0005-0000-0000-00007E470000}"/>
    <cellStyle name="40% - Accent3 2 5 4 2 2 3 2" xfId="45919" xr:uid="{00000000-0005-0000-0000-00007F470000}"/>
    <cellStyle name="40% - Accent3 2 5 4 2 2 4" xfId="36221" xr:uid="{00000000-0005-0000-0000-000080470000}"/>
    <cellStyle name="40% - Accent3 2 5 4 2 3" xfId="18589" xr:uid="{00000000-0005-0000-0000-000081470000}"/>
    <cellStyle name="40% - Accent3 2 5 4 2 3 2" xfId="28957" xr:uid="{00000000-0005-0000-0000-000082470000}"/>
    <cellStyle name="40% - Accent3 2 5 4 2 3 2 2" xfId="48146" xr:uid="{00000000-0005-0000-0000-000083470000}"/>
    <cellStyle name="40% - Accent3 2 5 4 2 3 3" xfId="38448" xr:uid="{00000000-0005-0000-0000-000084470000}"/>
    <cellStyle name="40% - Accent3 2 5 4 2 4" xfId="24497" xr:uid="{00000000-0005-0000-0000-000085470000}"/>
    <cellStyle name="40% - Accent3 2 5 4 2 4 2" xfId="43691" xr:uid="{00000000-0005-0000-0000-000086470000}"/>
    <cellStyle name="40% - Accent3 2 5 4 2 5" xfId="33993" xr:uid="{00000000-0005-0000-0000-000087470000}"/>
    <cellStyle name="40% - Accent3 2 5 4 3" xfId="14668" xr:uid="{00000000-0005-0000-0000-000088470000}"/>
    <cellStyle name="40% - Accent3 2 5 4 3 2" xfId="15797" xr:uid="{00000000-0005-0000-0000-000089470000}"/>
    <cellStyle name="40% - Accent3 2 5 4 3 2 2" xfId="20261" xr:uid="{00000000-0005-0000-0000-00008A470000}"/>
    <cellStyle name="40% - Accent3 2 5 4 3 2 2 2" xfId="30629" xr:uid="{00000000-0005-0000-0000-00008B470000}"/>
    <cellStyle name="40% - Accent3 2 5 4 3 2 2 2 2" xfId="49818" xr:uid="{00000000-0005-0000-0000-00008C470000}"/>
    <cellStyle name="40% - Accent3 2 5 4 3 2 2 3" xfId="40120" xr:uid="{00000000-0005-0000-0000-00008D470000}"/>
    <cellStyle name="40% - Accent3 2 5 4 3 2 3" xfId="26174" xr:uid="{00000000-0005-0000-0000-00008E470000}"/>
    <cellStyle name="40% - Accent3 2 5 4 3 2 3 2" xfId="45363" xr:uid="{00000000-0005-0000-0000-00008F470000}"/>
    <cellStyle name="40% - Accent3 2 5 4 3 2 4" xfId="35665" xr:uid="{00000000-0005-0000-0000-000090470000}"/>
    <cellStyle name="40% - Accent3 2 5 4 3 3" xfId="19146" xr:uid="{00000000-0005-0000-0000-000091470000}"/>
    <cellStyle name="40% - Accent3 2 5 4 3 3 2" xfId="29514" xr:uid="{00000000-0005-0000-0000-000092470000}"/>
    <cellStyle name="40% - Accent3 2 5 4 3 3 2 2" xfId="48703" xr:uid="{00000000-0005-0000-0000-000093470000}"/>
    <cellStyle name="40% - Accent3 2 5 4 3 3 3" xfId="39005" xr:uid="{00000000-0005-0000-0000-000094470000}"/>
    <cellStyle name="40% - Accent3 2 5 4 3 4" xfId="25059" xr:uid="{00000000-0005-0000-0000-000095470000}"/>
    <cellStyle name="40% - Accent3 2 5 4 3 4 2" xfId="44248" xr:uid="{00000000-0005-0000-0000-000096470000}"/>
    <cellStyle name="40% - Accent3 2 5 4 3 5" xfId="34550" xr:uid="{00000000-0005-0000-0000-000097470000}"/>
    <cellStyle name="40% - Accent3 2 5 4 4" xfId="15240" xr:uid="{00000000-0005-0000-0000-000098470000}"/>
    <cellStyle name="40% - Accent3 2 5 4 4 2" xfId="19704" xr:uid="{00000000-0005-0000-0000-000099470000}"/>
    <cellStyle name="40% - Accent3 2 5 4 4 2 2" xfId="30072" xr:uid="{00000000-0005-0000-0000-00009A470000}"/>
    <cellStyle name="40% - Accent3 2 5 4 4 2 2 2" xfId="49261" xr:uid="{00000000-0005-0000-0000-00009B470000}"/>
    <cellStyle name="40% - Accent3 2 5 4 4 2 3" xfId="39563" xr:uid="{00000000-0005-0000-0000-00009C470000}"/>
    <cellStyle name="40% - Accent3 2 5 4 4 3" xfId="25617" xr:uid="{00000000-0005-0000-0000-00009D470000}"/>
    <cellStyle name="40% - Accent3 2 5 4 4 3 2" xfId="44806" xr:uid="{00000000-0005-0000-0000-00009E470000}"/>
    <cellStyle name="40% - Accent3 2 5 4 4 4" xfId="35108" xr:uid="{00000000-0005-0000-0000-00009F470000}"/>
    <cellStyle name="40% - Accent3 2 5 4 5" xfId="16910" xr:uid="{00000000-0005-0000-0000-0000A0470000}"/>
    <cellStyle name="40% - Accent3 2 5 4 5 2" xfId="21374" xr:uid="{00000000-0005-0000-0000-0000A1470000}"/>
    <cellStyle name="40% - Accent3 2 5 4 5 2 2" xfId="31742" xr:uid="{00000000-0005-0000-0000-0000A2470000}"/>
    <cellStyle name="40% - Accent3 2 5 4 5 2 2 2" xfId="50931" xr:uid="{00000000-0005-0000-0000-0000A3470000}"/>
    <cellStyle name="40% - Accent3 2 5 4 5 2 3" xfId="41233" xr:uid="{00000000-0005-0000-0000-0000A4470000}"/>
    <cellStyle name="40% - Accent3 2 5 4 5 3" xfId="27287" xr:uid="{00000000-0005-0000-0000-0000A5470000}"/>
    <cellStyle name="40% - Accent3 2 5 4 5 3 2" xfId="46476" xr:uid="{00000000-0005-0000-0000-0000A6470000}"/>
    <cellStyle name="40% - Accent3 2 5 4 5 4" xfId="36778" xr:uid="{00000000-0005-0000-0000-0000A7470000}"/>
    <cellStyle name="40% - Accent3 2 5 4 6" xfId="17476" xr:uid="{00000000-0005-0000-0000-0000A8470000}"/>
    <cellStyle name="40% - Accent3 2 5 4 6 2" xfId="21931" xr:uid="{00000000-0005-0000-0000-0000A9470000}"/>
    <cellStyle name="40% - Accent3 2 5 4 6 2 2" xfId="32299" xr:uid="{00000000-0005-0000-0000-0000AA470000}"/>
    <cellStyle name="40% - Accent3 2 5 4 6 2 2 2" xfId="51488" xr:uid="{00000000-0005-0000-0000-0000AB470000}"/>
    <cellStyle name="40% - Accent3 2 5 4 6 2 3" xfId="41790" xr:uid="{00000000-0005-0000-0000-0000AC470000}"/>
    <cellStyle name="40% - Accent3 2 5 4 6 3" xfId="27844" xr:uid="{00000000-0005-0000-0000-0000AD470000}"/>
    <cellStyle name="40% - Accent3 2 5 4 6 3 2" xfId="47033" xr:uid="{00000000-0005-0000-0000-0000AE470000}"/>
    <cellStyle name="40% - Accent3 2 5 4 6 4" xfId="37335" xr:uid="{00000000-0005-0000-0000-0000AF470000}"/>
    <cellStyle name="40% - Accent3 2 5 4 7" xfId="18033" xr:uid="{00000000-0005-0000-0000-0000B0470000}"/>
    <cellStyle name="40% - Accent3 2 5 4 7 2" xfId="28401" xr:uid="{00000000-0005-0000-0000-0000B1470000}"/>
    <cellStyle name="40% - Accent3 2 5 4 7 2 2" xfId="47590" xr:uid="{00000000-0005-0000-0000-0000B2470000}"/>
    <cellStyle name="40% - Accent3 2 5 4 7 3" xfId="37892" xr:uid="{00000000-0005-0000-0000-0000B3470000}"/>
    <cellStyle name="40% - Accent3 2 5 4 8" xfId="23896" xr:uid="{00000000-0005-0000-0000-0000B4470000}"/>
    <cellStyle name="40% - Accent3 2 5 4 8 2" xfId="43135" xr:uid="{00000000-0005-0000-0000-0000B5470000}"/>
    <cellStyle name="40% - Accent3 2 5 4 9" xfId="33437" xr:uid="{00000000-0005-0000-0000-0000B6470000}"/>
    <cellStyle name="40% - Accent3 2 5 5" xfId="12255" xr:uid="{00000000-0005-0000-0000-0000B7470000}"/>
    <cellStyle name="40% - Accent3 2 5 6" xfId="52600" xr:uid="{00000000-0005-0000-0000-0000B8470000}"/>
    <cellStyle name="40% - Accent3 2 5 7" xfId="12017" xr:uid="{00000000-0005-0000-0000-0000B9470000}"/>
    <cellStyle name="40% - Accent3 2 6" xfId="1922" xr:uid="{00000000-0005-0000-0000-0000BA470000}"/>
    <cellStyle name="40% - Accent3 2 6 2" xfId="13150" xr:uid="{00000000-0005-0000-0000-0000BB470000}"/>
    <cellStyle name="40% - Accent3 2 6 2 10" xfId="52833" xr:uid="{00000000-0005-0000-0000-0000BC470000}"/>
    <cellStyle name="40% - Accent3 2 6 2 2" xfId="14090" xr:uid="{00000000-0005-0000-0000-0000BD470000}"/>
    <cellStyle name="40% - Accent3 2 6 2 2 2" xfId="16354" xr:uid="{00000000-0005-0000-0000-0000BE470000}"/>
    <cellStyle name="40% - Accent3 2 6 2 2 2 2" xfId="20818" xr:uid="{00000000-0005-0000-0000-0000BF470000}"/>
    <cellStyle name="40% - Accent3 2 6 2 2 2 2 2" xfId="31186" xr:uid="{00000000-0005-0000-0000-0000C0470000}"/>
    <cellStyle name="40% - Accent3 2 6 2 2 2 2 2 2" xfId="50375" xr:uid="{00000000-0005-0000-0000-0000C1470000}"/>
    <cellStyle name="40% - Accent3 2 6 2 2 2 2 3" xfId="40677" xr:uid="{00000000-0005-0000-0000-0000C2470000}"/>
    <cellStyle name="40% - Accent3 2 6 2 2 2 3" xfId="26731" xr:uid="{00000000-0005-0000-0000-0000C3470000}"/>
    <cellStyle name="40% - Accent3 2 6 2 2 2 3 2" xfId="45920" xr:uid="{00000000-0005-0000-0000-0000C4470000}"/>
    <cellStyle name="40% - Accent3 2 6 2 2 2 4" xfId="36222" xr:uid="{00000000-0005-0000-0000-0000C5470000}"/>
    <cellStyle name="40% - Accent3 2 6 2 2 2 5" xfId="54114" xr:uid="{00000000-0005-0000-0000-0000C6470000}"/>
    <cellStyle name="40% - Accent3 2 6 2 2 3" xfId="18590" xr:uid="{00000000-0005-0000-0000-0000C7470000}"/>
    <cellStyle name="40% - Accent3 2 6 2 2 3 2" xfId="28958" xr:uid="{00000000-0005-0000-0000-0000C8470000}"/>
    <cellStyle name="40% - Accent3 2 6 2 2 3 2 2" xfId="48147" xr:uid="{00000000-0005-0000-0000-0000C9470000}"/>
    <cellStyle name="40% - Accent3 2 6 2 2 3 3" xfId="38449" xr:uid="{00000000-0005-0000-0000-0000CA470000}"/>
    <cellStyle name="40% - Accent3 2 6 2 2 4" xfId="24498" xr:uid="{00000000-0005-0000-0000-0000CB470000}"/>
    <cellStyle name="40% - Accent3 2 6 2 2 4 2" xfId="43692" xr:uid="{00000000-0005-0000-0000-0000CC470000}"/>
    <cellStyle name="40% - Accent3 2 6 2 2 5" xfId="33994" xr:uid="{00000000-0005-0000-0000-0000CD470000}"/>
    <cellStyle name="40% - Accent3 2 6 2 2 6" xfId="53261" xr:uid="{00000000-0005-0000-0000-0000CE470000}"/>
    <cellStyle name="40% - Accent3 2 6 2 3" xfId="14669" xr:uid="{00000000-0005-0000-0000-0000CF470000}"/>
    <cellStyle name="40% - Accent3 2 6 2 3 2" xfId="15798" xr:uid="{00000000-0005-0000-0000-0000D0470000}"/>
    <cellStyle name="40% - Accent3 2 6 2 3 2 2" xfId="20262" xr:uid="{00000000-0005-0000-0000-0000D1470000}"/>
    <cellStyle name="40% - Accent3 2 6 2 3 2 2 2" xfId="30630" xr:uid="{00000000-0005-0000-0000-0000D2470000}"/>
    <cellStyle name="40% - Accent3 2 6 2 3 2 2 2 2" xfId="49819" xr:uid="{00000000-0005-0000-0000-0000D3470000}"/>
    <cellStyle name="40% - Accent3 2 6 2 3 2 2 3" xfId="40121" xr:uid="{00000000-0005-0000-0000-0000D4470000}"/>
    <cellStyle name="40% - Accent3 2 6 2 3 2 3" xfId="26175" xr:uid="{00000000-0005-0000-0000-0000D5470000}"/>
    <cellStyle name="40% - Accent3 2 6 2 3 2 3 2" xfId="45364" xr:uid="{00000000-0005-0000-0000-0000D6470000}"/>
    <cellStyle name="40% - Accent3 2 6 2 3 2 4" xfId="35666" xr:uid="{00000000-0005-0000-0000-0000D7470000}"/>
    <cellStyle name="40% - Accent3 2 6 2 3 3" xfId="19147" xr:uid="{00000000-0005-0000-0000-0000D8470000}"/>
    <cellStyle name="40% - Accent3 2 6 2 3 3 2" xfId="29515" xr:uid="{00000000-0005-0000-0000-0000D9470000}"/>
    <cellStyle name="40% - Accent3 2 6 2 3 3 2 2" xfId="48704" xr:uid="{00000000-0005-0000-0000-0000DA470000}"/>
    <cellStyle name="40% - Accent3 2 6 2 3 3 3" xfId="39006" xr:uid="{00000000-0005-0000-0000-0000DB470000}"/>
    <cellStyle name="40% - Accent3 2 6 2 3 4" xfId="25060" xr:uid="{00000000-0005-0000-0000-0000DC470000}"/>
    <cellStyle name="40% - Accent3 2 6 2 3 4 2" xfId="44249" xr:uid="{00000000-0005-0000-0000-0000DD470000}"/>
    <cellStyle name="40% - Accent3 2 6 2 3 5" xfId="34551" xr:uid="{00000000-0005-0000-0000-0000DE470000}"/>
    <cellStyle name="40% - Accent3 2 6 2 3 6" xfId="53718" xr:uid="{00000000-0005-0000-0000-0000DF470000}"/>
    <cellStyle name="40% - Accent3 2 6 2 4" xfId="15241" xr:uid="{00000000-0005-0000-0000-0000E0470000}"/>
    <cellStyle name="40% - Accent3 2 6 2 4 2" xfId="19705" xr:uid="{00000000-0005-0000-0000-0000E1470000}"/>
    <cellStyle name="40% - Accent3 2 6 2 4 2 2" xfId="30073" xr:uid="{00000000-0005-0000-0000-0000E2470000}"/>
    <cellStyle name="40% - Accent3 2 6 2 4 2 2 2" xfId="49262" xr:uid="{00000000-0005-0000-0000-0000E3470000}"/>
    <cellStyle name="40% - Accent3 2 6 2 4 2 3" xfId="39564" xr:uid="{00000000-0005-0000-0000-0000E4470000}"/>
    <cellStyle name="40% - Accent3 2 6 2 4 3" xfId="25618" xr:uid="{00000000-0005-0000-0000-0000E5470000}"/>
    <cellStyle name="40% - Accent3 2 6 2 4 3 2" xfId="44807" xr:uid="{00000000-0005-0000-0000-0000E6470000}"/>
    <cellStyle name="40% - Accent3 2 6 2 4 4" xfId="35109" xr:uid="{00000000-0005-0000-0000-0000E7470000}"/>
    <cellStyle name="40% - Accent3 2 6 2 5" xfId="16911" xr:uid="{00000000-0005-0000-0000-0000E8470000}"/>
    <cellStyle name="40% - Accent3 2 6 2 5 2" xfId="21375" xr:uid="{00000000-0005-0000-0000-0000E9470000}"/>
    <cellStyle name="40% - Accent3 2 6 2 5 2 2" xfId="31743" xr:uid="{00000000-0005-0000-0000-0000EA470000}"/>
    <cellStyle name="40% - Accent3 2 6 2 5 2 2 2" xfId="50932" xr:uid="{00000000-0005-0000-0000-0000EB470000}"/>
    <cellStyle name="40% - Accent3 2 6 2 5 2 3" xfId="41234" xr:uid="{00000000-0005-0000-0000-0000EC470000}"/>
    <cellStyle name="40% - Accent3 2 6 2 5 3" xfId="27288" xr:uid="{00000000-0005-0000-0000-0000ED470000}"/>
    <cellStyle name="40% - Accent3 2 6 2 5 3 2" xfId="46477" xr:uid="{00000000-0005-0000-0000-0000EE470000}"/>
    <cellStyle name="40% - Accent3 2 6 2 5 4" xfId="36779" xr:uid="{00000000-0005-0000-0000-0000EF470000}"/>
    <cellStyle name="40% - Accent3 2 6 2 6" xfId="17477" xr:uid="{00000000-0005-0000-0000-0000F0470000}"/>
    <cellStyle name="40% - Accent3 2 6 2 6 2" xfId="21932" xr:uid="{00000000-0005-0000-0000-0000F1470000}"/>
    <cellStyle name="40% - Accent3 2 6 2 6 2 2" xfId="32300" xr:uid="{00000000-0005-0000-0000-0000F2470000}"/>
    <cellStyle name="40% - Accent3 2 6 2 6 2 2 2" xfId="51489" xr:uid="{00000000-0005-0000-0000-0000F3470000}"/>
    <cellStyle name="40% - Accent3 2 6 2 6 2 3" xfId="41791" xr:uid="{00000000-0005-0000-0000-0000F4470000}"/>
    <cellStyle name="40% - Accent3 2 6 2 6 3" xfId="27845" xr:uid="{00000000-0005-0000-0000-0000F5470000}"/>
    <cellStyle name="40% - Accent3 2 6 2 6 3 2" xfId="47034" xr:uid="{00000000-0005-0000-0000-0000F6470000}"/>
    <cellStyle name="40% - Accent3 2 6 2 6 4" xfId="37336" xr:uid="{00000000-0005-0000-0000-0000F7470000}"/>
    <cellStyle name="40% - Accent3 2 6 2 7" xfId="18034" xr:uid="{00000000-0005-0000-0000-0000F8470000}"/>
    <cellStyle name="40% - Accent3 2 6 2 7 2" xfId="28402" xr:uid="{00000000-0005-0000-0000-0000F9470000}"/>
    <cellStyle name="40% - Accent3 2 6 2 7 2 2" xfId="47591" xr:uid="{00000000-0005-0000-0000-0000FA470000}"/>
    <cellStyle name="40% - Accent3 2 6 2 7 3" xfId="37893" xr:uid="{00000000-0005-0000-0000-0000FB470000}"/>
    <cellStyle name="40% - Accent3 2 6 2 8" xfId="23897" xr:uid="{00000000-0005-0000-0000-0000FC470000}"/>
    <cellStyle name="40% - Accent3 2 6 2 8 2" xfId="43136" xr:uid="{00000000-0005-0000-0000-0000FD470000}"/>
    <cellStyle name="40% - Accent3 2 6 2 9" xfId="33438" xr:uid="{00000000-0005-0000-0000-0000FE470000}"/>
    <cellStyle name="40% - Accent3 2 6 3" xfId="13151" xr:uid="{00000000-0005-0000-0000-0000FF470000}"/>
    <cellStyle name="40% - Accent3 2 6 3 10" xfId="53043" xr:uid="{00000000-0005-0000-0000-000000480000}"/>
    <cellStyle name="40% - Accent3 2 6 3 2" xfId="14091" xr:uid="{00000000-0005-0000-0000-000001480000}"/>
    <cellStyle name="40% - Accent3 2 6 3 2 2" xfId="16355" xr:uid="{00000000-0005-0000-0000-000002480000}"/>
    <cellStyle name="40% - Accent3 2 6 3 2 2 2" xfId="20819" xr:uid="{00000000-0005-0000-0000-000003480000}"/>
    <cellStyle name="40% - Accent3 2 6 3 2 2 2 2" xfId="31187" xr:uid="{00000000-0005-0000-0000-000004480000}"/>
    <cellStyle name="40% - Accent3 2 6 3 2 2 2 2 2" xfId="50376" xr:uid="{00000000-0005-0000-0000-000005480000}"/>
    <cellStyle name="40% - Accent3 2 6 3 2 2 2 3" xfId="40678" xr:uid="{00000000-0005-0000-0000-000006480000}"/>
    <cellStyle name="40% - Accent3 2 6 3 2 2 3" xfId="26732" xr:uid="{00000000-0005-0000-0000-000007480000}"/>
    <cellStyle name="40% - Accent3 2 6 3 2 2 3 2" xfId="45921" xr:uid="{00000000-0005-0000-0000-000008480000}"/>
    <cellStyle name="40% - Accent3 2 6 3 2 2 4" xfId="36223" xr:uid="{00000000-0005-0000-0000-000009480000}"/>
    <cellStyle name="40% - Accent3 2 6 3 2 3" xfId="18591" xr:uid="{00000000-0005-0000-0000-00000A480000}"/>
    <cellStyle name="40% - Accent3 2 6 3 2 3 2" xfId="28959" xr:uid="{00000000-0005-0000-0000-00000B480000}"/>
    <cellStyle name="40% - Accent3 2 6 3 2 3 2 2" xfId="48148" xr:uid="{00000000-0005-0000-0000-00000C480000}"/>
    <cellStyle name="40% - Accent3 2 6 3 2 3 3" xfId="38450" xr:uid="{00000000-0005-0000-0000-00000D480000}"/>
    <cellStyle name="40% - Accent3 2 6 3 2 4" xfId="24499" xr:uid="{00000000-0005-0000-0000-00000E480000}"/>
    <cellStyle name="40% - Accent3 2 6 3 2 4 2" xfId="43693" xr:uid="{00000000-0005-0000-0000-00000F480000}"/>
    <cellStyle name="40% - Accent3 2 6 3 2 5" xfId="33995" xr:uid="{00000000-0005-0000-0000-000010480000}"/>
    <cellStyle name="40% - Accent3 2 6 3 2 6" xfId="53918" xr:uid="{00000000-0005-0000-0000-000011480000}"/>
    <cellStyle name="40% - Accent3 2 6 3 3" xfId="14670" xr:uid="{00000000-0005-0000-0000-000012480000}"/>
    <cellStyle name="40% - Accent3 2 6 3 3 2" xfId="15799" xr:uid="{00000000-0005-0000-0000-000013480000}"/>
    <cellStyle name="40% - Accent3 2 6 3 3 2 2" xfId="20263" xr:uid="{00000000-0005-0000-0000-000014480000}"/>
    <cellStyle name="40% - Accent3 2 6 3 3 2 2 2" xfId="30631" xr:uid="{00000000-0005-0000-0000-000015480000}"/>
    <cellStyle name="40% - Accent3 2 6 3 3 2 2 2 2" xfId="49820" xr:uid="{00000000-0005-0000-0000-000016480000}"/>
    <cellStyle name="40% - Accent3 2 6 3 3 2 2 3" xfId="40122" xr:uid="{00000000-0005-0000-0000-000017480000}"/>
    <cellStyle name="40% - Accent3 2 6 3 3 2 3" xfId="26176" xr:uid="{00000000-0005-0000-0000-000018480000}"/>
    <cellStyle name="40% - Accent3 2 6 3 3 2 3 2" xfId="45365" xr:uid="{00000000-0005-0000-0000-000019480000}"/>
    <cellStyle name="40% - Accent3 2 6 3 3 2 4" xfId="35667" xr:uid="{00000000-0005-0000-0000-00001A480000}"/>
    <cellStyle name="40% - Accent3 2 6 3 3 3" xfId="19148" xr:uid="{00000000-0005-0000-0000-00001B480000}"/>
    <cellStyle name="40% - Accent3 2 6 3 3 3 2" xfId="29516" xr:uid="{00000000-0005-0000-0000-00001C480000}"/>
    <cellStyle name="40% - Accent3 2 6 3 3 3 2 2" xfId="48705" xr:uid="{00000000-0005-0000-0000-00001D480000}"/>
    <cellStyle name="40% - Accent3 2 6 3 3 3 3" xfId="39007" xr:uid="{00000000-0005-0000-0000-00001E480000}"/>
    <cellStyle name="40% - Accent3 2 6 3 3 4" xfId="25061" xr:uid="{00000000-0005-0000-0000-00001F480000}"/>
    <cellStyle name="40% - Accent3 2 6 3 3 4 2" xfId="44250" xr:uid="{00000000-0005-0000-0000-000020480000}"/>
    <cellStyle name="40% - Accent3 2 6 3 3 5" xfId="34552" xr:uid="{00000000-0005-0000-0000-000021480000}"/>
    <cellStyle name="40% - Accent3 2 6 3 4" xfId="15242" xr:uid="{00000000-0005-0000-0000-000022480000}"/>
    <cellStyle name="40% - Accent3 2 6 3 4 2" xfId="19706" xr:uid="{00000000-0005-0000-0000-000023480000}"/>
    <cellStyle name="40% - Accent3 2 6 3 4 2 2" xfId="30074" xr:uid="{00000000-0005-0000-0000-000024480000}"/>
    <cellStyle name="40% - Accent3 2 6 3 4 2 2 2" xfId="49263" xr:uid="{00000000-0005-0000-0000-000025480000}"/>
    <cellStyle name="40% - Accent3 2 6 3 4 2 3" xfId="39565" xr:uid="{00000000-0005-0000-0000-000026480000}"/>
    <cellStyle name="40% - Accent3 2 6 3 4 3" xfId="25619" xr:uid="{00000000-0005-0000-0000-000027480000}"/>
    <cellStyle name="40% - Accent3 2 6 3 4 3 2" xfId="44808" xr:uid="{00000000-0005-0000-0000-000028480000}"/>
    <cellStyle name="40% - Accent3 2 6 3 4 4" xfId="35110" xr:uid="{00000000-0005-0000-0000-000029480000}"/>
    <cellStyle name="40% - Accent3 2 6 3 5" xfId="16912" xr:uid="{00000000-0005-0000-0000-00002A480000}"/>
    <cellStyle name="40% - Accent3 2 6 3 5 2" xfId="21376" xr:uid="{00000000-0005-0000-0000-00002B480000}"/>
    <cellStyle name="40% - Accent3 2 6 3 5 2 2" xfId="31744" xr:uid="{00000000-0005-0000-0000-00002C480000}"/>
    <cellStyle name="40% - Accent3 2 6 3 5 2 2 2" xfId="50933" xr:uid="{00000000-0005-0000-0000-00002D480000}"/>
    <cellStyle name="40% - Accent3 2 6 3 5 2 3" xfId="41235" xr:uid="{00000000-0005-0000-0000-00002E480000}"/>
    <cellStyle name="40% - Accent3 2 6 3 5 3" xfId="27289" xr:uid="{00000000-0005-0000-0000-00002F480000}"/>
    <cellStyle name="40% - Accent3 2 6 3 5 3 2" xfId="46478" xr:uid="{00000000-0005-0000-0000-000030480000}"/>
    <cellStyle name="40% - Accent3 2 6 3 5 4" xfId="36780" xr:uid="{00000000-0005-0000-0000-000031480000}"/>
    <cellStyle name="40% - Accent3 2 6 3 6" xfId="17478" xr:uid="{00000000-0005-0000-0000-000032480000}"/>
    <cellStyle name="40% - Accent3 2 6 3 6 2" xfId="21933" xr:uid="{00000000-0005-0000-0000-000033480000}"/>
    <cellStyle name="40% - Accent3 2 6 3 6 2 2" xfId="32301" xr:uid="{00000000-0005-0000-0000-000034480000}"/>
    <cellStyle name="40% - Accent3 2 6 3 6 2 2 2" xfId="51490" xr:uid="{00000000-0005-0000-0000-000035480000}"/>
    <cellStyle name="40% - Accent3 2 6 3 6 2 3" xfId="41792" xr:uid="{00000000-0005-0000-0000-000036480000}"/>
    <cellStyle name="40% - Accent3 2 6 3 6 3" xfId="27846" xr:uid="{00000000-0005-0000-0000-000037480000}"/>
    <cellStyle name="40% - Accent3 2 6 3 6 3 2" xfId="47035" xr:uid="{00000000-0005-0000-0000-000038480000}"/>
    <cellStyle name="40% - Accent3 2 6 3 6 4" xfId="37337" xr:uid="{00000000-0005-0000-0000-000039480000}"/>
    <cellStyle name="40% - Accent3 2 6 3 7" xfId="18035" xr:uid="{00000000-0005-0000-0000-00003A480000}"/>
    <cellStyle name="40% - Accent3 2 6 3 7 2" xfId="28403" xr:uid="{00000000-0005-0000-0000-00003B480000}"/>
    <cellStyle name="40% - Accent3 2 6 3 7 2 2" xfId="47592" xr:uid="{00000000-0005-0000-0000-00003C480000}"/>
    <cellStyle name="40% - Accent3 2 6 3 7 3" xfId="37894" xr:uid="{00000000-0005-0000-0000-00003D480000}"/>
    <cellStyle name="40% - Accent3 2 6 3 8" xfId="23898" xr:uid="{00000000-0005-0000-0000-00003E480000}"/>
    <cellStyle name="40% - Accent3 2 6 3 8 2" xfId="43137" xr:uid="{00000000-0005-0000-0000-00003F480000}"/>
    <cellStyle name="40% - Accent3 2 6 3 9" xfId="33439" xr:uid="{00000000-0005-0000-0000-000040480000}"/>
    <cellStyle name="40% - Accent3 2 6 4" xfId="53522" xr:uid="{00000000-0005-0000-0000-000041480000}"/>
    <cellStyle name="40% - Accent3 2 6 5" xfId="52637" xr:uid="{00000000-0005-0000-0000-000042480000}"/>
    <cellStyle name="40% - Accent3 2 6 6" xfId="12256" xr:uid="{00000000-0005-0000-0000-000043480000}"/>
    <cellStyle name="40% - Accent3 2 7" xfId="1923" xr:uid="{00000000-0005-0000-0000-000044480000}"/>
    <cellStyle name="40% - Accent3 2 7 10" xfId="52664" xr:uid="{00000000-0005-0000-0000-000045480000}"/>
    <cellStyle name="40% - Accent3 2 7 11" xfId="12691" xr:uid="{00000000-0005-0000-0000-000046480000}"/>
    <cellStyle name="40% - Accent3 2 7 2" xfId="13808" xr:uid="{00000000-0005-0000-0000-000047480000}"/>
    <cellStyle name="40% - Accent3 2 7 2 2" xfId="16072" xr:uid="{00000000-0005-0000-0000-000048480000}"/>
    <cellStyle name="40% - Accent3 2 7 2 2 2" xfId="20536" xr:uid="{00000000-0005-0000-0000-000049480000}"/>
    <cellStyle name="40% - Accent3 2 7 2 2 2 2" xfId="30904" xr:uid="{00000000-0005-0000-0000-00004A480000}"/>
    <cellStyle name="40% - Accent3 2 7 2 2 2 2 2" xfId="50093" xr:uid="{00000000-0005-0000-0000-00004B480000}"/>
    <cellStyle name="40% - Accent3 2 7 2 2 2 3" xfId="40395" xr:uid="{00000000-0005-0000-0000-00004C480000}"/>
    <cellStyle name="40% - Accent3 2 7 2 2 3" xfId="26449" xr:uid="{00000000-0005-0000-0000-00004D480000}"/>
    <cellStyle name="40% - Accent3 2 7 2 2 3 2" xfId="45638" xr:uid="{00000000-0005-0000-0000-00004E480000}"/>
    <cellStyle name="40% - Accent3 2 7 2 2 4" xfId="35940" xr:uid="{00000000-0005-0000-0000-00004F480000}"/>
    <cellStyle name="40% - Accent3 2 7 2 2 5" xfId="53945" xr:uid="{00000000-0005-0000-0000-000050480000}"/>
    <cellStyle name="40% - Accent3 2 7 2 3" xfId="18308" xr:uid="{00000000-0005-0000-0000-000051480000}"/>
    <cellStyle name="40% - Accent3 2 7 2 3 2" xfId="28676" xr:uid="{00000000-0005-0000-0000-000052480000}"/>
    <cellStyle name="40% - Accent3 2 7 2 3 2 2" xfId="47865" xr:uid="{00000000-0005-0000-0000-000053480000}"/>
    <cellStyle name="40% - Accent3 2 7 2 3 3" xfId="38167" xr:uid="{00000000-0005-0000-0000-000054480000}"/>
    <cellStyle name="40% - Accent3 2 7 2 4" xfId="24216" xr:uid="{00000000-0005-0000-0000-000055480000}"/>
    <cellStyle name="40% - Accent3 2 7 2 4 2" xfId="43410" xr:uid="{00000000-0005-0000-0000-000056480000}"/>
    <cellStyle name="40% - Accent3 2 7 2 5" xfId="33712" xr:uid="{00000000-0005-0000-0000-000057480000}"/>
    <cellStyle name="40% - Accent3 2 7 2 6" xfId="53092" xr:uid="{00000000-0005-0000-0000-000058480000}"/>
    <cellStyle name="40% - Accent3 2 7 3" xfId="14387" xr:uid="{00000000-0005-0000-0000-000059480000}"/>
    <cellStyle name="40% - Accent3 2 7 3 2" xfId="15516" xr:uid="{00000000-0005-0000-0000-00005A480000}"/>
    <cellStyle name="40% - Accent3 2 7 3 2 2" xfId="19980" xr:uid="{00000000-0005-0000-0000-00005B480000}"/>
    <cellStyle name="40% - Accent3 2 7 3 2 2 2" xfId="30348" xr:uid="{00000000-0005-0000-0000-00005C480000}"/>
    <cellStyle name="40% - Accent3 2 7 3 2 2 2 2" xfId="49537" xr:uid="{00000000-0005-0000-0000-00005D480000}"/>
    <cellStyle name="40% - Accent3 2 7 3 2 2 3" xfId="39839" xr:uid="{00000000-0005-0000-0000-00005E480000}"/>
    <cellStyle name="40% - Accent3 2 7 3 2 3" xfId="25893" xr:uid="{00000000-0005-0000-0000-00005F480000}"/>
    <cellStyle name="40% - Accent3 2 7 3 2 3 2" xfId="45082" xr:uid="{00000000-0005-0000-0000-000060480000}"/>
    <cellStyle name="40% - Accent3 2 7 3 2 4" xfId="35384" xr:uid="{00000000-0005-0000-0000-000061480000}"/>
    <cellStyle name="40% - Accent3 2 7 3 3" xfId="18865" xr:uid="{00000000-0005-0000-0000-000062480000}"/>
    <cellStyle name="40% - Accent3 2 7 3 3 2" xfId="29233" xr:uid="{00000000-0005-0000-0000-000063480000}"/>
    <cellStyle name="40% - Accent3 2 7 3 3 2 2" xfId="48422" xr:uid="{00000000-0005-0000-0000-000064480000}"/>
    <cellStyle name="40% - Accent3 2 7 3 3 3" xfId="38724" xr:uid="{00000000-0005-0000-0000-000065480000}"/>
    <cellStyle name="40% - Accent3 2 7 3 4" xfId="24778" xr:uid="{00000000-0005-0000-0000-000066480000}"/>
    <cellStyle name="40% - Accent3 2 7 3 4 2" xfId="43967" xr:uid="{00000000-0005-0000-0000-000067480000}"/>
    <cellStyle name="40% - Accent3 2 7 3 5" xfId="34269" xr:uid="{00000000-0005-0000-0000-000068480000}"/>
    <cellStyle name="40% - Accent3 2 7 3 6" xfId="53549" xr:uid="{00000000-0005-0000-0000-000069480000}"/>
    <cellStyle name="40% - Accent3 2 7 4" xfId="14959" xr:uid="{00000000-0005-0000-0000-00006A480000}"/>
    <cellStyle name="40% - Accent3 2 7 4 2" xfId="19423" xr:uid="{00000000-0005-0000-0000-00006B480000}"/>
    <cellStyle name="40% - Accent3 2 7 4 2 2" xfId="29791" xr:uid="{00000000-0005-0000-0000-00006C480000}"/>
    <cellStyle name="40% - Accent3 2 7 4 2 2 2" xfId="48980" xr:uid="{00000000-0005-0000-0000-00006D480000}"/>
    <cellStyle name="40% - Accent3 2 7 4 2 3" xfId="39282" xr:uid="{00000000-0005-0000-0000-00006E480000}"/>
    <cellStyle name="40% - Accent3 2 7 4 3" xfId="25336" xr:uid="{00000000-0005-0000-0000-00006F480000}"/>
    <cellStyle name="40% - Accent3 2 7 4 3 2" xfId="44525" xr:uid="{00000000-0005-0000-0000-000070480000}"/>
    <cellStyle name="40% - Accent3 2 7 4 4" xfId="34827" xr:uid="{00000000-0005-0000-0000-000071480000}"/>
    <cellStyle name="40% - Accent3 2 7 5" xfId="16629" xr:uid="{00000000-0005-0000-0000-000072480000}"/>
    <cellStyle name="40% - Accent3 2 7 5 2" xfId="21093" xr:uid="{00000000-0005-0000-0000-000073480000}"/>
    <cellStyle name="40% - Accent3 2 7 5 2 2" xfId="31461" xr:uid="{00000000-0005-0000-0000-000074480000}"/>
    <cellStyle name="40% - Accent3 2 7 5 2 2 2" xfId="50650" xr:uid="{00000000-0005-0000-0000-000075480000}"/>
    <cellStyle name="40% - Accent3 2 7 5 2 3" xfId="40952" xr:uid="{00000000-0005-0000-0000-000076480000}"/>
    <cellStyle name="40% - Accent3 2 7 5 3" xfId="27006" xr:uid="{00000000-0005-0000-0000-000077480000}"/>
    <cellStyle name="40% - Accent3 2 7 5 3 2" xfId="46195" xr:uid="{00000000-0005-0000-0000-000078480000}"/>
    <cellStyle name="40% - Accent3 2 7 5 4" xfId="36497" xr:uid="{00000000-0005-0000-0000-000079480000}"/>
    <cellStyle name="40% - Accent3 2 7 6" xfId="17195" xr:uid="{00000000-0005-0000-0000-00007A480000}"/>
    <cellStyle name="40% - Accent3 2 7 6 2" xfId="21650" xr:uid="{00000000-0005-0000-0000-00007B480000}"/>
    <cellStyle name="40% - Accent3 2 7 6 2 2" xfId="32018" xr:uid="{00000000-0005-0000-0000-00007C480000}"/>
    <cellStyle name="40% - Accent3 2 7 6 2 2 2" xfId="51207" xr:uid="{00000000-0005-0000-0000-00007D480000}"/>
    <cellStyle name="40% - Accent3 2 7 6 2 3" xfId="41509" xr:uid="{00000000-0005-0000-0000-00007E480000}"/>
    <cellStyle name="40% - Accent3 2 7 6 3" xfId="27563" xr:uid="{00000000-0005-0000-0000-00007F480000}"/>
    <cellStyle name="40% - Accent3 2 7 6 3 2" xfId="46752" xr:uid="{00000000-0005-0000-0000-000080480000}"/>
    <cellStyle name="40% - Accent3 2 7 6 4" xfId="37054" xr:uid="{00000000-0005-0000-0000-000081480000}"/>
    <cellStyle name="40% - Accent3 2 7 7" xfId="17752" xr:uid="{00000000-0005-0000-0000-000082480000}"/>
    <cellStyle name="40% - Accent3 2 7 7 2" xfId="28120" xr:uid="{00000000-0005-0000-0000-000083480000}"/>
    <cellStyle name="40% - Accent3 2 7 7 2 2" xfId="47309" xr:uid="{00000000-0005-0000-0000-000084480000}"/>
    <cellStyle name="40% - Accent3 2 7 7 3" xfId="37611" xr:uid="{00000000-0005-0000-0000-000085480000}"/>
    <cellStyle name="40% - Accent3 2 7 8" xfId="23567" xr:uid="{00000000-0005-0000-0000-000086480000}"/>
    <cellStyle name="40% - Accent3 2 7 8 2" xfId="42854" xr:uid="{00000000-0005-0000-0000-000087480000}"/>
    <cellStyle name="40% - Accent3 2 7 9" xfId="33156" xr:uid="{00000000-0005-0000-0000-000088480000}"/>
    <cellStyle name="40% - Accent3 2 8" xfId="1924" xr:uid="{00000000-0005-0000-0000-000089480000}"/>
    <cellStyle name="40% - Accent3 2 8 10" xfId="52864" xr:uid="{00000000-0005-0000-0000-00008A480000}"/>
    <cellStyle name="40% - Accent3 2 8 11" xfId="12798" xr:uid="{00000000-0005-0000-0000-00008B480000}"/>
    <cellStyle name="40% - Accent3 2 8 2" xfId="13825" xr:uid="{00000000-0005-0000-0000-00008C480000}"/>
    <cellStyle name="40% - Accent3 2 8 2 2" xfId="16089" xr:uid="{00000000-0005-0000-0000-00008D480000}"/>
    <cellStyle name="40% - Accent3 2 8 2 2 2" xfId="20553" xr:uid="{00000000-0005-0000-0000-00008E480000}"/>
    <cellStyle name="40% - Accent3 2 8 2 2 2 2" xfId="30921" xr:uid="{00000000-0005-0000-0000-00008F480000}"/>
    <cellStyle name="40% - Accent3 2 8 2 2 2 2 2" xfId="50110" xr:uid="{00000000-0005-0000-0000-000090480000}"/>
    <cellStyle name="40% - Accent3 2 8 2 2 2 3" xfId="40412" xr:uid="{00000000-0005-0000-0000-000091480000}"/>
    <cellStyle name="40% - Accent3 2 8 2 2 3" xfId="26466" xr:uid="{00000000-0005-0000-0000-000092480000}"/>
    <cellStyle name="40% - Accent3 2 8 2 2 3 2" xfId="45655" xr:uid="{00000000-0005-0000-0000-000093480000}"/>
    <cellStyle name="40% - Accent3 2 8 2 2 4" xfId="35957" xr:uid="{00000000-0005-0000-0000-000094480000}"/>
    <cellStyle name="40% - Accent3 2 8 2 3" xfId="18325" xr:uid="{00000000-0005-0000-0000-000095480000}"/>
    <cellStyle name="40% - Accent3 2 8 2 3 2" xfId="28693" xr:uid="{00000000-0005-0000-0000-000096480000}"/>
    <cellStyle name="40% - Accent3 2 8 2 3 2 2" xfId="47882" xr:uid="{00000000-0005-0000-0000-000097480000}"/>
    <cellStyle name="40% - Accent3 2 8 2 3 3" xfId="38184" xr:uid="{00000000-0005-0000-0000-000098480000}"/>
    <cellStyle name="40% - Accent3 2 8 2 4" xfId="24233" xr:uid="{00000000-0005-0000-0000-000099480000}"/>
    <cellStyle name="40% - Accent3 2 8 2 4 2" xfId="43427" xr:uid="{00000000-0005-0000-0000-00009A480000}"/>
    <cellStyle name="40% - Accent3 2 8 2 5" xfId="33729" xr:uid="{00000000-0005-0000-0000-00009B480000}"/>
    <cellStyle name="40% - Accent3 2 8 2 6" xfId="53748" xr:uid="{00000000-0005-0000-0000-00009C480000}"/>
    <cellStyle name="40% - Accent3 2 8 3" xfId="14404" xr:uid="{00000000-0005-0000-0000-00009D480000}"/>
    <cellStyle name="40% - Accent3 2 8 3 2" xfId="15533" xr:uid="{00000000-0005-0000-0000-00009E480000}"/>
    <cellStyle name="40% - Accent3 2 8 3 2 2" xfId="19997" xr:uid="{00000000-0005-0000-0000-00009F480000}"/>
    <cellStyle name="40% - Accent3 2 8 3 2 2 2" xfId="30365" xr:uid="{00000000-0005-0000-0000-0000A0480000}"/>
    <cellStyle name="40% - Accent3 2 8 3 2 2 2 2" xfId="49554" xr:uid="{00000000-0005-0000-0000-0000A1480000}"/>
    <cellStyle name="40% - Accent3 2 8 3 2 2 3" xfId="39856" xr:uid="{00000000-0005-0000-0000-0000A2480000}"/>
    <cellStyle name="40% - Accent3 2 8 3 2 3" xfId="25910" xr:uid="{00000000-0005-0000-0000-0000A3480000}"/>
    <cellStyle name="40% - Accent3 2 8 3 2 3 2" xfId="45099" xr:uid="{00000000-0005-0000-0000-0000A4480000}"/>
    <cellStyle name="40% - Accent3 2 8 3 2 4" xfId="35401" xr:uid="{00000000-0005-0000-0000-0000A5480000}"/>
    <cellStyle name="40% - Accent3 2 8 3 3" xfId="18882" xr:uid="{00000000-0005-0000-0000-0000A6480000}"/>
    <cellStyle name="40% - Accent3 2 8 3 3 2" xfId="29250" xr:uid="{00000000-0005-0000-0000-0000A7480000}"/>
    <cellStyle name="40% - Accent3 2 8 3 3 2 2" xfId="48439" xr:uid="{00000000-0005-0000-0000-0000A8480000}"/>
    <cellStyle name="40% - Accent3 2 8 3 3 3" xfId="38741" xr:uid="{00000000-0005-0000-0000-0000A9480000}"/>
    <cellStyle name="40% - Accent3 2 8 3 4" xfId="24795" xr:uid="{00000000-0005-0000-0000-0000AA480000}"/>
    <cellStyle name="40% - Accent3 2 8 3 4 2" xfId="43984" xr:uid="{00000000-0005-0000-0000-0000AB480000}"/>
    <cellStyle name="40% - Accent3 2 8 3 5" xfId="34286" xr:uid="{00000000-0005-0000-0000-0000AC480000}"/>
    <cellStyle name="40% - Accent3 2 8 4" xfId="14976" xr:uid="{00000000-0005-0000-0000-0000AD480000}"/>
    <cellStyle name="40% - Accent3 2 8 4 2" xfId="19440" xr:uid="{00000000-0005-0000-0000-0000AE480000}"/>
    <cellStyle name="40% - Accent3 2 8 4 2 2" xfId="29808" xr:uid="{00000000-0005-0000-0000-0000AF480000}"/>
    <cellStyle name="40% - Accent3 2 8 4 2 2 2" xfId="48997" xr:uid="{00000000-0005-0000-0000-0000B0480000}"/>
    <cellStyle name="40% - Accent3 2 8 4 2 3" xfId="39299" xr:uid="{00000000-0005-0000-0000-0000B1480000}"/>
    <cellStyle name="40% - Accent3 2 8 4 3" xfId="25353" xr:uid="{00000000-0005-0000-0000-0000B2480000}"/>
    <cellStyle name="40% - Accent3 2 8 4 3 2" xfId="44542" xr:uid="{00000000-0005-0000-0000-0000B3480000}"/>
    <cellStyle name="40% - Accent3 2 8 4 4" xfId="34844" xr:uid="{00000000-0005-0000-0000-0000B4480000}"/>
    <cellStyle name="40% - Accent3 2 8 5" xfId="16646" xr:uid="{00000000-0005-0000-0000-0000B5480000}"/>
    <cellStyle name="40% - Accent3 2 8 5 2" xfId="21110" xr:uid="{00000000-0005-0000-0000-0000B6480000}"/>
    <cellStyle name="40% - Accent3 2 8 5 2 2" xfId="31478" xr:uid="{00000000-0005-0000-0000-0000B7480000}"/>
    <cellStyle name="40% - Accent3 2 8 5 2 2 2" xfId="50667" xr:uid="{00000000-0005-0000-0000-0000B8480000}"/>
    <cellStyle name="40% - Accent3 2 8 5 2 3" xfId="40969" xr:uid="{00000000-0005-0000-0000-0000B9480000}"/>
    <cellStyle name="40% - Accent3 2 8 5 3" xfId="27023" xr:uid="{00000000-0005-0000-0000-0000BA480000}"/>
    <cellStyle name="40% - Accent3 2 8 5 3 2" xfId="46212" xr:uid="{00000000-0005-0000-0000-0000BB480000}"/>
    <cellStyle name="40% - Accent3 2 8 5 4" xfId="36514" xr:uid="{00000000-0005-0000-0000-0000BC480000}"/>
    <cellStyle name="40% - Accent3 2 8 6" xfId="17212" xr:uid="{00000000-0005-0000-0000-0000BD480000}"/>
    <cellStyle name="40% - Accent3 2 8 6 2" xfId="21667" xr:uid="{00000000-0005-0000-0000-0000BE480000}"/>
    <cellStyle name="40% - Accent3 2 8 6 2 2" xfId="32035" xr:uid="{00000000-0005-0000-0000-0000BF480000}"/>
    <cellStyle name="40% - Accent3 2 8 6 2 2 2" xfId="51224" xr:uid="{00000000-0005-0000-0000-0000C0480000}"/>
    <cellStyle name="40% - Accent3 2 8 6 2 3" xfId="41526" xr:uid="{00000000-0005-0000-0000-0000C1480000}"/>
    <cellStyle name="40% - Accent3 2 8 6 3" xfId="27580" xr:uid="{00000000-0005-0000-0000-0000C2480000}"/>
    <cellStyle name="40% - Accent3 2 8 6 3 2" xfId="46769" xr:uid="{00000000-0005-0000-0000-0000C3480000}"/>
    <cellStyle name="40% - Accent3 2 8 6 4" xfId="37071" xr:uid="{00000000-0005-0000-0000-0000C4480000}"/>
    <cellStyle name="40% - Accent3 2 8 7" xfId="17769" xr:uid="{00000000-0005-0000-0000-0000C5480000}"/>
    <cellStyle name="40% - Accent3 2 8 7 2" xfId="28137" xr:uid="{00000000-0005-0000-0000-0000C6480000}"/>
    <cellStyle name="40% - Accent3 2 8 7 2 2" xfId="47326" xr:uid="{00000000-0005-0000-0000-0000C7480000}"/>
    <cellStyle name="40% - Accent3 2 8 7 3" xfId="37628" xr:uid="{00000000-0005-0000-0000-0000C8480000}"/>
    <cellStyle name="40% - Accent3 2 8 8" xfId="23601" xr:uid="{00000000-0005-0000-0000-0000C9480000}"/>
    <cellStyle name="40% - Accent3 2 8 8 2" xfId="42871" xr:uid="{00000000-0005-0000-0000-0000CA480000}"/>
    <cellStyle name="40% - Accent3 2 8 9" xfId="33173" xr:uid="{00000000-0005-0000-0000-0000CB480000}"/>
    <cellStyle name="40% - Accent3 2 9" xfId="1925" xr:uid="{00000000-0005-0000-0000-0000CC480000}"/>
    <cellStyle name="40% - Accent3 2 9 2" xfId="54145" xr:uid="{00000000-0005-0000-0000-0000CD480000}"/>
    <cellStyle name="40% - Accent3 2 9 3" xfId="53293" xr:uid="{00000000-0005-0000-0000-0000CE480000}"/>
    <cellStyle name="40% - Accent3 2 9 4" xfId="13152" xr:uid="{00000000-0005-0000-0000-0000CF480000}"/>
    <cellStyle name="40% - Accent3 20" xfId="22855" xr:uid="{00000000-0005-0000-0000-0000D0480000}"/>
    <cellStyle name="40% - Accent3 20 2" xfId="32939" xr:uid="{00000000-0005-0000-0000-0000D1480000}"/>
    <cellStyle name="40% - Accent3 20 2 2" xfId="52125" xr:uid="{00000000-0005-0000-0000-0000D2480000}"/>
    <cellStyle name="40% - Accent3 20 3" xfId="23212" xr:uid="{00000000-0005-0000-0000-0000D3480000}"/>
    <cellStyle name="40% - Accent3 20 3 2" xfId="42780" xr:uid="{00000000-0005-0000-0000-0000D4480000}"/>
    <cellStyle name="40% - Accent3 20 4" xfId="42427" xr:uid="{00000000-0005-0000-0000-0000D5480000}"/>
    <cellStyle name="40% - Accent3 21" xfId="22738" xr:uid="{00000000-0005-0000-0000-0000D6480000}"/>
    <cellStyle name="40% - Accent3 21 2" xfId="32822" xr:uid="{00000000-0005-0000-0000-0000D7480000}"/>
    <cellStyle name="40% - Accent3 21 2 2" xfId="52008" xr:uid="{00000000-0005-0000-0000-0000D8480000}"/>
    <cellStyle name="40% - Accent3 21 3" xfId="42310" xr:uid="{00000000-0005-0000-0000-0000D9480000}"/>
    <cellStyle name="40% - Accent3 22" xfId="23095" xr:uid="{00000000-0005-0000-0000-0000DA480000}"/>
    <cellStyle name="40% - Accent3 22 2" xfId="42663" xr:uid="{00000000-0005-0000-0000-0000DB480000}"/>
    <cellStyle name="40% - Accent3 23" xfId="33071" xr:uid="{00000000-0005-0000-0000-0000DC480000}"/>
    <cellStyle name="40% - Accent3 3" xfId="175" xr:uid="{00000000-0005-0000-0000-0000DD480000}"/>
    <cellStyle name="40% - Accent3 3 2" xfId="1927" xr:uid="{00000000-0005-0000-0000-0000DE480000}"/>
    <cellStyle name="40% - Accent3 3 2 2" xfId="1928" xr:uid="{00000000-0005-0000-0000-0000DF480000}"/>
    <cellStyle name="40% - Accent3 3 2 2 2" xfId="1929" xr:uid="{00000000-0005-0000-0000-0000E0480000}"/>
    <cellStyle name="40% - Accent3 3 2 2 2 2" xfId="1930" xr:uid="{00000000-0005-0000-0000-0000E1480000}"/>
    <cellStyle name="40% - Accent3 3 2 2 3" xfId="1931" xr:uid="{00000000-0005-0000-0000-0000E2480000}"/>
    <cellStyle name="40% - Accent3 3 2 3" xfId="1932" xr:uid="{00000000-0005-0000-0000-0000E3480000}"/>
    <cellStyle name="40% - Accent3 3 2 3 2" xfId="1933" xr:uid="{00000000-0005-0000-0000-0000E4480000}"/>
    <cellStyle name="40% - Accent3 3 2 4" xfId="1934" xr:uid="{00000000-0005-0000-0000-0000E5480000}"/>
    <cellStyle name="40% - Accent3 3 2 5" xfId="13153" xr:uid="{00000000-0005-0000-0000-0000E6480000}"/>
    <cellStyle name="40% - Accent3 3 3" xfId="1935" xr:uid="{00000000-0005-0000-0000-0000E7480000}"/>
    <cellStyle name="40% - Accent3 3 3 2" xfId="1936" xr:uid="{00000000-0005-0000-0000-0000E8480000}"/>
    <cellStyle name="40% - Accent3 3 3 2 2" xfId="1937" xr:uid="{00000000-0005-0000-0000-0000E9480000}"/>
    <cellStyle name="40% - Accent3 3 3 2 2 2" xfId="1938" xr:uid="{00000000-0005-0000-0000-0000EA480000}"/>
    <cellStyle name="40% - Accent3 3 3 2 3" xfId="1939" xr:uid="{00000000-0005-0000-0000-0000EB480000}"/>
    <cellStyle name="40% - Accent3 3 3 3" xfId="1940" xr:uid="{00000000-0005-0000-0000-0000EC480000}"/>
    <cellStyle name="40% - Accent3 3 3 3 2" xfId="1941" xr:uid="{00000000-0005-0000-0000-0000ED480000}"/>
    <cellStyle name="40% - Accent3 3 3 4" xfId="1942" xr:uid="{00000000-0005-0000-0000-0000EE480000}"/>
    <cellStyle name="40% - Accent3 3 3 5" xfId="13530" xr:uid="{00000000-0005-0000-0000-0000EF480000}"/>
    <cellStyle name="40% - Accent3 3 4" xfId="1943" xr:uid="{00000000-0005-0000-0000-0000F0480000}"/>
    <cellStyle name="40% - Accent3 3 4 2" xfId="1944" xr:uid="{00000000-0005-0000-0000-0000F1480000}"/>
    <cellStyle name="40% - Accent3 3 4 2 2" xfId="1945" xr:uid="{00000000-0005-0000-0000-0000F2480000}"/>
    <cellStyle name="40% - Accent3 3 4 3" xfId="1946" xr:uid="{00000000-0005-0000-0000-0000F3480000}"/>
    <cellStyle name="40% - Accent3 3 4 4" xfId="22300" xr:uid="{00000000-0005-0000-0000-0000F4480000}"/>
    <cellStyle name="40% - Accent3 3 5" xfId="1947" xr:uid="{00000000-0005-0000-0000-0000F5480000}"/>
    <cellStyle name="40% - Accent3 3 5 2" xfId="1948" xr:uid="{00000000-0005-0000-0000-0000F6480000}"/>
    <cellStyle name="40% - Accent3 3 5 3" xfId="23347" xr:uid="{00000000-0005-0000-0000-0000F7480000}"/>
    <cellStyle name="40% - Accent3 3 6" xfId="1949" xr:uid="{00000000-0005-0000-0000-0000F8480000}"/>
    <cellStyle name="40% - Accent3 3 7" xfId="1926" xr:uid="{00000000-0005-0000-0000-0000F9480000}"/>
    <cellStyle name="40% - Accent3 3 8" xfId="12257" xr:uid="{00000000-0005-0000-0000-0000FA480000}"/>
    <cellStyle name="40% - Accent3 4" xfId="176" xr:uid="{00000000-0005-0000-0000-0000FB480000}"/>
    <cellStyle name="40% - Accent3 4 2" xfId="1950" xr:uid="{00000000-0005-0000-0000-0000FC480000}"/>
    <cellStyle name="40% - Accent3 4 2 2" xfId="13693" xr:uid="{00000000-0005-0000-0000-0000FD480000}"/>
    <cellStyle name="40% - Accent3 4 3" xfId="22301" xr:uid="{00000000-0005-0000-0000-0000FE480000}"/>
    <cellStyle name="40% - Accent3 4 4" xfId="23348" xr:uid="{00000000-0005-0000-0000-0000FF480000}"/>
    <cellStyle name="40% - Accent3 4 5" xfId="12258" xr:uid="{00000000-0005-0000-0000-000000490000}"/>
    <cellStyle name="40% - Accent3 5" xfId="177" xr:uid="{00000000-0005-0000-0000-000001490000}"/>
    <cellStyle name="40% - Accent3 5 2" xfId="1951" xr:uid="{00000000-0005-0000-0000-000002490000}"/>
    <cellStyle name="40% - Accent3 5 2 2" xfId="22302" xr:uid="{00000000-0005-0000-0000-000003490000}"/>
    <cellStyle name="40% - Accent3 5 3" xfId="23530" xr:uid="{00000000-0005-0000-0000-000004490000}"/>
    <cellStyle name="40% - Accent3 5 4" xfId="12632" xr:uid="{00000000-0005-0000-0000-000005490000}"/>
    <cellStyle name="40% - Accent3 6" xfId="178" xr:uid="{00000000-0005-0000-0000-000006490000}"/>
    <cellStyle name="40% - Accent3 6 2" xfId="1952" xr:uid="{00000000-0005-0000-0000-000007490000}"/>
    <cellStyle name="40% - Accent3 6 2 2" xfId="22303" xr:uid="{00000000-0005-0000-0000-000008490000}"/>
    <cellStyle name="40% - Accent3 6 3" xfId="23600" xr:uid="{00000000-0005-0000-0000-000009490000}"/>
    <cellStyle name="40% - Accent3 6 4" xfId="12797" xr:uid="{00000000-0005-0000-0000-00000A490000}"/>
    <cellStyle name="40% - Accent3 7" xfId="179" xr:uid="{00000000-0005-0000-0000-00000B490000}"/>
    <cellStyle name="40% - Accent3 7 2" xfId="1953" xr:uid="{00000000-0005-0000-0000-00000C490000}"/>
    <cellStyle name="40% - Accent3 8" xfId="180" xr:uid="{00000000-0005-0000-0000-00000D490000}"/>
    <cellStyle name="40% - Accent3 8 2" xfId="1954" xr:uid="{00000000-0005-0000-0000-00000E490000}"/>
    <cellStyle name="40% - Accent3 9" xfId="181" xr:uid="{00000000-0005-0000-0000-00000F490000}"/>
    <cellStyle name="40% - Accent4 10" xfId="182" xr:uid="{00000000-0005-0000-0000-000010490000}"/>
    <cellStyle name="40% - Accent4 11" xfId="183" xr:uid="{00000000-0005-0000-0000-000011490000}"/>
    <cellStyle name="40% - Accent4 12" xfId="184" xr:uid="{00000000-0005-0000-0000-000012490000}"/>
    <cellStyle name="40% - Accent4 13" xfId="185" xr:uid="{00000000-0005-0000-0000-000013490000}"/>
    <cellStyle name="40% - Accent4 14" xfId="186" xr:uid="{00000000-0005-0000-0000-000014490000}"/>
    <cellStyle name="40% - Accent4 15" xfId="187" xr:uid="{00000000-0005-0000-0000-000015490000}"/>
    <cellStyle name="40% - Accent4 16" xfId="188" xr:uid="{00000000-0005-0000-0000-000016490000}"/>
    <cellStyle name="40% - Accent4 17" xfId="22767" xr:uid="{00000000-0005-0000-0000-000017490000}"/>
    <cellStyle name="40% - Accent4 17 2" xfId="32851" xr:uid="{00000000-0005-0000-0000-000018490000}"/>
    <cellStyle name="40% - Accent4 17 2 2" xfId="52037" xr:uid="{00000000-0005-0000-0000-000019490000}"/>
    <cellStyle name="40% - Accent4 17 3" xfId="23124" xr:uid="{00000000-0005-0000-0000-00001A490000}"/>
    <cellStyle name="40% - Accent4 17 3 2" xfId="42692" xr:uid="{00000000-0005-0000-0000-00001B490000}"/>
    <cellStyle name="40% - Accent4 17 4" xfId="42339" xr:uid="{00000000-0005-0000-0000-00001C490000}"/>
    <cellStyle name="40% - Accent4 18" xfId="22796" xr:uid="{00000000-0005-0000-0000-00001D490000}"/>
    <cellStyle name="40% - Accent4 18 2" xfId="32880" xr:uid="{00000000-0005-0000-0000-00001E490000}"/>
    <cellStyle name="40% - Accent4 18 2 2" xfId="52066" xr:uid="{00000000-0005-0000-0000-00001F490000}"/>
    <cellStyle name="40% - Accent4 18 3" xfId="23153" xr:uid="{00000000-0005-0000-0000-000020490000}"/>
    <cellStyle name="40% - Accent4 18 3 2" xfId="42721" xr:uid="{00000000-0005-0000-0000-000021490000}"/>
    <cellStyle name="40% - Accent4 18 4" xfId="42368" xr:uid="{00000000-0005-0000-0000-000022490000}"/>
    <cellStyle name="40% - Accent4 19" xfId="22842" xr:uid="{00000000-0005-0000-0000-000023490000}"/>
    <cellStyle name="40% - Accent4 19 2" xfId="32926" xr:uid="{00000000-0005-0000-0000-000024490000}"/>
    <cellStyle name="40% - Accent4 19 2 2" xfId="52112" xr:uid="{00000000-0005-0000-0000-000025490000}"/>
    <cellStyle name="40% - Accent4 19 3" xfId="23199" xr:uid="{00000000-0005-0000-0000-000026490000}"/>
    <cellStyle name="40% - Accent4 19 3 2" xfId="42767" xr:uid="{00000000-0005-0000-0000-000027490000}"/>
    <cellStyle name="40% - Accent4 19 4" xfId="42414" xr:uid="{00000000-0005-0000-0000-000028490000}"/>
    <cellStyle name="40% - Accent4 2" xfId="189" xr:uid="{00000000-0005-0000-0000-000029490000}"/>
    <cellStyle name="40% - Accent4 2 10" xfId="1956" xr:uid="{00000000-0005-0000-0000-00002A490000}"/>
    <cellStyle name="40% - Accent4 2 10 10" xfId="53328" xr:uid="{00000000-0005-0000-0000-00002B490000}"/>
    <cellStyle name="40% - Accent4 2 10 11" xfId="13154" xr:uid="{00000000-0005-0000-0000-00002C490000}"/>
    <cellStyle name="40% - Accent4 2 10 2" xfId="14092" xr:uid="{00000000-0005-0000-0000-00002D490000}"/>
    <cellStyle name="40% - Accent4 2 10 2 2" xfId="16356" xr:uid="{00000000-0005-0000-0000-00002E490000}"/>
    <cellStyle name="40% - Accent4 2 10 2 2 2" xfId="20820" xr:uid="{00000000-0005-0000-0000-00002F490000}"/>
    <cellStyle name="40% - Accent4 2 10 2 2 2 2" xfId="31188" xr:uid="{00000000-0005-0000-0000-000030490000}"/>
    <cellStyle name="40% - Accent4 2 10 2 2 2 2 2" xfId="50377" xr:uid="{00000000-0005-0000-0000-000031490000}"/>
    <cellStyle name="40% - Accent4 2 10 2 2 2 3" xfId="40679" xr:uid="{00000000-0005-0000-0000-000032490000}"/>
    <cellStyle name="40% - Accent4 2 10 2 2 3" xfId="26733" xr:uid="{00000000-0005-0000-0000-000033490000}"/>
    <cellStyle name="40% - Accent4 2 10 2 2 3 2" xfId="45922" xr:uid="{00000000-0005-0000-0000-000034490000}"/>
    <cellStyle name="40% - Accent4 2 10 2 2 4" xfId="36224" xr:uid="{00000000-0005-0000-0000-000035490000}"/>
    <cellStyle name="40% - Accent4 2 10 2 3" xfId="18592" xr:uid="{00000000-0005-0000-0000-000036490000}"/>
    <cellStyle name="40% - Accent4 2 10 2 3 2" xfId="28960" xr:uid="{00000000-0005-0000-0000-000037490000}"/>
    <cellStyle name="40% - Accent4 2 10 2 3 2 2" xfId="48149" xr:uid="{00000000-0005-0000-0000-000038490000}"/>
    <cellStyle name="40% - Accent4 2 10 2 3 3" xfId="38451" xr:uid="{00000000-0005-0000-0000-000039490000}"/>
    <cellStyle name="40% - Accent4 2 10 2 4" xfId="24500" xr:uid="{00000000-0005-0000-0000-00003A490000}"/>
    <cellStyle name="40% - Accent4 2 10 2 4 2" xfId="43694" xr:uid="{00000000-0005-0000-0000-00003B490000}"/>
    <cellStyle name="40% - Accent4 2 10 2 5" xfId="33996" xr:uid="{00000000-0005-0000-0000-00003C490000}"/>
    <cellStyle name="40% - Accent4 2 10 2 6" xfId="54180" xr:uid="{00000000-0005-0000-0000-00003D490000}"/>
    <cellStyle name="40% - Accent4 2 10 3" xfId="14671" xr:uid="{00000000-0005-0000-0000-00003E490000}"/>
    <cellStyle name="40% - Accent4 2 10 3 2" xfId="15800" xr:uid="{00000000-0005-0000-0000-00003F490000}"/>
    <cellStyle name="40% - Accent4 2 10 3 2 2" xfId="20264" xr:uid="{00000000-0005-0000-0000-000040490000}"/>
    <cellStyle name="40% - Accent4 2 10 3 2 2 2" xfId="30632" xr:uid="{00000000-0005-0000-0000-000041490000}"/>
    <cellStyle name="40% - Accent4 2 10 3 2 2 2 2" xfId="49821" xr:uid="{00000000-0005-0000-0000-000042490000}"/>
    <cellStyle name="40% - Accent4 2 10 3 2 2 3" xfId="40123" xr:uid="{00000000-0005-0000-0000-000043490000}"/>
    <cellStyle name="40% - Accent4 2 10 3 2 3" xfId="26177" xr:uid="{00000000-0005-0000-0000-000044490000}"/>
    <cellStyle name="40% - Accent4 2 10 3 2 3 2" xfId="45366" xr:uid="{00000000-0005-0000-0000-000045490000}"/>
    <cellStyle name="40% - Accent4 2 10 3 2 4" xfId="35668" xr:uid="{00000000-0005-0000-0000-000046490000}"/>
    <cellStyle name="40% - Accent4 2 10 3 3" xfId="19149" xr:uid="{00000000-0005-0000-0000-000047490000}"/>
    <cellStyle name="40% - Accent4 2 10 3 3 2" xfId="29517" xr:uid="{00000000-0005-0000-0000-000048490000}"/>
    <cellStyle name="40% - Accent4 2 10 3 3 2 2" xfId="48706" xr:uid="{00000000-0005-0000-0000-000049490000}"/>
    <cellStyle name="40% - Accent4 2 10 3 3 3" xfId="39008" xr:uid="{00000000-0005-0000-0000-00004A490000}"/>
    <cellStyle name="40% - Accent4 2 10 3 4" xfId="25062" xr:uid="{00000000-0005-0000-0000-00004B490000}"/>
    <cellStyle name="40% - Accent4 2 10 3 4 2" xfId="44251" xr:uid="{00000000-0005-0000-0000-00004C490000}"/>
    <cellStyle name="40% - Accent4 2 10 3 5" xfId="34553" xr:uid="{00000000-0005-0000-0000-00004D490000}"/>
    <cellStyle name="40% - Accent4 2 10 4" xfId="15243" xr:uid="{00000000-0005-0000-0000-00004E490000}"/>
    <cellStyle name="40% - Accent4 2 10 4 2" xfId="19707" xr:uid="{00000000-0005-0000-0000-00004F490000}"/>
    <cellStyle name="40% - Accent4 2 10 4 2 2" xfId="30075" xr:uid="{00000000-0005-0000-0000-000050490000}"/>
    <cellStyle name="40% - Accent4 2 10 4 2 2 2" xfId="49264" xr:uid="{00000000-0005-0000-0000-000051490000}"/>
    <cellStyle name="40% - Accent4 2 10 4 2 3" xfId="39566" xr:uid="{00000000-0005-0000-0000-000052490000}"/>
    <cellStyle name="40% - Accent4 2 10 4 3" xfId="25620" xr:uid="{00000000-0005-0000-0000-000053490000}"/>
    <cellStyle name="40% - Accent4 2 10 4 3 2" xfId="44809" xr:uid="{00000000-0005-0000-0000-000054490000}"/>
    <cellStyle name="40% - Accent4 2 10 4 4" xfId="35111" xr:uid="{00000000-0005-0000-0000-000055490000}"/>
    <cellStyle name="40% - Accent4 2 10 5" xfId="16913" xr:uid="{00000000-0005-0000-0000-000056490000}"/>
    <cellStyle name="40% - Accent4 2 10 5 2" xfId="21377" xr:uid="{00000000-0005-0000-0000-000057490000}"/>
    <cellStyle name="40% - Accent4 2 10 5 2 2" xfId="31745" xr:uid="{00000000-0005-0000-0000-000058490000}"/>
    <cellStyle name="40% - Accent4 2 10 5 2 2 2" xfId="50934" xr:uid="{00000000-0005-0000-0000-000059490000}"/>
    <cellStyle name="40% - Accent4 2 10 5 2 3" xfId="41236" xr:uid="{00000000-0005-0000-0000-00005A490000}"/>
    <cellStyle name="40% - Accent4 2 10 5 3" xfId="27290" xr:uid="{00000000-0005-0000-0000-00005B490000}"/>
    <cellStyle name="40% - Accent4 2 10 5 3 2" xfId="46479" xr:uid="{00000000-0005-0000-0000-00005C490000}"/>
    <cellStyle name="40% - Accent4 2 10 5 4" xfId="36781" xr:uid="{00000000-0005-0000-0000-00005D490000}"/>
    <cellStyle name="40% - Accent4 2 10 6" xfId="17479" xr:uid="{00000000-0005-0000-0000-00005E490000}"/>
    <cellStyle name="40% - Accent4 2 10 6 2" xfId="21934" xr:uid="{00000000-0005-0000-0000-00005F490000}"/>
    <cellStyle name="40% - Accent4 2 10 6 2 2" xfId="32302" xr:uid="{00000000-0005-0000-0000-000060490000}"/>
    <cellStyle name="40% - Accent4 2 10 6 2 2 2" xfId="51491" xr:uid="{00000000-0005-0000-0000-000061490000}"/>
    <cellStyle name="40% - Accent4 2 10 6 2 3" xfId="41793" xr:uid="{00000000-0005-0000-0000-000062490000}"/>
    <cellStyle name="40% - Accent4 2 10 6 3" xfId="27847" xr:uid="{00000000-0005-0000-0000-000063490000}"/>
    <cellStyle name="40% - Accent4 2 10 6 3 2" xfId="47036" xr:uid="{00000000-0005-0000-0000-000064490000}"/>
    <cellStyle name="40% - Accent4 2 10 6 4" xfId="37338" xr:uid="{00000000-0005-0000-0000-000065490000}"/>
    <cellStyle name="40% - Accent4 2 10 7" xfId="18036" xr:uid="{00000000-0005-0000-0000-000066490000}"/>
    <cellStyle name="40% - Accent4 2 10 7 2" xfId="28404" xr:uid="{00000000-0005-0000-0000-000067490000}"/>
    <cellStyle name="40% - Accent4 2 10 7 2 2" xfId="47593" xr:uid="{00000000-0005-0000-0000-000068490000}"/>
    <cellStyle name="40% - Accent4 2 10 7 3" xfId="37895" xr:uid="{00000000-0005-0000-0000-000069490000}"/>
    <cellStyle name="40% - Accent4 2 10 8" xfId="23899" xr:uid="{00000000-0005-0000-0000-00006A490000}"/>
    <cellStyle name="40% - Accent4 2 10 8 2" xfId="43138" xr:uid="{00000000-0005-0000-0000-00006B490000}"/>
    <cellStyle name="40% - Accent4 2 10 9" xfId="33440" xr:uid="{00000000-0005-0000-0000-00006C490000}"/>
    <cellStyle name="40% - Accent4 2 11" xfId="1955" xr:uid="{00000000-0005-0000-0000-00006D490000}"/>
    <cellStyle name="40% - Accent4 2 11 2" xfId="32574" xr:uid="{00000000-0005-0000-0000-00006E490000}"/>
    <cellStyle name="40% - Accent4 2 11 2 2" xfId="51762" xr:uid="{00000000-0005-0000-0000-00006F490000}"/>
    <cellStyle name="40% - Accent4 2 11 3" xfId="42064" xr:uid="{00000000-0005-0000-0000-000070490000}"/>
    <cellStyle name="40% - Accent4 2 11 4" xfId="53355" xr:uid="{00000000-0005-0000-0000-000071490000}"/>
    <cellStyle name="40% - Accent4 2 11 5" xfId="22215" xr:uid="{00000000-0005-0000-0000-000072490000}"/>
    <cellStyle name="40% - Accent4 2 12" xfId="22243" xr:uid="{00000000-0005-0000-0000-000073490000}"/>
    <cellStyle name="40% - Accent4 2 12 2" xfId="32600" xr:uid="{00000000-0005-0000-0000-000074490000}"/>
    <cellStyle name="40% - Accent4 2 12 2 2" xfId="51788" xr:uid="{00000000-0005-0000-0000-000075490000}"/>
    <cellStyle name="40% - Accent4 2 12 3" xfId="42090" xr:uid="{00000000-0005-0000-0000-000076490000}"/>
    <cellStyle name="40% - Accent4 2 13" xfId="12259" xr:uid="{00000000-0005-0000-0000-000077490000}"/>
    <cellStyle name="40% - Accent4 2 14" xfId="23257" xr:uid="{00000000-0005-0000-0000-000078490000}"/>
    <cellStyle name="40% - Accent4 2 14 2" xfId="42823" xr:uid="{00000000-0005-0000-0000-000079490000}"/>
    <cellStyle name="40% - Accent4 2 15" xfId="33000" xr:uid="{00000000-0005-0000-0000-00007A490000}"/>
    <cellStyle name="40% - Accent4 2 15 2" xfId="52186" xr:uid="{00000000-0005-0000-0000-00007B490000}"/>
    <cellStyle name="40% - Accent4 2 16" xfId="33094" xr:uid="{00000000-0005-0000-0000-00007C490000}"/>
    <cellStyle name="40% - Accent4 2 17" xfId="52280" xr:uid="{00000000-0005-0000-0000-00007D490000}"/>
    <cellStyle name="40% - Accent4 2 18" xfId="52337" xr:uid="{00000000-0005-0000-0000-00007E490000}"/>
    <cellStyle name="40% - Accent4 2 19" xfId="52386" xr:uid="{00000000-0005-0000-0000-00007F490000}"/>
    <cellStyle name="40% - Accent4 2 2" xfId="190" xr:uid="{00000000-0005-0000-0000-000080490000}"/>
    <cellStyle name="40% - Accent4 2 2 2" xfId="1958" xr:uid="{00000000-0005-0000-0000-000081490000}"/>
    <cellStyle name="40% - Accent4 2 2 2 2" xfId="8329" xr:uid="{00000000-0005-0000-0000-000082490000}"/>
    <cellStyle name="40% - Accent4 2 2 2 2 2" xfId="11226" xr:uid="{00000000-0005-0000-0000-000083490000}"/>
    <cellStyle name="40% - Accent4 2 2 2 2 2 2" xfId="53980" xr:uid="{00000000-0005-0000-0000-000084490000}"/>
    <cellStyle name="40% - Accent4 2 2 2 2 3" xfId="53127" xr:uid="{00000000-0005-0000-0000-000085490000}"/>
    <cellStyle name="40% - Accent4 2 2 2 3" xfId="9786" xr:uid="{00000000-0005-0000-0000-000086490000}"/>
    <cellStyle name="40% - Accent4 2 2 2 3 2" xfId="53584" xr:uid="{00000000-0005-0000-0000-000087490000}"/>
    <cellStyle name="40% - Accent4 2 2 2 4" xfId="6850" xr:uid="{00000000-0005-0000-0000-000088490000}"/>
    <cellStyle name="40% - Accent4 2 2 2 4 2" xfId="52699" xr:uid="{00000000-0005-0000-0000-000089490000}"/>
    <cellStyle name="40% - Accent4 2 2 2 5" xfId="12714" xr:uid="{00000000-0005-0000-0000-00008A490000}"/>
    <cellStyle name="40% - Accent4 2 2 3" xfId="1959" xr:uid="{00000000-0005-0000-0000-00008B490000}"/>
    <cellStyle name="40% - Accent4 2 2 3 2" xfId="10568" xr:uid="{00000000-0005-0000-0000-00008C490000}"/>
    <cellStyle name="40% - Accent4 2 2 3 2 2" xfId="53784" xr:uid="{00000000-0005-0000-0000-00008D490000}"/>
    <cellStyle name="40% - Accent4 2 2 3 3" xfId="7668" xr:uid="{00000000-0005-0000-0000-00008E490000}"/>
    <cellStyle name="40% - Accent4 2 2 3 3 2" xfId="52909" xr:uid="{00000000-0005-0000-0000-00008F490000}"/>
    <cellStyle name="40% - Accent4 2 2 3 4" xfId="12260" xr:uid="{00000000-0005-0000-0000-000090490000}"/>
    <cellStyle name="40% - Accent4 2 2 4" xfId="1957" xr:uid="{00000000-0005-0000-0000-000091490000}"/>
    <cellStyle name="40% - Accent4 2 2 4 2" xfId="9128" xr:uid="{00000000-0005-0000-0000-000092490000}"/>
    <cellStyle name="40% - Accent4 2 2 4 2 2" xfId="51871" xr:uid="{00000000-0005-0000-0000-000093490000}"/>
    <cellStyle name="40% - Accent4 2 2 4 2 3" xfId="32684" xr:uid="{00000000-0005-0000-0000-000094490000}"/>
    <cellStyle name="40% - Accent4 2 2 4 3" xfId="42173" xr:uid="{00000000-0005-0000-0000-000095490000}"/>
    <cellStyle name="40% - Accent4 2 2 4 4" xfId="53388" xr:uid="{00000000-0005-0000-0000-000096490000}"/>
    <cellStyle name="40% - Accent4 2 2 4 5" xfId="22584" xr:uid="{00000000-0005-0000-0000-000097490000}"/>
    <cellStyle name="40% - Accent4 2 2 5" xfId="6142" xr:uid="{00000000-0005-0000-0000-000098490000}"/>
    <cellStyle name="40% - Accent4 2 2 5 2" xfId="23290" xr:uid="{00000000-0005-0000-0000-000099490000}"/>
    <cellStyle name="40% - Accent4 2 2 6" xfId="22957" xr:uid="{00000000-0005-0000-0000-00009A490000}"/>
    <cellStyle name="40% - Accent4 2 2 6 2" xfId="42526" xr:uid="{00000000-0005-0000-0000-00009B490000}"/>
    <cellStyle name="40% - Accent4 2 2 7" xfId="12146" xr:uid="{00000000-0005-0000-0000-00009C490000}"/>
    <cellStyle name="40% - Accent4 2 2 8" xfId="52495" xr:uid="{00000000-0005-0000-0000-00009D490000}"/>
    <cellStyle name="40% - Accent4 2 2 9" xfId="12022" xr:uid="{00000000-0005-0000-0000-00009E490000}"/>
    <cellStyle name="40% - Accent4 2 20" xfId="12107" xr:uid="{00000000-0005-0000-0000-00009F490000}"/>
    <cellStyle name="40% - Accent4 2 21" xfId="52428" xr:uid="{00000000-0005-0000-0000-0000A0490000}"/>
    <cellStyle name="40% - Accent4 2 22" xfId="52453" xr:uid="{00000000-0005-0000-0000-0000A1490000}"/>
    <cellStyle name="40% - Accent4 2 23" xfId="11964" xr:uid="{00000000-0005-0000-0000-0000A2490000}"/>
    <cellStyle name="40% - Accent4 2 3" xfId="191" xr:uid="{00000000-0005-0000-0000-0000A3490000}"/>
    <cellStyle name="40% - Accent4 2 3 10" xfId="52536" xr:uid="{00000000-0005-0000-0000-0000A4490000}"/>
    <cellStyle name="40% - Accent4 2 3 11" xfId="12023" xr:uid="{00000000-0005-0000-0000-0000A5490000}"/>
    <cellStyle name="40% - Accent4 2 3 2" xfId="1961" xr:uid="{00000000-0005-0000-0000-0000A6490000}"/>
    <cellStyle name="40% - Accent4 2 3 2 10" xfId="18037" xr:uid="{00000000-0005-0000-0000-0000A7490000}"/>
    <cellStyle name="40% - Accent4 2 3 2 10 2" xfId="28405" xr:uid="{00000000-0005-0000-0000-0000A8490000}"/>
    <cellStyle name="40% - Accent4 2 3 2 10 2 2" xfId="47594" xr:uid="{00000000-0005-0000-0000-0000A9490000}"/>
    <cellStyle name="40% - Accent4 2 3 2 10 3" xfId="37896" xr:uid="{00000000-0005-0000-0000-0000AA490000}"/>
    <cellStyle name="40% - Accent4 2 3 2 11" xfId="23900" xr:uid="{00000000-0005-0000-0000-0000AB490000}"/>
    <cellStyle name="40% - Accent4 2 3 2 11 2" xfId="43139" xr:uid="{00000000-0005-0000-0000-0000AC490000}"/>
    <cellStyle name="40% - Accent4 2 3 2 12" xfId="33441" xr:uid="{00000000-0005-0000-0000-0000AD490000}"/>
    <cellStyle name="40% - Accent4 2 3 2 13" xfId="52737" xr:uid="{00000000-0005-0000-0000-0000AE490000}"/>
    <cellStyle name="40% - Accent4 2 3 2 14" xfId="13155" xr:uid="{00000000-0005-0000-0000-0000AF490000}"/>
    <cellStyle name="40% - Accent4 2 3 2 2" xfId="13156" xr:uid="{00000000-0005-0000-0000-0000B0490000}"/>
    <cellStyle name="40% - Accent4 2 3 2 2 10" xfId="23901" xr:uid="{00000000-0005-0000-0000-0000B1490000}"/>
    <cellStyle name="40% - Accent4 2 3 2 2 10 2" xfId="43140" xr:uid="{00000000-0005-0000-0000-0000B2490000}"/>
    <cellStyle name="40% - Accent4 2 3 2 2 11" xfId="33442" xr:uid="{00000000-0005-0000-0000-0000B3490000}"/>
    <cellStyle name="40% - Accent4 2 3 2 2 12" xfId="53165" xr:uid="{00000000-0005-0000-0000-0000B4490000}"/>
    <cellStyle name="40% - Accent4 2 3 2 2 2" xfId="13157" xr:uid="{00000000-0005-0000-0000-0000B5490000}"/>
    <cellStyle name="40% - Accent4 2 3 2 2 2 10" xfId="54018" xr:uid="{00000000-0005-0000-0000-0000B6490000}"/>
    <cellStyle name="40% - Accent4 2 3 2 2 2 2" xfId="14095" xr:uid="{00000000-0005-0000-0000-0000B7490000}"/>
    <cellStyle name="40% - Accent4 2 3 2 2 2 2 2" xfId="16359" xr:uid="{00000000-0005-0000-0000-0000B8490000}"/>
    <cellStyle name="40% - Accent4 2 3 2 2 2 2 2 2" xfId="20823" xr:uid="{00000000-0005-0000-0000-0000B9490000}"/>
    <cellStyle name="40% - Accent4 2 3 2 2 2 2 2 2 2" xfId="31191" xr:uid="{00000000-0005-0000-0000-0000BA490000}"/>
    <cellStyle name="40% - Accent4 2 3 2 2 2 2 2 2 2 2" xfId="50380" xr:uid="{00000000-0005-0000-0000-0000BB490000}"/>
    <cellStyle name="40% - Accent4 2 3 2 2 2 2 2 2 3" xfId="40682" xr:uid="{00000000-0005-0000-0000-0000BC490000}"/>
    <cellStyle name="40% - Accent4 2 3 2 2 2 2 2 3" xfId="26736" xr:uid="{00000000-0005-0000-0000-0000BD490000}"/>
    <cellStyle name="40% - Accent4 2 3 2 2 2 2 2 3 2" xfId="45925" xr:uid="{00000000-0005-0000-0000-0000BE490000}"/>
    <cellStyle name="40% - Accent4 2 3 2 2 2 2 2 4" xfId="36227" xr:uid="{00000000-0005-0000-0000-0000BF490000}"/>
    <cellStyle name="40% - Accent4 2 3 2 2 2 2 3" xfId="18595" xr:uid="{00000000-0005-0000-0000-0000C0490000}"/>
    <cellStyle name="40% - Accent4 2 3 2 2 2 2 3 2" xfId="28963" xr:uid="{00000000-0005-0000-0000-0000C1490000}"/>
    <cellStyle name="40% - Accent4 2 3 2 2 2 2 3 2 2" xfId="48152" xr:uid="{00000000-0005-0000-0000-0000C2490000}"/>
    <cellStyle name="40% - Accent4 2 3 2 2 2 2 3 3" xfId="38454" xr:uid="{00000000-0005-0000-0000-0000C3490000}"/>
    <cellStyle name="40% - Accent4 2 3 2 2 2 2 4" xfId="24503" xr:uid="{00000000-0005-0000-0000-0000C4490000}"/>
    <cellStyle name="40% - Accent4 2 3 2 2 2 2 4 2" xfId="43697" xr:uid="{00000000-0005-0000-0000-0000C5490000}"/>
    <cellStyle name="40% - Accent4 2 3 2 2 2 2 5" xfId="33999" xr:uid="{00000000-0005-0000-0000-0000C6490000}"/>
    <cellStyle name="40% - Accent4 2 3 2 2 2 3" xfId="14674" xr:uid="{00000000-0005-0000-0000-0000C7490000}"/>
    <cellStyle name="40% - Accent4 2 3 2 2 2 3 2" xfId="15803" xr:uid="{00000000-0005-0000-0000-0000C8490000}"/>
    <cellStyle name="40% - Accent4 2 3 2 2 2 3 2 2" xfId="20267" xr:uid="{00000000-0005-0000-0000-0000C9490000}"/>
    <cellStyle name="40% - Accent4 2 3 2 2 2 3 2 2 2" xfId="30635" xr:uid="{00000000-0005-0000-0000-0000CA490000}"/>
    <cellStyle name="40% - Accent4 2 3 2 2 2 3 2 2 2 2" xfId="49824" xr:uid="{00000000-0005-0000-0000-0000CB490000}"/>
    <cellStyle name="40% - Accent4 2 3 2 2 2 3 2 2 3" xfId="40126" xr:uid="{00000000-0005-0000-0000-0000CC490000}"/>
    <cellStyle name="40% - Accent4 2 3 2 2 2 3 2 3" xfId="26180" xr:uid="{00000000-0005-0000-0000-0000CD490000}"/>
    <cellStyle name="40% - Accent4 2 3 2 2 2 3 2 3 2" xfId="45369" xr:uid="{00000000-0005-0000-0000-0000CE490000}"/>
    <cellStyle name="40% - Accent4 2 3 2 2 2 3 2 4" xfId="35671" xr:uid="{00000000-0005-0000-0000-0000CF490000}"/>
    <cellStyle name="40% - Accent4 2 3 2 2 2 3 3" xfId="19152" xr:uid="{00000000-0005-0000-0000-0000D0490000}"/>
    <cellStyle name="40% - Accent4 2 3 2 2 2 3 3 2" xfId="29520" xr:uid="{00000000-0005-0000-0000-0000D1490000}"/>
    <cellStyle name="40% - Accent4 2 3 2 2 2 3 3 2 2" xfId="48709" xr:uid="{00000000-0005-0000-0000-0000D2490000}"/>
    <cellStyle name="40% - Accent4 2 3 2 2 2 3 3 3" xfId="39011" xr:uid="{00000000-0005-0000-0000-0000D3490000}"/>
    <cellStyle name="40% - Accent4 2 3 2 2 2 3 4" xfId="25065" xr:uid="{00000000-0005-0000-0000-0000D4490000}"/>
    <cellStyle name="40% - Accent4 2 3 2 2 2 3 4 2" xfId="44254" xr:uid="{00000000-0005-0000-0000-0000D5490000}"/>
    <cellStyle name="40% - Accent4 2 3 2 2 2 3 5" xfId="34556" xr:uid="{00000000-0005-0000-0000-0000D6490000}"/>
    <cellStyle name="40% - Accent4 2 3 2 2 2 4" xfId="15246" xr:uid="{00000000-0005-0000-0000-0000D7490000}"/>
    <cellStyle name="40% - Accent4 2 3 2 2 2 4 2" xfId="19710" xr:uid="{00000000-0005-0000-0000-0000D8490000}"/>
    <cellStyle name="40% - Accent4 2 3 2 2 2 4 2 2" xfId="30078" xr:uid="{00000000-0005-0000-0000-0000D9490000}"/>
    <cellStyle name="40% - Accent4 2 3 2 2 2 4 2 2 2" xfId="49267" xr:uid="{00000000-0005-0000-0000-0000DA490000}"/>
    <cellStyle name="40% - Accent4 2 3 2 2 2 4 2 3" xfId="39569" xr:uid="{00000000-0005-0000-0000-0000DB490000}"/>
    <cellStyle name="40% - Accent4 2 3 2 2 2 4 3" xfId="25623" xr:uid="{00000000-0005-0000-0000-0000DC490000}"/>
    <cellStyle name="40% - Accent4 2 3 2 2 2 4 3 2" xfId="44812" xr:uid="{00000000-0005-0000-0000-0000DD490000}"/>
    <cellStyle name="40% - Accent4 2 3 2 2 2 4 4" xfId="35114" xr:uid="{00000000-0005-0000-0000-0000DE490000}"/>
    <cellStyle name="40% - Accent4 2 3 2 2 2 5" xfId="16916" xr:uid="{00000000-0005-0000-0000-0000DF490000}"/>
    <cellStyle name="40% - Accent4 2 3 2 2 2 5 2" xfId="21380" xr:uid="{00000000-0005-0000-0000-0000E0490000}"/>
    <cellStyle name="40% - Accent4 2 3 2 2 2 5 2 2" xfId="31748" xr:uid="{00000000-0005-0000-0000-0000E1490000}"/>
    <cellStyle name="40% - Accent4 2 3 2 2 2 5 2 2 2" xfId="50937" xr:uid="{00000000-0005-0000-0000-0000E2490000}"/>
    <cellStyle name="40% - Accent4 2 3 2 2 2 5 2 3" xfId="41239" xr:uid="{00000000-0005-0000-0000-0000E3490000}"/>
    <cellStyle name="40% - Accent4 2 3 2 2 2 5 3" xfId="27293" xr:uid="{00000000-0005-0000-0000-0000E4490000}"/>
    <cellStyle name="40% - Accent4 2 3 2 2 2 5 3 2" xfId="46482" xr:uid="{00000000-0005-0000-0000-0000E5490000}"/>
    <cellStyle name="40% - Accent4 2 3 2 2 2 5 4" xfId="36784" xr:uid="{00000000-0005-0000-0000-0000E6490000}"/>
    <cellStyle name="40% - Accent4 2 3 2 2 2 6" xfId="17482" xr:uid="{00000000-0005-0000-0000-0000E7490000}"/>
    <cellStyle name="40% - Accent4 2 3 2 2 2 6 2" xfId="21937" xr:uid="{00000000-0005-0000-0000-0000E8490000}"/>
    <cellStyle name="40% - Accent4 2 3 2 2 2 6 2 2" xfId="32305" xr:uid="{00000000-0005-0000-0000-0000E9490000}"/>
    <cellStyle name="40% - Accent4 2 3 2 2 2 6 2 2 2" xfId="51494" xr:uid="{00000000-0005-0000-0000-0000EA490000}"/>
    <cellStyle name="40% - Accent4 2 3 2 2 2 6 2 3" xfId="41796" xr:uid="{00000000-0005-0000-0000-0000EB490000}"/>
    <cellStyle name="40% - Accent4 2 3 2 2 2 6 3" xfId="27850" xr:uid="{00000000-0005-0000-0000-0000EC490000}"/>
    <cellStyle name="40% - Accent4 2 3 2 2 2 6 3 2" xfId="47039" xr:uid="{00000000-0005-0000-0000-0000ED490000}"/>
    <cellStyle name="40% - Accent4 2 3 2 2 2 6 4" xfId="37341" xr:uid="{00000000-0005-0000-0000-0000EE490000}"/>
    <cellStyle name="40% - Accent4 2 3 2 2 2 7" xfId="18039" xr:uid="{00000000-0005-0000-0000-0000EF490000}"/>
    <cellStyle name="40% - Accent4 2 3 2 2 2 7 2" xfId="28407" xr:uid="{00000000-0005-0000-0000-0000F0490000}"/>
    <cellStyle name="40% - Accent4 2 3 2 2 2 7 2 2" xfId="47596" xr:uid="{00000000-0005-0000-0000-0000F1490000}"/>
    <cellStyle name="40% - Accent4 2 3 2 2 2 7 3" xfId="37898" xr:uid="{00000000-0005-0000-0000-0000F2490000}"/>
    <cellStyle name="40% - Accent4 2 3 2 2 2 8" xfId="23902" xr:uid="{00000000-0005-0000-0000-0000F3490000}"/>
    <cellStyle name="40% - Accent4 2 3 2 2 2 8 2" xfId="43141" xr:uid="{00000000-0005-0000-0000-0000F4490000}"/>
    <cellStyle name="40% - Accent4 2 3 2 2 2 9" xfId="33443" xr:uid="{00000000-0005-0000-0000-0000F5490000}"/>
    <cellStyle name="40% - Accent4 2 3 2 2 3" xfId="13158" xr:uid="{00000000-0005-0000-0000-0000F6490000}"/>
    <cellStyle name="40% - Accent4 2 3 2 2 3 2" xfId="14096" xr:uid="{00000000-0005-0000-0000-0000F7490000}"/>
    <cellStyle name="40% - Accent4 2 3 2 2 3 2 2" xfId="16360" xr:uid="{00000000-0005-0000-0000-0000F8490000}"/>
    <cellStyle name="40% - Accent4 2 3 2 2 3 2 2 2" xfId="20824" xr:uid="{00000000-0005-0000-0000-0000F9490000}"/>
    <cellStyle name="40% - Accent4 2 3 2 2 3 2 2 2 2" xfId="31192" xr:uid="{00000000-0005-0000-0000-0000FA490000}"/>
    <cellStyle name="40% - Accent4 2 3 2 2 3 2 2 2 2 2" xfId="50381" xr:uid="{00000000-0005-0000-0000-0000FB490000}"/>
    <cellStyle name="40% - Accent4 2 3 2 2 3 2 2 2 3" xfId="40683" xr:uid="{00000000-0005-0000-0000-0000FC490000}"/>
    <cellStyle name="40% - Accent4 2 3 2 2 3 2 2 3" xfId="26737" xr:uid="{00000000-0005-0000-0000-0000FD490000}"/>
    <cellStyle name="40% - Accent4 2 3 2 2 3 2 2 3 2" xfId="45926" xr:uid="{00000000-0005-0000-0000-0000FE490000}"/>
    <cellStyle name="40% - Accent4 2 3 2 2 3 2 2 4" xfId="36228" xr:uid="{00000000-0005-0000-0000-0000FF490000}"/>
    <cellStyle name="40% - Accent4 2 3 2 2 3 2 3" xfId="18596" xr:uid="{00000000-0005-0000-0000-0000004A0000}"/>
    <cellStyle name="40% - Accent4 2 3 2 2 3 2 3 2" xfId="28964" xr:uid="{00000000-0005-0000-0000-0000014A0000}"/>
    <cellStyle name="40% - Accent4 2 3 2 2 3 2 3 2 2" xfId="48153" xr:uid="{00000000-0005-0000-0000-0000024A0000}"/>
    <cellStyle name="40% - Accent4 2 3 2 2 3 2 3 3" xfId="38455" xr:uid="{00000000-0005-0000-0000-0000034A0000}"/>
    <cellStyle name="40% - Accent4 2 3 2 2 3 2 4" xfId="24504" xr:uid="{00000000-0005-0000-0000-0000044A0000}"/>
    <cellStyle name="40% - Accent4 2 3 2 2 3 2 4 2" xfId="43698" xr:uid="{00000000-0005-0000-0000-0000054A0000}"/>
    <cellStyle name="40% - Accent4 2 3 2 2 3 2 5" xfId="34000" xr:uid="{00000000-0005-0000-0000-0000064A0000}"/>
    <cellStyle name="40% - Accent4 2 3 2 2 3 3" xfId="14675" xr:uid="{00000000-0005-0000-0000-0000074A0000}"/>
    <cellStyle name="40% - Accent4 2 3 2 2 3 3 2" xfId="15804" xr:uid="{00000000-0005-0000-0000-0000084A0000}"/>
    <cellStyle name="40% - Accent4 2 3 2 2 3 3 2 2" xfId="20268" xr:uid="{00000000-0005-0000-0000-0000094A0000}"/>
    <cellStyle name="40% - Accent4 2 3 2 2 3 3 2 2 2" xfId="30636" xr:uid="{00000000-0005-0000-0000-00000A4A0000}"/>
    <cellStyle name="40% - Accent4 2 3 2 2 3 3 2 2 2 2" xfId="49825" xr:uid="{00000000-0005-0000-0000-00000B4A0000}"/>
    <cellStyle name="40% - Accent4 2 3 2 2 3 3 2 2 3" xfId="40127" xr:uid="{00000000-0005-0000-0000-00000C4A0000}"/>
    <cellStyle name="40% - Accent4 2 3 2 2 3 3 2 3" xfId="26181" xr:uid="{00000000-0005-0000-0000-00000D4A0000}"/>
    <cellStyle name="40% - Accent4 2 3 2 2 3 3 2 3 2" xfId="45370" xr:uid="{00000000-0005-0000-0000-00000E4A0000}"/>
    <cellStyle name="40% - Accent4 2 3 2 2 3 3 2 4" xfId="35672" xr:uid="{00000000-0005-0000-0000-00000F4A0000}"/>
    <cellStyle name="40% - Accent4 2 3 2 2 3 3 3" xfId="19153" xr:uid="{00000000-0005-0000-0000-0000104A0000}"/>
    <cellStyle name="40% - Accent4 2 3 2 2 3 3 3 2" xfId="29521" xr:uid="{00000000-0005-0000-0000-0000114A0000}"/>
    <cellStyle name="40% - Accent4 2 3 2 2 3 3 3 2 2" xfId="48710" xr:uid="{00000000-0005-0000-0000-0000124A0000}"/>
    <cellStyle name="40% - Accent4 2 3 2 2 3 3 3 3" xfId="39012" xr:uid="{00000000-0005-0000-0000-0000134A0000}"/>
    <cellStyle name="40% - Accent4 2 3 2 2 3 3 4" xfId="25066" xr:uid="{00000000-0005-0000-0000-0000144A0000}"/>
    <cellStyle name="40% - Accent4 2 3 2 2 3 3 4 2" xfId="44255" xr:uid="{00000000-0005-0000-0000-0000154A0000}"/>
    <cellStyle name="40% - Accent4 2 3 2 2 3 3 5" xfId="34557" xr:uid="{00000000-0005-0000-0000-0000164A0000}"/>
    <cellStyle name="40% - Accent4 2 3 2 2 3 4" xfId="15247" xr:uid="{00000000-0005-0000-0000-0000174A0000}"/>
    <cellStyle name="40% - Accent4 2 3 2 2 3 4 2" xfId="19711" xr:uid="{00000000-0005-0000-0000-0000184A0000}"/>
    <cellStyle name="40% - Accent4 2 3 2 2 3 4 2 2" xfId="30079" xr:uid="{00000000-0005-0000-0000-0000194A0000}"/>
    <cellStyle name="40% - Accent4 2 3 2 2 3 4 2 2 2" xfId="49268" xr:uid="{00000000-0005-0000-0000-00001A4A0000}"/>
    <cellStyle name="40% - Accent4 2 3 2 2 3 4 2 3" xfId="39570" xr:uid="{00000000-0005-0000-0000-00001B4A0000}"/>
    <cellStyle name="40% - Accent4 2 3 2 2 3 4 3" xfId="25624" xr:uid="{00000000-0005-0000-0000-00001C4A0000}"/>
    <cellStyle name="40% - Accent4 2 3 2 2 3 4 3 2" xfId="44813" xr:uid="{00000000-0005-0000-0000-00001D4A0000}"/>
    <cellStyle name="40% - Accent4 2 3 2 2 3 4 4" xfId="35115" xr:uid="{00000000-0005-0000-0000-00001E4A0000}"/>
    <cellStyle name="40% - Accent4 2 3 2 2 3 5" xfId="16917" xr:uid="{00000000-0005-0000-0000-00001F4A0000}"/>
    <cellStyle name="40% - Accent4 2 3 2 2 3 5 2" xfId="21381" xr:uid="{00000000-0005-0000-0000-0000204A0000}"/>
    <cellStyle name="40% - Accent4 2 3 2 2 3 5 2 2" xfId="31749" xr:uid="{00000000-0005-0000-0000-0000214A0000}"/>
    <cellStyle name="40% - Accent4 2 3 2 2 3 5 2 2 2" xfId="50938" xr:uid="{00000000-0005-0000-0000-0000224A0000}"/>
    <cellStyle name="40% - Accent4 2 3 2 2 3 5 2 3" xfId="41240" xr:uid="{00000000-0005-0000-0000-0000234A0000}"/>
    <cellStyle name="40% - Accent4 2 3 2 2 3 5 3" xfId="27294" xr:uid="{00000000-0005-0000-0000-0000244A0000}"/>
    <cellStyle name="40% - Accent4 2 3 2 2 3 5 3 2" xfId="46483" xr:uid="{00000000-0005-0000-0000-0000254A0000}"/>
    <cellStyle name="40% - Accent4 2 3 2 2 3 5 4" xfId="36785" xr:uid="{00000000-0005-0000-0000-0000264A0000}"/>
    <cellStyle name="40% - Accent4 2 3 2 2 3 6" xfId="17483" xr:uid="{00000000-0005-0000-0000-0000274A0000}"/>
    <cellStyle name="40% - Accent4 2 3 2 2 3 6 2" xfId="21938" xr:uid="{00000000-0005-0000-0000-0000284A0000}"/>
    <cellStyle name="40% - Accent4 2 3 2 2 3 6 2 2" xfId="32306" xr:uid="{00000000-0005-0000-0000-0000294A0000}"/>
    <cellStyle name="40% - Accent4 2 3 2 2 3 6 2 2 2" xfId="51495" xr:uid="{00000000-0005-0000-0000-00002A4A0000}"/>
    <cellStyle name="40% - Accent4 2 3 2 2 3 6 2 3" xfId="41797" xr:uid="{00000000-0005-0000-0000-00002B4A0000}"/>
    <cellStyle name="40% - Accent4 2 3 2 2 3 6 3" xfId="27851" xr:uid="{00000000-0005-0000-0000-00002C4A0000}"/>
    <cellStyle name="40% - Accent4 2 3 2 2 3 6 3 2" xfId="47040" xr:uid="{00000000-0005-0000-0000-00002D4A0000}"/>
    <cellStyle name="40% - Accent4 2 3 2 2 3 6 4" xfId="37342" xr:uid="{00000000-0005-0000-0000-00002E4A0000}"/>
    <cellStyle name="40% - Accent4 2 3 2 2 3 7" xfId="18040" xr:uid="{00000000-0005-0000-0000-00002F4A0000}"/>
    <cellStyle name="40% - Accent4 2 3 2 2 3 7 2" xfId="28408" xr:uid="{00000000-0005-0000-0000-0000304A0000}"/>
    <cellStyle name="40% - Accent4 2 3 2 2 3 7 2 2" xfId="47597" xr:uid="{00000000-0005-0000-0000-0000314A0000}"/>
    <cellStyle name="40% - Accent4 2 3 2 2 3 7 3" xfId="37899" xr:uid="{00000000-0005-0000-0000-0000324A0000}"/>
    <cellStyle name="40% - Accent4 2 3 2 2 3 8" xfId="23903" xr:uid="{00000000-0005-0000-0000-0000334A0000}"/>
    <cellStyle name="40% - Accent4 2 3 2 2 3 8 2" xfId="43142" xr:uid="{00000000-0005-0000-0000-0000344A0000}"/>
    <cellStyle name="40% - Accent4 2 3 2 2 3 9" xfId="33444" xr:uid="{00000000-0005-0000-0000-0000354A0000}"/>
    <cellStyle name="40% - Accent4 2 3 2 2 4" xfId="14094" xr:uid="{00000000-0005-0000-0000-0000364A0000}"/>
    <cellStyle name="40% - Accent4 2 3 2 2 4 2" xfId="16358" xr:uid="{00000000-0005-0000-0000-0000374A0000}"/>
    <cellStyle name="40% - Accent4 2 3 2 2 4 2 2" xfId="20822" xr:uid="{00000000-0005-0000-0000-0000384A0000}"/>
    <cellStyle name="40% - Accent4 2 3 2 2 4 2 2 2" xfId="31190" xr:uid="{00000000-0005-0000-0000-0000394A0000}"/>
    <cellStyle name="40% - Accent4 2 3 2 2 4 2 2 2 2" xfId="50379" xr:uid="{00000000-0005-0000-0000-00003A4A0000}"/>
    <cellStyle name="40% - Accent4 2 3 2 2 4 2 2 3" xfId="40681" xr:uid="{00000000-0005-0000-0000-00003B4A0000}"/>
    <cellStyle name="40% - Accent4 2 3 2 2 4 2 3" xfId="26735" xr:uid="{00000000-0005-0000-0000-00003C4A0000}"/>
    <cellStyle name="40% - Accent4 2 3 2 2 4 2 3 2" xfId="45924" xr:uid="{00000000-0005-0000-0000-00003D4A0000}"/>
    <cellStyle name="40% - Accent4 2 3 2 2 4 2 4" xfId="36226" xr:uid="{00000000-0005-0000-0000-00003E4A0000}"/>
    <cellStyle name="40% - Accent4 2 3 2 2 4 3" xfId="18594" xr:uid="{00000000-0005-0000-0000-00003F4A0000}"/>
    <cellStyle name="40% - Accent4 2 3 2 2 4 3 2" xfId="28962" xr:uid="{00000000-0005-0000-0000-0000404A0000}"/>
    <cellStyle name="40% - Accent4 2 3 2 2 4 3 2 2" xfId="48151" xr:uid="{00000000-0005-0000-0000-0000414A0000}"/>
    <cellStyle name="40% - Accent4 2 3 2 2 4 3 3" xfId="38453" xr:uid="{00000000-0005-0000-0000-0000424A0000}"/>
    <cellStyle name="40% - Accent4 2 3 2 2 4 4" xfId="24502" xr:uid="{00000000-0005-0000-0000-0000434A0000}"/>
    <cellStyle name="40% - Accent4 2 3 2 2 4 4 2" xfId="43696" xr:uid="{00000000-0005-0000-0000-0000444A0000}"/>
    <cellStyle name="40% - Accent4 2 3 2 2 4 5" xfId="33998" xr:uid="{00000000-0005-0000-0000-0000454A0000}"/>
    <cellStyle name="40% - Accent4 2 3 2 2 5" xfId="14673" xr:uid="{00000000-0005-0000-0000-0000464A0000}"/>
    <cellStyle name="40% - Accent4 2 3 2 2 5 2" xfId="15802" xr:uid="{00000000-0005-0000-0000-0000474A0000}"/>
    <cellStyle name="40% - Accent4 2 3 2 2 5 2 2" xfId="20266" xr:uid="{00000000-0005-0000-0000-0000484A0000}"/>
    <cellStyle name="40% - Accent4 2 3 2 2 5 2 2 2" xfId="30634" xr:uid="{00000000-0005-0000-0000-0000494A0000}"/>
    <cellStyle name="40% - Accent4 2 3 2 2 5 2 2 2 2" xfId="49823" xr:uid="{00000000-0005-0000-0000-00004A4A0000}"/>
    <cellStyle name="40% - Accent4 2 3 2 2 5 2 2 3" xfId="40125" xr:uid="{00000000-0005-0000-0000-00004B4A0000}"/>
    <cellStyle name="40% - Accent4 2 3 2 2 5 2 3" xfId="26179" xr:uid="{00000000-0005-0000-0000-00004C4A0000}"/>
    <cellStyle name="40% - Accent4 2 3 2 2 5 2 3 2" xfId="45368" xr:uid="{00000000-0005-0000-0000-00004D4A0000}"/>
    <cellStyle name="40% - Accent4 2 3 2 2 5 2 4" xfId="35670" xr:uid="{00000000-0005-0000-0000-00004E4A0000}"/>
    <cellStyle name="40% - Accent4 2 3 2 2 5 3" xfId="19151" xr:uid="{00000000-0005-0000-0000-00004F4A0000}"/>
    <cellStyle name="40% - Accent4 2 3 2 2 5 3 2" xfId="29519" xr:uid="{00000000-0005-0000-0000-0000504A0000}"/>
    <cellStyle name="40% - Accent4 2 3 2 2 5 3 2 2" xfId="48708" xr:uid="{00000000-0005-0000-0000-0000514A0000}"/>
    <cellStyle name="40% - Accent4 2 3 2 2 5 3 3" xfId="39010" xr:uid="{00000000-0005-0000-0000-0000524A0000}"/>
    <cellStyle name="40% - Accent4 2 3 2 2 5 4" xfId="25064" xr:uid="{00000000-0005-0000-0000-0000534A0000}"/>
    <cellStyle name="40% - Accent4 2 3 2 2 5 4 2" xfId="44253" xr:uid="{00000000-0005-0000-0000-0000544A0000}"/>
    <cellStyle name="40% - Accent4 2 3 2 2 5 5" xfId="34555" xr:uid="{00000000-0005-0000-0000-0000554A0000}"/>
    <cellStyle name="40% - Accent4 2 3 2 2 6" xfId="15245" xr:uid="{00000000-0005-0000-0000-0000564A0000}"/>
    <cellStyle name="40% - Accent4 2 3 2 2 6 2" xfId="19709" xr:uid="{00000000-0005-0000-0000-0000574A0000}"/>
    <cellStyle name="40% - Accent4 2 3 2 2 6 2 2" xfId="30077" xr:uid="{00000000-0005-0000-0000-0000584A0000}"/>
    <cellStyle name="40% - Accent4 2 3 2 2 6 2 2 2" xfId="49266" xr:uid="{00000000-0005-0000-0000-0000594A0000}"/>
    <cellStyle name="40% - Accent4 2 3 2 2 6 2 3" xfId="39568" xr:uid="{00000000-0005-0000-0000-00005A4A0000}"/>
    <cellStyle name="40% - Accent4 2 3 2 2 6 3" xfId="25622" xr:uid="{00000000-0005-0000-0000-00005B4A0000}"/>
    <cellStyle name="40% - Accent4 2 3 2 2 6 3 2" xfId="44811" xr:uid="{00000000-0005-0000-0000-00005C4A0000}"/>
    <cellStyle name="40% - Accent4 2 3 2 2 6 4" xfId="35113" xr:uid="{00000000-0005-0000-0000-00005D4A0000}"/>
    <cellStyle name="40% - Accent4 2 3 2 2 7" xfId="16915" xr:uid="{00000000-0005-0000-0000-00005E4A0000}"/>
    <cellStyle name="40% - Accent4 2 3 2 2 7 2" xfId="21379" xr:uid="{00000000-0005-0000-0000-00005F4A0000}"/>
    <cellStyle name="40% - Accent4 2 3 2 2 7 2 2" xfId="31747" xr:uid="{00000000-0005-0000-0000-0000604A0000}"/>
    <cellStyle name="40% - Accent4 2 3 2 2 7 2 2 2" xfId="50936" xr:uid="{00000000-0005-0000-0000-0000614A0000}"/>
    <cellStyle name="40% - Accent4 2 3 2 2 7 2 3" xfId="41238" xr:uid="{00000000-0005-0000-0000-0000624A0000}"/>
    <cellStyle name="40% - Accent4 2 3 2 2 7 3" xfId="27292" xr:uid="{00000000-0005-0000-0000-0000634A0000}"/>
    <cellStyle name="40% - Accent4 2 3 2 2 7 3 2" xfId="46481" xr:uid="{00000000-0005-0000-0000-0000644A0000}"/>
    <cellStyle name="40% - Accent4 2 3 2 2 7 4" xfId="36783" xr:uid="{00000000-0005-0000-0000-0000654A0000}"/>
    <cellStyle name="40% - Accent4 2 3 2 2 8" xfId="17481" xr:uid="{00000000-0005-0000-0000-0000664A0000}"/>
    <cellStyle name="40% - Accent4 2 3 2 2 8 2" xfId="21936" xr:uid="{00000000-0005-0000-0000-0000674A0000}"/>
    <cellStyle name="40% - Accent4 2 3 2 2 8 2 2" xfId="32304" xr:uid="{00000000-0005-0000-0000-0000684A0000}"/>
    <cellStyle name="40% - Accent4 2 3 2 2 8 2 2 2" xfId="51493" xr:uid="{00000000-0005-0000-0000-0000694A0000}"/>
    <cellStyle name="40% - Accent4 2 3 2 2 8 2 3" xfId="41795" xr:uid="{00000000-0005-0000-0000-00006A4A0000}"/>
    <cellStyle name="40% - Accent4 2 3 2 2 8 3" xfId="27849" xr:uid="{00000000-0005-0000-0000-00006B4A0000}"/>
    <cellStyle name="40% - Accent4 2 3 2 2 8 3 2" xfId="47038" xr:uid="{00000000-0005-0000-0000-00006C4A0000}"/>
    <cellStyle name="40% - Accent4 2 3 2 2 8 4" xfId="37340" xr:uid="{00000000-0005-0000-0000-00006D4A0000}"/>
    <cellStyle name="40% - Accent4 2 3 2 2 9" xfId="18038" xr:uid="{00000000-0005-0000-0000-00006E4A0000}"/>
    <cellStyle name="40% - Accent4 2 3 2 2 9 2" xfId="28406" xr:uid="{00000000-0005-0000-0000-00006F4A0000}"/>
    <cellStyle name="40% - Accent4 2 3 2 2 9 2 2" xfId="47595" xr:uid="{00000000-0005-0000-0000-0000704A0000}"/>
    <cellStyle name="40% - Accent4 2 3 2 2 9 3" xfId="37897" xr:uid="{00000000-0005-0000-0000-0000714A0000}"/>
    <cellStyle name="40% - Accent4 2 3 2 3" xfId="13159" xr:uid="{00000000-0005-0000-0000-0000724A0000}"/>
    <cellStyle name="40% - Accent4 2 3 2 3 10" xfId="53622" xr:uid="{00000000-0005-0000-0000-0000734A0000}"/>
    <cellStyle name="40% - Accent4 2 3 2 3 2" xfId="14097" xr:uid="{00000000-0005-0000-0000-0000744A0000}"/>
    <cellStyle name="40% - Accent4 2 3 2 3 2 2" xfId="16361" xr:uid="{00000000-0005-0000-0000-0000754A0000}"/>
    <cellStyle name="40% - Accent4 2 3 2 3 2 2 2" xfId="20825" xr:uid="{00000000-0005-0000-0000-0000764A0000}"/>
    <cellStyle name="40% - Accent4 2 3 2 3 2 2 2 2" xfId="31193" xr:uid="{00000000-0005-0000-0000-0000774A0000}"/>
    <cellStyle name="40% - Accent4 2 3 2 3 2 2 2 2 2" xfId="50382" xr:uid="{00000000-0005-0000-0000-0000784A0000}"/>
    <cellStyle name="40% - Accent4 2 3 2 3 2 2 2 3" xfId="40684" xr:uid="{00000000-0005-0000-0000-0000794A0000}"/>
    <cellStyle name="40% - Accent4 2 3 2 3 2 2 3" xfId="26738" xr:uid="{00000000-0005-0000-0000-00007A4A0000}"/>
    <cellStyle name="40% - Accent4 2 3 2 3 2 2 3 2" xfId="45927" xr:uid="{00000000-0005-0000-0000-00007B4A0000}"/>
    <cellStyle name="40% - Accent4 2 3 2 3 2 2 4" xfId="36229" xr:uid="{00000000-0005-0000-0000-00007C4A0000}"/>
    <cellStyle name="40% - Accent4 2 3 2 3 2 3" xfId="18597" xr:uid="{00000000-0005-0000-0000-00007D4A0000}"/>
    <cellStyle name="40% - Accent4 2 3 2 3 2 3 2" xfId="28965" xr:uid="{00000000-0005-0000-0000-00007E4A0000}"/>
    <cellStyle name="40% - Accent4 2 3 2 3 2 3 2 2" xfId="48154" xr:uid="{00000000-0005-0000-0000-00007F4A0000}"/>
    <cellStyle name="40% - Accent4 2 3 2 3 2 3 3" xfId="38456" xr:uid="{00000000-0005-0000-0000-0000804A0000}"/>
    <cellStyle name="40% - Accent4 2 3 2 3 2 4" xfId="24505" xr:uid="{00000000-0005-0000-0000-0000814A0000}"/>
    <cellStyle name="40% - Accent4 2 3 2 3 2 4 2" xfId="43699" xr:uid="{00000000-0005-0000-0000-0000824A0000}"/>
    <cellStyle name="40% - Accent4 2 3 2 3 2 5" xfId="34001" xr:uid="{00000000-0005-0000-0000-0000834A0000}"/>
    <cellStyle name="40% - Accent4 2 3 2 3 3" xfId="14676" xr:uid="{00000000-0005-0000-0000-0000844A0000}"/>
    <cellStyle name="40% - Accent4 2 3 2 3 3 2" xfId="15805" xr:uid="{00000000-0005-0000-0000-0000854A0000}"/>
    <cellStyle name="40% - Accent4 2 3 2 3 3 2 2" xfId="20269" xr:uid="{00000000-0005-0000-0000-0000864A0000}"/>
    <cellStyle name="40% - Accent4 2 3 2 3 3 2 2 2" xfId="30637" xr:uid="{00000000-0005-0000-0000-0000874A0000}"/>
    <cellStyle name="40% - Accent4 2 3 2 3 3 2 2 2 2" xfId="49826" xr:uid="{00000000-0005-0000-0000-0000884A0000}"/>
    <cellStyle name="40% - Accent4 2 3 2 3 3 2 2 3" xfId="40128" xr:uid="{00000000-0005-0000-0000-0000894A0000}"/>
    <cellStyle name="40% - Accent4 2 3 2 3 3 2 3" xfId="26182" xr:uid="{00000000-0005-0000-0000-00008A4A0000}"/>
    <cellStyle name="40% - Accent4 2 3 2 3 3 2 3 2" xfId="45371" xr:uid="{00000000-0005-0000-0000-00008B4A0000}"/>
    <cellStyle name="40% - Accent4 2 3 2 3 3 2 4" xfId="35673" xr:uid="{00000000-0005-0000-0000-00008C4A0000}"/>
    <cellStyle name="40% - Accent4 2 3 2 3 3 3" xfId="19154" xr:uid="{00000000-0005-0000-0000-00008D4A0000}"/>
    <cellStyle name="40% - Accent4 2 3 2 3 3 3 2" xfId="29522" xr:uid="{00000000-0005-0000-0000-00008E4A0000}"/>
    <cellStyle name="40% - Accent4 2 3 2 3 3 3 2 2" xfId="48711" xr:uid="{00000000-0005-0000-0000-00008F4A0000}"/>
    <cellStyle name="40% - Accent4 2 3 2 3 3 3 3" xfId="39013" xr:uid="{00000000-0005-0000-0000-0000904A0000}"/>
    <cellStyle name="40% - Accent4 2 3 2 3 3 4" xfId="25067" xr:uid="{00000000-0005-0000-0000-0000914A0000}"/>
    <cellStyle name="40% - Accent4 2 3 2 3 3 4 2" xfId="44256" xr:uid="{00000000-0005-0000-0000-0000924A0000}"/>
    <cellStyle name="40% - Accent4 2 3 2 3 3 5" xfId="34558" xr:uid="{00000000-0005-0000-0000-0000934A0000}"/>
    <cellStyle name="40% - Accent4 2 3 2 3 4" xfId="15248" xr:uid="{00000000-0005-0000-0000-0000944A0000}"/>
    <cellStyle name="40% - Accent4 2 3 2 3 4 2" xfId="19712" xr:uid="{00000000-0005-0000-0000-0000954A0000}"/>
    <cellStyle name="40% - Accent4 2 3 2 3 4 2 2" xfId="30080" xr:uid="{00000000-0005-0000-0000-0000964A0000}"/>
    <cellStyle name="40% - Accent4 2 3 2 3 4 2 2 2" xfId="49269" xr:uid="{00000000-0005-0000-0000-0000974A0000}"/>
    <cellStyle name="40% - Accent4 2 3 2 3 4 2 3" xfId="39571" xr:uid="{00000000-0005-0000-0000-0000984A0000}"/>
    <cellStyle name="40% - Accent4 2 3 2 3 4 3" xfId="25625" xr:uid="{00000000-0005-0000-0000-0000994A0000}"/>
    <cellStyle name="40% - Accent4 2 3 2 3 4 3 2" xfId="44814" xr:uid="{00000000-0005-0000-0000-00009A4A0000}"/>
    <cellStyle name="40% - Accent4 2 3 2 3 4 4" xfId="35116" xr:uid="{00000000-0005-0000-0000-00009B4A0000}"/>
    <cellStyle name="40% - Accent4 2 3 2 3 5" xfId="16918" xr:uid="{00000000-0005-0000-0000-00009C4A0000}"/>
    <cellStyle name="40% - Accent4 2 3 2 3 5 2" xfId="21382" xr:uid="{00000000-0005-0000-0000-00009D4A0000}"/>
    <cellStyle name="40% - Accent4 2 3 2 3 5 2 2" xfId="31750" xr:uid="{00000000-0005-0000-0000-00009E4A0000}"/>
    <cellStyle name="40% - Accent4 2 3 2 3 5 2 2 2" xfId="50939" xr:uid="{00000000-0005-0000-0000-00009F4A0000}"/>
    <cellStyle name="40% - Accent4 2 3 2 3 5 2 3" xfId="41241" xr:uid="{00000000-0005-0000-0000-0000A04A0000}"/>
    <cellStyle name="40% - Accent4 2 3 2 3 5 3" xfId="27295" xr:uid="{00000000-0005-0000-0000-0000A14A0000}"/>
    <cellStyle name="40% - Accent4 2 3 2 3 5 3 2" xfId="46484" xr:uid="{00000000-0005-0000-0000-0000A24A0000}"/>
    <cellStyle name="40% - Accent4 2 3 2 3 5 4" xfId="36786" xr:uid="{00000000-0005-0000-0000-0000A34A0000}"/>
    <cellStyle name="40% - Accent4 2 3 2 3 6" xfId="17484" xr:uid="{00000000-0005-0000-0000-0000A44A0000}"/>
    <cellStyle name="40% - Accent4 2 3 2 3 6 2" xfId="21939" xr:uid="{00000000-0005-0000-0000-0000A54A0000}"/>
    <cellStyle name="40% - Accent4 2 3 2 3 6 2 2" xfId="32307" xr:uid="{00000000-0005-0000-0000-0000A64A0000}"/>
    <cellStyle name="40% - Accent4 2 3 2 3 6 2 2 2" xfId="51496" xr:uid="{00000000-0005-0000-0000-0000A74A0000}"/>
    <cellStyle name="40% - Accent4 2 3 2 3 6 2 3" xfId="41798" xr:uid="{00000000-0005-0000-0000-0000A84A0000}"/>
    <cellStyle name="40% - Accent4 2 3 2 3 6 3" xfId="27852" xr:uid="{00000000-0005-0000-0000-0000A94A0000}"/>
    <cellStyle name="40% - Accent4 2 3 2 3 6 3 2" xfId="47041" xr:uid="{00000000-0005-0000-0000-0000AA4A0000}"/>
    <cellStyle name="40% - Accent4 2 3 2 3 6 4" xfId="37343" xr:uid="{00000000-0005-0000-0000-0000AB4A0000}"/>
    <cellStyle name="40% - Accent4 2 3 2 3 7" xfId="18041" xr:uid="{00000000-0005-0000-0000-0000AC4A0000}"/>
    <cellStyle name="40% - Accent4 2 3 2 3 7 2" xfId="28409" xr:uid="{00000000-0005-0000-0000-0000AD4A0000}"/>
    <cellStyle name="40% - Accent4 2 3 2 3 7 2 2" xfId="47598" xr:uid="{00000000-0005-0000-0000-0000AE4A0000}"/>
    <cellStyle name="40% - Accent4 2 3 2 3 7 3" xfId="37900" xr:uid="{00000000-0005-0000-0000-0000AF4A0000}"/>
    <cellStyle name="40% - Accent4 2 3 2 3 8" xfId="23904" xr:uid="{00000000-0005-0000-0000-0000B04A0000}"/>
    <cellStyle name="40% - Accent4 2 3 2 3 8 2" xfId="43143" xr:uid="{00000000-0005-0000-0000-0000B14A0000}"/>
    <cellStyle name="40% - Accent4 2 3 2 3 9" xfId="33445" xr:uid="{00000000-0005-0000-0000-0000B24A0000}"/>
    <cellStyle name="40% - Accent4 2 3 2 4" xfId="13160" xr:uid="{00000000-0005-0000-0000-0000B34A0000}"/>
    <cellStyle name="40% - Accent4 2 3 2 4 2" xfId="14098" xr:uid="{00000000-0005-0000-0000-0000B44A0000}"/>
    <cellStyle name="40% - Accent4 2 3 2 4 2 2" xfId="16362" xr:uid="{00000000-0005-0000-0000-0000B54A0000}"/>
    <cellStyle name="40% - Accent4 2 3 2 4 2 2 2" xfId="20826" xr:uid="{00000000-0005-0000-0000-0000B64A0000}"/>
    <cellStyle name="40% - Accent4 2 3 2 4 2 2 2 2" xfId="31194" xr:uid="{00000000-0005-0000-0000-0000B74A0000}"/>
    <cellStyle name="40% - Accent4 2 3 2 4 2 2 2 2 2" xfId="50383" xr:uid="{00000000-0005-0000-0000-0000B84A0000}"/>
    <cellStyle name="40% - Accent4 2 3 2 4 2 2 2 3" xfId="40685" xr:uid="{00000000-0005-0000-0000-0000B94A0000}"/>
    <cellStyle name="40% - Accent4 2 3 2 4 2 2 3" xfId="26739" xr:uid="{00000000-0005-0000-0000-0000BA4A0000}"/>
    <cellStyle name="40% - Accent4 2 3 2 4 2 2 3 2" xfId="45928" xr:uid="{00000000-0005-0000-0000-0000BB4A0000}"/>
    <cellStyle name="40% - Accent4 2 3 2 4 2 2 4" xfId="36230" xr:uid="{00000000-0005-0000-0000-0000BC4A0000}"/>
    <cellStyle name="40% - Accent4 2 3 2 4 2 3" xfId="18598" xr:uid="{00000000-0005-0000-0000-0000BD4A0000}"/>
    <cellStyle name="40% - Accent4 2 3 2 4 2 3 2" xfId="28966" xr:uid="{00000000-0005-0000-0000-0000BE4A0000}"/>
    <cellStyle name="40% - Accent4 2 3 2 4 2 3 2 2" xfId="48155" xr:uid="{00000000-0005-0000-0000-0000BF4A0000}"/>
    <cellStyle name="40% - Accent4 2 3 2 4 2 3 3" xfId="38457" xr:uid="{00000000-0005-0000-0000-0000C04A0000}"/>
    <cellStyle name="40% - Accent4 2 3 2 4 2 4" xfId="24506" xr:uid="{00000000-0005-0000-0000-0000C14A0000}"/>
    <cellStyle name="40% - Accent4 2 3 2 4 2 4 2" xfId="43700" xr:uid="{00000000-0005-0000-0000-0000C24A0000}"/>
    <cellStyle name="40% - Accent4 2 3 2 4 2 5" xfId="34002" xr:uid="{00000000-0005-0000-0000-0000C34A0000}"/>
    <cellStyle name="40% - Accent4 2 3 2 4 3" xfId="14677" xr:uid="{00000000-0005-0000-0000-0000C44A0000}"/>
    <cellStyle name="40% - Accent4 2 3 2 4 3 2" xfId="15806" xr:uid="{00000000-0005-0000-0000-0000C54A0000}"/>
    <cellStyle name="40% - Accent4 2 3 2 4 3 2 2" xfId="20270" xr:uid="{00000000-0005-0000-0000-0000C64A0000}"/>
    <cellStyle name="40% - Accent4 2 3 2 4 3 2 2 2" xfId="30638" xr:uid="{00000000-0005-0000-0000-0000C74A0000}"/>
    <cellStyle name="40% - Accent4 2 3 2 4 3 2 2 2 2" xfId="49827" xr:uid="{00000000-0005-0000-0000-0000C84A0000}"/>
    <cellStyle name="40% - Accent4 2 3 2 4 3 2 2 3" xfId="40129" xr:uid="{00000000-0005-0000-0000-0000C94A0000}"/>
    <cellStyle name="40% - Accent4 2 3 2 4 3 2 3" xfId="26183" xr:uid="{00000000-0005-0000-0000-0000CA4A0000}"/>
    <cellStyle name="40% - Accent4 2 3 2 4 3 2 3 2" xfId="45372" xr:uid="{00000000-0005-0000-0000-0000CB4A0000}"/>
    <cellStyle name="40% - Accent4 2 3 2 4 3 2 4" xfId="35674" xr:uid="{00000000-0005-0000-0000-0000CC4A0000}"/>
    <cellStyle name="40% - Accent4 2 3 2 4 3 3" xfId="19155" xr:uid="{00000000-0005-0000-0000-0000CD4A0000}"/>
    <cellStyle name="40% - Accent4 2 3 2 4 3 3 2" xfId="29523" xr:uid="{00000000-0005-0000-0000-0000CE4A0000}"/>
    <cellStyle name="40% - Accent4 2 3 2 4 3 3 2 2" xfId="48712" xr:uid="{00000000-0005-0000-0000-0000CF4A0000}"/>
    <cellStyle name="40% - Accent4 2 3 2 4 3 3 3" xfId="39014" xr:uid="{00000000-0005-0000-0000-0000D04A0000}"/>
    <cellStyle name="40% - Accent4 2 3 2 4 3 4" xfId="25068" xr:uid="{00000000-0005-0000-0000-0000D14A0000}"/>
    <cellStyle name="40% - Accent4 2 3 2 4 3 4 2" xfId="44257" xr:uid="{00000000-0005-0000-0000-0000D24A0000}"/>
    <cellStyle name="40% - Accent4 2 3 2 4 3 5" xfId="34559" xr:uid="{00000000-0005-0000-0000-0000D34A0000}"/>
    <cellStyle name="40% - Accent4 2 3 2 4 4" xfId="15249" xr:uid="{00000000-0005-0000-0000-0000D44A0000}"/>
    <cellStyle name="40% - Accent4 2 3 2 4 4 2" xfId="19713" xr:uid="{00000000-0005-0000-0000-0000D54A0000}"/>
    <cellStyle name="40% - Accent4 2 3 2 4 4 2 2" xfId="30081" xr:uid="{00000000-0005-0000-0000-0000D64A0000}"/>
    <cellStyle name="40% - Accent4 2 3 2 4 4 2 2 2" xfId="49270" xr:uid="{00000000-0005-0000-0000-0000D74A0000}"/>
    <cellStyle name="40% - Accent4 2 3 2 4 4 2 3" xfId="39572" xr:uid="{00000000-0005-0000-0000-0000D84A0000}"/>
    <cellStyle name="40% - Accent4 2 3 2 4 4 3" xfId="25626" xr:uid="{00000000-0005-0000-0000-0000D94A0000}"/>
    <cellStyle name="40% - Accent4 2 3 2 4 4 3 2" xfId="44815" xr:uid="{00000000-0005-0000-0000-0000DA4A0000}"/>
    <cellStyle name="40% - Accent4 2 3 2 4 4 4" xfId="35117" xr:uid="{00000000-0005-0000-0000-0000DB4A0000}"/>
    <cellStyle name="40% - Accent4 2 3 2 4 5" xfId="16919" xr:uid="{00000000-0005-0000-0000-0000DC4A0000}"/>
    <cellStyle name="40% - Accent4 2 3 2 4 5 2" xfId="21383" xr:uid="{00000000-0005-0000-0000-0000DD4A0000}"/>
    <cellStyle name="40% - Accent4 2 3 2 4 5 2 2" xfId="31751" xr:uid="{00000000-0005-0000-0000-0000DE4A0000}"/>
    <cellStyle name="40% - Accent4 2 3 2 4 5 2 2 2" xfId="50940" xr:uid="{00000000-0005-0000-0000-0000DF4A0000}"/>
    <cellStyle name="40% - Accent4 2 3 2 4 5 2 3" xfId="41242" xr:uid="{00000000-0005-0000-0000-0000E04A0000}"/>
    <cellStyle name="40% - Accent4 2 3 2 4 5 3" xfId="27296" xr:uid="{00000000-0005-0000-0000-0000E14A0000}"/>
    <cellStyle name="40% - Accent4 2 3 2 4 5 3 2" xfId="46485" xr:uid="{00000000-0005-0000-0000-0000E24A0000}"/>
    <cellStyle name="40% - Accent4 2 3 2 4 5 4" xfId="36787" xr:uid="{00000000-0005-0000-0000-0000E34A0000}"/>
    <cellStyle name="40% - Accent4 2 3 2 4 6" xfId="17485" xr:uid="{00000000-0005-0000-0000-0000E44A0000}"/>
    <cellStyle name="40% - Accent4 2 3 2 4 6 2" xfId="21940" xr:uid="{00000000-0005-0000-0000-0000E54A0000}"/>
    <cellStyle name="40% - Accent4 2 3 2 4 6 2 2" xfId="32308" xr:uid="{00000000-0005-0000-0000-0000E64A0000}"/>
    <cellStyle name="40% - Accent4 2 3 2 4 6 2 2 2" xfId="51497" xr:uid="{00000000-0005-0000-0000-0000E74A0000}"/>
    <cellStyle name="40% - Accent4 2 3 2 4 6 2 3" xfId="41799" xr:uid="{00000000-0005-0000-0000-0000E84A0000}"/>
    <cellStyle name="40% - Accent4 2 3 2 4 6 3" xfId="27853" xr:uid="{00000000-0005-0000-0000-0000E94A0000}"/>
    <cellStyle name="40% - Accent4 2 3 2 4 6 3 2" xfId="47042" xr:uid="{00000000-0005-0000-0000-0000EA4A0000}"/>
    <cellStyle name="40% - Accent4 2 3 2 4 6 4" xfId="37344" xr:uid="{00000000-0005-0000-0000-0000EB4A0000}"/>
    <cellStyle name="40% - Accent4 2 3 2 4 7" xfId="18042" xr:uid="{00000000-0005-0000-0000-0000EC4A0000}"/>
    <cellStyle name="40% - Accent4 2 3 2 4 7 2" xfId="28410" xr:uid="{00000000-0005-0000-0000-0000ED4A0000}"/>
    <cellStyle name="40% - Accent4 2 3 2 4 7 2 2" xfId="47599" xr:uid="{00000000-0005-0000-0000-0000EE4A0000}"/>
    <cellStyle name="40% - Accent4 2 3 2 4 7 3" xfId="37901" xr:uid="{00000000-0005-0000-0000-0000EF4A0000}"/>
    <cellStyle name="40% - Accent4 2 3 2 4 8" xfId="23905" xr:uid="{00000000-0005-0000-0000-0000F04A0000}"/>
    <cellStyle name="40% - Accent4 2 3 2 4 8 2" xfId="43144" xr:uid="{00000000-0005-0000-0000-0000F14A0000}"/>
    <cellStyle name="40% - Accent4 2 3 2 4 9" xfId="33446" xr:uid="{00000000-0005-0000-0000-0000F24A0000}"/>
    <cellStyle name="40% - Accent4 2 3 2 5" xfId="14093" xr:uid="{00000000-0005-0000-0000-0000F34A0000}"/>
    <cellStyle name="40% - Accent4 2 3 2 5 2" xfId="16357" xr:uid="{00000000-0005-0000-0000-0000F44A0000}"/>
    <cellStyle name="40% - Accent4 2 3 2 5 2 2" xfId="20821" xr:uid="{00000000-0005-0000-0000-0000F54A0000}"/>
    <cellStyle name="40% - Accent4 2 3 2 5 2 2 2" xfId="31189" xr:uid="{00000000-0005-0000-0000-0000F64A0000}"/>
    <cellStyle name="40% - Accent4 2 3 2 5 2 2 2 2" xfId="50378" xr:uid="{00000000-0005-0000-0000-0000F74A0000}"/>
    <cellStyle name="40% - Accent4 2 3 2 5 2 2 3" xfId="40680" xr:uid="{00000000-0005-0000-0000-0000F84A0000}"/>
    <cellStyle name="40% - Accent4 2 3 2 5 2 3" xfId="26734" xr:uid="{00000000-0005-0000-0000-0000F94A0000}"/>
    <cellStyle name="40% - Accent4 2 3 2 5 2 3 2" xfId="45923" xr:uid="{00000000-0005-0000-0000-0000FA4A0000}"/>
    <cellStyle name="40% - Accent4 2 3 2 5 2 4" xfId="36225" xr:uid="{00000000-0005-0000-0000-0000FB4A0000}"/>
    <cellStyle name="40% - Accent4 2 3 2 5 3" xfId="18593" xr:uid="{00000000-0005-0000-0000-0000FC4A0000}"/>
    <cellStyle name="40% - Accent4 2 3 2 5 3 2" xfId="28961" xr:uid="{00000000-0005-0000-0000-0000FD4A0000}"/>
    <cellStyle name="40% - Accent4 2 3 2 5 3 2 2" xfId="48150" xr:uid="{00000000-0005-0000-0000-0000FE4A0000}"/>
    <cellStyle name="40% - Accent4 2 3 2 5 3 3" xfId="38452" xr:uid="{00000000-0005-0000-0000-0000FF4A0000}"/>
    <cellStyle name="40% - Accent4 2 3 2 5 4" xfId="24501" xr:uid="{00000000-0005-0000-0000-0000004B0000}"/>
    <cellStyle name="40% - Accent4 2 3 2 5 4 2" xfId="43695" xr:uid="{00000000-0005-0000-0000-0000014B0000}"/>
    <cellStyle name="40% - Accent4 2 3 2 5 5" xfId="33997" xr:uid="{00000000-0005-0000-0000-0000024B0000}"/>
    <cellStyle name="40% - Accent4 2 3 2 6" xfId="14672" xr:uid="{00000000-0005-0000-0000-0000034B0000}"/>
    <cellStyle name="40% - Accent4 2 3 2 6 2" xfId="15801" xr:uid="{00000000-0005-0000-0000-0000044B0000}"/>
    <cellStyle name="40% - Accent4 2 3 2 6 2 2" xfId="20265" xr:uid="{00000000-0005-0000-0000-0000054B0000}"/>
    <cellStyle name="40% - Accent4 2 3 2 6 2 2 2" xfId="30633" xr:uid="{00000000-0005-0000-0000-0000064B0000}"/>
    <cellStyle name="40% - Accent4 2 3 2 6 2 2 2 2" xfId="49822" xr:uid="{00000000-0005-0000-0000-0000074B0000}"/>
    <cellStyle name="40% - Accent4 2 3 2 6 2 2 3" xfId="40124" xr:uid="{00000000-0005-0000-0000-0000084B0000}"/>
    <cellStyle name="40% - Accent4 2 3 2 6 2 3" xfId="26178" xr:uid="{00000000-0005-0000-0000-0000094B0000}"/>
    <cellStyle name="40% - Accent4 2 3 2 6 2 3 2" xfId="45367" xr:uid="{00000000-0005-0000-0000-00000A4B0000}"/>
    <cellStyle name="40% - Accent4 2 3 2 6 2 4" xfId="35669" xr:uid="{00000000-0005-0000-0000-00000B4B0000}"/>
    <cellStyle name="40% - Accent4 2 3 2 6 3" xfId="19150" xr:uid="{00000000-0005-0000-0000-00000C4B0000}"/>
    <cellStyle name="40% - Accent4 2 3 2 6 3 2" xfId="29518" xr:uid="{00000000-0005-0000-0000-00000D4B0000}"/>
    <cellStyle name="40% - Accent4 2 3 2 6 3 2 2" xfId="48707" xr:uid="{00000000-0005-0000-0000-00000E4B0000}"/>
    <cellStyle name="40% - Accent4 2 3 2 6 3 3" xfId="39009" xr:uid="{00000000-0005-0000-0000-00000F4B0000}"/>
    <cellStyle name="40% - Accent4 2 3 2 6 4" xfId="25063" xr:uid="{00000000-0005-0000-0000-0000104B0000}"/>
    <cellStyle name="40% - Accent4 2 3 2 6 4 2" xfId="44252" xr:uid="{00000000-0005-0000-0000-0000114B0000}"/>
    <cellStyle name="40% - Accent4 2 3 2 6 5" xfId="34554" xr:uid="{00000000-0005-0000-0000-0000124B0000}"/>
    <cellStyle name="40% - Accent4 2 3 2 7" xfId="15244" xr:uid="{00000000-0005-0000-0000-0000134B0000}"/>
    <cellStyle name="40% - Accent4 2 3 2 7 2" xfId="19708" xr:uid="{00000000-0005-0000-0000-0000144B0000}"/>
    <cellStyle name="40% - Accent4 2 3 2 7 2 2" xfId="30076" xr:uid="{00000000-0005-0000-0000-0000154B0000}"/>
    <cellStyle name="40% - Accent4 2 3 2 7 2 2 2" xfId="49265" xr:uid="{00000000-0005-0000-0000-0000164B0000}"/>
    <cellStyle name="40% - Accent4 2 3 2 7 2 3" xfId="39567" xr:uid="{00000000-0005-0000-0000-0000174B0000}"/>
    <cellStyle name="40% - Accent4 2 3 2 7 3" xfId="25621" xr:uid="{00000000-0005-0000-0000-0000184B0000}"/>
    <cellStyle name="40% - Accent4 2 3 2 7 3 2" xfId="44810" xr:uid="{00000000-0005-0000-0000-0000194B0000}"/>
    <cellStyle name="40% - Accent4 2 3 2 7 4" xfId="35112" xr:uid="{00000000-0005-0000-0000-00001A4B0000}"/>
    <cellStyle name="40% - Accent4 2 3 2 8" xfId="16914" xr:uid="{00000000-0005-0000-0000-00001B4B0000}"/>
    <cellStyle name="40% - Accent4 2 3 2 8 2" xfId="21378" xr:uid="{00000000-0005-0000-0000-00001C4B0000}"/>
    <cellStyle name="40% - Accent4 2 3 2 8 2 2" xfId="31746" xr:uid="{00000000-0005-0000-0000-00001D4B0000}"/>
    <cellStyle name="40% - Accent4 2 3 2 8 2 2 2" xfId="50935" xr:uid="{00000000-0005-0000-0000-00001E4B0000}"/>
    <cellStyle name="40% - Accent4 2 3 2 8 2 3" xfId="41237" xr:uid="{00000000-0005-0000-0000-00001F4B0000}"/>
    <cellStyle name="40% - Accent4 2 3 2 8 3" xfId="27291" xr:uid="{00000000-0005-0000-0000-0000204B0000}"/>
    <cellStyle name="40% - Accent4 2 3 2 8 3 2" xfId="46480" xr:uid="{00000000-0005-0000-0000-0000214B0000}"/>
    <cellStyle name="40% - Accent4 2 3 2 8 4" xfId="36782" xr:uid="{00000000-0005-0000-0000-0000224B0000}"/>
    <cellStyle name="40% - Accent4 2 3 2 9" xfId="17480" xr:uid="{00000000-0005-0000-0000-0000234B0000}"/>
    <cellStyle name="40% - Accent4 2 3 2 9 2" xfId="21935" xr:uid="{00000000-0005-0000-0000-0000244B0000}"/>
    <cellStyle name="40% - Accent4 2 3 2 9 2 2" xfId="32303" xr:uid="{00000000-0005-0000-0000-0000254B0000}"/>
    <cellStyle name="40% - Accent4 2 3 2 9 2 2 2" xfId="51492" xr:uid="{00000000-0005-0000-0000-0000264B0000}"/>
    <cellStyle name="40% - Accent4 2 3 2 9 2 3" xfId="41794" xr:uid="{00000000-0005-0000-0000-0000274B0000}"/>
    <cellStyle name="40% - Accent4 2 3 2 9 3" xfId="27848" xr:uid="{00000000-0005-0000-0000-0000284B0000}"/>
    <cellStyle name="40% - Accent4 2 3 2 9 3 2" xfId="47037" xr:uid="{00000000-0005-0000-0000-0000294B0000}"/>
    <cellStyle name="40% - Accent4 2 3 2 9 4" xfId="37339" xr:uid="{00000000-0005-0000-0000-00002A4B0000}"/>
    <cellStyle name="40% - Accent4 2 3 3" xfId="1960" xr:uid="{00000000-0005-0000-0000-00002B4B0000}"/>
    <cellStyle name="40% - Accent4 2 3 3 10" xfId="23906" xr:uid="{00000000-0005-0000-0000-00002C4B0000}"/>
    <cellStyle name="40% - Accent4 2 3 3 10 2" xfId="43145" xr:uid="{00000000-0005-0000-0000-00002D4B0000}"/>
    <cellStyle name="40% - Accent4 2 3 3 11" xfId="33447" xr:uid="{00000000-0005-0000-0000-00002E4B0000}"/>
    <cellStyle name="40% - Accent4 2 3 3 12" xfId="52947" xr:uid="{00000000-0005-0000-0000-00002F4B0000}"/>
    <cellStyle name="40% - Accent4 2 3 3 13" xfId="13161" xr:uid="{00000000-0005-0000-0000-0000304B0000}"/>
    <cellStyle name="40% - Accent4 2 3 3 2" xfId="13162" xr:uid="{00000000-0005-0000-0000-0000314B0000}"/>
    <cellStyle name="40% - Accent4 2 3 3 2 10" xfId="53822" xr:uid="{00000000-0005-0000-0000-0000324B0000}"/>
    <cellStyle name="40% - Accent4 2 3 3 2 2" xfId="14100" xr:uid="{00000000-0005-0000-0000-0000334B0000}"/>
    <cellStyle name="40% - Accent4 2 3 3 2 2 2" xfId="16364" xr:uid="{00000000-0005-0000-0000-0000344B0000}"/>
    <cellStyle name="40% - Accent4 2 3 3 2 2 2 2" xfId="20828" xr:uid="{00000000-0005-0000-0000-0000354B0000}"/>
    <cellStyle name="40% - Accent4 2 3 3 2 2 2 2 2" xfId="31196" xr:uid="{00000000-0005-0000-0000-0000364B0000}"/>
    <cellStyle name="40% - Accent4 2 3 3 2 2 2 2 2 2" xfId="50385" xr:uid="{00000000-0005-0000-0000-0000374B0000}"/>
    <cellStyle name="40% - Accent4 2 3 3 2 2 2 2 3" xfId="40687" xr:uid="{00000000-0005-0000-0000-0000384B0000}"/>
    <cellStyle name="40% - Accent4 2 3 3 2 2 2 3" xfId="26741" xr:uid="{00000000-0005-0000-0000-0000394B0000}"/>
    <cellStyle name="40% - Accent4 2 3 3 2 2 2 3 2" xfId="45930" xr:uid="{00000000-0005-0000-0000-00003A4B0000}"/>
    <cellStyle name="40% - Accent4 2 3 3 2 2 2 4" xfId="36232" xr:uid="{00000000-0005-0000-0000-00003B4B0000}"/>
    <cellStyle name="40% - Accent4 2 3 3 2 2 3" xfId="18600" xr:uid="{00000000-0005-0000-0000-00003C4B0000}"/>
    <cellStyle name="40% - Accent4 2 3 3 2 2 3 2" xfId="28968" xr:uid="{00000000-0005-0000-0000-00003D4B0000}"/>
    <cellStyle name="40% - Accent4 2 3 3 2 2 3 2 2" xfId="48157" xr:uid="{00000000-0005-0000-0000-00003E4B0000}"/>
    <cellStyle name="40% - Accent4 2 3 3 2 2 3 3" xfId="38459" xr:uid="{00000000-0005-0000-0000-00003F4B0000}"/>
    <cellStyle name="40% - Accent4 2 3 3 2 2 4" xfId="24508" xr:uid="{00000000-0005-0000-0000-0000404B0000}"/>
    <cellStyle name="40% - Accent4 2 3 3 2 2 4 2" xfId="43702" xr:uid="{00000000-0005-0000-0000-0000414B0000}"/>
    <cellStyle name="40% - Accent4 2 3 3 2 2 5" xfId="34004" xr:uid="{00000000-0005-0000-0000-0000424B0000}"/>
    <cellStyle name="40% - Accent4 2 3 3 2 3" xfId="14679" xr:uid="{00000000-0005-0000-0000-0000434B0000}"/>
    <cellStyle name="40% - Accent4 2 3 3 2 3 2" xfId="15808" xr:uid="{00000000-0005-0000-0000-0000444B0000}"/>
    <cellStyle name="40% - Accent4 2 3 3 2 3 2 2" xfId="20272" xr:uid="{00000000-0005-0000-0000-0000454B0000}"/>
    <cellStyle name="40% - Accent4 2 3 3 2 3 2 2 2" xfId="30640" xr:uid="{00000000-0005-0000-0000-0000464B0000}"/>
    <cellStyle name="40% - Accent4 2 3 3 2 3 2 2 2 2" xfId="49829" xr:uid="{00000000-0005-0000-0000-0000474B0000}"/>
    <cellStyle name="40% - Accent4 2 3 3 2 3 2 2 3" xfId="40131" xr:uid="{00000000-0005-0000-0000-0000484B0000}"/>
    <cellStyle name="40% - Accent4 2 3 3 2 3 2 3" xfId="26185" xr:uid="{00000000-0005-0000-0000-0000494B0000}"/>
    <cellStyle name="40% - Accent4 2 3 3 2 3 2 3 2" xfId="45374" xr:uid="{00000000-0005-0000-0000-00004A4B0000}"/>
    <cellStyle name="40% - Accent4 2 3 3 2 3 2 4" xfId="35676" xr:uid="{00000000-0005-0000-0000-00004B4B0000}"/>
    <cellStyle name="40% - Accent4 2 3 3 2 3 3" xfId="19157" xr:uid="{00000000-0005-0000-0000-00004C4B0000}"/>
    <cellStyle name="40% - Accent4 2 3 3 2 3 3 2" xfId="29525" xr:uid="{00000000-0005-0000-0000-00004D4B0000}"/>
    <cellStyle name="40% - Accent4 2 3 3 2 3 3 2 2" xfId="48714" xr:uid="{00000000-0005-0000-0000-00004E4B0000}"/>
    <cellStyle name="40% - Accent4 2 3 3 2 3 3 3" xfId="39016" xr:uid="{00000000-0005-0000-0000-00004F4B0000}"/>
    <cellStyle name="40% - Accent4 2 3 3 2 3 4" xfId="25070" xr:uid="{00000000-0005-0000-0000-0000504B0000}"/>
    <cellStyle name="40% - Accent4 2 3 3 2 3 4 2" xfId="44259" xr:uid="{00000000-0005-0000-0000-0000514B0000}"/>
    <cellStyle name="40% - Accent4 2 3 3 2 3 5" xfId="34561" xr:uid="{00000000-0005-0000-0000-0000524B0000}"/>
    <cellStyle name="40% - Accent4 2 3 3 2 4" xfId="15251" xr:uid="{00000000-0005-0000-0000-0000534B0000}"/>
    <cellStyle name="40% - Accent4 2 3 3 2 4 2" xfId="19715" xr:uid="{00000000-0005-0000-0000-0000544B0000}"/>
    <cellStyle name="40% - Accent4 2 3 3 2 4 2 2" xfId="30083" xr:uid="{00000000-0005-0000-0000-0000554B0000}"/>
    <cellStyle name="40% - Accent4 2 3 3 2 4 2 2 2" xfId="49272" xr:uid="{00000000-0005-0000-0000-0000564B0000}"/>
    <cellStyle name="40% - Accent4 2 3 3 2 4 2 3" xfId="39574" xr:uid="{00000000-0005-0000-0000-0000574B0000}"/>
    <cellStyle name="40% - Accent4 2 3 3 2 4 3" xfId="25628" xr:uid="{00000000-0005-0000-0000-0000584B0000}"/>
    <cellStyle name="40% - Accent4 2 3 3 2 4 3 2" xfId="44817" xr:uid="{00000000-0005-0000-0000-0000594B0000}"/>
    <cellStyle name="40% - Accent4 2 3 3 2 4 4" xfId="35119" xr:uid="{00000000-0005-0000-0000-00005A4B0000}"/>
    <cellStyle name="40% - Accent4 2 3 3 2 5" xfId="16921" xr:uid="{00000000-0005-0000-0000-00005B4B0000}"/>
    <cellStyle name="40% - Accent4 2 3 3 2 5 2" xfId="21385" xr:uid="{00000000-0005-0000-0000-00005C4B0000}"/>
    <cellStyle name="40% - Accent4 2 3 3 2 5 2 2" xfId="31753" xr:uid="{00000000-0005-0000-0000-00005D4B0000}"/>
    <cellStyle name="40% - Accent4 2 3 3 2 5 2 2 2" xfId="50942" xr:uid="{00000000-0005-0000-0000-00005E4B0000}"/>
    <cellStyle name="40% - Accent4 2 3 3 2 5 2 3" xfId="41244" xr:uid="{00000000-0005-0000-0000-00005F4B0000}"/>
    <cellStyle name="40% - Accent4 2 3 3 2 5 3" xfId="27298" xr:uid="{00000000-0005-0000-0000-0000604B0000}"/>
    <cellStyle name="40% - Accent4 2 3 3 2 5 3 2" xfId="46487" xr:uid="{00000000-0005-0000-0000-0000614B0000}"/>
    <cellStyle name="40% - Accent4 2 3 3 2 5 4" xfId="36789" xr:uid="{00000000-0005-0000-0000-0000624B0000}"/>
    <cellStyle name="40% - Accent4 2 3 3 2 6" xfId="17487" xr:uid="{00000000-0005-0000-0000-0000634B0000}"/>
    <cellStyle name="40% - Accent4 2 3 3 2 6 2" xfId="21942" xr:uid="{00000000-0005-0000-0000-0000644B0000}"/>
    <cellStyle name="40% - Accent4 2 3 3 2 6 2 2" xfId="32310" xr:uid="{00000000-0005-0000-0000-0000654B0000}"/>
    <cellStyle name="40% - Accent4 2 3 3 2 6 2 2 2" xfId="51499" xr:uid="{00000000-0005-0000-0000-0000664B0000}"/>
    <cellStyle name="40% - Accent4 2 3 3 2 6 2 3" xfId="41801" xr:uid="{00000000-0005-0000-0000-0000674B0000}"/>
    <cellStyle name="40% - Accent4 2 3 3 2 6 3" xfId="27855" xr:uid="{00000000-0005-0000-0000-0000684B0000}"/>
    <cellStyle name="40% - Accent4 2 3 3 2 6 3 2" xfId="47044" xr:uid="{00000000-0005-0000-0000-0000694B0000}"/>
    <cellStyle name="40% - Accent4 2 3 3 2 6 4" xfId="37346" xr:uid="{00000000-0005-0000-0000-00006A4B0000}"/>
    <cellStyle name="40% - Accent4 2 3 3 2 7" xfId="18044" xr:uid="{00000000-0005-0000-0000-00006B4B0000}"/>
    <cellStyle name="40% - Accent4 2 3 3 2 7 2" xfId="28412" xr:uid="{00000000-0005-0000-0000-00006C4B0000}"/>
    <cellStyle name="40% - Accent4 2 3 3 2 7 2 2" xfId="47601" xr:uid="{00000000-0005-0000-0000-00006D4B0000}"/>
    <cellStyle name="40% - Accent4 2 3 3 2 7 3" xfId="37903" xr:uid="{00000000-0005-0000-0000-00006E4B0000}"/>
    <cellStyle name="40% - Accent4 2 3 3 2 8" xfId="23907" xr:uid="{00000000-0005-0000-0000-00006F4B0000}"/>
    <cellStyle name="40% - Accent4 2 3 3 2 8 2" xfId="43146" xr:uid="{00000000-0005-0000-0000-0000704B0000}"/>
    <cellStyle name="40% - Accent4 2 3 3 2 9" xfId="33448" xr:uid="{00000000-0005-0000-0000-0000714B0000}"/>
    <cellStyle name="40% - Accent4 2 3 3 3" xfId="13163" xr:uid="{00000000-0005-0000-0000-0000724B0000}"/>
    <cellStyle name="40% - Accent4 2 3 3 3 2" xfId="14101" xr:uid="{00000000-0005-0000-0000-0000734B0000}"/>
    <cellStyle name="40% - Accent4 2 3 3 3 2 2" xfId="16365" xr:uid="{00000000-0005-0000-0000-0000744B0000}"/>
    <cellStyle name="40% - Accent4 2 3 3 3 2 2 2" xfId="20829" xr:uid="{00000000-0005-0000-0000-0000754B0000}"/>
    <cellStyle name="40% - Accent4 2 3 3 3 2 2 2 2" xfId="31197" xr:uid="{00000000-0005-0000-0000-0000764B0000}"/>
    <cellStyle name="40% - Accent4 2 3 3 3 2 2 2 2 2" xfId="50386" xr:uid="{00000000-0005-0000-0000-0000774B0000}"/>
    <cellStyle name="40% - Accent4 2 3 3 3 2 2 2 3" xfId="40688" xr:uid="{00000000-0005-0000-0000-0000784B0000}"/>
    <cellStyle name="40% - Accent4 2 3 3 3 2 2 3" xfId="26742" xr:uid="{00000000-0005-0000-0000-0000794B0000}"/>
    <cellStyle name="40% - Accent4 2 3 3 3 2 2 3 2" xfId="45931" xr:uid="{00000000-0005-0000-0000-00007A4B0000}"/>
    <cellStyle name="40% - Accent4 2 3 3 3 2 2 4" xfId="36233" xr:uid="{00000000-0005-0000-0000-00007B4B0000}"/>
    <cellStyle name="40% - Accent4 2 3 3 3 2 3" xfId="18601" xr:uid="{00000000-0005-0000-0000-00007C4B0000}"/>
    <cellStyle name="40% - Accent4 2 3 3 3 2 3 2" xfId="28969" xr:uid="{00000000-0005-0000-0000-00007D4B0000}"/>
    <cellStyle name="40% - Accent4 2 3 3 3 2 3 2 2" xfId="48158" xr:uid="{00000000-0005-0000-0000-00007E4B0000}"/>
    <cellStyle name="40% - Accent4 2 3 3 3 2 3 3" xfId="38460" xr:uid="{00000000-0005-0000-0000-00007F4B0000}"/>
    <cellStyle name="40% - Accent4 2 3 3 3 2 4" xfId="24509" xr:uid="{00000000-0005-0000-0000-0000804B0000}"/>
    <cellStyle name="40% - Accent4 2 3 3 3 2 4 2" xfId="43703" xr:uid="{00000000-0005-0000-0000-0000814B0000}"/>
    <cellStyle name="40% - Accent4 2 3 3 3 2 5" xfId="34005" xr:uid="{00000000-0005-0000-0000-0000824B0000}"/>
    <cellStyle name="40% - Accent4 2 3 3 3 3" xfId="14680" xr:uid="{00000000-0005-0000-0000-0000834B0000}"/>
    <cellStyle name="40% - Accent4 2 3 3 3 3 2" xfId="15809" xr:uid="{00000000-0005-0000-0000-0000844B0000}"/>
    <cellStyle name="40% - Accent4 2 3 3 3 3 2 2" xfId="20273" xr:uid="{00000000-0005-0000-0000-0000854B0000}"/>
    <cellStyle name="40% - Accent4 2 3 3 3 3 2 2 2" xfId="30641" xr:uid="{00000000-0005-0000-0000-0000864B0000}"/>
    <cellStyle name="40% - Accent4 2 3 3 3 3 2 2 2 2" xfId="49830" xr:uid="{00000000-0005-0000-0000-0000874B0000}"/>
    <cellStyle name="40% - Accent4 2 3 3 3 3 2 2 3" xfId="40132" xr:uid="{00000000-0005-0000-0000-0000884B0000}"/>
    <cellStyle name="40% - Accent4 2 3 3 3 3 2 3" xfId="26186" xr:uid="{00000000-0005-0000-0000-0000894B0000}"/>
    <cellStyle name="40% - Accent4 2 3 3 3 3 2 3 2" xfId="45375" xr:uid="{00000000-0005-0000-0000-00008A4B0000}"/>
    <cellStyle name="40% - Accent4 2 3 3 3 3 2 4" xfId="35677" xr:uid="{00000000-0005-0000-0000-00008B4B0000}"/>
    <cellStyle name="40% - Accent4 2 3 3 3 3 3" xfId="19158" xr:uid="{00000000-0005-0000-0000-00008C4B0000}"/>
    <cellStyle name="40% - Accent4 2 3 3 3 3 3 2" xfId="29526" xr:uid="{00000000-0005-0000-0000-00008D4B0000}"/>
    <cellStyle name="40% - Accent4 2 3 3 3 3 3 2 2" xfId="48715" xr:uid="{00000000-0005-0000-0000-00008E4B0000}"/>
    <cellStyle name="40% - Accent4 2 3 3 3 3 3 3" xfId="39017" xr:uid="{00000000-0005-0000-0000-00008F4B0000}"/>
    <cellStyle name="40% - Accent4 2 3 3 3 3 4" xfId="25071" xr:uid="{00000000-0005-0000-0000-0000904B0000}"/>
    <cellStyle name="40% - Accent4 2 3 3 3 3 4 2" xfId="44260" xr:uid="{00000000-0005-0000-0000-0000914B0000}"/>
    <cellStyle name="40% - Accent4 2 3 3 3 3 5" xfId="34562" xr:uid="{00000000-0005-0000-0000-0000924B0000}"/>
    <cellStyle name="40% - Accent4 2 3 3 3 4" xfId="15252" xr:uid="{00000000-0005-0000-0000-0000934B0000}"/>
    <cellStyle name="40% - Accent4 2 3 3 3 4 2" xfId="19716" xr:uid="{00000000-0005-0000-0000-0000944B0000}"/>
    <cellStyle name="40% - Accent4 2 3 3 3 4 2 2" xfId="30084" xr:uid="{00000000-0005-0000-0000-0000954B0000}"/>
    <cellStyle name="40% - Accent4 2 3 3 3 4 2 2 2" xfId="49273" xr:uid="{00000000-0005-0000-0000-0000964B0000}"/>
    <cellStyle name="40% - Accent4 2 3 3 3 4 2 3" xfId="39575" xr:uid="{00000000-0005-0000-0000-0000974B0000}"/>
    <cellStyle name="40% - Accent4 2 3 3 3 4 3" xfId="25629" xr:uid="{00000000-0005-0000-0000-0000984B0000}"/>
    <cellStyle name="40% - Accent4 2 3 3 3 4 3 2" xfId="44818" xr:uid="{00000000-0005-0000-0000-0000994B0000}"/>
    <cellStyle name="40% - Accent4 2 3 3 3 4 4" xfId="35120" xr:uid="{00000000-0005-0000-0000-00009A4B0000}"/>
    <cellStyle name="40% - Accent4 2 3 3 3 5" xfId="16922" xr:uid="{00000000-0005-0000-0000-00009B4B0000}"/>
    <cellStyle name="40% - Accent4 2 3 3 3 5 2" xfId="21386" xr:uid="{00000000-0005-0000-0000-00009C4B0000}"/>
    <cellStyle name="40% - Accent4 2 3 3 3 5 2 2" xfId="31754" xr:uid="{00000000-0005-0000-0000-00009D4B0000}"/>
    <cellStyle name="40% - Accent4 2 3 3 3 5 2 2 2" xfId="50943" xr:uid="{00000000-0005-0000-0000-00009E4B0000}"/>
    <cellStyle name="40% - Accent4 2 3 3 3 5 2 3" xfId="41245" xr:uid="{00000000-0005-0000-0000-00009F4B0000}"/>
    <cellStyle name="40% - Accent4 2 3 3 3 5 3" xfId="27299" xr:uid="{00000000-0005-0000-0000-0000A04B0000}"/>
    <cellStyle name="40% - Accent4 2 3 3 3 5 3 2" xfId="46488" xr:uid="{00000000-0005-0000-0000-0000A14B0000}"/>
    <cellStyle name="40% - Accent4 2 3 3 3 5 4" xfId="36790" xr:uid="{00000000-0005-0000-0000-0000A24B0000}"/>
    <cellStyle name="40% - Accent4 2 3 3 3 6" xfId="17488" xr:uid="{00000000-0005-0000-0000-0000A34B0000}"/>
    <cellStyle name="40% - Accent4 2 3 3 3 6 2" xfId="21943" xr:uid="{00000000-0005-0000-0000-0000A44B0000}"/>
    <cellStyle name="40% - Accent4 2 3 3 3 6 2 2" xfId="32311" xr:uid="{00000000-0005-0000-0000-0000A54B0000}"/>
    <cellStyle name="40% - Accent4 2 3 3 3 6 2 2 2" xfId="51500" xr:uid="{00000000-0005-0000-0000-0000A64B0000}"/>
    <cellStyle name="40% - Accent4 2 3 3 3 6 2 3" xfId="41802" xr:uid="{00000000-0005-0000-0000-0000A74B0000}"/>
    <cellStyle name="40% - Accent4 2 3 3 3 6 3" xfId="27856" xr:uid="{00000000-0005-0000-0000-0000A84B0000}"/>
    <cellStyle name="40% - Accent4 2 3 3 3 6 3 2" xfId="47045" xr:uid="{00000000-0005-0000-0000-0000A94B0000}"/>
    <cellStyle name="40% - Accent4 2 3 3 3 6 4" xfId="37347" xr:uid="{00000000-0005-0000-0000-0000AA4B0000}"/>
    <cellStyle name="40% - Accent4 2 3 3 3 7" xfId="18045" xr:uid="{00000000-0005-0000-0000-0000AB4B0000}"/>
    <cellStyle name="40% - Accent4 2 3 3 3 7 2" xfId="28413" xr:uid="{00000000-0005-0000-0000-0000AC4B0000}"/>
    <cellStyle name="40% - Accent4 2 3 3 3 7 2 2" xfId="47602" xr:uid="{00000000-0005-0000-0000-0000AD4B0000}"/>
    <cellStyle name="40% - Accent4 2 3 3 3 7 3" xfId="37904" xr:uid="{00000000-0005-0000-0000-0000AE4B0000}"/>
    <cellStyle name="40% - Accent4 2 3 3 3 8" xfId="23908" xr:uid="{00000000-0005-0000-0000-0000AF4B0000}"/>
    <cellStyle name="40% - Accent4 2 3 3 3 8 2" xfId="43147" xr:uid="{00000000-0005-0000-0000-0000B04B0000}"/>
    <cellStyle name="40% - Accent4 2 3 3 3 9" xfId="33449" xr:uid="{00000000-0005-0000-0000-0000B14B0000}"/>
    <cellStyle name="40% - Accent4 2 3 3 4" xfId="14099" xr:uid="{00000000-0005-0000-0000-0000B24B0000}"/>
    <cellStyle name="40% - Accent4 2 3 3 4 2" xfId="16363" xr:uid="{00000000-0005-0000-0000-0000B34B0000}"/>
    <cellStyle name="40% - Accent4 2 3 3 4 2 2" xfId="20827" xr:uid="{00000000-0005-0000-0000-0000B44B0000}"/>
    <cellStyle name="40% - Accent4 2 3 3 4 2 2 2" xfId="31195" xr:uid="{00000000-0005-0000-0000-0000B54B0000}"/>
    <cellStyle name="40% - Accent4 2 3 3 4 2 2 2 2" xfId="50384" xr:uid="{00000000-0005-0000-0000-0000B64B0000}"/>
    <cellStyle name="40% - Accent4 2 3 3 4 2 2 3" xfId="40686" xr:uid="{00000000-0005-0000-0000-0000B74B0000}"/>
    <cellStyle name="40% - Accent4 2 3 3 4 2 3" xfId="26740" xr:uid="{00000000-0005-0000-0000-0000B84B0000}"/>
    <cellStyle name="40% - Accent4 2 3 3 4 2 3 2" xfId="45929" xr:uid="{00000000-0005-0000-0000-0000B94B0000}"/>
    <cellStyle name="40% - Accent4 2 3 3 4 2 4" xfId="36231" xr:uid="{00000000-0005-0000-0000-0000BA4B0000}"/>
    <cellStyle name="40% - Accent4 2 3 3 4 3" xfId="18599" xr:uid="{00000000-0005-0000-0000-0000BB4B0000}"/>
    <cellStyle name="40% - Accent4 2 3 3 4 3 2" xfId="28967" xr:uid="{00000000-0005-0000-0000-0000BC4B0000}"/>
    <cellStyle name="40% - Accent4 2 3 3 4 3 2 2" xfId="48156" xr:uid="{00000000-0005-0000-0000-0000BD4B0000}"/>
    <cellStyle name="40% - Accent4 2 3 3 4 3 3" xfId="38458" xr:uid="{00000000-0005-0000-0000-0000BE4B0000}"/>
    <cellStyle name="40% - Accent4 2 3 3 4 4" xfId="24507" xr:uid="{00000000-0005-0000-0000-0000BF4B0000}"/>
    <cellStyle name="40% - Accent4 2 3 3 4 4 2" xfId="43701" xr:uid="{00000000-0005-0000-0000-0000C04B0000}"/>
    <cellStyle name="40% - Accent4 2 3 3 4 5" xfId="34003" xr:uid="{00000000-0005-0000-0000-0000C14B0000}"/>
    <cellStyle name="40% - Accent4 2 3 3 5" xfId="14678" xr:uid="{00000000-0005-0000-0000-0000C24B0000}"/>
    <cellStyle name="40% - Accent4 2 3 3 5 2" xfId="15807" xr:uid="{00000000-0005-0000-0000-0000C34B0000}"/>
    <cellStyle name="40% - Accent4 2 3 3 5 2 2" xfId="20271" xr:uid="{00000000-0005-0000-0000-0000C44B0000}"/>
    <cellStyle name="40% - Accent4 2 3 3 5 2 2 2" xfId="30639" xr:uid="{00000000-0005-0000-0000-0000C54B0000}"/>
    <cellStyle name="40% - Accent4 2 3 3 5 2 2 2 2" xfId="49828" xr:uid="{00000000-0005-0000-0000-0000C64B0000}"/>
    <cellStyle name="40% - Accent4 2 3 3 5 2 2 3" xfId="40130" xr:uid="{00000000-0005-0000-0000-0000C74B0000}"/>
    <cellStyle name="40% - Accent4 2 3 3 5 2 3" xfId="26184" xr:uid="{00000000-0005-0000-0000-0000C84B0000}"/>
    <cellStyle name="40% - Accent4 2 3 3 5 2 3 2" xfId="45373" xr:uid="{00000000-0005-0000-0000-0000C94B0000}"/>
    <cellStyle name="40% - Accent4 2 3 3 5 2 4" xfId="35675" xr:uid="{00000000-0005-0000-0000-0000CA4B0000}"/>
    <cellStyle name="40% - Accent4 2 3 3 5 3" xfId="19156" xr:uid="{00000000-0005-0000-0000-0000CB4B0000}"/>
    <cellStyle name="40% - Accent4 2 3 3 5 3 2" xfId="29524" xr:uid="{00000000-0005-0000-0000-0000CC4B0000}"/>
    <cellStyle name="40% - Accent4 2 3 3 5 3 2 2" xfId="48713" xr:uid="{00000000-0005-0000-0000-0000CD4B0000}"/>
    <cellStyle name="40% - Accent4 2 3 3 5 3 3" xfId="39015" xr:uid="{00000000-0005-0000-0000-0000CE4B0000}"/>
    <cellStyle name="40% - Accent4 2 3 3 5 4" xfId="25069" xr:uid="{00000000-0005-0000-0000-0000CF4B0000}"/>
    <cellStyle name="40% - Accent4 2 3 3 5 4 2" xfId="44258" xr:uid="{00000000-0005-0000-0000-0000D04B0000}"/>
    <cellStyle name="40% - Accent4 2 3 3 5 5" xfId="34560" xr:uid="{00000000-0005-0000-0000-0000D14B0000}"/>
    <cellStyle name="40% - Accent4 2 3 3 6" xfId="15250" xr:uid="{00000000-0005-0000-0000-0000D24B0000}"/>
    <cellStyle name="40% - Accent4 2 3 3 6 2" xfId="19714" xr:uid="{00000000-0005-0000-0000-0000D34B0000}"/>
    <cellStyle name="40% - Accent4 2 3 3 6 2 2" xfId="30082" xr:uid="{00000000-0005-0000-0000-0000D44B0000}"/>
    <cellStyle name="40% - Accent4 2 3 3 6 2 2 2" xfId="49271" xr:uid="{00000000-0005-0000-0000-0000D54B0000}"/>
    <cellStyle name="40% - Accent4 2 3 3 6 2 3" xfId="39573" xr:uid="{00000000-0005-0000-0000-0000D64B0000}"/>
    <cellStyle name="40% - Accent4 2 3 3 6 3" xfId="25627" xr:uid="{00000000-0005-0000-0000-0000D74B0000}"/>
    <cellStyle name="40% - Accent4 2 3 3 6 3 2" xfId="44816" xr:uid="{00000000-0005-0000-0000-0000D84B0000}"/>
    <cellStyle name="40% - Accent4 2 3 3 6 4" xfId="35118" xr:uid="{00000000-0005-0000-0000-0000D94B0000}"/>
    <cellStyle name="40% - Accent4 2 3 3 7" xfId="16920" xr:uid="{00000000-0005-0000-0000-0000DA4B0000}"/>
    <cellStyle name="40% - Accent4 2 3 3 7 2" xfId="21384" xr:uid="{00000000-0005-0000-0000-0000DB4B0000}"/>
    <cellStyle name="40% - Accent4 2 3 3 7 2 2" xfId="31752" xr:uid="{00000000-0005-0000-0000-0000DC4B0000}"/>
    <cellStyle name="40% - Accent4 2 3 3 7 2 2 2" xfId="50941" xr:uid="{00000000-0005-0000-0000-0000DD4B0000}"/>
    <cellStyle name="40% - Accent4 2 3 3 7 2 3" xfId="41243" xr:uid="{00000000-0005-0000-0000-0000DE4B0000}"/>
    <cellStyle name="40% - Accent4 2 3 3 7 3" xfId="27297" xr:uid="{00000000-0005-0000-0000-0000DF4B0000}"/>
    <cellStyle name="40% - Accent4 2 3 3 7 3 2" xfId="46486" xr:uid="{00000000-0005-0000-0000-0000E04B0000}"/>
    <cellStyle name="40% - Accent4 2 3 3 7 4" xfId="36788" xr:uid="{00000000-0005-0000-0000-0000E14B0000}"/>
    <cellStyle name="40% - Accent4 2 3 3 8" xfId="17486" xr:uid="{00000000-0005-0000-0000-0000E24B0000}"/>
    <cellStyle name="40% - Accent4 2 3 3 8 2" xfId="21941" xr:uid="{00000000-0005-0000-0000-0000E34B0000}"/>
    <cellStyle name="40% - Accent4 2 3 3 8 2 2" xfId="32309" xr:uid="{00000000-0005-0000-0000-0000E44B0000}"/>
    <cellStyle name="40% - Accent4 2 3 3 8 2 2 2" xfId="51498" xr:uid="{00000000-0005-0000-0000-0000E54B0000}"/>
    <cellStyle name="40% - Accent4 2 3 3 8 2 3" xfId="41800" xr:uid="{00000000-0005-0000-0000-0000E64B0000}"/>
    <cellStyle name="40% - Accent4 2 3 3 8 3" xfId="27854" xr:uid="{00000000-0005-0000-0000-0000E74B0000}"/>
    <cellStyle name="40% - Accent4 2 3 3 8 3 2" xfId="47043" xr:uid="{00000000-0005-0000-0000-0000E84B0000}"/>
    <cellStyle name="40% - Accent4 2 3 3 8 4" xfId="37345" xr:uid="{00000000-0005-0000-0000-0000E94B0000}"/>
    <cellStyle name="40% - Accent4 2 3 3 9" xfId="18043" xr:uid="{00000000-0005-0000-0000-0000EA4B0000}"/>
    <cellStyle name="40% - Accent4 2 3 3 9 2" xfId="28411" xr:uid="{00000000-0005-0000-0000-0000EB4B0000}"/>
    <cellStyle name="40% - Accent4 2 3 3 9 2 2" xfId="47600" xr:uid="{00000000-0005-0000-0000-0000EC4B0000}"/>
    <cellStyle name="40% - Accent4 2 3 3 9 3" xfId="37902" xr:uid="{00000000-0005-0000-0000-0000ED4B0000}"/>
    <cellStyle name="40% - Accent4 2 3 4" xfId="13164" xr:uid="{00000000-0005-0000-0000-0000EE4B0000}"/>
    <cellStyle name="40% - Accent4 2 3 4 10" xfId="53426" xr:uid="{00000000-0005-0000-0000-0000EF4B0000}"/>
    <cellStyle name="40% - Accent4 2 3 4 2" xfId="14102" xr:uid="{00000000-0005-0000-0000-0000F04B0000}"/>
    <cellStyle name="40% - Accent4 2 3 4 2 2" xfId="16366" xr:uid="{00000000-0005-0000-0000-0000F14B0000}"/>
    <cellStyle name="40% - Accent4 2 3 4 2 2 2" xfId="20830" xr:uid="{00000000-0005-0000-0000-0000F24B0000}"/>
    <cellStyle name="40% - Accent4 2 3 4 2 2 2 2" xfId="31198" xr:uid="{00000000-0005-0000-0000-0000F34B0000}"/>
    <cellStyle name="40% - Accent4 2 3 4 2 2 2 2 2" xfId="50387" xr:uid="{00000000-0005-0000-0000-0000F44B0000}"/>
    <cellStyle name="40% - Accent4 2 3 4 2 2 2 3" xfId="40689" xr:uid="{00000000-0005-0000-0000-0000F54B0000}"/>
    <cellStyle name="40% - Accent4 2 3 4 2 2 3" xfId="26743" xr:uid="{00000000-0005-0000-0000-0000F64B0000}"/>
    <cellStyle name="40% - Accent4 2 3 4 2 2 3 2" xfId="45932" xr:uid="{00000000-0005-0000-0000-0000F74B0000}"/>
    <cellStyle name="40% - Accent4 2 3 4 2 2 4" xfId="36234" xr:uid="{00000000-0005-0000-0000-0000F84B0000}"/>
    <cellStyle name="40% - Accent4 2 3 4 2 3" xfId="18602" xr:uid="{00000000-0005-0000-0000-0000F94B0000}"/>
    <cellStyle name="40% - Accent4 2 3 4 2 3 2" xfId="28970" xr:uid="{00000000-0005-0000-0000-0000FA4B0000}"/>
    <cellStyle name="40% - Accent4 2 3 4 2 3 2 2" xfId="48159" xr:uid="{00000000-0005-0000-0000-0000FB4B0000}"/>
    <cellStyle name="40% - Accent4 2 3 4 2 3 3" xfId="38461" xr:uid="{00000000-0005-0000-0000-0000FC4B0000}"/>
    <cellStyle name="40% - Accent4 2 3 4 2 4" xfId="24510" xr:uid="{00000000-0005-0000-0000-0000FD4B0000}"/>
    <cellStyle name="40% - Accent4 2 3 4 2 4 2" xfId="43704" xr:uid="{00000000-0005-0000-0000-0000FE4B0000}"/>
    <cellStyle name="40% - Accent4 2 3 4 2 5" xfId="34006" xr:uid="{00000000-0005-0000-0000-0000FF4B0000}"/>
    <cellStyle name="40% - Accent4 2 3 4 3" xfId="14681" xr:uid="{00000000-0005-0000-0000-0000004C0000}"/>
    <cellStyle name="40% - Accent4 2 3 4 3 2" xfId="15810" xr:uid="{00000000-0005-0000-0000-0000014C0000}"/>
    <cellStyle name="40% - Accent4 2 3 4 3 2 2" xfId="20274" xr:uid="{00000000-0005-0000-0000-0000024C0000}"/>
    <cellStyle name="40% - Accent4 2 3 4 3 2 2 2" xfId="30642" xr:uid="{00000000-0005-0000-0000-0000034C0000}"/>
    <cellStyle name="40% - Accent4 2 3 4 3 2 2 2 2" xfId="49831" xr:uid="{00000000-0005-0000-0000-0000044C0000}"/>
    <cellStyle name="40% - Accent4 2 3 4 3 2 2 3" xfId="40133" xr:uid="{00000000-0005-0000-0000-0000054C0000}"/>
    <cellStyle name="40% - Accent4 2 3 4 3 2 3" xfId="26187" xr:uid="{00000000-0005-0000-0000-0000064C0000}"/>
    <cellStyle name="40% - Accent4 2 3 4 3 2 3 2" xfId="45376" xr:uid="{00000000-0005-0000-0000-0000074C0000}"/>
    <cellStyle name="40% - Accent4 2 3 4 3 2 4" xfId="35678" xr:uid="{00000000-0005-0000-0000-0000084C0000}"/>
    <cellStyle name="40% - Accent4 2 3 4 3 3" xfId="19159" xr:uid="{00000000-0005-0000-0000-0000094C0000}"/>
    <cellStyle name="40% - Accent4 2 3 4 3 3 2" xfId="29527" xr:uid="{00000000-0005-0000-0000-00000A4C0000}"/>
    <cellStyle name="40% - Accent4 2 3 4 3 3 2 2" xfId="48716" xr:uid="{00000000-0005-0000-0000-00000B4C0000}"/>
    <cellStyle name="40% - Accent4 2 3 4 3 3 3" xfId="39018" xr:uid="{00000000-0005-0000-0000-00000C4C0000}"/>
    <cellStyle name="40% - Accent4 2 3 4 3 4" xfId="25072" xr:uid="{00000000-0005-0000-0000-00000D4C0000}"/>
    <cellStyle name="40% - Accent4 2 3 4 3 4 2" xfId="44261" xr:uid="{00000000-0005-0000-0000-00000E4C0000}"/>
    <cellStyle name="40% - Accent4 2 3 4 3 5" xfId="34563" xr:uid="{00000000-0005-0000-0000-00000F4C0000}"/>
    <cellStyle name="40% - Accent4 2 3 4 4" xfId="15253" xr:uid="{00000000-0005-0000-0000-0000104C0000}"/>
    <cellStyle name="40% - Accent4 2 3 4 4 2" xfId="19717" xr:uid="{00000000-0005-0000-0000-0000114C0000}"/>
    <cellStyle name="40% - Accent4 2 3 4 4 2 2" xfId="30085" xr:uid="{00000000-0005-0000-0000-0000124C0000}"/>
    <cellStyle name="40% - Accent4 2 3 4 4 2 2 2" xfId="49274" xr:uid="{00000000-0005-0000-0000-0000134C0000}"/>
    <cellStyle name="40% - Accent4 2 3 4 4 2 3" xfId="39576" xr:uid="{00000000-0005-0000-0000-0000144C0000}"/>
    <cellStyle name="40% - Accent4 2 3 4 4 3" xfId="25630" xr:uid="{00000000-0005-0000-0000-0000154C0000}"/>
    <cellStyle name="40% - Accent4 2 3 4 4 3 2" xfId="44819" xr:uid="{00000000-0005-0000-0000-0000164C0000}"/>
    <cellStyle name="40% - Accent4 2 3 4 4 4" xfId="35121" xr:uid="{00000000-0005-0000-0000-0000174C0000}"/>
    <cellStyle name="40% - Accent4 2 3 4 5" xfId="16923" xr:uid="{00000000-0005-0000-0000-0000184C0000}"/>
    <cellStyle name="40% - Accent4 2 3 4 5 2" xfId="21387" xr:uid="{00000000-0005-0000-0000-0000194C0000}"/>
    <cellStyle name="40% - Accent4 2 3 4 5 2 2" xfId="31755" xr:uid="{00000000-0005-0000-0000-00001A4C0000}"/>
    <cellStyle name="40% - Accent4 2 3 4 5 2 2 2" xfId="50944" xr:uid="{00000000-0005-0000-0000-00001B4C0000}"/>
    <cellStyle name="40% - Accent4 2 3 4 5 2 3" xfId="41246" xr:uid="{00000000-0005-0000-0000-00001C4C0000}"/>
    <cellStyle name="40% - Accent4 2 3 4 5 3" xfId="27300" xr:uid="{00000000-0005-0000-0000-00001D4C0000}"/>
    <cellStyle name="40% - Accent4 2 3 4 5 3 2" xfId="46489" xr:uid="{00000000-0005-0000-0000-00001E4C0000}"/>
    <cellStyle name="40% - Accent4 2 3 4 5 4" xfId="36791" xr:uid="{00000000-0005-0000-0000-00001F4C0000}"/>
    <cellStyle name="40% - Accent4 2 3 4 6" xfId="17489" xr:uid="{00000000-0005-0000-0000-0000204C0000}"/>
    <cellStyle name="40% - Accent4 2 3 4 6 2" xfId="21944" xr:uid="{00000000-0005-0000-0000-0000214C0000}"/>
    <cellStyle name="40% - Accent4 2 3 4 6 2 2" xfId="32312" xr:uid="{00000000-0005-0000-0000-0000224C0000}"/>
    <cellStyle name="40% - Accent4 2 3 4 6 2 2 2" xfId="51501" xr:uid="{00000000-0005-0000-0000-0000234C0000}"/>
    <cellStyle name="40% - Accent4 2 3 4 6 2 3" xfId="41803" xr:uid="{00000000-0005-0000-0000-0000244C0000}"/>
    <cellStyle name="40% - Accent4 2 3 4 6 3" xfId="27857" xr:uid="{00000000-0005-0000-0000-0000254C0000}"/>
    <cellStyle name="40% - Accent4 2 3 4 6 3 2" xfId="47046" xr:uid="{00000000-0005-0000-0000-0000264C0000}"/>
    <cellStyle name="40% - Accent4 2 3 4 6 4" xfId="37348" xr:uid="{00000000-0005-0000-0000-0000274C0000}"/>
    <cellStyle name="40% - Accent4 2 3 4 7" xfId="18046" xr:uid="{00000000-0005-0000-0000-0000284C0000}"/>
    <cellStyle name="40% - Accent4 2 3 4 7 2" xfId="28414" xr:uid="{00000000-0005-0000-0000-0000294C0000}"/>
    <cellStyle name="40% - Accent4 2 3 4 7 2 2" xfId="47603" xr:uid="{00000000-0005-0000-0000-00002A4C0000}"/>
    <cellStyle name="40% - Accent4 2 3 4 7 3" xfId="37905" xr:uid="{00000000-0005-0000-0000-00002B4C0000}"/>
    <cellStyle name="40% - Accent4 2 3 4 8" xfId="23909" xr:uid="{00000000-0005-0000-0000-00002C4C0000}"/>
    <cellStyle name="40% - Accent4 2 3 4 8 2" xfId="43148" xr:uid="{00000000-0005-0000-0000-00002D4C0000}"/>
    <cellStyle name="40% - Accent4 2 3 4 9" xfId="33450" xr:uid="{00000000-0005-0000-0000-00002E4C0000}"/>
    <cellStyle name="40% - Accent4 2 3 5" xfId="13165" xr:uid="{00000000-0005-0000-0000-00002F4C0000}"/>
    <cellStyle name="40% - Accent4 2 3 5 2" xfId="14103" xr:uid="{00000000-0005-0000-0000-0000304C0000}"/>
    <cellStyle name="40% - Accent4 2 3 5 2 2" xfId="16367" xr:uid="{00000000-0005-0000-0000-0000314C0000}"/>
    <cellStyle name="40% - Accent4 2 3 5 2 2 2" xfId="20831" xr:uid="{00000000-0005-0000-0000-0000324C0000}"/>
    <cellStyle name="40% - Accent4 2 3 5 2 2 2 2" xfId="31199" xr:uid="{00000000-0005-0000-0000-0000334C0000}"/>
    <cellStyle name="40% - Accent4 2 3 5 2 2 2 2 2" xfId="50388" xr:uid="{00000000-0005-0000-0000-0000344C0000}"/>
    <cellStyle name="40% - Accent4 2 3 5 2 2 2 3" xfId="40690" xr:uid="{00000000-0005-0000-0000-0000354C0000}"/>
    <cellStyle name="40% - Accent4 2 3 5 2 2 3" xfId="26744" xr:uid="{00000000-0005-0000-0000-0000364C0000}"/>
    <cellStyle name="40% - Accent4 2 3 5 2 2 3 2" xfId="45933" xr:uid="{00000000-0005-0000-0000-0000374C0000}"/>
    <cellStyle name="40% - Accent4 2 3 5 2 2 4" xfId="36235" xr:uid="{00000000-0005-0000-0000-0000384C0000}"/>
    <cellStyle name="40% - Accent4 2 3 5 2 3" xfId="18603" xr:uid="{00000000-0005-0000-0000-0000394C0000}"/>
    <cellStyle name="40% - Accent4 2 3 5 2 3 2" xfId="28971" xr:uid="{00000000-0005-0000-0000-00003A4C0000}"/>
    <cellStyle name="40% - Accent4 2 3 5 2 3 2 2" xfId="48160" xr:uid="{00000000-0005-0000-0000-00003B4C0000}"/>
    <cellStyle name="40% - Accent4 2 3 5 2 3 3" xfId="38462" xr:uid="{00000000-0005-0000-0000-00003C4C0000}"/>
    <cellStyle name="40% - Accent4 2 3 5 2 4" xfId="24511" xr:uid="{00000000-0005-0000-0000-00003D4C0000}"/>
    <cellStyle name="40% - Accent4 2 3 5 2 4 2" xfId="43705" xr:uid="{00000000-0005-0000-0000-00003E4C0000}"/>
    <cellStyle name="40% - Accent4 2 3 5 2 5" xfId="34007" xr:uid="{00000000-0005-0000-0000-00003F4C0000}"/>
    <cellStyle name="40% - Accent4 2 3 5 3" xfId="14682" xr:uid="{00000000-0005-0000-0000-0000404C0000}"/>
    <cellStyle name="40% - Accent4 2 3 5 3 2" xfId="15811" xr:uid="{00000000-0005-0000-0000-0000414C0000}"/>
    <cellStyle name="40% - Accent4 2 3 5 3 2 2" xfId="20275" xr:uid="{00000000-0005-0000-0000-0000424C0000}"/>
    <cellStyle name="40% - Accent4 2 3 5 3 2 2 2" xfId="30643" xr:uid="{00000000-0005-0000-0000-0000434C0000}"/>
    <cellStyle name="40% - Accent4 2 3 5 3 2 2 2 2" xfId="49832" xr:uid="{00000000-0005-0000-0000-0000444C0000}"/>
    <cellStyle name="40% - Accent4 2 3 5 3 2 2 3" xfId="40134" xr:uid="{00000000-0005-0000-0000-0000454C0000}"/>
    <cellStyle name="40% - Accent4 2 3 5 3 2 3" xfId="26188" xr:uid="{00000000-0005-0000-0000-0000464C0000}"/>
    <cellStyle name="40% - Accent4 2 3 5 3 2 3 2" xfId="45377" xr:uid="{00000000-0005-0000-0000-0000474C0000}"/>
    <cellStyle name="40% - Accent4 2 3 5 3 2 4" xfId="35679" xr:uid="{00000000-0005-0000-0000-0000484C0000}"/>
    <cellStyle name="40% - Accent4 2 3 5 3 3" xfId="19160" xr:uid="{00000000-0005-0000-0000-0000494C0000}"/>
    <cellStyle name="40% - Accent4 2 3 5 3 3 2" xfId="29528" xr:uid="{00000000-0005-0000-0000-00004A4C0000}"/>
    <cellStyle name="40% - Accent4 2 3 5 3 3 2 2" xfId="48717" xr:uid="{00000000-0005-0000-0000-00004B4C0000}"/>
    <cellStyle name="40% - Accent4 2 3 5 3 3 3" xfId="39019" xr:uid="{00000000-0005-0000-0000-00004C4C0000}"/>
    <cellStyle name="40% - Accent4 2 3 5 3 4" xfId="25073" xr:uid="{00000000-0005-0000-0000-00004D4C0000}"/>
    <cellStyle name="40% - Accent4 2 3 5 3 4 2" xfId="44262" xr:uid="{00000000-0005-0000-0000-00004E4C0000}"/>
    <cellStyle name="40% - Accent4 2 3 5 3 5" xfId="34564" xr:uid="{00000000-0005-0000-0000-00004F4C0000}"/>
    <cellStyle name="40% - Accent4 2 3 5 4" xfId="15254" xr:uid="{00000000-0005-0000-0000-0000504C0000}"/>
    <cellStyle name="40% - Accent4 2 3 5 4 2" xfId="19718" xr:uid="{00000000-0005-0000-0000-0000514C0000}"/>
    <cellStyle name="40% - Accent4 2 3 5 4 2 2" xfId="30086" xr:uid="{00000000-0005-0000-0000-0000524C0000}"/>
    <cellStyle name="40% - Accent4 2 3 5 4 2 2 2" xfId="49275" xr:uid="{00000000-0005-0000-0000-0000534C0000}"/>
    <cellStyle name="40% - Accent4 2 3 5 4 2 3" xfId="39577" xr:uid="{00000000-0005-0000-0000-0000544C0000}"/>
    <cellStyle name="40% - Accent4 2 3 5 4 3" xfId="25631" xr:uid="{00000000-0005-0000-0000-0000554C0000}"/>
    <cellStyle name="40% - Accent4 2 3 5 4 3 2" xfId="44820" xr:uid="{00000000-0005-0000-0000-0000564C0000}"/>
    <cellStyle name="40% - Accent4 2 3 5 4 4" xfId="35122" xr:uid="{00000000-0005-0000-0000-0000574C0000}"/>
    <cellStyle name="40% - Accent4 2 3 5 5" xfId="16924" xr:uid="{00000000-0005-0000-0000-0000584C0000}"/>
    <cellStyle name="40% - Accent4 2 3 5 5 2" xfId="21388" xr:uid="{00000000-0005-0000-0000-0000594C0000}"/>
    <cellStyle name="40% - Accent4 2 3 5 5 2 2" xfId="31756" xr:uid="{00000000-0005-0000-0000-00005A4C0000}"/>
    <cellStyle name="40% - Accent4 2 3 5 5 2 2 2" xfId="50945" xr:uid="{00000000-0005-0000-0000-00005B4C0000}"/>
    <cellStyle name="40% - Accent4 2 3 5 5 2 3" xfId="41247" xr:uid="{00000000-0005-0000-0000-00005C4C0000}"/>
    <cellStyle name="40% - Accent4 2 3 5 5 3" xfId="27301" xr:uid="{00000000-0005-0000-0000-00005D4C0000}"/>
    <cellStyle name="40% - Accent4 2 3 5 5 3 2" xfId="46490" xr:uid="{00000000-0005-0000-0000-00005E4C0000}"/>
    <cellStyle name="40% - Accent4 2 3 5 5 4" xfId="36792" xr:uid="{00000000-0005-0000-0000-00005F4C0000}"/>
    <cellStyle name="40% - Accent4 2 3 5 6" xfId="17490" xr:uid="{00000000-0005-0000-0000-0000604C0000}"/>
    <cellStyle name="40% - Accent4 2 3 5 6 2" xfId="21945" xr:uid="{00000000-0005-0000-0000-0000614C0000}"/>
    <cellStyle name="40% - Accent4 2 3 5 6 2 2" xfId="32313" xr:uid="{00000000-0005-0000-0000-0000624C0000}"/>
    <cellStyle name="40% - Accent4 2 3 5 6 2 2 2" xfId="51502" xr:uid="{00000000-0005-0000-0000-0000634C0000}"/>
    <cellStyle name="40% - Accent4 2 3 5 6 2 3" xfId="41804" xr:uid="{00000000-0005-0000-0000-0000644C0000}"/>
    <cellStyle name="40% - Accent4 2 3 5 6 3" xfId="27858" xr:uid="{00000000-0005-0000-0000-0000654C0000}"/>
    <cellStyle name="40% - Accent4 2 3 5 6 3 2" xfId="47047" xr:uid="{00000000-0005-0000-0000-0000664C0000}"/>
    <cellStyle name="40% - Accent4 2 3 5 6 4" xfId="37349" xr:uid="{00000000-0005-0000-0000-0000674C0000}"/>
    <cellStyle name="40% - Accent4 2 3 5 7" xfId="18047" xr:uid="{00000000-0005-0000-0000-0000684C0000}"/>
    <cellStyle name="40% - Accent4 2 3 5 7 2" xfId="28415" xr:uid="{00000000-0005-0000-0000-0000694C0000}"/>
    <cellStyle name="40% - Accent4 2 3 5 7 2 2" xfId="47604" xr:uid="{00000000-0005-0000-0000-00006A4C0000}"/>
    <cellStyle name="40% - Accent4 2 3 5 7 3" xfId="37906" xr:uid="{00000000-0005-0000-0000-00006B4C0000}"/>
    <cellStyle name="40% - Accent4 2 3 5 8" xfId="23910" xr:uid="{00000000-0005-0000-0000-00006C4C0000}"/>
    <cellStyle name="40% - Accent4 2 3 5 8 2" xfId="43149" xr:uid="{00000000-0005-0000-0000-00006D4C0000}"/>
    <cellStyle name="40% - Accent4 2 3 5 9" xfId="33451" xr:uid="{00000000-0005-0000-0000-00006E4C0000}"/>
    <cellStyle name="40% - Accent4 2 3 6" xfId="22871" xr:uid="{00000000-0005-0000-0000-00006F4C0000}"/>
    <cellStyle name="40% - Accent4 2 3 6 2" xfId="32955" xr:uid="{00000000-0005-0000-0000-0000704C0000}"/>
    <cellStyle name="40% - Accent4 2 3 6 2 2" xfId="52141" xr:uid="{00000000-0005-0000-0000-0000714C0000}"/>
    <cellStyle name="40% - Accent4 2 3 6 3" xfId="42443" xr:uid="{00000000-0005-0000-0000-0000724C0000}"/>
    <cellStyle name="40% - Accent4 2 3 7" xfId="23349" xr:uid="{00000000-0005-0000-0000-0000734C0000}"/>
    <cellStyle name="40% - Accent4 2 3 8" xfId="23228" xr:uid="{00000000-0005-0000-0000-0000744C0000}"/>
    <cellStyle name="40% - Accent4 2 3 8 2" xfId="42796" xr:uid="{00000000-0005-0000-0000-0000754C0000}"/>
    <cellStyle name="40% - Accent4 2 3 9" xfId="12261" xr:uid="{00000000-0005-0000-0000-0000764C0000}"/>
    <cellStyle name="40% - Accent4 2 4" xfId="1962" xr:uid="{00000000-0005-0000-0000-0000774C0000}"/>
    <cellStyle name="40% - Accent4 2 4 2" xfId="13166" xr:uid="{00000000-0005-0000-0000-0000784C0000}"/>
    <cellStyle name="40% - Accent4 2 4 2 10" xfId="23911" xr:uid="{00000000-0005-0000-0000-0000794C0000}"/>
    <cellStyle name="40% - Accent4 2 4 2 10 2" xfId="43150" xr:uid="{00000000-0005-0000-0000-00007A4C0000}"/>
    <cellStyle name="40% - Accent4 2 4 2 11" xfId="33452" xr:uid="{00000000-0005-0000-0000-00007B4C0000}"/>
    <cellStyle name="40% - Accent4 2 4 2 12" xfId="52768" xr:uid="{00000000-0005-0000-0000-00007C4C0000}"/>
    <cellStyle name="40% - Accent4 2 4 2 2" xfId="13167" xr:uid="{00000000-0005-0000-0000-00007D4C0000}"/>
    <cellStyle name="40% - Accent4 2 4 2 2 10" xfId="53196" xr:uid="{00000000-0005-0000-0000-00007E4C0000}"/>
    <cellStyle name="40% - Accent4 2 4 2 2 2" xfId="14105" xr:uid="{00000000-0005-0000-0000-00007F4C0000}"/>
    <cellStyle name="40% - Accent4 2 4 2 2 2 2" xfId="16369" xr:uid="{00000000-0005-0000-0000-0000804C0000}"/>
    <cellStyle name="40% - Accent4 2 4 2 2 2 2 2" xfId="20833" xr:uid="{00000000-0005-0000-0000-0000814C0000}"/>
    <cellStyle name="40% - Accent4 2 4 2 2 2 2 2 2" xfId="31201" xr:uid="{00000000-0005-0000-0000-0000824C0000}"/>
    <cellStyle name="40% - Accent4 2 4 2 2 2 2 2 2 2" xfId="50390" xr:uid="{00000000-0005-0000-0000-0000834C0000}"/>
    <cellStyle name="40% - Accent4 2 4 2 2 2 2 2 3" xfId="40692" xr:uid="{00000000-0005-0000-0000-0000844C0000}"/>
    <cellStyle name="40% - Accent4 2 4 2 2 2 2 3" xfId="26746" xr:uid="{00000000-0005-0000-0000-0000854C0000}"/>
    <cellStyle name="40% - Accent4 2 4 2 2 2 2 3 2" xfId="45935" xr:uid="{00000000-0005-0000-0000-0000864C0000}"/>
    <cellStyle name="40% - Accent4 2 4 2 2 2 2 4" xfId="36237" xr:uid="{00000000-0005-0000-0000-0000874C0000}"/>
    <cellStyle name="40% - Accent4 2 4 2 2 2 3" xfId="18605" xr:uid="{00000000-0005-0000-0000-0000884C0000}"/>
    <cellStyle name="40% - Accent4 2 4 2 2 2 3 2" xfId="28973" xr:uid="{00000000-0005-0000-0000-0000894C0000}"/>
    <cellStyle name="40% - Accent4 2 4 2 2 2 3 2 2" xfId="48162" xr:uid="{00000000-0005-0000-0000-00008A4C0000}"/>
    <cellStyle name="40% - Accent4 2 4 2 2 2 3 3" xfId="38464" xr:uid="{00000000-0005-0000-0000-00008B4C0000}"/>
    <cellStyle name="40% - Accent4 2 4 2 2 2 4" xfId="24513" xr:uid="{00000000-0005-0000-0000-00008C4C0000}"/>
    <cellStyle name="40% - Accent4 2 4 2 2 2 4 2" xfId="43707" xr:uid="{00000000-0005-0000-0000-00008D4C0000}"/>
    <cellStyle name="40% - Accent4 2 4 2 2 2 5" xfId="34009" xr:uid="{00000000-0005-0000-0000-00008E4C0000}"/>
    <cellStyle name="40% - Accent4 2 4 2 2 2 6" xfId="54049" xr:uid="{00000000-0005-0000-0000-00008F4C0000}"/>
    <cellStyle name="40% - Accent4 2 4 2 2 3" xfId="14684" xr:uid="{00000000-0005-0000-0000-0000904C0000}"/>
    <cellStyle name="40% - Accent4 2 4 2 2 3 2" xfId="15813" xr:uid="{00000000-0005-0000-0000-0000914C0000}"/>
    <cellStyle name="40% - Accent4 2 4 2 2 3 2 2" xfId="20277" xr:uid="{00000000-0005-0000-0000-0000924C0000}"/>
    <cellStyle name="40% - Accent4 2 4 2 2 3 2 2 2" xfId="30645" xr:uid="{00000000-0005-0000-0000-0000934C0000}"/>
    <cellStyle name="40% - Accent4 2 4 2 2 3 2 2 2 2" xfId="49834" xr:uid="{00000000-0005-0000-0000-0000944C0000}"/>
    <cellStyle name="40% - Accent4 2 4 2 2 3 2 2 3" xfId="40136" xr:uid="{00000000-0005-0000-0000-0000954C0000}"/>
    <cellStyle name="40% - Accent4 2 4 2 2 3 2 3" xfId="26190" xr:uid="{00000000-0005-0000-0000-0000964C0000}"/>
    <cellStyle name="40% - Accent4 2 4 2 2 3 2 3 2" xfId="45379" xr:uid="{00000000-0005-0000-0000-0000974C0000}"/>
    <cellStyle name="40% - Accent4 2 4 2 2 3 2 4" xfId="35681" xr:uid="{00000000-0005-0000-0000-0000984C0000}"/>
    <cellStyle name="40% - Accent4 2 4 2 2 3 3" xfId="19162" xr:uid="{00000000-0005-0000-0000-0000994C0000}"/>
    <cellStyle name="40% - Accent4 2 4 2 2 3 3 2" xfId="29530" xr:uid="{00000000-0005-0000-0000-00009A4C0000}"/>
    <cellStyle name="40% - Accent4 2 4 2 2 3 3 2 2" xfId="48719" xr:uid="{00000000-0005-0000-0000-00009B4C0000}"/>
    <cellStyle name="40% - Accent4 2 4 2 2 3 3 3" xfId="39021" xr:uid="{00000000-0005-0000-0000-00009C4C0000}"/>
    <cellStyle name="40% - Accent4 2 4 2 2 3 4" xfId="25075" xr:uid="{00000000-0005-0000-0000-00009D4C0000}"/>
    <cellStyle name="40% - Accent4 2 4 2 2 3 4 2" xfId="44264" xr:uid="{00000000-0005-0000-0000-00009E4C0000}"/>
    <cellStyle name="40% - Accent4 2 4 2 2 3 5" xfId="34566" xr:uid="{00000000-0005-0000-0000-00009F4C0000}"/>
    <cellStyle name="40% - Accent4 2 4 2 2 4" xfId="15256" xr:uid="{00000000-0005-0000-0000-0000A04C0000}"/>
    <cellStyle name="40% - Accent4 2 4 2 2 4 2" xfId="19720" xr:uid="{00000000-0005-0000-0000-0000A14C0000}"/>
    <cellStyle name="40% - Accent4 2 4 2 2 4 2 2" xfId="30088" xr:uid="{00000000-0005-0000-0000-0000A24C0000}"/>
    <cellStyle name="40% - Accent4 2 4 2 2 4 2 2 2" xfId="49277" xr:uid="{00000000-0005-0000-0000-0000A34C0000}"/>
    <cellStyle name="40% - Accent4 2 4 2 2 4 2 3" xfId="39579" xr:uid="{00000000-0005-0000-0000-0000A44C0000}"/>
    <cellStyle name="40% - Accent4 2 4 2 2 4 3" xfId="25633" xr:uid="{00000000-0005-0000-0000-0000A54C0000}"/>
    <cellStyle name="40% - Accent4 2 4 2 2 4 3 2" xfId="44822" xr:uid="{00000000-0005-0000-0000-0000A64C0000}"/>
    <cellStyle name="40% - Accent4 2 4 2 2 4 4" xfId="35124" xr:uid="{00000000-0005-0000-0000-0000A74C0000}"/>
    <cellStyle name="40% - Accent4 2 4 2 2 5" xfId="16926" xr:uid="{00000000-0005-0000-0000-0000A84C0000}"/>
    <cellStyle name="40% - Accent4 2 4 2 2 5 2" xfId="21390" xr:uid="{00000000-0005-0000-0000-0000A94C0000}"/>
    <cellStyle name="40% - Accent4 2 4 2 2 5 2 2" xfId="31758" xr:uid="{00000000-0005-0000-0000-0000AA4C0000}"/>
    <cellStyle name="40% - Accent4 2 4 2 2 5 2 2 2" xfId="50947" xr:uid="{00000000-0005-0000-0000-0000AB4C0000}"/>
    <cellStyle name="40% - Accent4 2 4 2 2 5 2 3" xfId="41249" xr:uid="{00000000-0005-0000-0000-0000AC4C0000}"/>
    <cellStyle name="40% - Accent4 2 4 2 2 5 3" xfId="27303" xr:uid="{00000000-0005-0000-0000-0000AD4C0000}"/>
    <cellStyle name="40% - Accent4 2 4 2 2 5 3 2" xfId="46492" xr:uid="{00000000-0005-0000-0000-0000AE4C0000}"/>
    <cellStyle name="40% - Accent4 2 4 2 2 5 4" xfId="36794" xr:uid="{00000000-0005-0000-0000-0000AF4C0000}"/>
    <cellStyle name="40% - Accent4 2 4 2 2 6" xfId="17492" xr:uid="{00000000-0005-0000-0000-0000B04C0000}"/>
    <cellStyle name="40% - Accent4 2 4 2 2 6 2" xfId="21947" xr:uid="{00000000-0005-0000-0000-0000B14C0000}"/>
    <cellStyle name="40% - Accent4 2 4 2 2 6 2 2" xfId="32315" xr:uid="{00000000-0005-0000-0000-0000B24C0000}"/>
    <cellStyle name="40% - Accent4 2 4 2 2 6 2 2 2" xfId="51504" xr:uid="{00000000-0005-0000-0000-0000B34C0000}"/>
    <cellStyle name="40% - Accent4 2 4 2 2 6 2 3" xfId="41806" xr:uid="{00000000-0005-0000-0000-0000B44C0000}"/>
    <cellStyle name="40% - Accent4 2 4 2 2 6 3" xfId="27860" xr:uid="{00000000-0005-0000-0000-0000B54C0000}"/>
    <cellStyle name="40% - Accent4 2 4 2 2 6 3 2" xfId="47049" xr:uid="{00000000-0005-0000-0000-0000B64C0000}"/>
    <cellStyle name="40% - Accent4 2 4 2 2 6 4" xfId="37351" xr:uid="{00000000-0005-0000-0000-0000B74C0000}"/>
    <cellStyle name="40% - Accent4 2 4 2 2 7" xfId="18049" xr:uid="{00000000-0005-0000-0000-0000B84C0000}"/>
    <cellStyle name="40% - Accent4 2 4 2 2 7 2" xfId="28417" xr:uid="{00000000-0005-0000-0000-0000B94C0000}"/>
    <cellStyle name="40% - Accent4 2 4 2 2 7 2 2" xfId="47606" xr:uid="{00000000-0005-0000-0000-0000BA4C0000}"/>
    <cellStyle name="40% - Accent4 2 4 2 2 7 3" xfId="37908" xr:uid="{00000000-0005-0000-0000-0000BB4C0000}"/>
    <cellStyle name="40% - Accent4 2 4 2 2 8" xfId="23912" xr:uid="{00000000-0005-0000-0000-0000BC4C0000}"/>
    <cellStyle name="40% - Accent4 2 4 2 2 8 2" xfId="43151" xr:uid="{00000000-0005-0000-0000-0000BD4C0000}"/>
    <cellStyle name="40% - Accent4 2 4 2 2 9" xfId="33453" xr:uid="{00000000-0005-0000-0000-0000BE4C0000}"/>
    <cellStyle name="40% - Accent4 2 4 2 3" xfId="13168" xr:uid="{00000000-0005-0000-0000-0000BF4C0000}"/>
    <cellStyle name="40% - Accent4 2 4 2 3 10" xfId="53653" xr:uid="{00000000-0005-0000-0000-0000C04C0000}"/>
    <cellStyle name="40% - Accent4 2 4 2 3 2" xfId="14106" xr:uid="{00000000-0005-0000-0000-0000C14C0000}"/>
    <cellStyle name="40% - Accent4 2 4 2 3 2 2" xfId="16370" xr:uid="{00000000-0005-0000-0000-0000C24C0000}"/>
    <cellStyle name="40% - Accent4 2 4 2 3 2 2 2" xfId="20834" xr:uid="{00000000-0005-0000-0000-0000C34C0000}"/>
    <cellStyle name="40% - Accent4 2 4 2 3 2 2 2 2" xfId="31202" xr:uid="{00000000-0005-0000-0000-0000C44C0000}"/>
    <cellStyle name="40% - Accent4 2 4 2 3 2 2 2 2 2" xfId="50391" xr:uid="{00000000-0005-0000-0000-0000C54C0000}"/>
    <cellStyle name="40% - Accent4 2 4 2 3 2 2 2 3" xfId="40693" xr:uid="{00000000-0005-0000-0000-0000C64C0000}"/>
    <cellStyle name="40% - Accent4 2 4 2 3 2 2 3" xfId="26747" xr:uid="{00000000-0005-0000-0000-0000C74C0000}"/>
    <cellStyle name="40% - Accent4 2 4 2 3 2 2 3 2" xfId="45936" xr:uid="{00000000-0005-0000-0000-0000C84C0000}"/>
    <cellStyle name="40% - Accent4 2 4 2 3 2 2 4" xfId="36238" xr:uid="{00000000-0005-0000-0000-0000C94C0000}"/>
    <cellStyle name="40% - Accent4 2 4 2 3 2 3" xfId="18606" xr:uid="{00000000-0005-0000-0000-0000CA4C0000}"/>
    <cellStyle name="40% - Accent4 2 4 2 3 2 3 2" xfId="28974" xr:uid="{00000000-0005-0000-0000-0000CB4C0000}"/>
    <cellStyle name="40% - Accent4 2 4 2 3 2 3 2 2" xfId="48163" xr:uid="{00000000-0005-0000-0000-0000CC4C0000}"/>
    <cellStyle name="40% - Accent4 2 4 2 3 2 3 3" xfId="38465" xr:uid="{00000000-0005-0000-0000-0000CD4C0000}"/>
    <cellStyle name="40% - Accent4 2 4 2 3 2 4" xfId="24514" xr:uid="{00000000-0005-0000-0000-0000CE4C0000}"/>
    <cellStyle name="40% - Accent4 2 4 2 3 2 4 2" xfId="43708" xr:uid="{00000000-0005-0000-0000-0000CF4C0000}"/>
    <cellStyle name="40% - Accent4 2 4 2 3 2 5" xfId="34010" xr:uid="{00000000-0005-0000-0000-0000D04C0000}"/>
    <cellStyle name="40% - Accent4 2 4 2 3 3" xfId="14685" xr:uid="{00000000-0005-0000-0000-0000D14C0000}"/>
    <cellStyle name="40% - Accent4 2 4 2 3 3 2" xfId="15814" xr:uid="{00000000-0005-0000-0000-0000D24C0000}"/>
    <cellStyle name="40% - Accent4 2 4 2 3 3 2 2" xfId="20278" xr:uid="{00000000-0005-0000-0000-0000D34C0000}"/>
    <cellStyle name="40% - Accent4 2 4 2 3 3 2 2 2" xfId="30646" xr:uid="{00000000-0005-0000-0000-0000D44C0000}"/>
    <cellStyle name="40% - Accent4 2 4 2 3 3 2 2 2 2" xfId="49835" xr:uid="{00000000-0005-0000-0000-0000D54C0000}"/>
    <cellStyle name="40% - Accent4 2 4 2 3 3 2 2 3" xfId="40137" xr:uid="{00000000-0005-0000-0000-0000D64C0000}"/>
    <cellStyle name="40% - Accent4 2 4 2 3 3 2 3" xfId="26191" xr:uid="{00000000-0005-0000-0000-0000D74C0000}"/>
    <cellStyle name="40% - Accent4 2 4 2 3 3 2 3 2" xfId="45380" xr:uid="{00000000-0005-0000-0000-0000D84C0000}"/>
    <cellStyle name="40% - Accent4 2 4 2 3 3 2 4" xfId="35682" xr:uid="{00000000-0005-0000-0000-0000D94C0000}"/>
    <cellStyle name="40% - Accent4 2 4 2 3 3 3" xfId="19163" xr:uid="{00000000-0005-0000-0000-0000DA4C0000}"/>
    <cellStyle name="40% - Accent4 2 4 2 3 3 3 2" xfId="29531" xr:uid="{00000000-0005-0000-0000-0000DB4C0000}"/>
    <cellStyle name="40% - Accent4 2 4 2 3 3 3 2 2" xfId="48720" xr:uid="{00000000-0005-0000-0000-0000DC4C0000}"/>
    <cellStyle name="40% - Accent4 2 4 2 3 3 3 3" xfId="39022" xr:uid="{00000000-0005-0000-0000-0000DD4C0000}"/>
    <cellStyle name="40% - Accent4 2 4 2 3 3 4" xfId="25076" xr:uid="{00000000-0005-0000-0000-0000DE4C0000}"/>
    <cellStyle name="40% - Accent4 2 4 2 3 3 4 2" xfId="44265" xr:uid="{00000000-0005-0000-0000-0000DF4C0000}"/>
    <cellStyle name="40% - Accent4 2 4 2 3 3 5" xfId="34567" xr:uid="{00000000-0005-0000-0000-0000E04C0000}"/>
    <cellStyle name="40% - Accent4 2 4 2 3 4" xfId="15257" xr:uid="{00000000-0005-0000-0000-0000E14C0000}"/>
    <cellStyle name="40% - Accent4 2 4 2 3 4 2" xfId="19721" xr:uid="{00000000-0005-0000-0000-0000E24C0000}"/>
    <cellStyle name="40% - Accent4 2 4 2 3 4 2 2" xfId="30089" xr:uid="{00000000-0005-0000-0000-0000E34C0000}"/>
    <cellStyle name="40% - Accent4 2 4 2 3 4 2 2 2" xfId="49278" xr:uid="{00000000-0005-0000-0000-0000E44C0000}"/>
    <cellStyle name="40% - Accent4 2 4 2 3 4 2 3" xfId="39580" xr:uid="{00000000-0005-0000-0000-0000E54C0000}"/>
    <cellStyle name="40% - Accent4 2 4 2 3 4 3" xfId="25634" xr:uid="{00000000-0005-0000-0000-0000E64C0000}"/>
    <cellStyle name="40% - Accent4 2 4 2 3 4 3 2" xfId="44823" xr:uid="{00000000-0005-0000-0000-0000E74C0000}"/>
    <cellStyle name="40% - Accent4 2 4 2 3 4 4" xfId="35125" xr:uid="{00000000-0005-0000-0000-0000E84C0000}"/>
    <cellStyle name="40% - Accent4 2 4 2 3 5" xfId="16927" xr:uid="{00000000-0005-0000-0000-0000E94C0000}"/>
    <cellStyle name="40% - Accent4 2 4 2 3 5 2" xfId="21391" xr:uid="{00000000-0005-0000-0000-0000EA4C0000}"/>
    <cellStyle name="40% - Accent4 2 4 2 3 5 2 2" xfId="31759" xr:uid="{00000000-0005-0000-0000-0000EB4C0000}"/>
    <cellStyle name="40% - Accent4 2 4 2 3 5 2 2 2" xfId="50948" xr:uid="{00000000-0005-0000-0000-0000EC4C0000}"/>
    <cellStyle name="40% - Accent4 2 4 2 3 5 2 3" xfId="41250" xr:uid="{00000000-0005-0000-0000-0000ED4C0000}"/>
    <cellStyle name="40% - Accent4 2 4 2 3 5 3" xfId="27304" xr:uid="{00000000-0005-0000-0000-0000EE4C0000}"/>
    <cellStyle name="40% - Accent4 2 4 2 3 5 3 2" xfId="46493" xr:uid="{00000000-0005-0000-0000-0000EF4C0000}"/>
    <cellStyle name="40% - Accent4 2 4 2 3 5 4" xfId="36795" xr:uid="{00000000-0005-0000-0000-0000F04C0000}"/>
    <cellStyle name="40% - Accent4 2 4 2 3 6" xfId="17493" xr:uid="{00000000-0005-0000-0000-0000F14C0000}"/>
    <cellStyle name="40% - Accent4 2 4 2 3 6 2" xfId="21948" xr:uid="{00000000-0005-0000-0000-0000F24C0000}"/>
    <cellStyle name="40% - Accent4 2 4 2 3 6 2 2" xfId="32316" xr:uid="{00000000-0005-0000-0000-0000F34C0000}"/>
    <cellStyle name="40% - Accent4 2 4 2 3 6 2 2 2" xfId="51505" xr:uid="{00000000-0005-0000-0000-0000F44C0000}"/>
    <cellStyle name="40% - Accent4 2 4 2 3 6 2 3" xfId="41807" xr:uid="{00000000-0005-0000-0000-0000F54C0000}"/>
    <cellStyle name="40% - Accent4 2 4 2 3 6 3" xfId="27861" xr:uid="{00000000-0005-0000-0000-0000F64C0000}"/>
    <cellStyle name="40% - Accent4 2 4 2 3 6 3 2" xfId="47050" xr:uid="{00000000-0005-0000-0000-0000F74C0000}"/>
    <cellStyle name="40% - Accent4 2 4 2 3 6 4" xfId="37352" xr:uid="{00000000-0005-0000-0000-0000F84C0000}"/>
    <cellStyle name="40% - Accent4 2 4 2 3 7" xfId="18050" xr:uid="{00000000-0005-0000-0000-0000F94C0000}"/>
    <cellStyle name="40% - Accent4 2 4 2 3 7 2" xfId="28418" xr:uid="{00000000-0005-0000-0000-0000FA4C0000}"/>
    <cellStyle name="40% - Accent4 2 4 2 3 7 2 2" xfId="47607" xr:uid="{00000000-0005-0000-0000-0000FB4C0000}"/>
    <cellStyle name="40% - Accent4 2 4 2 3 7 3" xfId="37909" xr:uid="{00000000-0005-0000-0000-0000FC4C0000}"/>
    <cellStyle name="40% - Accent4 2 4 2 3 8" xfId="23913" xr:uid="{00000000-0005-0000-0000-0000FD4C0000}"/>
    <cellStyle name="40% - Accent4 2 4 2 3 8 2" xfId="43152" xr:uid="{00000000-0005-0000-0000-0000FE4C0000}"/>
    <cellStyle name="40% - Accent4 2 4 2 3 9" xfId="33454" xr:uid="{00000000-0005-0000-0000-0000FF4C0000}"/>
    <cellStyle name="40% - Accent4 2 4 2 4" xfId="14104" xr:uid="{00000000-0005-0000-0000-0000004D0000}"/>
    <cellStyle name="40% - Accent4 2 4 2 4 2" xfId="16368" xr:uid="{00000000-0005-0000-0000-0000014D0000}"/>
    <cellStyle name="40% - Accent4 2 4 2 4 2 2" xfId="20832" xr:uid="{00000000-0005-0000-0000-0000024D0000}"/>
    <cellStyle name="40% - Accent4 2 4 2 4 2 2 2" xfId="31200" xr:uid="{00000000-0005-0000-0000-0000034D0000}"/>
    <cellStyle name="40% - Accent4 2 4 2 4 2 2 2 2" xfId="50389" xr:uid="{00000000-0005-0000-0000-0000044D0000}"/>
    <cellStyle name="40% - Accent4 2 4 2 4 2 2 3" xfId="40691" xr:uid="{00000000-0005-0000-0000-0000054D0000}"/>
    <cellStyle name="40% - Accent4 2 4 2 4 2 3" xfId="26745" xr:uid="{00000000-0005-0000-0000-0000064D0000}"/>
    <cellStyle name="40% - Accent4 2 4 2 4 2 3 2" xfId="45934" xr:uid="{00000000-0005-0000-0000-0000074D0000}"/>
    <cellStyle name="40% - Accent4 2 4 2 4 2 4" xfId="36236" xr:uid="{00000000-0005-0000-0000-0000084D0000}"/>
    <cellStyle name="40% - Accent4 2 4 2 4 3" xfId="18604" xr:uid="{00000000-0005-0000-0000-0000094D0000}"/>
    <cellStyle name="40% - Accent4 2 4 2 4 3 2" xfId="28972" xr:uid="{00000000-0005-0000-0000-00000A4D0000}"/>
    <cellStyle name="40% - Accent4 2 4 2 4 3 2 2" xfId="48161" xr:uid="{00000000-0005-0000-0000-00000B4D0000}"/>
    <cellStyle name="40% - Accent4 2 4 2 4 3 3" xfId="38463" xr:uid="{00000000-0005-0000-0000-00000C4D0000}"/>
    <cellStyle name="40% - Accent4 2 4 2 4 4" xfId="24512" xr:uid="{00000000-0005-0000-0000-00000D4D0000}"/>
    <cellStyle name="40% - Accent4 2 4 2 4 4 2" xfId="43706" xr:uid="{00000000-0005-0000-0000-00000E4D0000}"/>
    <cellStyle name="40% - Accent4 2 4 2 4 5" xfId="34008" xr:uid="{00000000-0005-0000-0000-00000F4D0000}"/>
    <cellStyle name="40% - Accent4 2 4 2 5" xfId="14683" xr:uid="{00000000-0005-0000-0000-0000104D0000}"/>
    <cellStyle name="40% - Accent4 2 4 2 5 2" xfId="15812" xr:uid="{00000000-0005-0000-0000-0000114D0000}"/>
    <cellStyle name="40% - Accent4 2 4 2 5 2 2" xfId="20276" xr:uid="{00000000-0005-0000-0000-0000124D0000}"/>
    <cellStyle name="40% - Accent4 2 4 2 5 2 2 2" xfId="30644" xr:uid="{00000000-0005-0000-0000-0000134D0000}"/>
    <cellStyle name="40% - Accent4 2 4 2 5 2 2 2 2" xfId="49833" xr:uid="{00000000-0005-0000-0000-0000144D0000}"/>
    <cellStyle name="40% - Accent4 2 4 2 5 2 2 3" xfId="40135" xr:uid="{00000000-0005-0000-0000-0000154D0000}"/>
    <cellStyle name="40% - Accent4 2 4 2 5 2 3" xfId="26189" xr:uid="{00000000-0005-0000-0000-0000164D0000}"/>
    <cellStyle name="40% - Accent4 2 4 2 5 2 3 2" xfId="45378" xr:uid="{00000000-0005-0000-0000-0000174D0000}"/>
    <cellStyle name="40% - Accent4 2 4 2 5 2 4" xfId="35680" xr:uid="{00000000-0005-0000-0000-0000184D0000}"/>
    <cellStyle name="40% - Accent4 2 4 2 5 3" xfId="19161" xr:uid="{00000000-0005-0000-0000-0000194D0000}"/>
    <cellStyle name="40% - Accent4 2 4 2 5 3 2" xfId="29529" xr:uid="{00000000-0005-0000-0000-00001A4D0000}"/>
    <cellStyle name="40% - Accent4 2 4 2 5 3 2 2" xfId="48718" xr:uid="{00000000-0005-0000-0000-00001B4D0000}"/>
    <cellStyle name="40% - Accent4 2 4 2 5 3 3" xfId="39020" xr:uid="{00000000-0005-0000-0000-00001C4D0000}"/>
    <cellStyle name="40% - Accent4 2 4 2 5 4" xfId="25074" xr:uid="{00000000-0005-0000-0000-00001D4D0000}"/>
    <cellStyle name="40% - Accent4 2 4 2 5 4 2" xfId="44263" xr:uid="{00000000-0005-0000-0000-00001E4D0000}"/>
    <cellStyle name="40% - Accent4 2 4 2 5 5" xfId="34565" xr:uid="{00000000-0005-0000-0000-00001F4D0000}"/>
    <cellStyle name="40% - Accent4 2 4 2 6" xfId="15255" xr:uid="{00000000-0005-0000-0000-0000204D0000}"/>
    <cellStyle name="40% - Accent4 2 4 2 6 2" xfId="19719" xr:uid="{00000000-0005-0000-0000-0000214D0000}"/>
    <cellStyle name="40% - Accent4 2 4 2 6 2 2" xfId="30087" xr:uid="{00000000-0005-0000-0000-0000224D0000}"/>
    <cellStyle name="40% - Accent4 2 4 2 6 2 2 2" xfId="49276" xr:uid="{00000000-0005-0000-0000-0000234D0000}"/>
    <cellStyle name="40% - Accent4 2 4 2 6 2 3" xfId="39578" xr:uid="{00000000-0005-0000-0000-0000244D0000}"/>
    <cellStyle name="40% - Accent4 2 4 2 6 3" xfId="25632" xr:uid="{00000000-0005-0000-0000-0000254D0000}"/>
    <cellStyle name="40% - Accent4 2 4 2 6 3 2" xfId="44821" xr:uid="{00000000-0005-0000-0000-0000264D0000}"/>
    <cellStyle name="40% - Accent4 2 4 2 6 4" xfId="35123" xr:uid="{00000000-0005-0000-0000-0000274D0000}"/>
    <cellStyle name="40% - Accent4 2 4 2 7" xfId="16925" xr:uid="{00000000-0005-0000-0000-0000284D0000}"/>
    <cellStyle name="40% - Accent4 2 4 2 7 2" xfId="21389" xr:uid="{00000000-0005-0000-0000-0000294D0000}"/>
    <cellStyle name="40% - Accent4 2 4 2 7 2 2" xfId="31757" xr:uid="{00000000-0005-0000-0000-00002A4D0000}"/>
    <cellStyle name="40% - Accent4 2 4 2 7 2 2 2" xfId="50946" xr:uid="{00000000-0005-0000-0000-00002B4D0000}"/>
    <cellStyle name="40% - Accent4 2 4 2 7 2 3" xfId="41248" xr:uid="{00000000-0005-0000-0000-00002C4D0000}"/>
    <cellStyle name="40% - Accent4 2 4 2 7 3" xfId="27302" xr:uid="{00000000-0005-0000-0000-00002D4D0000}"/>
    <cellStyle name="40% - Accent4 2 4 2 7 3 2" xfId="46491" xr:uid="{00000000-0005-0000-0000-00002E4D0000}"/>
    <cellStyle name="40% - Accent4 2 4 2 7 4" xfId="36793" xr:uid="{00000000-0005-0000-0000-00002F4D0000}"/>
    <cellStyle name="40% - Accent4 2 4 2 8" xfId="17491" xr:uid="{00000000-0005-0000-0000-0000304D0000}"/>
    <cellStyle name="40% - Accent4 2 4 2 8 2" xfId="21946" xr:uid="{00000000-0005-0000-0000-0000314D0000}"/>
    <cellStyle name="40% - Accent4 2 4 2 8 2 2" xfId="32314" xr:uid="{00000000-0005-0000-0000-0000324D0000}"/>
    <cellStyle name="40% - Accent4 2 4 2 8 2 2 2" xfId="51503" xr:uid="{00000000-0005-0000-0000-0000334D0000}"/>
    <cellStyle name="40% - Accent4 2 4 2 8 2 3" xfId="41805" xr:uid="{00000000-0005-0000-0000-0000344D0000}"/>
    <cellStyle name="40% - Accent4 2 4 2 8 3" xfId="27859" xr:uid="{00000000-0005-0000-0000-0000354D0000}"/>
    <cellStyle name="40% - Accent4 2 4 2 8 3 2" xfId="47048" xr:uid="{00000000-0005-0000-0000-0000364D0000}"/>
    <cellStyle name="40% - Accent4 2 4 2 8 4" xfId="37350" xr:uid="{00000000-0005-0000-0000-0000374D0000}"/>
    <cellStyle name="40% - Accent4 2 4 2 9" xfId="18048" xr:uid="{00000000-0005-0000-0000-0000384D0000}"/>
    <cellStyle name="40% - Accent4 2 4 2 9 2" xfId="28416" xr:uid="{00000000-0005-0000-0000-0000394D0000}"/>
    <cellStyle name="40% - Accent4 2 4 2 9 2 2" xfId="47605" xr:uid="{00000000-0005-0000-0000-00003A4D0000}"/>
    <cellStyle name="40% - Accent4 2 4 2 9 3" xfId="37907" xr:uid="{00000000-0005-0000-0000-00003B4D0000}"/>
    <cellStyle name="40% - Accent4 2 4 3" xfId="13169" xr:uid="{00000000-0005-0000-0000-00003C4D0000}"/>
    <cellStyle name="40% - Accent4 2 4 3 10" xfId="23914" xr:uid="{00000000-0005-0000-0000-00003D4D0000}"/>
    <cellStyle name="40% - Accent4 2 4 3 10 2" xfId="43153" xr:uid="{00000000-0005-0000-0000-00003E4D0000}"/>
    <cellStyle name="40% - Accent4 2 4 3 11" xfId="33455" xr:uid="{00000000-0005-0000-0000-00003F4D0000}"/>
    <cellStyle name="40% - Accent4 2 4 3 12" xfId="52978" xr:uid="{00000000-0005-0000-0000-0000404D0000}"/>
    <cellStyle name="40% - Accent4 2 4 3 2" xfId="13170" xr:uid="{00000000-0005-0000-0000-0000414D0000}"/>
    <cellStyle name="40% - Accent4 2 4 3 2 10" xfId="53853" xr:uid="{00000000-0005-0000-0000-0000424D0000}"/>
    <cellStyle name="40% - Accent4 2 4 3 2 2" xfId="14108" xr:uid="{00000000-0005-0000-0000-0000434D0000}"/>
    <cellStyle name="40% - Accent4 2 4 3 2 2 2" xfId="16372" xr:uid="{00000000-0005-0000-0000-0000444D0000}"/>
    <cellStyle name="40% - Accent4 2 4 3 2 2 2 2" xfId="20836" xr:uid="{00000000-0005-0000-0000-0000454D0000}"/>
    <cellStyle name="40% - Accent4 2 4 3 2 2 2 2 2" xfId="31204" xr:uid="{00000000-0005-0000-0000-0000464D0000}"/>
    <cellStyle name="40% - Accent4 2 4 3 2 2 2 2 2 2" xfId="50393" xr:uid="{00000000-0005-0000-0000-0000474D0000}"/>
    <cellStyle name="40% - Accent4 2 4 3 2 2 2 2 3" xfId="40695" xr:uid="{00000000-0005-0000-0000-0000484D0000}"/>
    <cellStyle name="40% - Accent4 2 4 3 2 2 2 3" xfId="26749" xr:uid="{00000000-0005-0000-0000-0000494D0000}"/>
    <cellStyle name="40% - Accent4 2 4 3 2 2 2 3 2" xfId="45938" xr:uid="{00000000-0005-0000-0000-00004A4D0000}"/>
    <cellStyle name="40% - Accent4 2 4 3 2 2 2 4" xfId="36240" xr:uid="{00000000-0005-0000-0000-00004B4D0000}"/>
    <cellStyle name="40% - Accent4 2 4 3 2 2 3" xfId="18608" xr:uid="{00000000-0005-0000-0000-00004C4D0000}"/>
    <cellStyle name="40% - Accent4 2 4 3 2 2 3 2" xfId="28976" xr:uid="{00000000-0005-0000-0000-00004D4D0000}"/>
    <cellStyle name="40% - Accent4 2 4 3 2 2 3 2 2" xfId="48165" xr:uid="{00000000-0005-0000-0000-00004E4D0000}"/>
    <cellStyle name="40% - Accent4 2 4 3 2 2 3 3" xfId="38467" xr:uid="{00000000-0005-0000-0000-00004F4D0000}"/>
    <cellStyle name="40% - Accent4 2 4 3 2 2 4" xfId="24516" xr:uid="{00000000-0005-0000-0000-0000504D0000}"/>
    <cellStyle name="40% - Accent4 2 4 3 2 2 4 2" xfId="43710" xr:uid="{00000000-0005-0000-0000-0000514D0000}"/>
    <cellStyle name="40% - Accent4 2 4 3 2 2 5" xfId="34012" xr:uid="{00000000-0005-0000-0000-0000524D0000}"/>
    <cellStyle name="40% - Accent4 2 4 3 2 3" xfId="14687" xr:uid="{00000000-0005-0000-0000-0000534D0000}"/>
    <cellStyle name="40% - Accent4 2 4 3 2 3 2" xfId="15816" xr:uid="{00000000-0005-0000-0000-0000544D0000}"/>
    <cellStyle name="40% - Accent4 2 4 3 2 3 2 2" xfId="20280" xr:uid="{00000000-0005-0000-0000-0000554D0000}"/>
    <cellStyle name="40% - Accent4 2 4 3 2 3 2 2 2" xfId="30648" xr:uid="{00000000-0005-0000-0000-0000564D0000}"/>
    <cellStyle name="40% - Accent4 2 4 3 2 3 2 2 2 2" xfId="49837" xr:uid="{00000000-0005-0000-0000-0000574D0000}"/>
    <cellStyle name="40% - Accent4 2 4 3 2 3 2 2 3" xfId="40139" xr:uid="{00000000-0005-0000-0000-0000584D0000}"/>
    <cellStyle name="40% - Accent4 2 4 3 2 3 2 3" xfId="26193" xr:uid="{00000000-0005-0000-0000-0000594D0000}"/>
    <cellStyle name="40% - Accent4 2 4 3 2 3 2 3 2" xfId="45382" xr:uid="{00000000-0005-0000-0000-00005A4D0000}"/>
    <cellStyle name="40% - Accent4 2 4 3 2 3 2 4" xfId="35684" xr:uid="{00000000-0005-0000-0000-00005B4D0000}"/>
    <cellStyle name="40% - Accent4 2 4 3 2 3 3" xfId="19165" xr:uid="{00000000-0005-0000-0000-00005C4D0000}"/>
    <cellStyle name="40% - Accent4 2 4 3 2 3 3 2" xfId="29533" xr:uid="{00000000-0005-0000-0000-00005D4D0000}"/>
    <cellStyle name="40% - Accent4 2 4 3 2 3 3 2 2" xfId="48722" xr:uid="{00000000-0005-0000-0000-00005E4D0000}"/>
    <cellStyle name="40% - Accent4 2 4 3 2 3 3 3" xfId="39024" xr:uid="{00000000-0005-0000-0000-00005F4D0000}"/>
    <cellStyle name="40% - Accent4 2 4 3 2 3 4" xfId="25078" xr:uid="{00000000-0005-0000-0000-0000604D0000}"/>
    <cellStyle name="40% - Accent4 2 4 3 2 3 4 2" xfId="44267" xr:uid="{00000000-0005-0000-0000-0000614D0000}"/>
    <cellStyle name="40% - Accent4 2 4 3 2 3 5" xfId="34569" xr:uid="{00000000-0005-0000-0000-0000624D0000}"/>
    <cellStyle name="40% - Accent4 2 4 3 2 4" xfId="15259" xr:uid="{00000000-0005-0000-0000-0000634D0000}"/>
    <cellStyle name="40% - Accent4 2 4 3 2 4 2" xfId="19723" xr:uid="{00000000-0005-0000-0000-0000644D0000}"/>
    <cellStyle name="40% - Accent4 2 4 3 2 4 2 2" xfId="30091" xr:uid="{00000000-0005-0000-0000-0000654D0000}"/>
    <cellStyle name="40% - Accent4 2 4 3 2 4 2 2 2" xfId="49280" xr:uid="{00000000-0005-0000-0000-0000664D0000}"/>
    <cellStyle name="40% - Accent4 2 4 3 2 4 2 3" xfId="39582" xr:uid="{00000000-0005-0000-0000-0000674D0000}"/>
    <cellStyle name="40% - Accent4 2 4 3 2 4 3" xfId="25636" xr:uid="{00000000-0005-0000-0000-0000684D0000}"/>
    <cellStyle name="40% - Accent4 2 4 3 2 4 3 2" xfId="44825" xr:uid="{00000000-0005-0000-0000-0000694D0000}"/>
    <cellStyle name="40% - Accent4 2 4 3 2 4 4" xfId="35127" xr:uid="{00000000-0005-0000-0000-00006A4D0000}"/>
    <cellStyle name="40% - Accent4 2 4 3 2 5" xfId="16929" xr:uid="{00000000-0005-0000-0000-00006B4D0000}"/>
    <cellStyle name="40% - Accent4 2 4 3 2 5 2" xfId="21393" xr:uid="{00000000-0005-0000-0000-00006C4D0000}"/>
    <cellStyle name="40% - Accent4 2 4 3 2 5 2 2" xfId="31761" xr:uid="{00000000-0005-0000-0000-00006D4D0000}"/>
    <cellStyle name="40% - Accent4 2 4 3 2 5 2 2 2" xfId="50950" xr:uid="{00000000-0005-0000-0000-00006E4D0000}"/>
    <cellStyle name="40% - Accent4 2 4 3 2 5 2 3" xfId="41252" xr:uid="{00000000-0005-0000-0000-00006F4D0000}"/>
    <cellStyle name="40% - Accent4 2 4 3 2 5 3" xfId="27306" xr:uid="{00000000-0005-0000-0000-0000704D0000}"/>
    <cellStyle name="40% - Accent4 2 4 3 2 5 3 2" xfId="46495" xr:uid="{00000000-0005-0000-0000-0000714D0000}"/>
    <cellStyle name="40% - Accent4 2 4 3 2 5 4" xfId="36797" xr:uid="{00000000-0005-0000-0000-0000724D0000}"/>
    <cellStyle name="40% - Accent4 2 4 3 2 6" xfId="17495" xr:uid="{00000000-0005-0000-0000-0000734D0000}"/>
    <cellStyle name="40% - Accent4 2 4 3 2 6 2" xfId="21950" xr:uid="{00000000-0005-0000-0000-0000744D0000}"/>
    <cellStyle name="40% - Accent4 2 4 3 2 6 2 2" xfId="32318" xr:uid="{00000000-0005-0000-0000-0000754D0000}"/>
    <cellStyle name="40% - Accent4 2 4 3 2 6 2 2 2" xfId="51507" xr:uid="{00000000-0005-0000-0000-0000764D0000}"/>
    <cellStyle name="40% - Accent4 2 4 3 2 6 2 3" xfId="41809" xr:uid="{00000000-0005-0000-0000-0000774D0000}"/>
    <cellStyle name="40% - Accent4 2 4 3 2 6 3" xfId="27863" xr:uid="{00000000-0005-0000-0000-0000784D0000}"/>
    <cellStyle name="40% - Accent4 2 4 3 2 6 3 2" xfId="47052" xr:uid="{00000000-0005-0000-0000-0000794D0000}"/>
    <cellStyle name="40% - Accent4 2 4 3 2 6 4" xfId="37354" xr:uid="{00000000-0005-0000-0000-00007A4D0000}"/>
    <cellStyle name="40% - Accent4 2 4 3 2 7" xfId="18052" xr:uid="{00000000-0005-0000-0000-00007B4D0000}"/>
    <cellStyle name="40% - Accent4 2 4 3 2 7 2" xfId="28420" xr:uid="{00000000-0005-0000-0000-00007C4D0000}"/>
    <cellStyle name="40% - Accent4 2 4 3 2 7 2 2" xfId="47609" xr:uid="{00000000-0005-0000-0000-00007D4D0000}"/>
    <cellStyle name="40% - Accent4 2 4 3 2 7 3" xfId="37911" xr:uid="{00000000-0005-0000-0000-00007E4D0000}"/>
    <cellStyle name="40% - Accent4 2 4 3 2 8" xfId="23915" xr:uid="{00000000-0005-0000-0000-00007F4D0000}"/>
    <cellStyle name="40% - Accent4 2 4 3 2 8 2" xfId="43154" xr:uid="{00000000-0005-0000-0000-0000804D0000}"/>
    <cellStyle name="40% - Accent4 2 4 3 2 9" xfId="33456" xr:uid="{00000000-0005-0000-0000-0000814D0000}"/>
    <cellStyle name="40% - Accent4 2 4 3 3" xfId="13171" xr:uid="{00000000-0005-0000-0000-0000824D0000}"/>
    <cellStyle name="40% - Accent4 2 4 3 3 2" xfId="14109" xr:uid="{00000000-0005-0000-0000-0000834D0000}"/>
    <cellStyle name="40% - Accent4 2 4 3 3 2 2" xfId="16373" xr:uid="{00000000-0005-0000-0000-0000844D0000}"/>
    <cellStyle name="40% - Accent4 2 4 3 3 2 2 2" xfId="20837" xr:uid="{00000000-0005-0000-0000-0000854D0000}"/>
    <cellStyle name="40% - Accent4 2 4 3 3 2 2 2 2" xfId="31205" xr:uid="{00000000-0005-0000-0000-0000864D0000}"/>
    <cellStyle name="40% - Accent4 2 4 3 3 2 2 2 2 2" xfId="50394" xr:uid="{00000000-0005-0000-0000-0000874D0000}"/>
    <cellStyle name="40% - Accent4 2 4 3 3 2 2 2 3" xfId="40696" xr:uid="{00000000-0005-0000-0000-0000884D0000}"/>
    <cellStyle name="40% - Accent4 2 4 3 3 2 2 3" xfId="26750" xr:uid="{00000000-0005-0000-0000-0000894D0000}"/>
    <cellStyle name="40% - Accent4 2 4 3 3 2 2 3 2" xfId="45939" xr:uid="{00000000-0005-0000-0000-00008A4D0000}"/>
    <cellStyle name="40% - Accent4 2 4 3 3 2 2 4" xfId="36241" xr:uid="{00000000-0005-0000-0000-00008B4D0000}"/>
    <cellStyle name="40% - Accent4 2 4 3 3 2 3" xfId="18609" xr:uid="{00000000-0005-0000-0000-00008C4D0000}"/>
    <cellStyle name="40% - Accent4 2 4 3 3 2 3 2" xfId="28977" xr:uid="{00000000-0005-0000-0000-00008D4D0000}"/>
    <cellStyle name="40% - Accent4 2 4 3 3 2 3 2 2" xfId="48166" xr:uid="{00000000-0005-0000-0000-00008E4D0000}"/>
    <cellStyle name="40% - Accent4 2 4 3 3 2 3 3" xfId="38468" xr:uid="{00000000-0005-0000-0000-00008F4D0000}"/>
    <cellStyle name="40% - Accent4 2 4 3 3 2 4" xfId="24517" xr:uid="{00000000-0005-0000-0000-0000904D0000}"/>
    <cellStyle name="40% - Accent4 2 4 3 3 2 4 2" xfId="43711" xr:uid="{00000000-0005-0000-0000-0000914D0000}"/>
    <cellStyle name="40% - Accent4 2 4 3 3 2 5" xfId="34013" xr:uid="{00000000-0005-0000-0000-0000924D0000}"/>
    <cellStyle name="40% - Accent4 2 4 3 3 3" xfId="14688" xr:uid="{00000000-0005-0000-0000-0000934D0000}"/>
    <cellStyle name="40% - Accent4 2 4 3 3 3 2" xfId="15817" xr:uid="{00000000-0005-0000-0000-0000944D0000}"/>
    <cellStyle name="40% - Accent4 2 4 3 3 3 2 2" xfId="20281" xr:uid="{00000000-0005-0000-0000-0000954D0000}"/>
    <cellStyle name="40% - Accent4 2 4 3 3 3 2 2 2" xfId="30649" xr:uid="{00000000-0005-0000-0000-0000964D0000}"/>
    <cellStyle name="40% - Accent4 2 4 3 3 3 2 2 2 2" xfId="49838" xr:uid="{00000000-0005-0000-0000-0000974D0000}"/>
    <cellStyle name="40% - Accent4 2 4 3 3 3 2 2 3" xfId="40140" xr:uid="{00000000-0005-0000-0000-0000984D0000}"/>
    <cellStyle name="40% - Accent4 2 4 3 3 3 2 3" xfId="26194" xr:uid="{00000000-0005-0000-0000-0000994D0000}"/>
    <cellStyle name="40% - Accent4 2 4 3 3 3 2 3 2" xfId="45383" xr:uid="{00000000-0005-0000-0000-00009A4D0000}"/>
    <cellStyle name="40% - Accent4 2 4 3 3 3 2 4" xfId="35685" xr:uid="{00000000-0005-0000-0000-00009B4D0000}"/>
    <cellStyle name="40% - Accent4 2 4 3 3 3 3" xfId="19166" xr:uid="{00000000-0005-0000-0000-00009C4D0000}"/>
    <cellStyle name="40% - Accent4 2 4 3 3 3 3 2" xfId="29534" xr:uid="{00000000-0005-0000-0000-00009D4D0000}"/>
    <cellStyle name="40% - Accent4 2 4 3 3 3 3 2 2" xfId="48723" xr:uid="{00000000-0005-0000-0000-00009E4D0000}"/>
    <cellStyle name="40% - Accent4 2 4 3 3 3 3 3" xfId="39025" xr:uid="{00000000-0005-0000-0000-00009F4D0000}"/>
    <cellStyle name="40% - Accent4 2 4 3 3 3 4" xfId="25079" xr:uid="{00000000-0005-0000-0000-0000A04D0000}"/>
    <cellStyle name="40% - Accent4 2 4 3 3 3 4 2" xfId="44268" xr:uid="{00000000-0005-0000-0000-0000A14D0000}"/>
    <cellStyle name="40% - Accent4 2 4 3 3 3 5" xfId="34570" xr:uid="{00000000-0005-0000-0000-0000A24D0000}"/>
    <cellStyle name="40% - Accent4 2 4 3 3 4" xfId="15260" xr:uid="{00000000-0005-0000-0000-0000A34D0000}"/>
    <cellStyle name="40% - Accent4 2 4 3 3 4 2" xfId="19724" xr:uid="{00000000-0005-0000-0000-0000A44D0000}"/>
    <cellStyle name="40% - Accent4 2 4 3 3 4 2 2" xfId="30092" xr:uid="{00000000-0005-0000-0000-0000A54D0000}"/>
    <cellStyle name="40% - Accent4 2 4 3 3 4 2 2 2" xfId="49281" xr:uid="{00000000-0005-0000-0000-0000A64D0000}"/>
    <cellStyle name="40% - Accent4 2 4 3 3 4 2 3" xfId="39583" xr:uid="{00000000-0005-0000-0000-0000A74D0000}"/>
    <cellStyle name="40% - Accent4 2 4 3 3 4 3" xfId="25637" xr:uid="{00000000-0005-0000-0000-0000A84D0000}"/>
    <cellStyle name="40% - Accent4 2 4 3 3 4 3 2" xfId="44826" xr:uid="{00000000-0005-0000-0000-0000A94D0000}"/>
    <cellStyle name="40% - Accent4 2 4 3 3 4 4" xfId="35128" xr:uid="{00000000-0005-0000-0000-0000AA4D0000}"/>
    <cellStyle name="40% - Accent4 2 4 3 3 5" xfId="16930" xr:uid="{00000000-0005-0000-0000-0000AB4D0000}"/>
    <cellStyle name="40% - Accent4 2 4 3 3 5 2" xfId="21394" xr:uid="{00000000-0005-0000-0000-0000AC4D0000}"/>
    <cellStyle name="40% - Accent4 2 4 3 3 5 2 2" xfId="31762" xr:uid="{00000000-0005-0000-0000-0000AD4D0000}"/>
    <cellStyle name="40% - Accent4 2 4 3 3 5 2 2 2" xfId="50951" xr:uid="{00000000-0005-0000-0000-0000AE4D0000}"/>
    <cellStyle name="40% - Accent4 2 4 3 3 5 2 3" xfId="41253" xr:uid="{00000000-0005-0000-0000-0000AF4D0000}"/>
    <cellStyle name="40% - Accent4 2 4 3 3 5 3" xfId="27307" xr:uid="{00000000-0005-0000-0000-0000B04D0000}"/>
    <cellStyle name="40% - Accent4 2 4 3 3 5 3 2" xfId="46496" xr:uid="{00000000-0005-0000-0000-0000B14D0000}"/>
    <cellStyle name="40% - Accent4 2 4 3 3 5 4" xfId="36798" xr:uid="{00000000-0005-0000-0000-0000B24D0000}"/>
    <cellStyle name="40% - Accent4 2 4 3 3 6" xfId="17496" xr:uid="{00000000-0005-0000-0000-0000B34D0000}"/>
    <cellStyle name="40% - Accent4 2 4 3 3 6 2" xfId="21951" xr:uid="{00000000-0005-0000-0000-0000B44D0000}"/>
    <cellStyle name="40% - Accent4 2 4 3 3 6 2 2" xfId="32319" xr:uid="{00000000-0005-0000-0000-0000B54D0000}"/>
    <cellStyle name="40% - Accent4 2 4 3 3 6 2 2 2" xfId="51508" xr:uid="{00000000-0005-0000-0000-0000B64D0000}"/>
    <cellStyle name="40% - Accent4 2 4 3 3 6 2 3" xfId="41810" xr:uid="{00000000-0005-0000-0000-0000B74D0000}"/>
    <cellStyle name="40% - Accent4 2 4 3 3 6 3" xfId="27864" xr:uid="{00000000-0005-0000-0000-0000B84D0000}"/>
    <cellStyle name="40% - Accent4 2 4 3 3 6 3 2" xfId="47053" xr:uid="{00000000-0005-0000-0000-0000B94D0000}"/>
    <cellStyle name="40% - Accent4 2 4 3 3 6 4" xfId="37355" xr:uid="{00000000-0005-0000-0000-0000BA4D0000}"/>
    <cellStyle name="40% - Accent4 2 4 3 3 7" xfId="18053" xr:uid="{00000000-0005-0000-0000-0000BB4D0000}"/>
    <cellStyle name="40% - Accent4 2 4 3 3 7 2" xfId="28421" xr:uid="{00000000-0005-0000-0000-0000BC4D0000}"/>
    <cellStyle name="40% - Accent4 2 4 3 3 7 2 2" xfId="47610" xr:uid="{00000000-0005-0000-0000-0000BD4D0000}"/>
    <cellStyle name="40% - Accent4 2 4 3 3 7 3" xfId="37912" xr:uid="{00000000-0005-0000-0000-0000BE4D0000}"/>
    <cellStyle name="40% - Accent4 2 4 3 3 8" xfId="23916" xr:uid="{00000000-0005-0000-0000-0000BF4D0000}"/>
    <cellStyle name="40% - Accent4 2 4 3 3 8 2" xfId="43155" xr:uid="{00000000-0005-0000-0000-0000C04D0000}"/>
    <cellStyle name="40% - Accent4 2 4 3 3 9" xfId="33457" xr:uid="{00000000-0005-0000-0000-0000C14D0000}"/>
    <cellStyle name="40% - Accent4 2 4 3 4" xfId="14107" xr:uid="{00000000-0005-0000-0000-0000C24D0000}"/>
    <cellStyle name="40% - Accent4 2 4 3 4 2" xfId="16371" xr:uid="{00000000-0005-0000-0000-0000C34D0000}"/>
    <cellStyle name="40% - Accent4 2 4 3 4 2 2" xfId="20835" xr:uid="{00000000-0005-0000-0000-0000C44D0000}"/>
    <cellStyle name="40% - Accent4 2 4 3 4 2 2 2" xfId="31203" xr:uid="{00000000-0005-0000-0000-0000C54D0000}"/>
    <cellStyle name="40% - Accent4 2 4 3 4 2 2 2 2" xfId="50392" xr:uid="{00000000-0005-0000-0000-0000C64D0000}"/>
    <cellStyle name="40% - Accent4 2 4 3 4 2 2 3" xfId="40694" xr:uid="{00000000-0005-0000-0000-0000C74D0000}"/>
    <cellStyle name="40% - Accent4 2 4 3 4 2 3" xfId="26748" xr:uid="{00000000-0005-0000-0000-0000C84D0000}"/>
    <cellStyle name="40% - Accent4 2 4 3 4 2 3 2" xfId="45937" xr:uid="{00000000-0005-0000-0000-0000C94D0000}"/>
    <cellStyle name="40% - Accent4 2 4 3 4 2 4" xfId="36239" xr:uid="{00000000-0005-0000-0000-0000CA4D0000}"/>
    <cellStyle name="40% - Accent4 2 4 3 4 3" xfId="18607" xr:uid="{00000000-0005-0000-0000-0000CB4D0000}"/>
    <cellStyle name="40% - Accent4 2 4 3 4 3 2" xfId="28975" xr:uid="{00000000-0005-0000-0000-0000CC4D0000}"/>
    <cellStyle name="40% - Accent4 2 4 3 4 3 2 2" xfId="48164" xr:uid="{00000000-0005-0000-0000-0000CD4D0000}"/>
    <cellStyle name="40% - Accent4 2 4 3 4 3 3" xfId="38466" xr:uid="{00000000-0005-0000-0000-0000CE4D0000}"/>
    <cellStyle name="40% - Accent4 2 4 3 4 4" xfId="24515" xr:uid="{00000000-0005-0000-0000-0000CF4D0000}"/>
    <cellStyle name="40% - Accent4 2 4 3 4 4 2" xfId="43709" xr:uid="{00000000-0005-0000-0000-0000D04D0000}"/>
    <cellStyle name="40% - Accent4 2 4 3 4 5" xfId="34011" xr:uid="{00000000-0005-0000-0000-0000D14D0000}"/>
    <cellStyle name="40% - Accent4 2 4 3 5" xfId="14686" xr:uid="{00000000-0005-0000-0000-0000D24D0000}"/>
    <cellStyle name="40% - Accent4 2 4 3 5 2" xfId="15815" xr:uid="{00000000-0005-0000-0000-0000D34D0000}"/>
    <cellStyle name="40% - Accent4 2 4 3 5 2 2" xfId="20279" xr:uid="{00000000-0005-0000-0000-0000D44D0000}"/>
    <cellStyle name="40% - Accent4 2 4 3 5 2 2 2" xfId="30647" xr:uid="{00000000-0005-0000-0000-0000D54D0000}"/>
    <cellStyle name="40% - Accent4 2 4 3 5 2 2 2 2" xfId="49836" xr:uid="{00000000-0005-0000-0000-0000D64D0000}"/>
    <cellStyle name="40% - Accent4 2 4 3 5 2 2 3" xfId="40138" xr:uid="{00000000-0005-0000-0000-0000D74D0000}"/>
    <cellStyle name="40% - Accent4 2 4 3 5 2 3" xfId="26192" xr:uid="{00000000-0005-0000-0000-0000D84D0000}"/>
    <cellStyle name="40% - Accent4 2 4 3 5 2 3 2" xfId="45381" xr:uid="{00000000-0005-0000-0000-0000D94D0000}"/>
    <cellStyle name="40% - Accent4 2 4 3 5 2 4" xfId="35683" xr:uid="{00000000-0005-0000-0000-0000DA4D0000}"/>
    <cellStyle name="40% - Accent4 2 4 3 5 3" xfId="19164" xr:uid="{00000000-0005-0000-0000-0000DB4D0000}"/>
    <cellStyle name="40% - Accent4 2 4 3 5 3 2" xfId="29532" xr:uid="{00000000-0005-0000-0000-0000DC4D0000}"/>
    <cellStyle name="40% - Accent4 2 4 3 5 3 2 2" xfId="48721" xr:uid="{00000000-0005-0000-0000-0000DD4D0000}"/>
    <cellStyle name="40% - Accent4 2 4 3 5 3 3" xfId="39023" xr:uid="{00000000-0005-0000-0000-0000DE4D0000}"/>
    <cellStyle name="40% - Accent4 2 4 3 5 4" xfId="25077" xr:uid="{00000000-0005-0000-0000-0000DF4D0000}"/>
    <cellStyle name="40% - Accent4 2 4 3 5 4 2" xfId="44266" xr:uid="{00000000-0005-0000-0000-0000E04D0000}"/>
    <cellStyle name="40% - Accent4 2 4 3 5 5" xfId="34568" xr:uid="{00000000-0005-0000-0000-0000E14D0000}"/>
    <cellStyle name="40% - Accent4 2 4 3 6" xfId="15258" xr:uid="{00000000-0005-0000-0000-0000E24D0000}"/>
    <cellStyle name="40% - Accent4 2 4 3 6 2" xfId="19722" xr:uid="{00000000-0005-0000-0000-0000E34D0000}"/>
    <cellStyle name="40% - Accent4 2 4 3 6 2 2" xfId="30090" xr:uid="{00000000-0005-0000-0000-0000E44D0000}"/>
    <cellStyle name="40% - Accent4 2 4 3 6 2 2 2" xfId="49279" xr:uid="{00000000-0005-0000-0000-0000E54D0000}"/>
    <cellStyle name="40% - Accent4 2 4 3 6 2 3" xfId="39581" xr:uid="{00000000-0005-0000-0000-0000E64D0000}"/>
    <cellStyle name="40% - Accent4 2 4 3 6 3" xfId="25635" xr:uid="{00000000-0005-0000-0000-0000E74D0000}"/>
    <cellStyle name="40% - Accent4 2 4 3 6 3 2" xfId="44824" xr:uid="{00000000-0005-0000-0000-0000E84D0000}"/>
    <cellStyle name="40% - Accent4 2 4 3 6 4" xfId="35126" xr:uid="{00000000-0005-0000-0000-0000E94D0000}"/>
    <cellStyle name="40% - Accent4 2 4 3 7" xfId="16928" xr:uid="{00000000-0005-0000-0000-0000EA4D0000}"/>
    <cellStyle name="40% - Accent4 2 4 3 7 2" xfId="21392" xr:uid="{00000000-0005-0000-0000-0000EB4D0000}"/>
    <cellStyle name="40% - Accent4 2 4 3 7 2 2" xfId="31760" xr:uid="{00000000-0005-0000-0000-0000EC4D0000}"/>
    <cellStyle name="40% - Accent4 2 4 3 7 2 2 2" xfId="50949" xr:uid="{00000000-0005-0000-0000-0000ED4D0000}"/>
    <cellStyle name="40% - Accent4 2 4 3 7 2 3" xfId="41251" xr:uid="{00000000-0005-0000-0000-0000EE4D0000}"/>
    <cellStyle name="40% - Accent4 2 4 3 7 3" xfId="27305" xr:uid="{00000000-0005-0000-0000-0000EF4D0000}"/>
    <cellStyle name="40% - Accent4 2 4 3 7 3 2" xfId="46494" xr:uid="{00000000-0005-0000-0000-0000F04D0000}"/>
    <cellStyle name="40% - Accent4 2 4 3 7 4" xfId="36796" xr:uid="{00000000-0005-0000-0000-0000F14D0000}"/>
    <cellStyle name="40% - Accent4 2 4 3 8" xfId="17494" xr:uid="{00000000-0005-0000-0000-0000F24D0000}"/>
    <cellStyle name="40% - Accent4 2 4 3 8 2" xfId="21949" xr:uid="{00000000-0005-0000-0000-0000F34D0000}"/>
    <cellStyle name="40% - Accent4 2 4 3 8 2 2" xfId="32317" xr:uid="{00000000-0005-0000-0000-0000F44D0000}"/>
    <cellStyle name="40% - Accent4 2 4 3 8 2 2 2" xfId="51506" xr:uid="{00000000-0005-0000-0000-0000F54D0000}"/>
    <cellStyle name="40% - Accent4 2 4 3 8 2 3" xfId="41808" xr:uid="{00000000-0005-0000-0000-0000F64D0000}"/>
    <cellStyle name="40% - Accent4 2 4 3 8 3" xfId="27862" xr:uid="{00000000-0005-0000-0000-0000F74D0000}"/>
    <cellStyle name="40% - Accent4 2 4 3 8 3 2" xfId="47051" xr:uid="{00000000-0005-0000-0000-0000F84D0000}"/>
    <cellStyle name="40% - Accent4 2 4 3 8 4" xfId="37353" xr:uid="{00000000-0005-0000-0000-0000F94D0000}"/>
    <cellStyle name="40% - Accent4 2 4 3 9" xfId="18051" xr:uid="{00000000-0005-0000-0000-0000FA4D0000}"/>
    <cellStyle name="40% - Accent4 2 4 3 9 2" xfId="28419" xr:uid="{00000000-0005-0000-0000-0000FB4D0000}"/>
    <cellStyle name="40% - Accent4 2 4 3 9 2 2" xfId="47608" xr:uid="{00000000-0005-0000-0000-0000FC4D0000}"/>
    <cellStyle name="40% - Accent4 2 4 3 9 3" xfId="37910" xr:uid="{00000000-0005-0000-0000-0000FD4D0000}"/>
    <cellStyle name="40% - Accent4 2 4 4" xfId="13172" xr:uid="{00000000-0005-0000-0000-0000FE4D0000}"/>
    <cellStyle name="40% - Accent4 2 4 4 10" xfId="53457" xr:uid="{00000000-0005-0000-0000-0000FF4D0000}"/>
    <cellStyle name="40% - Accent4 2 4 4 2" xfId="14110" xr:uid="{00000000-0005-0000-0000-0000004E0000}"/>
    <cellStyle name="40% - Accent4 2 4 4 2 2" xfId="16374" xr:uid="{00000000-0005-0000-0000-0000014E0000}"/>
    <cellStyle name="40% - Accent4 2 4 4 2 2 2" xfId="20838" xr:uid="{00000000-0005-0000-0000-0000024E0000}"/>
    <cellStyle name="40% - Accent4 2 4 4 2 2 2 2" xfId="31206" xr:uid="{00000000-0005-0000-0000-0000034E0000}"/>
    <cellStyle name="40% - Accent4 2 4 4 2 2 2 2 2" xfId="50395" xr:uid="{00000000-0005-0000-0000-0000044E0000}"/>
    <cellStyle name="40% - Accent4 2 4 4 2 2 2 3" xfId="40697" xr:uid="{00000000-0005-0000-0000-0000054E0000}"/>
    <cellStyle name="40% - Accent4 2 4 4 2 2 3" xfId="26751" xr:uid="{00000000-0005-0000-0000-0000064E0000}"/>
    <cellStyle name="40% - Accent4 2 4 4 2 2 3 2" xfId="45940" xr:uid="{00000000-0005-0000-0000-0000074E0000}"/>
    <cellStyle name="40% - Accent4 2 4 4 2 2 4" xfId="36242" xr:uid="{00000000-0005-0000-0000-0000084E0000}"/>
    <cellStyle name="40% - Accent4 2 4 4 2 3" xfId="18610" xr:uid="{00000000-0005-0000-0000-0000094E0000}"/>
    <cellStyle name="40% - Accent4 2 4 4 2 3 2" xfId="28978" xr:uid="{00000000-0005-0000-0000-00000A4E0000}"/>
    <cellStyle name="40% - Accent4 2 4 4 2 3 2 2" xfId="48167" xr:uid="{00000000-0005-0000-0000-00000B4E0000}"/>
    <cellStyle name="40% - Accent4 2 4 4 2 3 3" xfId="38469" xr:uid="{00000000-0005-0000-0000-00000C4E0000}"/>
    <cellStyle name="40% - Accent4 2 4 4 2 4" xfId="24518" xr:uid="{00000000-0005-0000-0000-00000D4E0000}"/>
    <cellStyle name="40% - Accent4 2 4 4 2 4 2" xfId="43712" xr:uid="{00000000-0005-0000-0000-00000E4E0000}"/>
    <cellStyle name="40% - Accent4 2 4 4 2 5" xfId="34014" xr:uid="{00000000-0005-0000-0000-00000F4E0000}"/>
    <cellStyle name="40% - Accent4 2 4 4 3" xfId="14689" xr:uid="{00000000-0005-0000-0000-0000104E0000}"/>
    <cellStyle name="40% - Accent4 2 4 4 3 2" xfId="15818" xr:uid="{00000000-0005-0000-0000-0000114E0000}"/>
    <cellStyle name="40% - Accent4 2 4 4 3 2 2" xfId="20282" xr:uid="{00000000-0005-0000-0000-0000124E0000}"/>
    <cellStyle name="40% - Accent4 2 4 4 3 2 2 2" xfId="30650" xr:uid="{00000000-0005-0000-0000-0000134E0000}"/>
    <cellStyle name="40% - Accent4 2 4 4 3 2 2 2 2" xfId="49839" xr:uid="{00000000-0005-0000-0000-0000144E0000}"/>
    <cellStyle name="40% - Accent4 2 4 4 3 2 2 3" xfId="40141" xr:uid="{00000000-0005-0000-0000-0000154E0000}"/>
    <cellStyle name="40% - Accent4 2 4 4 3 2 3" xfId="26195" xr:uid="{00000000-0005-0000-0000-0000164E0000}"/>
    <cellStyle name="40% - Accent4 2 4 4 3 2 3 2" xfId="45384" xr:uid="{00000000-0005-0000-0000-0000174E0000}"/>
    <cellStyle name="40% - Accent4 2 4 4 3 2 4" xfId="35686" xr:uid="{00000000-0005-0000-0000-0000184E0000}"/>
    <cellStyle name="40% - Accent4 2 4 4 3 3" xfId="19167" xr:uid="{00000000-0005-0000-0000-0000194E0000}"/>
    <cellStyle name="40% - Accent4 2 4 4 3 3 2" xfId="29535" xr:uid="{00000000-0005-0000-0000-00001A4E0000}"/>
    <cellStyle name="40% - Accent4 2 4 4 3 3 2 2" xfId="48724" xr:uid="{00000000-0005-0000-0000-00001B4E0000}"/>
    <cellStyle name="40% - Accent4 2 4 4 3 3 3" xfId="39026" xr:uid="{00000000-0005-0000-0000-00001C4E0000}"/>
    <cellStyle name="40% - Accent4 2 4 4 3 4" xfId="25080" xr:uid="{00000000-0005-0000-0000-00001D4E0000}"/>
    <cellStyle name="40% - Accent4 2 4 4 3 4 2" xfId="44269" xr:uid="{00000000-0005-0000-0000-00001E4E0000}"/>
    <cellStyle name="40% - Accent4 2 4 4 3 5" xfId="34571" xr:uid="{00000000-0005-0000-0000-00001F4E0000}"/>
    <cellStyle name="40% - Accent4 2 4 4 4" xfId="15261" xr:uid="{00000000-0005-0000-0000-0000204E0000}"/>
    <cellStyle name="40% - Accent4 2 4 4 4 2" xfId="19725" xr:uid="{00000000-0005-0000-0000-0000214E0000}"/>
    <cellStyle name="40% - Accent4 2 4 4 4 2 2" xfId="30093" xr:uid="{00000000-0005-0000-0000-0000224E0000}"/>
    <cellStyle name="40% - Accent4 2 4 4 4 2 2 2" xfId="49282" xr:uid="{00000000-0005-0000-0000-0000234E0000}"/>
    <cellStyle name="40% - Accent4 2 4 4 4 2 3" xfId="39584" xr:uid="{00000000-0005-0000-0000-0000244E0000}"/>
    <cellStyle name="40% - Accent4 2 4 4 4 3" xfId="25638" xr:uid="{00000000-0005-0000-0000-0000254E0000}"/>
    <cellStyle name="40% - Accent4 2 4 4 4 3 2" xfId="44827" xr:uid="{00000000-0005-0000-0000-0000264E0000}"/>
    <cellStyle name="40% - Accent4 2 4 4 4 4" xfId="35129" xr:uid="{00000000-0005-0000-0000-0000274E0000}"/>
    <cellStyle name="40% - Accent4 2 4 4 5" xfId="16931" xr:uid="{00000000-0005-0000-0000-0000284E0000}"/>
    <cellStyle name="40% - Accent4 2 4 4 5 2" xfId="21395" xr:uid="{00000000-0005-0000-0000-0000294E0000}"/>
    <cellStyle name="40% - Accent4 2 4 4 5 2 2" xfId="31763" xr:uid="{00000000-0005-0000-0000-00002A4E0000}"/>
    <cellStyle name="40% - Accent4 2 4 4 5 2 2 2" xfId="50952" xr:uid="{00000000-0005-0000-0000-00002B4E0000}"/>
    <cellStyle name="40% - Accent4 2 4 4 5 2 3" xfId="41254" xr:uid="{00000000-0005-0000-0000-00002C4E0000}"/>
    <cellStyle name="40% - Accent4 2 4 4 5 3" xfId="27308" xr:uid="{00000000-0005-0000-0000-00002D4E0000}"/>
    <cellStyle name="40% - Accent4 2 4 4 5 3 2" xfId="46497" xr:uid="{00000000-0005-0000-0000-00002E4E0000}"/>
    <cellStyle name="40% - Accent4 2 4 4 5 4" xfId="36799" xr:uid="{00000000-0005-0000-0000-00002F4E0000}"/>
    <cellStyle name="40% - Accent4 2 4 4 6" xfId="17497" xr:uid="{00000000-0005-0000-0000-0000304E0000}"/>
    <cellStyle name="40% - Accent4 2 4 4 6 2" xfId="21952" xr:uid="{00000000-0005-0000-0000-0000314E0000}"/>
    <cellStyle name="40% - Accent4 2 4 4 6 2 2" xfId="32320" xr:uid="{00000000-0005-0000-0000-0000324E0000}"/>
    <cellStyle name="40% - Accent4 2 4 4 6 2 2 2" xfId="51509" xr:uid="{00000000-0005-0000-0000-0000334E0000}"/>
    <cellStyle name="40% - Accent4 2 4 4 6 2 3" xfId="41811" xr:uid="{00000000-0005-0000-0000-0000344E0000}"/>
    <cellStyle name="40% - Accent4 2 4 4 6 3" xfId="27865" xr:uid="{00000000-0005-0000-0000-0000354E0000}"/>
    <cellStyle name="40% - Accent4 2 4 4 6 3 2" xfId="47054" xr:uid="{00000000-0005-0000-0000-0000364E0000}"/>
    <cellStyle name="40% - Accent4 2 4 4 6 4" xfId="37356" xr:uid="{00000000-0005-0000-0000-0000374E0000}"/>
    <cellStyle name="40% - Accent4 2 4 4 7" xfId="18054" xr:uid="{00000000-0005-0000-0000-0000384E0000}"/>
    <cellStyle name="40% - Accent4 2 4 4 7 2" xfId="28422" xr:uid="{00000000-0005-0000-0000-0000394E0000}"/>
    <cellStyle name="40% - Accent4 2 4 4 7 2 2" xfId="47611" xr:uid="{00000000-0005-0000-0000-00003A4E0000}"/>
    <cellStyle name="40% - Accent4 2 4 4 7 3" xfId="37913" xr:uid="{00000000-0005-0000-0000-00003B4E0000}"/>
    <cellStyle name="40% - Accent4 2 4 4 8" xfId="23917" xr:uid="{00000000-0005-0000-0000-00003C4E0000}"/>
    <cellStyle name="40% - Accent4 2 4 4 8 2" xfId="43156" xr:uid="{00000000-0005-0000-0000-00003D4E0000}"/>
    <cellStyle name="40% - Accent4 2 4 4 9" xfId="33458" xr:uid="{00000000-0005-0000-0000-00003E4E0000}"/>
    <cellStyle name="40% - Accent4 2 4 5" xfId="13173" xr:uid="{00000000-0005-0000-0000-00003F4E0000}"/>
    <cellStyle name="40% - Accent4 2 4 5 2" xfId="14111" xr:uid="{00000000-0005-0000-0000-0000404E0000}"/>
    <cellStyle name="40% - Accent4 2 4 5 2 2" xfId="16375" xr:uid="{00000000-0005-0000-0000-0000414E0000}"/>
    <cellStyle name="40% - Accent4 2 4 5 2 2 2" xfId="20839" xr:uid="{00000000-0005-0000-0000-0000424E0000}"/>
    <cellStyle name="40% - Accent4 2 4 5 2 2 2 2" xfId="31207" xr:uid="{00000000-0005-0000-0000-0000434E0000}"/>
    <cellStyle name="40% - Accent4 2 4 5 2 2 2 2 2" xfId="50396" xr:uid="{00000000-0005-0000-0000-0000444E0000}"/>
    <cellStyle name="40% - Accent4 2 4 5 2 2 2 3" xfId="40698" xr:uid="{00000000-0005-0000-0000-0000454E0000}"/>
    <cellStyle name="40% - Accent4 2 4 5 2 2 3" xfId="26752" xr:uid="{00000000-0005-0000-0000-0000464E0000}"/>
    <cellStyle name="40% - Accent4 2 4 5 2 2 3 2" xfId="45941" xr:uid="{00000000-0005-0000-0000-0000474E0000}"/>
    <cellStyle name="40% - Accent4 2 4 5 2 2 4" xfId="36243" xr:uid="{00000000-0005-0000-0000-0000484E0000}"/>
    <cellStyle name="40% - Accent4 2 4 5 2 3" xfId="18611" xr:uid="{00000000-0005-0000-0000-0000494E0000}"/>
    <cellStyle name="40% - Accent4 2 4 5 2 3 2" xfId="28979" xr:uid="{00000000-0005-0000-0000-00004A4E0000}"/>
    <cellStyle name="40% - Accent4 2 4 5 2 3 2 2" xfId="48168" xr:uid="{00000000-0005-0000-0000-00004B4E0000}"/>
    <cellStyle name="40% - Accent4 2 4 5 2 3 3" xfId="38470" xr:uid="{00000000-0005-0000-0000-00004C4E0000}"/>
    <cellStyle name="40% - Accent4 2 4 5 2 4" xfId="24519" xr:uid="{00000000-0005-0000-0000-00004D4E0000}"/>
    <cellStyle name="40% - Accent4 2 4 5 2 4 2" xfId="43713" xr:uid="{00000000-0005-0000-0000-00004E4E0000}"/>
    <cellStyle name="40% - Accent4 2 4 5 2 5" xfId="34015" xr:uid="{00000000-0005-0000-0000-00004F4E0000}"/>
    <cellStyle name="40% - Accent4 2 4 5 3" xfId="14690" xr:uid="{00000000-0005-0000-0000-0000504E0000}"/>
    <cellStyle name="40% - Accent4 2 4 5 3 2" xfId="15819" xr:uid="{00000000-0005-0000-0000-0000514E0000}"/>
    <cellStyle name="40% - Accent4 2 4 5 3 2 2" xfId="20283" xr:uid="{00000000-0005-0000-0000-0000524E0000}"/>
    <cellStyle name="40% - Accent4 2 4 5 3 2 2 2" xfId="30651" xr:uid="{00000000-0005-0000-0000-0000534E0000}"/>
    <cellStyle name="40% - Accent4 2 4 5 3 2 2 2 2" xfId="49840" xr:uid="{00000000-0005-0000-0000-0000544E0000}"/>
    <cellStyle name="40% - Accent4 2 4 5 3 2 2 3" xfId="40142" xr:uid="{00000000-0005-0000-0000-0000554E0000}"/>
    <cellStyle name="40% - Accent4 2 4 5 3 2 3" xfId="26196" xr:uid="{00000000-0005-0000-0000-0000564E0000}"/>
    <cellStyle name="40% - Accent4 2 4 5 3 2 3 2" xfId="45385" xr:uid="{00000000-0005-0000-0000-0000574E0000}"/>
    <cellStyle name="40% - Accent4 2 4 5 3 2 4" xfId="35687" xr:uid="{00000000-0005-0000-0000-0000584E0000}"/>
    <cellStyle name="40% - Accent4 2 4 5 3 3" xfId="19168" xr:uid="{00000000-0005-0000-0000-0000594E0000}"/>
    <cellStyle name="40% - Accent4 2 4 5 3 3 2" xfId="29536" xr:uid="{00000000-0005-0000-0000-00005A4E0000}"/>
    <cellStyle name="40% - Accent4 2 4 5 3 3 2 2" xfId="48725" xr:uid="{00000000-0005-0000-0000-00005B4E0000}"/>
    <cellStyle name="40% - Accent4 2 4 5 3 3 3" xfId="39027" xr:uid="{00000000-0005-0000-0000-00005C4E0000}"/>
    <cellStyle name="40% - Accent4 2 4 5 3 4" xfId="25081" xr:uid="{00000000-0005-0000-0000-00005D4E0000}"/>
    <cellStyle name="40% - Accent4 2 4 5 3 4 2" xfId="44270" xr:uid="{00000000-0005-0000-0000-00005E4E0000}"/>
    <cellStyle name="40% - Accent4 2 4 5 3 5" xfId="34572" xr:uid="{00000000-0005-0000-0000-00005F4E0000}"/>
    <cellStyle name="40% - Accent4 2 4 5 4" xfId="15262" xr:uid="{00000000-0005-0000-0000-0000604E0000}"/>
    <cellStyle name="40% - Accent4 2 4 5 4 2" xfId="19726" xr:uid="{00000000-0005-0000-0000-0000614E0000}"/>
    <cellStyle name="40% - Accent4 2 4 5 4 2 2" xfId="30094" xr:uid="{00000000-0005-0000-0000-0000624E0000}"/>
    <cellStyle name="40% - Accent4 2 4 5 4 2 2 2" xfId="49283" xr:uid="{00000000-0005-0000-0000-0000634E0000}"/>
    <cellStyle name="40% - Accent4 2 4 5 4 2 3" xfId="39585" xr:uid="{00000000-0005-0000-0000-0000644E0000}"/>
    <cellStyle name="40% - Accent4 2 4 5 4 3" xfId="25639" xr:uid="{00000000-0005-0000-0000-0000654E0000}"/>
    <cellStyle name="40% - Accent4 2 4 5 4 3 2" xfId="44828" xr:uid="{00000000-0005-0000-0000-0000664E0000}"/>
    <cellStyle name="40% - Accent4 2 4 5 4 4" xfId="35130" xr:uid="{00000000-0005-0000-0000-0000674E0000}"/>
    <cellStyle name="40% - Accent4 2 4 5 5" xfId="16932" xr:uid="{00000000-0005-0000-0000-0000684E0000}"/>
    <cellStyle name="40% - Accent4 2 4 5 5 2" xfId="21396" xr:uid="{00000000-0005-0000-0000-0000694E0000}"/>
    <cellStyle name="40% - Accent4 2 4 5 5 2 2" xfId="31764" xr:uid="{00000000-0005-0000-0000-00006A4E0000}"/>
    <cellStyle name="40% - Accent4 2 4 5 5 2 2 2" xfId="50953" xr:uid="{00000000-0005-0000-0000-00006B4E0000}"/>
    <cellStyle name="40% - Accent4 2 4 5 5 2 3" xfId="41255" xr:uid="{00000000-0005-0000-0000-00006C4E0000}"/>
    <cellStyle name="40% - Accent4 2 4 5 5 3" xfId="27309" xr:uid="{00000000-0005-0000-0000-00006D4E0000}"/>
    <cellStyle name="40% - Accent4 2 4 5 5 3 2" xfId="46498" xr:uid="{00000000-0005-0000-0000-00006E4E0000}"/>
    <cellStyle name="40% - Accent4 2 4 5 5 4" xfId="36800" xr:uid="{00000000-0005-0000-0000-00006F4E0000}"/>
    <cellStyle name="40% - Accent4 2 4 5 6" xfId="17498" xr:uid="{00000000-0005-0000-0000-0000704E0000}"/>
    <cellStyle name="40% - Accent4 2 4 5 6 2" xfId="21953" xr:uid="{00000000-0005-0000-0000-0000714E0000}"/>
    <cellStyle name="40% - Accent4 2 4 5 6 2 2" xfId="32321" xr:uid="{00000000-0005-0000-0000-0000724E0000}"/>
    <cellStyle name="40% - Accent4 2 4 5 6 2 2 2" xfId="51510" xr:uid="{00000000-0005-0000-0000-0000734E0000}"/>
    <cellStyle name="40% - Accent4 2 4 5 6 2 3" xfId="41812" xr:uid="{00000000-0005-0000-0000-0000744E0000}"/>
    <cellStyle name="40% - Accent4 2 4 5 6 3" xfId="27866" xr:uid="{00000000-0005-0000-0000-0000754E0000}"/>
    <cellStyle name="40% - Accent4 2 4 5 6 3 2" xfId="47055" xr:uid="{00000000-0005-0000-0000-0000764E0000}"/>
    <cellStyle name="40% - Accent4 2 4 5 6 4" xfId="37357" xr:uid="{00000000-0005-0000-0000-0000774E0000}"/>
    <cellStyle name="40% - Accent4 2 4 5 7" xfId="18055" xr:uid="{00000000-0005-0000-0000-0000784E0000}"/>
    <cellStyle name="40% - Accent4 2 4 5 7 2" xfId="28423" xr:uid="{00000000-0005-0000-0000-0000794E0000}"/>
    <cellStyle name="40% - Accent4 2 4 5 7 2 2" xfId="47612" xr:uid="{00000000-0005-0000-0000-00007A4E0000}"/>
    <cellStyle name="40% - Accent4 2 4 5 7 3" xfId="37914" xr:uid="{00000000-0005-0000-0000-00007B4E0000}"/>
    <cellStyle name="40% - Accent4 2 4 5 8" xfId="23918" xr:uid="{00000000-0005-0000-0000-00007C4E0000}"/>
    <cellStyle name="40% - Accent4 2 4 5 8 2" xfId="43157" xr:uid="{00000000-0005-0000-0000-00007D4E0000}"/>
    <cellStyle name="40% - Accent4 2 4 5 9" xfId="33459" xr:uid="{00000000-0005-0000-0000-00007E4E0000}"/>
    <cellStyle name="40% - Accent4 2 4 6" xfId="12262" xr:uid="{00000000-0005-0000-0000-00007F4E0000}"/>
    <cellStyle name="40% - Accent4 2 4 7" xfId="52568" xr:uid="{00000000-0005-0000-0000-0000804E0000}"/>
    <cellStyle name="40% - Accent4 2 4 8" xfId="12024" xr:uid="{00000000-0005-0000-0000-0000814E0000}"/>
    <cellStyle name="40% - Accent4 2 5" xfId="1963" xr:uid="{00000000-0005-0000-0000-0000824E0000}"/>
    <cellStyle name="40% - Accent4 2 5 2" xfId="13174" xr:uid="{00000000-0005-0000-0000-0000834E0000}"/>
    <cellStyle name="40% - Accent4 2 5 2 10" xfId="23919" xr:uid="{00000000-0005-0000-0000-0000844E0000}"/>
    <cellStyle name="40% - Accent4 2 5 2 10 2" xfId="43158" xr:uid="{00000000-0005-0000-0000-0000854E0000}"/>
    <cellStyle name="40% - Accent4 2 5 2 11" xfId="33460" xr:uid="{00000000-0005-0000-0000-0000864E0000}"/>
    <cellStyle name="40% - Accent4 2 5 2 12" xfId="52802" xr:uid="{00000000-0005-0000-0000-0000874E0000}"/>
    <cellStyle name="40% - Accent4 2 5 2 2" xfId="13175" xr:uid="{00000000-0005-0000-0000-0000884E0000}"/>
    <cellStyle name="40% - Accent4 2 5 2 2 10" xfId="53230" xr:uid="{00000000-0005-0000-0000-0000894E0000}"/>
    <cellStyle name="40% - Accent4 2 5 2 2 2" xfId="14113" xr:uid="{00000000-0005-0000-0000-00008A4E0000}"/>
    <cellStyle name="40% - Accent4 2 5 2 2 2 2" xfId="16377" xr:uid="{00000000-0005-0000-0000-00008B4E0000}"/>
    <cellStyle name="40% - Accent4 2 5 2 2 2 2 2" xfId="20841" xr:uid="{00000000-0005-0000-0000-00008C4E0000}"/>
    <cellStyle name="40% - Accent4 2 5 2 2 2 2 2 2" xfId="31209" xr:uid="{00000000-0005-0000-0000-00008D4E0000}"/>
    <cellStyle name="40% - Accent4 2 5 2 2 2 2 2 2 2" xfId="50398" xr:uid="{00000000-0005-0000-0000-00008E4E0000}"/>
    <cellStyle name="40% - Accent4 2 5 2 2 2 2 2 3" xfId="40700" xr:uid="{00000000-0005-0000-0000-00008F4E0000}"/>
    <cellStyle name="40% - Accent4 2 5 2 2 2 2 3" xfId="26754" xr:uid="{00000000-0005-0000-0000-0000904E0000}"/>
    <cellStyle name="40% - Accent4 2 5 2 2 2 2 3 2" xfId="45943" xr:uid="{00000000-0005-0000-0000-0000914E0000}"/>
    <cellStyle name="40% - Accent4 2 5 2 2 2 2 4" xfId="36245" xr:uid="{00000000-0005-0000-0000-0000924E0000}"/>
    <cellStyle name="40% - Accent4 2 5 2 2 2 3" xfId="18613" xr:uid="{00000000-0005-0000-0000-0000934E0000}"/>
    <cellStyle name="40% - Accent4 2 5 2 2 2 3 2" xfId="28981" xr:uid="{00000000-0005-0000-0000-0000944E0000}"/>
    <cellStyle name="40% - Accent4 2 5 2 2 2 3 2 2" xfId="48170" xr:uid="{00000000-0005-0000-0000-0000954E0000}"/>
    <cellStyle name="40% - Accent4 2 5 2 2 2 3 3" xfId="38472" xr:uid="{00000000-0005-0000-0000-0000964E0000}"/>
    <cellStyle name="40% - Accent4 2 5 2 2 2 4" xfId="24521" xr:uid="{00000000-0005-0000-0000-0000974E0000}"/>
    <cellStyle name="40% - Accent4 2 5 2 2 2 4 2" xfId="43715" xr:uid="{00000000-0005-0000-0000-0000984E0000}"/>
    <cellStyle name="40% - Accent4 2 5 2 2 2 5" xfId="34017" xr:uid="{00000000-0005-0000-0000-0000994E0000}"/>
    <cellStyle name="40% - Accent4 2 5 2 2 2 6" xfId="54083" xr:uid="{00000000-0005-0000-0000-00009A4E0000}"/>
    <cellStyle name="40% - Accent4 2 5 2 2 3" xfId="14692" xr:uid="{00000000-0005-0000-0000-00009B4E0000}"/>
    <cellStyle name="40% - Accent4 2 5 2 2 3 2" xfId="15821" xr:uid="{00000000-0005-0000-0000-00009C4E0000}"/>
    <cellStyle name="40% - Accent4 2 5 2 2 3 2 2" xfId="20285" xr:uid="{00000000-0005-0000-0000-00009D4E0000}"/>
    <cellStyle name="40% - Accent4 2 5 2 2 3 2 2 2" xfId="30653" xr:uid="{00000000-0005-0000-0000-00009E4E0000}"/>
    <cellStyle name="40% - Accent4 2 5 2 2 3 2 2 2 2" xfId="49842" xr:uid="{00000000-0005-0000-0000-00009F4E0000}"/>
    <cellStyle name="40% - Accent4 2 5 2 2 3 2 2 3" xfId="40144" xr:uid="{00000000-0005-0000-0000-0000A04E0000}"/>
    <cellStyle name="40% - Accent4 2 5 2 2 3 2 3" xfId="26198" xr:uid="{00000000-0005-0000-0000-0000A14E0000}"/>
    <cellStyle name="40% - Accent4 2 5 2 2 3 2 3 2" xfId="45387" xr:uid="{00000000-0005-0000-0000-0000A24E0000}"/>
    <cellStyle name="40% - Accent4 2 5 2 2 3 2 4" xfId="35689" xr:uid="{00000000-0005-0000-0000-0000A34E0000}"/>
    <cellStyle name="40% - Accent4 2 5 2 2 3 3" xfId="19170" xr:uid="{00000000-0005-0000-0000-0000A44E0000}"/>
    <cellStyle name="40% - Accent4 2 5 2 2 3 3 2" xfId="29538" xr:uid="{00000000-0005-0000-0000-0000A54E0000}"/>
    <cellStyle name="40% - Accent4 2 5 2 2 3 3 2 2" xfId="48727" xr:uid="{00000000-0005-0000-0000-0000A64E0000}"/>
    <cellStyle name="40% - Accent4 2 5 2 2 3 3 3" xfId="39029" xr:uid="{00000000-0005-0000-0000-0000A74E0000}"/>
    <cellStyle name="40% - Accent4 2 5 2 2 3 4" xfId="25083" xr:uid="{00000000-0005-0000-0000-0000A84E0000}"/>
    <cellStyle name="40% - Accent4 2 5 2 2 3 4 2" xfId="44272" xr:uid="{00000000-0005-0000-0000-0000A94E0000}"/>
    <cellStyle name="40% - Accent4 2 5 2 2 3 5" xfId="34574" xr:uid="{00000000-0005-0000-0000-0000AA4E0000}"/>
    <cellStyle name="40% - Accent4 2 5 2 2 4" xfId="15264" xr:uid="{00000000-0005-0000-0000-0000AB4E0000}"/>
    <cellStyle name="40% - Accent4 2 5 2 2 4 2" xfId="19728" xr:uid="{00000000-0005-0000-0000-0000AC4E0000}"/>
    <cellStyle name="40% - Accent4 2 5 2 2 4 2 2" xfId="30096" xr:uid="{00000000-0005-0000-0000-0000AD4E0000}"/>
    <cellStyle name="40% - Accent4 2 5 2 2 4 2 2 2" xfId="49285" xr:uid="{00000000-0005-0000-0000-0000AE4E0000}"/>
    <cellStyle name="40% - Accent4 2 5 2 2 4 2 3" xfId="39587" xr:uid="{00000000-0005-0000-0000-0000AF4E0000}"/>
    <cellStyle name="40% - Accent4 2 5 2 2 4 3" xfId="25641" xr:uid="{00000000-0005-0000-0000-0000B04E0000}"/>
    <cellStyle name="40% - Accent4 2 5 2 2 4 3 2" xfId="44830" xr:uid="{00000000-0005-0000-0000-0000B14E0000}"/>
    <cellStyle name="40% - Accent4 2 5 2 2 4 4" xfId="35132" xr:uid="{00000000-0005-0000-0000-0000B24E0000}"/>
    <cellStyle name="40% - Accent4 2 5 2 2 5" xfId="16934" xr:uid="{00000000-0005-0000-0000-0000B34E0000}"/>
    <cellStyle name="40% - Accent4 2 5 2 2 5 2" xfId="21398" xr:uid="{00000000-0005-0000-0000-0000B44E0000}"/>
    <cellStyle name="40% - Accent4 2 5 2 2 5 2 2" xfId="31766" xr:uid="{00000000-0005-0000-0000-0000B54E0000}"/>
    <cellStyle name="40% - Accent4 2 5 2 2 5 2 2 2" xfId="50955" xr:uid="{00000000-0005-0000-0000-0000B64E0000}"/>
    <cellStyle name="40% - Accent4 2 5 2 2 5 2 3" xfId="41257" xr:uid="{00000000-0005-0000-0000-0000B74E0000}"/>
    <cellStyle name="40% - Accent4 2 5 2 2 5 3" xfId="27311" xr:uid="{00000000-0005-0000-0000-0000B84E0000}"/>
    <cellStyle name="40% - Accent4 2 5 2 2 5 3 2" xfId="46500" xr:uid="{00000000-0005-0000-0000-0000B94E0000}"/>
    <cellStyle name="40% - Accent4 2 5 2 2 5 4" xfId="36802" xr:uid="{00000000-0005-0000-0000-0000BA4E0000}"/>
    <cellStyle name="40% - Accent4 2 5 2 2 6" xfId="17500" xr:uid="{00000000-0005-0000-0000-0000BB4E0000}"/>
    <cellStyle name="40% - Accent4 2 5 2 2 6 2" xfId="21955" xr:uid="{00000000-0005-0000-0000-0000BC4E0000}"/>
    <cellStyle name="40% - Accent4 2 5 2 2 6 2 2" xfId="32323" xr:uid="{00000000-0005-0000-0000-0000BD4E0000}"/>
    <cellStyle name="40% - Accent4 2 5 2 2 6 2 2 2" xfId="51512" xr:uid="{00000000-0005-0000-0000-0000BE4E0000}"/>
    <cellStyle name="40% - Accent4 2 5 2 2 6 2 3" xfId="41814" xr:uid="{00000000-0005-0000-0000-0000BF4E0000}"/>
    <cellStyle name="40% - Accent4 2 5 2 2 6 3" xfId="27868" xr:uid="{00000000-0005-0000-0000-0000C04E0000}"/>
    <cellStyle name="40% - Accent4 2 5 2 2 6 3 2" xfId="47057" xr:uid="{00000000-0005-0000-0000-0000C14E0000}"/>
    <cellStyle name="40% - Accent4 2 5 2 2 6 4" xfId="37359" xr:uid="{00000000-0005-0000-0000-0000C24E0000}"/>
    <cellStyle name="40% - Accent4 2 5 2 2 7" xfId="18057" xr:uid="{00000000-0005-0000-0000-0000C34E0000}"/>
    <cellStyle name="40% - Accent4 2 5 2 2 7 2" xfId="28425" xr:uid="{00000000-0005-0000-0000-0000C44E0000}"/>
    <cellStyle name="40% - Accent4 2 5 2 2 7 2 2" xfId="47614" xr:uid="{00000000-0005-0000-0000-0000C54E0000}"/>
    <cellStyle name="40% - Accent4 2 5 2 2 7 3" xfId="37916" xr:uid="{00000000-0005-0000-0000-0000C64E0000}"/>
    <cellStyle name="40% - Accent4 2 5 2 2 8" xfId="23920" xr:uid="{00000000-0005-0000-0000-0000C74E0000}"/>
    <cellStyle name="40% - Accent4 2 5 2 2 8 2" xfId="43159" xr:uid="{00000000-0005-0000-0000-0000C84E0000}"/>
    <cellStyle name="40% - Accent4 2 5 2 2 9" xfId="33461" xr:uid="{00000000-0005-0000-0000-0000C94E0000}"/>
    <cellStyle name="40% - Accent4 2 5 2 3" xfId="13176" xr:uid="{00000000-0005-0000-0000-0000CA4E0000}"/>
    <cellStyle name="40% - Accent4 2 5 2 3 10" xfId="53687" xr:uid="{00000000-0005-0000-0000-0000CB4E0000}"/>
    <cellStyle name="40% - Accent4 2 5 2 3 2" xfId="14114" xr:uid="{00000000-0005-0000-0000-0000CC4E0000}"/>
    <cellStyle name="40% - Accent4 2 5 2 3 2 2" xfId="16378" xr:uid="{00000000-0005-0000-0000-0000CD4E0000}"/>
    <cellStyle name="40% - Accent4 2 5 2 3 2 2 2" xfId="20842" xr:uid="{00000000-0005-0000-0000-0000CE4E0000}"/>
    <cellStyle name="40% - Accent4 2 5 2 3 2 2 2 2" xfId="31210" xr:uid="{00000000-0005-0000-0000-0000CF4E0000}"/>
    <cellStyle name="40% - Accent4 2 5 2 3 2 2 2 2 2" xfId="50399" xr:uid="{00000000-0005-0000-0000-0000D04E0000}"/>
    <cellStyle name="40% - Accent4 2 5 2 3 2 2 2 3" xfId="40701" xr:uid="{00000000-0005-0000-0000-0000D14E0000}"/>
    <cellStyle name="40% - Accent4 2 5 2 3 2 2 3" xfId="26755" xr:uid="{00000000-0005-0000-0000-0000D24E0000}"/>
    <cellStyle name="40% - Accent4 2 5 2 3 2 2 3 2" xfId="45944" xr:uid="{00000000-0005-0000-0000-0000D34E0000}"/>
    <cellStyle name="40% - Accent4 2 5 2 3 2 2 4" xfId="36246" xr:uid="{00000000-0005-0000-0000-0000D44E0000}"/>
    <cellStyle name="40% - Accent4 2 5 2 3 2 3" xfId="18614" xr:uid="{00000000-0005-0000-0000-0000D54E0000}"/>
    <cellStyle name="40% - Accent4 2 5 2 3 2 3 2" xfId="28982" xr:uid="{00000000-0005-0000-0000-0000D64E0000}"/>
    <cellStyle name="40% - Accent4 2 5 2 3 2 3 2 2" xfId="48171" xr:uid="{00000000-0005-0000-0000-0000D74E0000}"/>
    <cellStyle name="40% - Accent4 2 5 2 3 2 3 3" xfId="38473" xr:uid="{00000000-0005-0000-0000-0000D84E0000}"/>
    <cellStyle name="40% - Accent4 2 5 2 3 2 4" xfId="24522" xr:uid="{00000000-0005-0000-0000-0000D94E0000}"/>
    <cellStyle name="40% - Accent4 2 5 2 3 2 4 2" xfId="43716" xr:uid="{00000000-0005-0000-0000-0000DA4E0000}"/>
    <cellStyle name="40% - Accent4 2 5 2 3 2 5" xfId="34018" xr:uid="{00000000-0005-0000-0000-0000DB4E0000}"/>
    <cellStyle name="40% - Accent4 2 5 2 3 3" xfId="14693" xr:uid="{00000000-0005-0000-0000-0000DC4E0000}"/>
    <cellStyle name="40% - Accent4 2 5 2 3 3 2" xfId="15822" xr:uid="{00000000-0005-0000-0000-0000DD4E0000}"/>
    <cellStyle name="40% - Accent4 2 5 2 3 3 2 2" xfId="20286" xr:uid="{00000000-0005-0000-0000-0000DE4E0000}"/>
    <cellStyle name="40% - Accent4 2 5 2 3 3 2 2 2" xfId="30654" xr:uid="{00000000-0005-0000-0000-0000DF4E0000}"/>
    <cellStyle name="40% - Accent4 2 5 2 3 3 2 2 2 2" xfId="49843" xr:uid="{00000000-0005-0000-0000-0000E04E0000}"/>
    <cellStyle name="40% - Accent4 2 5 2 3 3 2 2 3" xfId="40145" xr:uid="{00000000-0005-0000-0000-0000E14E0000}"/>
    <cellStyle name="40% - Accent4 2 5 2 3 3 2 3" xfId="26199" xr:uid="{00000000-0005-0000-0000-0000E24E0000}"/>
    <cellStyle name="40% - Accent4 2 5 2 3 3 2 3 2" xfId="45388" xr:uid="{00000000-0005-0000-0000-0000E34E0000}"/>
    <cellStyle name="40% - Accent4 2 5 2 3 3 2 4" xfId="35690" xr:uid="{00000000-0005-0000-0000-0000E44E0000}"/>
    <cellStyle name="40% - Accent4 2 5 2 3 3 3" xfId="19171" xr:uid="{00000000-0005-0000-0000-0000E54E0000}"/>
    <cellStyle name="40% - Accent4 2 5 2 3 3 3 2" xfId="29539" xr:uid="{00000000-0005-0000-0000-0000E64E0000}"/>
    <cellStyle name="40% - Accent4 2 5 2 3 3 3 2 2" xfId="48728" xr:uid="{00000000-0005-0000-0000-0000E74E0000}"/>
    <cellStyle name="40% - Accent4 2 5 2 3 3 3 3" xfId="39030" xr:uid="{00000000-0005-0000-0000-0000E84E0000}"/>
    <cellStyle name="40% - Accent4 2 5 2 3 3 4" xfId="25084" xr:uid="{00000000-0005-0000-0000-0000E94E0000}"/>
    <cellStyle name="40% - Accent4 2 5 2 3 3 4 2" xfId="44273" xr:uid="{00000000-0005-0000-0000-0000EA4E0000}"/>
    <cellStyle name="40% - Accent4 2 5 2 3 3 5" xfId="34575" xr:uid="{00000000-0005-0000-0000-0000EB4E0000}"/>
    <cellStyle name="40% - Accent4 2 5 2 3 4" xfId="15265" xr:uid="{00000000-0005-0000-0000-0000EC4E0000}"/>
    <cellStyle name="40% - Accent4 2 5 2 3 4 2" xfId="19729" xr:uid="{00000000-0005-0000-0000-0000ED4E0000}"/>
    <cellStyle name="40% - Accent4 2 5 2 3 4 2 2" xfId="30097" xr:uid="{00000000-0005-0000-0000-0000EE4E0000}"/>
    <cellStyle name="40% - Accent4 2 5 2 3 4 2 2 2" xfId="49286" xr:uid="{00000000-0005-0000-0000-0000EF4E0000}"/>
    <cellStyle name="40% - Accent4 2 5 2 3 4 2 3" xfId="39588" xr:uid="{00000000-0005-0000-0000-0000F04E0000}"/>
    <cellStyle name="40% - Accent4 2 5 2 3 4 3" xfId="25642" xr:uid="{00000000-0005-0000-0000-0000F14E0000}"/>
    <cellStyle name="40% - Accent4 2 5 2 3 4 3 2" xfId="44831" xr:uid="{00000000-0005-0000-0000-0000F24E0000}"/>
    <cellStyle name="40% - Accent4 2 5 2 3 4 4" xfId="35133" xr:uid="{00000000-0005-0000-0000-0000F34E0000}"/>
    <cellStyle name="40% - Accent4 2 5 2 3 5" xfId="16935" xr:uid="{00000000-0005-0000-0000-0000F44E0000}"/>
    <cellStyle name="40% - Accent4 2 5 2 3 5 2" xfId="21399" xr:uid="{00000000-0005-0000-0000-0000F54E0000}"/>
    <cellStyle name="40% - Accent4 2 5 2 3 5 2 2" xfId="31767" xr:uid="{00000000-0005-0000-0000-0000F64E0000}"/>
    <cellStyle name="40% - Accent4 2 5 2 3 5 2 2 2" xfId="50956" xr:uid="{00000000-0005-0000-0000-0000F74E0000}"/>
    <cellStyle name="40% - Accent4 2 5 2 3 5 2 3" xfId="41258" xr:uid="{00000000-0005-0000-0000-0000F84E0000}"/>
    <cellStyle name="40% - Accent4 2 5 2 3 5 3" xfId="27312" xr:uid="{00000000-0005-0000-0000-0000F94E0000}"/>
    <cellStyle name="40% - Accent4 2 5 2 3 5 3 2" xfId="46501" xr:uid="{00000000-0005-0000-0000-0000FA4E0000}"/>
    <cellStyle name="40% - Accent4 2 5 2 3 5 4" xfId="36803" xr:uid="{00000000-0005-0000-0000-0000FB4E0000}"/>
    <cellStyle name="40% - Accent4 2 5 2 3 6" xfId="17501" xr:uid="{00000000-0005-0000-0000-0000FC4E0000}"/>
    <cellStyle name="40% - Accent4 2 5 2 3 6 2" xfId="21956" xr:uid="{00000000-0005-0000-0000-0000FD4E0000}"/>
    <cellStyle name="40% - Accent4 2 5 2 3 6 2 2" xfId="32324" xr:uid="{00000000-0005-0000-0000-0000FE4E0000}"/>
    <cellStyle name="40% - Accent4 2 5 2 3 6 2 2 2" xfId="51513" xr:uid="{00000000-0005-0000-0000-0000FF4E0000}"/>
    <cellStyle name="40% - Accent4 2 5 2 3 6 2 3" xfId="41815" xr:uid="{00000000-0005-0000-0000-0000004F0000}"/>
    <cellStyle name="40% - Accent4 2 5 2 3 6 3" xfId="27869" xr:uid="{00000000-0005-0000-0000-0000014F0000}"/>
    <cellStyle name="40% - Accent4 2 5 2 3 6 3 2" xfId="47058" xr:uid="{00000000-0005-0000-0000-0000024F0000}"/>
    <cellStyle name="40% - Accent4 2 5 2 3 6 4" xfId="37360" xr:uid="{00000000-0005-0000-0000-0000034F0000}"/>
    <cellStyle name="40% - Accent4 2 5 2 3 7" xfId="18058" xr:uid="{00000000-0005-0000-0000-0000044F0000}"/>
    <cellStyle name="40% - Accent4 2 5 2 3 7 2" xfId="28426" xr:uid="{00000000-0005-0000-0000-0000054F0000}"/>
    <cellStyle name="40% - Accent4 2 5 2 3 7 2 2" xfId="47615" xr:uid="{00000000-0005-0000-0000-0000064F0000}"/>
    <cellStyle name="40% - Accent4 2 5 2 3 7 3" xfId="37917" xr:uid="{00000000-0005-0000-0000-0000074F0000}"/>
    <cellStyle name="40% - Accent4 2 5 2 3 8" xfId="23921" xr:uid="{00000000-0005-0000-0000-0000084F0000}"/>
    <cellStyle name="40% - Accent4 2 5 2 3 8 2" xfId="43160" xr:uid="{00000000-0005-0000-0000-0000094F0000}"/>
    <cellStyle name="40% - Accent4 2 5 2 3 9" xfId="33462" xr:uid="{00000000-0005-0000-0000-00000A4F0000}"/>
    <cellStyle name="40% - Accent4 2 5 2 4" xfId="14112" xr:uid="{00000000-0005-0000-0000-00000B4F0000}"/>
    <cellStyle name="40% - Accent4 2 5 2 4 2" xfId="16376" xr:uid="{00000000-0005-0000-0000-00000C4F0000}"/>
    <cellStyle name="40% - Accent4 2 5 2 4 2 2" xfId="20840" xr:uid="{00000000-0005-0000-0000-00000D4F0000}"/>
    <cellStyle name="40% - Accent4 2 5 2 4 2 2 2" xfId="31208" xr:uid="{00000000-0005-0000-0000-00000E4F0000}"/>
    <cellStyle name="40% - Accent4 2 5 2 4 2 2 2 2" xfId="50397" xr:uid="{00000000-0005-0000-0000-00000F4F0000}"/>
    <cellStyle name="40% - Accent4 2 5 2 4 2 2 3" xfId="40699" xr:uid="{00000000-0005-0000-0000-0000104F0000}"/>
    <cellStyle name="40% - Accent4 2 5 2 4 2 3" xfId="26753" xr:uid="{00000000-0005-0000-0000-0000114F0000}"/>
    <cellStyle name="40% - Accent4 2 5 2 4 2 3 2" xfId="45942" xr:uid="{00000000-0005-0000-0000-0000124F0000}"/>
    <cellStyle name="40% - Accent4 2 5 2 4 2 4" xfId="36244" xr:uid="{00000000-0005-0000-0000-0000134F0000}"/>
    <cellStyle name="40% - Accent4 2 5 2 4 3" xfId="18612" xr:uid="{00000000-0005-0000-0000-0000144F0000}"/>
    <cellStyle name="40% - Accent4 2 5 2 4 3 2" xfId="28980" xr:uid="{00000000-0005-0000-0000-0000154F0000}"/>
    <cellStyle name="40% - Accent4 2 5 2 4 3 2 2" xfId="48169" xr:uid="{00000000-0005-0000-0000-0000164F0000}"/>
    <cellStyle name="40% - Accent4 2 5 2 4 3 3" xfId="38471" xr:uid="{00000000-0005-0000-0000-0000174F0000}"/>
    <cellStyle name="40% - Accent4 2 5 2 4 4" xfId="24520" xr:uid="{00000000-0005-0000-0000-0000184F0000}"/>
    <cellStyle name="40% - Accent4 2 5 2 4 4 2" xfId="43714" xr:uid="{00000000-0005-0000-0000-0000194F0000}"/>
    <cellStyle name="40% - Accent4 2 5 2 4 5" xfId="34016" xr:uid="{00000000-0005-0000-0000-00001A4F0000}"/>
    <cellStyle name="40% - Accent4 2 5 2 5" xfId="14691" xr:uid="{00000000-0005-0000-0000-00001B4F0000}"/>
    <cellStyle name="40% - Accent4 2 5 2 5 2" xfId="15820" xr:uid="{00000000-0005-0000-0000-00001C4F0000}"/>
    <cellStyle name="40% - Accent4 2 5 2 5 2 2" xfId="20284" xr:uid="{00000000-0005-0000-0000-00001D4F0000}"/>
    <cellStyle name="40% - Accent4 2 5 2 5 2 2 2" xfId="30652" xr:uid="{00000000-0005-0000-0000-00001E4F0000}"/>
    <cellStyle name="40% - Accent4 2 5 2 5 2 2 2 2" xfId="49841" xr:uid="{00000000-0005-0000-0000-00001F4F0000}"/>
    <cellStyle name="40% - Accent4 2 5 2 5 2 2 3" xfId="40143" xr:uid="{00000000-0005-0000-0000-0000204F0000}"/>
    <cellStyle name="40% - Accent4 2 5 2 5 2 3" xfId="26197" xr:uid="{00000000-0005-0000-0000-0000214F0000}"/>
    <cellStyle name="40% - Accent4 2 5 2 5 2 3 2" xfId="45386" xr:uid="{00000000-0005-0000-0000-0000224F0000}"/>
    <cellStyle name="40% - Accent4 2 5 2 5 2 4" xfId="35688" xr:uid="{00000000-0005-0000-0000-0000234F0000}"/>
    <cellStyle name="40% - Accent4 2 5 2 5 3" xfId="19169" xr:uid="{00000000-0005-0000-0000-0000244F0000}"/>
    <cellStyle name="40% - Accent4 2 5 2 5 3 2" xfId="29537" xr:uid="{00000000-0005-0000-0000-0000254F0000}"/>
    <cellStyle name="40% - Accent4 2 5 2 5 3 2 2" xfId="48726" xr:uid="{00000000-0005-0000-0000-0000264F0000}"/>
    <cellStyle name="40% - Accent4 2 5 2 5 3 3" xfId="39028" xr:uid="{00000000-0005-0000-0000-0000274F0000}"/>
    <cellStyle name="40% - Accent4 2 5 2 5 4" xfId="25082" xr:uid="{00000000-0005-0000-0000-0000284F0000}"/>
    <cellStyle name="40% - Accent4 2 5 2 5 4 2" xfId="44271" xr:uid="{00000000-0005-0000-0000-0000294F0000}"/>
    <cellStyle name="40% - Accent4 2 5 2 5 5" xfId="34573" xr:uid="{00000000-0005-0000-0000-00002A4F0000}"/>
    <cellStyle name="40% - Accent4 2 5 2 6" xfId="15263" xr:uid="{00000000-0005-0000-0000-00002B4F0000}"/>
    <cellStyle name="40% - Accent4 2 5 2 6 2" xfId="19727" xr:uid="{00000000-0005-0000-0000-00002C4F0000}"/>
    <cellStyle name="40% - Accent4 2 5 2 6 2 2" xfId="30095" xr:uid="{00000000-0005-0000-0000-00002D4F0000}"/>
    <cellStyle name="40% - Accent4 2 5 2 6 2 2 2" xfId="49284" xr:uid="{00000000-0005-0000-0000-00002E4F0000}"/>
    <cellStyle name="40% - Accent4 2 5 2 6 2 3" xfId="39586" xr:uid="{00000000-0005-0000-0000-00002F4F0000}"/>
    <cellStyle name="40% - Accent4 2 5 2 6 3" xfId="25640" xr:uid="{00000000-0005-0000-0000-0000304F0000}"/>
    <cellStyle name="40% - Accent4 2 5 2 6 3 2" xfId="44829" xr:uid="{00000000-0005-0000-0000-0000314F0000}"/>
    <cellStyle name="40% - Accent4 2 5 2 6 4" xfId="35131" xr:uid="{00000000-0005-0000-0000-0000324F0000}"/>
    <cellStyle name="40% - Accent4 2 5 2 7" xfId="16933" xr:uid="{00000000-0005-0000-0000-0000334F0000}"/>
    <cellStyle name="40% - Accent4 2 5 2 7 2" xfId="21397" xr:uid="{00000000-0005-0000-0000-0000344F0000}"/>
    <cellStyle name="40% - Accent4 2 5 2 7 2 2" xfId="31765" xr:uid="{00000000-0005-0000-0000-0000354F0000}"/>
    <cellStyle name="40% - Accent4 2 5 2 7 2 2 2" xfId="50954" xr:uid="{00000000-0005-0000-0000-0000364F0000}"/>
    <cellStyle name="40% - Accent4 2 5 2 7 2 3" xfId="41256" xr:uid="{00000000-0005-0000-0000-0000374F0000}"/>
    <cellStyle name="40% - Accent4 2 5 2 7 3" xfId="27310" xr:uid="{00000000-0005-0000-0000-0000384F0000}"/>
    <cellStyle name="40% - Accent4 2 5 2 7 3 2" xfId="46499" xr:uid="{00000000-0005-0000-0000-0000394F0000}"/>
    <cellStyle name="40% - Accent4 2 5 2 7 4" xfId="36801" xr:uid="{00000000-0005-0000-0000-00003A4F0000}"/>
    <cellStyle name="40% - Accent4 2 5 2 8" xfId="17499" xr:uid="{00000000-0005-0000-0000-00003B4F0000}"/>
    <cellStyle name="40% - Accent4 2 5 2 8 2" xfId="21954" xr:uid="{00000000-0005-0000-0000-00003C4F0000}"/>
    <cellStyle name="40% - Accent4 2 5 2 8 2 2" xfId="32322" xr:uid="{00000000-0005-0000-0000-00003D4F0000}"/>
    <cellStyle name="40% - Accent4 2 5 2 8 2 2 2" xfId="51511" xr:uid="{00000000-0005-0000-0000-00003E4F0000}"/>
    <cellStyle name="40% - Accent4 2 5 2 8 2 3" xfId="41813" xr:uid="{00000000-0005-0000-0000-00003F4F0000}"/>
    <cellStyle name="40% - Accent4 2 5 2 8 3" xfId="27867" xr:uid="{00000000-0005-0000-0000-0000404F0000}"/>
    <cellStyle name="40% - Accent4 2 5 2 8 3 2" xfId="47056" xr:uid="{00000000-0005-0000-0000-0000414F0000}"/>
    <cellStyle name="40% - Accent4 2 5 2 8 4" xfId="37358" xr:uid="{00000000-0005-0000-0000-0000424F0000}"/>
    <cellStyle name="40% - Accent4 2 5 2 9" xfId="18056" xr:uid="{00000000-0005-0000-0000-0000434F0000}"/>
    <cellStyle name="40% - Accent4 2 5 2 9 2" xfId="28424" xr:uid="{00000000-0005-0000-0000-0000444F0000}"/>
    <cellStyle name="40% - Accent4 2 5 2 9 2 2" xfId="47613" xr:uid="{00000000-0005-0000-0000-0000454F0000}"/>
    <cellStyle name="40% - Accent4 2 5 2 9 3" xfId="37915" xr:uid="{00000000-0005-0000-0000-0000464F0000}"/>
    <cellStyle name="40% - Accent4 2 5 3" xfId="13177" xr:uid="{00000000-0005-0000-0000-0000474F0000}"/>
    <cellStyle name="40% - Accent4 2 5 3 10" xfId="53012" xr:uid="{00000000-0005-0000-0000-0000484F0000}"/>
    <cellStyle name="40% - Accent4 2 5 3 2" xfId="14115" xr:uid="{00000000-0005-0000-0000-0000494F0000}"/>
    <cellStyle name="40% - Accent4 2 5 3 2 2" xfId="16379" xr:uid="{00000000-0005-0000-0000-00004A4F0000}"/>
    <cellStyle name="40% - Accent4 2 5 3 2 2 2" xfId="20843" xr:uid="{00000000-0005-0000-0000-00004B4F0000}"/>
    <cellStyle name="40% - Accent4 2 5 3 2 2 2 2" xfId="31211" xr:uid="{00000000-0005-0000-0000-00004C4F0000}"/>
    <cellStyle name="40% - Accent4 2 5 3 2 2 2 2 2" xfId="50400" xr:uid="{00000000-0005-0000-0000-00004D4F0000}"/>
    <cellStyle name="40% - Accent4 2 5 3 2 2 2 3" xfId="40702" xr:uid="{00000000-0005-0000-0000-00004E4F0000}"/>
    <cellStyle name="40% - Accent4 2 5 3 2 2 3" xfId="26756" xr:uid="{00000000-0005-0000-0000-00004F4F0000}"/>
    <cellStyle name="40% - Accent4 2 5 3 2 2 3 2" xfId="45945" xr:uid="{00000000-0005-0000-0000-0000504F0000}"/>
    <cellStyle name="40% - Accent4 2 5 3 2 2 4" xfId="36247" xr:uid="{00000000-0005-0000-0000-0000514F0000}"/>
    <cellStyle name="40% - Accent4 2 5 3 2 3" xfId="18615" xr:uid="{00000000-0005-0000-0000-0000524F0000}"/>
    <cellStyle name="40% - Accent4 2 5 3 2 3 2" xfId="28983" xr:uid="{00000000-0005-0000-0000-0000534F0000}"/>
    <cellStyle name="40% - Accent4 2 5 3 2 3 2 2" xfId="48172" xr:uid="{00000000-0005-0000-0000-0000544F0000}"/>
    <cellStyle name="40% - Accent4 2 5 3 2 3 3" xfId="38474" xr:uid="{00000000-0005-0000-0000-0000554F0000}"/>
    <cellStyle name="40% - Accent4 2 5 3 2 4" xfId="24523" xr:uid="{00000000-0005-0000-0000-0000564F0000}"/>
    <cellStyle name="40% - Accent4 2 5 3 2 4 2" xfId="43717" xr:uid="{00000000-0005-0000-0000-0000574F0000}"/>
    <cellStyle name="40% - Accent4 2 5 3 2 5" xfId="34019" xr:uid="{00000000-0005-0000-0000-0000584F0000}"/>
    <cellStyle name="40% - Accent4 2 5 3 2 6" xfId="53887" xr:uid="{00000000-0005-0000-0000-0000594F0000}"/>
    <cellStyle name="40% - Accent4 2 5 3 3" xfId="14694" xr:uid="{00000000-0005-0000-0000-00005A4F0000}"/>
    <cellStyle name="40% - Accent4 2 5 3 3 2" xfId="15823" xr:uid="{00000000-0005-0000-0000-00005B4F0000}"/>
    <cellStyle name="40% - Accent4 2 5 3 3 2 2" xfId="20287" xr:uid="{00000000-0005-0000-0000-00005C4F0000}"/>
    <cellStyle name="40% - Accent4 2 5 3 3 2 2 2" xfId="30655" xr:uid="{00000000-0005-0000-0000-00005D4F0000}"/>
    <cellStyle name="40% - Accent4 2 5 3 3 2 2 2 2" xfId="49844" xr:uid="{00000000-0005-0000-0000-00005E4F0000}"/>
    <cellStyle name="40% - Accent4 2 5 3 3 2 2 3" xfId="40146" xr:uid="{00000000-0005-0000-0000-00005F4F0000}"/>
    <cellStyle name="40% - Accent4 2 5 3 3 2 3" xfId="26200" xr:uid="{00000000-0005-0000-0000-0000604F0000}"/>
    <cellStyle name="40% - Accent4 2 5 3 3 2 3 2" xfId="45389" xr:uid="{00000000-0005-0000-0000-0000614F0000}"/>
    <cellStyle name="40% - Accent4 2 5 3 3 2 4" xfId="35691" xr:uid="{00000000-0005-0000-0000-0000624F0000}"/>
    <cellStyle name="40% - Accent4 2 5 3 3 3" xfId="19172" xr:uid="{00000000-0005-0000-0000-0000634F0000}"/>
    <cellStyle name="40% - Accent4 2 5 3 3 3 2" xfId="29540" xr:uid="{00000000-0005-0000-0000-0000644F0000}"/>
    <cellStyle name="40% - Accent4 2 5 3 3 3 2 2" xfId="48729" xr:uid="{00000000-0005-0000-0000-0000654F0000}"/>
    <cellStyle name="40% - Accent4 2 5 3 3 3 3" xfId="39031" xr:uid="{00000000-0005-0000-0000-0000664F0000}"/>
    <cellStyle name="40% - Accent4 2 5 3 3 4" xfId="25085" xr:uid="{00000000-0005-0000-0000-0000674F0000}"/>
    <cellStyle name="40% - Accent4 2 5 3 3 4 2" xfId="44274" xr:uid="{00000000-0005-0000-0000-0000684F0000}"/>
    <cellStyle name="40% - Accent4 2 5 3 3 5" xfId="34576" xr:uid="{00000000-0005-0000-0000-0000694F0000}"/>
    <cellStyle name="40% - Accent4 2 5 3 4" xfId="15266" xr:uid="{00000000-0005-0000-0000-00006A4F0000}"/>
    <cellStyle name="40% - Accent4 2 5 3 4 2" xfId="19730" xr:uid="{00000000-0005-0000-0000-00006B4F0000}"/>
    <cellStyle name="40% - Accent4 2 5 3 4 2 2" xfId="30098" xr:uid="{00000000-0005-0000-0000-00006C4F0000}"/>
    <cellStyle name="40% - Accent4 2 5 3 4 2 2 2" xfId="49287" xr:uid="{00000000-0005-0000-0000-00006D4F0000}"/>
    <cellStyle name="40% - Accent4 2 5 3 4 2 3" xfId="39589" xr:uid="{00000000-0005-0000-0000-00006E4F0000}"/>
    <cellStyle name="40% - Accent4 2 5 3 4 3" xfId="25643" xr:uid="{00000000-0005-0000-0000-00006F4F0000}"/>
    <cellStyle name="40% - Accent4 2 5 3 4 3 2" xfId="44832" xr:uid="{00000000-0005-0000-0000-0000704F0000}"/>
    <cellStyle name="40% - Accent4 2 5 3 4 4" xfId="35134" xr:uid="{00000000-0005-0000-0000-0000714F0000}"/>
    <cellStyle name="40% - Accent4 2 5 3 5" xfId="16936" xr:uid="{00000000-0005-0000-0000-0000724F0000}"/>
    <cellStyle name="40% - Accent4 2 5 3 5 2" xfId="21400" xr:uid="{00000000-0005-0000-0000-0000734F0000}"/>
    <cellStyle name="40% - Accent4 2 5 3 5 2 2" xfId="31768" xr:uid="{00000000-0005-0000-0000-0000744F0000}"/>
    <cellStyle name="40% - Accent4 2 5 3 5 2 2 2" xfId="50957" xr:uid="{00000000-0005-0000-0000-0000754F0000}"/>
    <cellStyle name="40% - Accent4 2 5 3 5 2 3" xfId="41259" xr:uid="{00000000-0005-0000-0000-0000764F0000}"/>
    <cellStyle name="40% - Accent4 2 5 3 5 3" xfId="27313" xr:uid="{00000000-0005-0000-0000-0000774F0000}"/>
    <cellStyle name="40% - Accent4 2 5 3 5 3 2" xfId="46502" xr:uid="{00000000-0005-0000-0000-0000784F0000}"/>
    <cellStyle name="40% - Accent4 2 5 3 5 4" xfId="36804" xr:uid="{00000000-0005-0000-0000-0000794F0000}"/>
    <cellStyle name="40% - Accent4 2 5 3 6" xfId="17502" xr:uid="{00000000-0005-0000-0000-00007A4F0000}"/>
    <cellStyle name="40% - Accent4 2 5 3 6 2" xfId="21957" xr:uid="{00000000-0005-0000-0000-00007B4F0000}"/>
    <cellStyle name="40% - Accent4 2 5 3 6 2 2" xfId="32325" xr:uid="{00000000-0005-0000-0000-00007C4F0000}"/>
    <cellStyle name="40% - Accent4 2 5 3 6 2 2 2" xfId="51514" xr:uid="{00000000-0005-0000-0000-00007D4F0000}"/>
    <cellStyle name="40% - Accent4 2 5 3 6 2 3" xfId="41816" xr:uid="{00000000-0005-0000-0000-00007E4F0000}"/>
    <cellStyle name="40% - Accent4 2 5 3 6 3" xfId="27870" xr:uid="{00000000-0005-0000-0000-00007F4F0000}"/>
    <cellStyle name="40% - Accent4 2 5 3 6 3 2" xfId="47059" xr:uid="{00000000-0005-0000-0000-0000804F0000}"/>
    <cellStyle name="40% - Accent4 2 5 3 6 4" xfId="37361" xr:uid="{00000000-0005-0000-0000-0000814F0000}"/>
    <cellStyle name="40% - Accent4 2 5 3 7" xfId="18059" xr:uid="{00000000-0005-0000-0000-0000824F0000}"/>
    <cellStyle name="40% - Accent4 2 5 3 7 2" xfId="28427" xr:uid="{00000000-0005-0000-0000-0000834F0000}"/>
    <cellStyle name="40% - Accent4 2 5 3 7 2 2" xfId="47616" xr:uid="{00000000-0005-0000-0000-0000844F0000}"/>
    <cellStyle name="40% - Accent4 2 5 3 7 3" xfId="37918" xr:uid="{00000000-0005-0000-0000-0000854F0000}"/>
    <cellStyle name="40% - Accent4 2 5 3 8" xfId="23922" xr:uid="{00000000-0005-0000-0000-0000864F0000}"/>
    <cellStyle name="40% - Accent4 2 5 3 8 2" xfId="43161" xr:uid="{00000000-0005-0000-0000-0000874F0000}"/>
    <cellStyle name="40% - Accent4 2 5 3 9" xfId="33463" xr:uid="{00000000-0005-0000-0000-0000884F0000}"/>
    <cellStyle name="40% - Accent4 2 5 4" xfId="13178" xr:uid="{00000000-0005-0000-0000-0000894F0000}"/>
    <cellStyle name="40% - Accent4 2 5 4 10" xfId="53491" xr:uid="{00000000-0005-0000-0000-00008A4F0000}"/>
    <cellStyle name="40% - Accent4 2 5 4 2" xfId="14116" xr:uid="{00000000-0005-0000-0000-00008B4F0000}"/>
    <cellStyle name="40% - Accent4 2 5 4 2 2" xfId="16380" xr:uid="{00000000-0005-0000-0000-00008C4F0000}"/>
    <cellStyle name="40% - Accent4 2 5 4 2 2 2" xfId="20844" xr:uid="{00000000-0005-0000-0000-00008D4F0000}"/>
    <cellStyle name="40% - Accent4 2 5 4 2 2 2 2" xfId="31212" xr:uid="{00000000-0005-0000-0000-00008E4F0000}"/>
    <cellStyle name="40% - Accent4 2 5 4 2 2 2 2 2" xfId="50401" xr:uid="{00000000-0005-0000-0000-00008F4F0000}"/>
    <cellStyle name="40% - Accent4 2 5 4 2 2 2 3" xfId="40703" xr:uid="{00000000-0005-0000-0000-0000904F0000}"/>
    <cellStyle name="40% - Accent4 2 5 4 2 2 3" xfId="26757" xr:uid="{00000000-0005-0000-0000-0000914F0000}"/>
    <cellStyle name="40% - Accent4 2 5 4 2 2 3 2" xfId="45946" xr:uid="{00000000-0005-0000-0000-0000924F0000}"/>
    <cellStyle name="40% - Accent4 2 5 4 2 2 4" xfId="36248" xr:uid="{00000000-0005-0000-0000-0000934F0000}"/>
    <cellStyle name="40% - Accent4 2 5 4 2 3" xfId="18616" xr:uid="{00000000-0005-0000-0000-0000944F0000}"/>
    <cellStyle name="40% - Accent4 2 5 4 2 3 2" xfId="28984" xr:uid="{00000000-0005-0000-0000-0000954F0000}"/>
    <cellStyle name="40% - Accent4 2 5 4 2 3 2 2" xfId="48173" xr:uid="{00000000-0005-0000-0000-0000964F0000}"/>
    <cellStyle name="40% - Accent4 2 5 4 2 3 3" xfId="38475" xr:uid="{00000000-0005-0000-0000-0000974F0000}"/>
    <cellStyle name="40% - Accent4 2 5 4 2 4" xfId="24524" xr:uid="{00000000-0005-0000-0000-0000984F0000}"/>
    <cellStyle name="40% - Accent4 2 5 4 2 4 2" xfId="43718" xr:uid="{00000000-0005-0000-0000-0000994F0000}"/>
    <cellStyle name="40% - Accent4 2 5 4 2 5" xfId="34020" xr:uid="{00000000-0005-0000-0000-00009A4F0000}"/>
    <cellStyle name="40% - Accent4 2 5 4 3" xfId="14695" xr:uid="{00000000-0005-0000-0000-00009B4F0000}"/>
    <cellStyle name="40% - Accent4 2 5 4 3 2" xfId="15824" xr:uid="{00000000-0005-0000-0000-00009C4F0000}"/>
    <cellStyle name="40% - Accent4 2 5 4 3 2 2" xfId="20288" xr:uid="{00000000-0005-0000-0000-00009D4F0000}"/>
    <cellStyle name="40% - Accent4 2 5 4 3 2 2 2" xfId="30656" xr:uid="{00000000-0005-0000-0000-00009E4F0000}"/>
    <cellStyle name="40% - Accent4 2 5 4 3 2 2 2 2" xfId="49845" xr:uid="{00000000-0005-0000-0000-00009F4F0000}"/>
    <cellStyle name="40% - Accent4 2 5 4 3 2 2 3" xfId="40147" xr:uid="{00000000-0005-0000-0000-0000A04F0000}"/>
    <cellStyle name="40% - Accent4 2 5 4 3 2 3" xfId="26201" xr:uid="{00000000-0005-0000-0000-0000A14F0000}"/>
    <cellStyle name="40% - Accent4 2 5 4 3 2 3 2" xfId="45390" xr:uid="{00000000-0005-0000-0000-0000A24F0000}"/>
    <cellStyle name="40% - Accent4 2 5 4 3 2 4" xfId="35692" xr:uid="{00000000-0005-0000-0000-0000A34F0000}"/>
    <cellStyle name="40% - Accent4 2 5 4 3 3" xfId="19173" xr:uid="{00000000-0005-0000-0000-0000A44F0000}"/>
    <cellStyle name="40% - Accent4 2 5 4 3 3 2" xfId="29541" xr:uid="{00000000-0005-0000-0000-0000A54F0000}"/>
    <cellStyle name="40% - Accent4 2 5 4 3 3 2 2" xfId="48730" xr:uid="{00000000-0005-0000-0000-0000A64F0000}"/>
    <cellStyle name="40% - Accent4 2 5 4 3 3 3" xfId="39032" xr:uid="{00000000-0005-0000-0000-0000A74F0000}"/>
    <cellStyle name="40% - Accent4 2 5 4 3 4" xfId="25086" xr:uid="{00000000-0005-0000-0000-0000A84F0000}"/>
    <cellStyle name="40% - Accent4 2 5 4 3 4 2" xfId="44275" xr:uid="{00000000-0005-0000-0000-0000A94F0000}"/>
    <cellStyle name="40% - Accent4 2 5 4 3 5" xfId="34577" xr:uid="{00000000-0005-0000-0000-0000AA4F0000}"/>
    <cellStyle name="40% - Accent4 2 5 4 4" xfId="15267" xr:uid="{00000000-0005-0000-0000-0000AB4F0000}"/>
    <cellStyle name="40% - Accent4 2 5 4 4 2" xfId="19731" xr:uid="{00000000-0005-0000-0000-0000AC4F0000}"/>
    <cellStyle name="40% - Accent4 2 5 4 4 2 2" xfId="30099" xr:uid="{00000000-0005-0000-0000-0000AD4F0000}"/>
    <cellStyle name="40% - Accent4 2 5 4 4 2 2 2" xfId="49288" xr:uid="{00000000-0005-0000-0000-0000AE4F0000}"/>
    <cellStyle name="40% - Accent4 2 5 4 4 2 3" xfId="39590" xr:uid="{00000000-0005-0000-0000-0000AF4F0000}"/>
    <cellStyle name="40% - Accent4 2 5 4 4 3" xfId="25644" xr:uid="{00000000-0005-0000-0000-0000B04F0000}"/>
    <cellStyle name="40% - Accent4 2 5 4 4 3 2" xfId="44833" xr:uid="{00000000-0005-0000-0000-0000B14F0000}"/>
    <cellStyle name="40% - Accent4 2 5 4 4 4" xfId="35135" xr:uid="{00000000-0005-0000-0000-0000B24F0000}"/>
    <cellStyle name="40% - Accent4 2 5 4 5" xfId="16937" xr:uid="{00000000-0005-0000-0000-0000B34F0000}"/>
    <cellStyle name="40% - Accent4 2 5 4 5 2" xfId="21401" xr:uid="{00000000-0005-0000-0000-0000B44F0000}"/>
    <cellStyle name="40% - Accent4 2 5 4 5 2 2" xfId="31769" xr:uid="{00000000-0005-0000-0000-0000B54F0000}"/>
    <cellStyle name="40% - Accent4 2 5 4 5 2 2 2" xfId="50958" xr:uid="{00000000-0005-0000-0000-0000B64F0000}"/>
    <cellStyle name="40% - Accent4 2 5 4 5 2 3" xfId="41260" xr:uid="{00000000-0005-0000-0000-0000B74F0000}"/>
    <cellStyle name="40% - Accent4 2 5 4 5 3" xfId="27314" xr:uid="{00000000-0005-0000-0000-0000B84F0000}"/>
    <cellStyle name="40% - Accent4 2 5 4 5 3 2" xfId="46503" xr:uid="{00000000-0005-0000-0000-0000B94F0000}"/>
    <cellStyle name="40% - Accent4 2 5 4 5 4" xfId="36805" xr:uid="{00000000-0005-0000-0000-0000BA4F0000}"/>
    <cellStyle name="40% - Accent4 2 5 4 6" xfId="17503" xr:uid="{00000000-0005-0000-0000-0000BB4F0000}"/>
    <cellStyle name="40% - Accent4 2 5 4 6 2" xfId="21958" xr:uid="{00000000-0005-0000-0000-0000BC4F0000}"/>
    <cellStyle name="40% - Accent4 2 5 4 6 2 2" xfId="32326" xr:uid="{00000000-0005-0000-0000-0000BD4F0000}"/>
    <cellStyle name="40% - Accent4 2 5 4 6 2 2 2" xfId="51515" xr:uid="{00000000-0005-0000-0000-0000BE4F0000}"/>
    <cellStyle name="40% - Accent4 2 5 4 6 2 3" xfId="41817" xr:uid="{00000000-0005-0000-0000-0000BF4F0000}"/>
    <cellStyle name="40% - Accent4 2 5 4 6 3" xfId="27871" xr:uid="{00000000-0005-0000-0000-0000C04F0000}"/>
    <cellStyle name="40% - Accent4 2 5 4 6 3 2" xfId="47060" xr:uid="{00000000-0005-0000-0000-0000C14F0000}"/>
    <cellStyle name="40% - Accent4 2 5 4 6 4" xfId="37362" xr:uid="{00000000-0005-0000-0000-0000C24F0000}"/>
    <cellStyle name="40% - Accent4 2 5 4 7" xfId="18060" xr:uid="{00000000-0005-0000-0000-0000C34F0000}"/>
    <cellStyle name="40% - Accent4 2 5 4 7 2" xfId="28428" xr:uid="{00000000-0005-0000-0000-0000C44F0000}"/>
    <cellStyle name="40% - Accent4 2 5 4 7 2 2" xfId="47617" xr:uid="{00000000-0005-0000-0000-0000C54F0000}"/>
    <cellStyle name="40% - Accent4 2 5 4 7 3" xfId="37919" xr:uid="{00000000-0005-0000-0000-0000C64F0000}"/>
    <cellStyle name="40% - Accent4 2 5 4 8" xfId="23923" xr:uid="{00000000-0005-0000-0000-0000C74F0000}"/>
    <cellStyle name="40% - Accent4 2 5 4 8 2" xfId="43162" xr:uid="{00000000-0005-0000-0000-0000C84F0000}"/>
    <cellStyle name="40% - Accent4 2 5 4 9" xfId="33464" xr:uid="{00000000-0005-0000-0000-0000C94F0000}"/>
    <cellStyle name="40% - Accent4 2 5 5" xfId="12263" xr:uid="{00000000-0005-0000-0000-0000CA4F0000}"/>
    <cellStyle name="40% - Accent4 2 5 6" xfId="52602" xr:uid="{00000000-0005-0000-0000-0000CB4F0000}"/>
    <cellStyle name="40% - Accent4 2 5 7" xfId="12021" xr:uid="{00000000-0005-0000-0000-0000CC4F0000}"/>
    <cellStyle name="40% - Accent4 2 6" xfId="1964" xr:uid="{00000000-0005-0000-0000-0000CD4F0000}"/>
    <cellStyle name="40% - Accent4 2 6 2" xfId="13179" xr:uid="{00000000-0005-0000-0000-0000CE4F0000}"/>
    <cellStyle name="40% - Accent4 2 6 2 10" xfId="52835" xr:uid="{00000000-0005-0000-0000-0000CF4F0000}"/>
    <cellStyle name="40% - Accent4 2 6 2 2" xfId="14117" xr:uid="{00000000-0005-0000-0000-0000D04F0000}"/>
    <cellStyle name="40% - Accent4 2 6 2 2 2" xfId="16381" xr:uid="{00000000-0005-0000-0000-0000D14F0000}"/>
    <cellStyle name="40% - Accent4 2 6 2 2 2 2" xfId="20845" xr:uid="{00000000-0005-0000-0000-0000D24F0000}"/>
    <cellStyle name="40% - Accent4 2 6 2 2 2 2 2" xfId="31213" xr:uid="{00000000-0005-0000-0000-0000D34F0000}"/>
    <cellStyle name="40% - Accent4 2 6 2 2 2 2 2 2" xfId="50402" xr:uid="{00000000-0005-0000-0000-0000D44F0000}"/>
    <cellStyle name="40% - Accent4 2 6 2 2 2 2 3" xfId="40704" xr:uid="{00000000-0005-0000-0000-0000D54F0000}"/>
    <cellStyle name="40% - Accent4 2 6 2 2 2 3" xfId="26758" xr:uid="{00000000-0005-0000-0000-0000D64F0000}"/>
    <cellStyle name="40% - Accent4 2 6 2 2 2 3 2" xfId="45947" xr:uid="{00000000-0005-0000-0000-0000D74F0000}"/>
    <cellStyle name="40% - Accent4 2 6 2 2 2 4" xfId="36249" xr:uid="{00000000-0005-0000-0000-0000D84F0000}"/>
    <cellStyle name="40% - Accent4 2 6 2 2 2 5" xfId="54116" xr:uid="{00000000-0005-0000-0000-0000D94F0000}"/>
    <cellStyle name="40% - Accent4 2 6 2 2 3" xfId="18617" xr:uid="{00000000-0005-0000-0000-0000DA4F0000}"/>
    <cellStyle name="40% - Accent4 2 6 2 2 3 2" xfId="28985" xr:uid="{00000000-0005-0000-0000-0000DB4F0000}"/>
    <cellStyle name="40% - Accent4 2 6 2 2 3 2 2" xfId="48174" xr:uid="{00000000-0005-0000-0000-0000DC4F0000}"/>
    <cellStyle name="40% - Accent4 2 6 2 2 3 3" xfId="38476" xr:uid="{00000000-0005-0000-0000-0000DD4F0000}"/>
    <cellStyle name="40% - Accent4 2 6 2 2 4" xfId="24525" xr:uid="{00000000-0005-0000-0000-0000DE4F0000}"/>
    <cellStyle name="40% - Accent4 2 6 2 2 4 2" xfId="43719" xr:uid="{00000000-0005-0000-0000-0000DF4F0000}"/>
    <cellStyle name="40% - Accent4 2 6 2 2 5" xfId="34021" xr:uid="{00000000-0005-0000-0000-0000E04F0000}"/>
    <cellStyle name="40% - Accent4 2 6 2 2 6" xfId="53263" xr:uid="{00000000-0005-0000-0000-0000E14F0000}"/>
    <cellStyle name="40% - Accent4 2 6 2 3" xfId="14696" xr:uid="{00000000-0005-0000-0000-0000E24F0000}"/>
    <cellStyle name="40% - Accent4 2 6 2 3 2" xfId="15825" xr:uid="{00000000-0005-0000-0000-0000E34F0000}"/>
    <cellStyle name="40% - Accent4 2 6 2 3 2 2" xfId="20289" xr:uid="{00000000-0005-0000-0000-0000E44F0000}"/>
    <cellStyle name="40% - Accent4 2 6 2 3 2 2 2" xfId="30657" xr:uid="{00000000-0005-0000-0000-0000E54F0000}"/>
    <cellStyle name="40% - Accent4 2 6 2 3 2 2 2 2" xfId="49846" xr:uid="{00000000-0005-0000-0000-0000E64F0000}"/>
    <cellStyle name="40% - Accent4 2 6 2 3 2 2 3" xfId="40148" xr:uid="{00000000-0005-0000-0000-0000E74F0000}"/>
    <cellStyle name="40% - Accent4 2 6 2 3 2 3" xfId="26202" xr:uid="{00000000-0005-0000-0000-0000E84F0000}"/>
    <cellStyle name="40% - Accent4 2 6 2 3 2 3 2" xfId="45391" xr:uid="{00000000-0005-0000-0000-0000E94F0000}"/>
    <cellStyle name="40% - Accent4 2 6 2 3 2 4" xfId="35693" xr:uid="{00000000-0005-0000-0000-0000EA4F0000}"/>
    <cellStyle name="40% - Accent4 2 6 2 3 3" xfId="19174" xr:uid="{00000000-0005-0000-0000-0000EB4F0000}"/>
    <cellStyle name="40% - Accent4 2 6 2 3 3 2" xfId="29542" xr:uid="{00000000-0005-0000-0000-0000EC4F0000}"/>
    <cellStyle name="40% - Accent4 2 6 2 3 3 2 2" xfId="48731" xr:uid="{00000000-0005-0000-0000-0000ED4F0000}"/>
    <cellStyle name="40% - Accent4 2 6 2 3 3 3" xfId="39033" xr:uid="{00000000-0005-0000-0000-0000EE4F0000}"/>
    <cellStyle name="40% - Accent4 2 6 2 3 4" xfId="25087" xr:uid="{00000000-0005-0000-0000-0000EF4F0000}"/>
    <cellStyle name="40% - Accent4 2 6 2 3 4 2" xfId="44276" xr:uid="{00000000-0005-0000-0000-0000F04F0000}"/>
    <cellStyle name="40% - Accent4 2 6 2 3 5" xfId="34578" xr:uid="{00000000-0005-0000-0000-0000F14F0000}"/>
    <cellStyle name="40% - Accent4 2 6 2 3 6" xfId="53720" xr:uid="{00000000-0005-0000-0000-0000F24F0000}"/>
    <cellStyle name="40% - Accent4 2 6 2 4" xfId="15268" xr:uid="{00000000-0005-0000-0000-0000F34F0000}"/>
    <cellStyle name="40% - Accent4 2 6 2 4 2" xfId="19732" xr:uid="{00000000-0005-0000-0000-0000F44F0000}"/>
    <cellStyle name="40% - Accent4 2 6 2 4 2 2" xfId="30100" xr:uid="{00000000-0005-0000-0000-0000F54F0000}"/>
    <cellStyle name="40% - Accent4 2 6 2 4 2 2 2" xfId="49289" xr:uid="{00000000-0005-0000-0000-0000F64F0000}"/>
    <cellStyle name="40% - Accent4 2 6 2 4 2 3" xfId="39591" xr:uid="{00000000-0005-0000-0000-0000F74F0000}"/>
    <cellStyle name="40% - Accent4 2 6 2 4 3" xfId="25645" xr:uid="{00000000-0005-0000-0000-0000F84F0000}"/>
    <cellStyle name="40% - Accent4 2 6 2 4 3 2" xfId="44834" xr:uid="{00000000-0005-0000-0000-0000F94F0000}"/>
    <cellStyle name="40% - Accent4 2 6 2 4 4" xfId="35136" xr:uid="{00000000-0005-0000-0000-0000FA4F0000}"/>
    <cellStyle name="40% - Accent4 2 6 2 5" xfId="16938" xr:uid="{00000000-0005-0000-0000-0000FB4F0000}"/>
    <cellStyle name="40% - Accent4 2 6 2 5 2" xfId="21402" xr:uid="{00000000-0005-0000-0000-0000FC4F0000}"/>
    <cellStyle name="40% - Accent4 2 6 2 5 2 2" xfId="31770" xr:uid="{00000000-0005-0000-0000-0000FD4F0000}"/>
    <cellStyle name="40% - Accent4 2 6 2 5 2 2 2" xfId="50959" xr:uid="{00000000-0005-0000-0000-0000FE4F0000}"/>
    <cellStyle name="40% - Accent4 2 6 2 5 2 3" xfId="41261" xr:uid="{00000000-0005-0000-0000-0000FF4F0000}"/>
    <cellStyle name="40% - Accent4 2 6 2 5 3" xfId="27315" xr:uid="{00000000-0005-0000-0000-000000500000}"/>
    <cellStyle name="40% - Accent4 2 6 2 5 3 2" xfId="46504" xr:uid="{00000000-0005-0000-0000-000001500000}"/>
    <cellStyle name="40% - Accent4 2 6 2 5 4" xfId="36806" xr:uid="{00000000-0005-0000-0000-000002500000}"/>
    <cellStyle name="40% - Accent4 2 6 2 6" xfId="17504" xr:uid="{00000000-0005-0000-0000-000003500000}"/>
    <cellStyle name="40% - Accent4 2 6 2 6 2" xfId="21959" xr:uid="{00000000-0005-0000-0000-000004500000}"/>
    <cellStyle name="40% - Accent4 2 6 2 6 2 2" xfId="32327" xr:uid="{00000000-0005-0000-0000-000005500000}"/>
    <cellStyle name="40% - Accent4 2 6 2 6 2 2 2" xfId="51516" xr:uid="{00000000-0005-0000-0000-000006500000}"/>
    <cellStyle name="40% - Accent4 2 6 2 6 2 3" xfId="41818" xr:uid="{00000000-0005-0000-0000-000007500000}"/>
    <cellStyle name="40% - Accent4 2 6 2 6 3" xfId="27872" xr:uid="{00000000-0005-0000-0000-000008500000}"/>
    <cellStyle name="40% - Accent4 2 6 2 6 3 2" xfId="47061" xr:uid="{00000000-0005-0000-0000-000009500000}"/>
    <cellStyle name="40% - Accent4 2 6 2 6 4" xfId="37363" xr:uid="{00000000-0005-0000-0000-00000A500000}"/>
    <cellStyle name="40% - Accent4 2 6 2 7" xfId="18061" xr:uid="{00000000-0005-0000-0000-00000B500000}"/>
    <cellStyle name="40% - Accent4 2 6 2 7 2" xfId="28429" xr:uid="{00000000-0005-0000-0000-00000C500000}"/>
    <cellStyle name="40% - Accent4 2 6 2 7 2 2" xfId="47618" xr:uid="{00000000-0005-0000-0000-00000D500000}"/>
    <cellStyle name="40% - Accent4 2 6 2 7 3" xfId="37920" xr:uid="{00000000-0005-0000-0000-00000E500000}"/>
    <cellStyle name="40% - Accent4 2 6 2 8" xfId="23924" xr:uid="{00000000-0005-0000-0000-00000F500000}"/>
    <cellStyle name="40% - Accent4 2 6 2 8 2" xfId="43163" xr:uid="{00000000-0005-0000-0000-000010500000}"/>
    <cellStyle name="40% - Accent4 2 6 2 9" xfId="33465" xr:uid="{00000000-0005-0000-0000-000011500000}"/>
    <cellStyle name="40% - Accent4 2 6 3" xfId="13180" xr:uid="{00000000-0005-0000-0000-000012500000}"/>
    <cellStyle name="40% - Accent4 2 6 3 10" xfId="53045" xr:uid="{00000000-0005-0000-0000-000013500000}"/>
    <cellStyle name="40% - Accent4 2 6 3 2" xfId="14118" xr:uid="{00000000-0005-0000-0000-000014500000}"/>
    <cellStyle name="40% - Accent4 2 6 3 2 2" xfId="16382" xr:uid="{00000000-0005-0000-0000-000015500000}"/>
    <cellStyle name="40% - Accent4 2 6 3 2 2 2" xfId="20846" xr:uid="{00000000-0005-0000-0000-000016500000}"/>
    <cellStyle name="40% - Accent4 2 6 3 2 2 2 2" xfId="31214" xr:uid="{00000000-0005-0000-0000-000017500000}"/>
    <cellStyle name="40% - Accent4 2 6 3 2 2 2 2 2" xfId="50403" xr:uid="{00000000-0005-0000-0000-000018500000}"/>
    <cellStyle name="40% - Accent4 2 6 3 2 2 2 3" xfId="40705" xr:uid="{00000000-0005-0000-0000-000019500000}"/>
    <cellStyle name="40% - Accent4 2 6 3 2 2 3" xfId="26759" xr:uid="{00000000-0005-0000-0000-00001A500000}"/>
    <cellStyle name="40% - Accent4 2 6 3 2 2 3 2" xfId="45948" xr:uid="{00000000-0005-0000-0000-00001B500000}"/>
    <cellStyle name="40% - Accent4 2 6 3 2 2 4" xfId="36250" xr:uid="{00000000-0005-0000-0000-00001C500000}"/>
    <cellStyle name="40% - Accent4 2 6 3 2 3" xfId="18618" xr:uid="{00000000-0005-0000-0000-00001D500000}"/>
    <cellStyle name="40% - Accent4 2 6 3 2 3 2" xfId="28986" xr:uid="{00000000-0005-0000-0000-00001E500000}"/>
    <cellStyle name="40% - Accent4 2 6 3 2 3 2 2" xfId="48175" xr:uid="{00000000-0005-0000-0000-00001F500000}"/>
    <cellStyle name="40% - Accent4 2 6 3 2 3 3" xfId="38477" xr:uid="{00000000-0005-0000-0000-000020500000}"/>
    <cellStyle name="40% - Accent4 2 6 3 2 4" xfId="24526" xr:uid="{00000000-0005-0000-0000-000021500000}"/>
    <cellStyle name="40% - Accent4 2 6 3 2 4 2" xfId="43720" xr:uid="{00000000-0005-0000-0000-000022500000}"/>
    <cellStyle name="40% - Accent4 2 6 3 2 5" xfId="34022" xr:uid="{00000000-0005-0000-0000-000023500000}"/>
    <cellStyle name="40% - Accent4 2 6 3 2 6" xfId="53920" xr:uid="{00000000-0005-0000-0000-000024500000}"/>
    <cellStyle name="40% - Accent4 2 6 3 3" xfId="14697" xr:uid="{00000000-0005-0000-0000-000025500000}"/>
    <cellStyle name="40% - Accent4 2 6 3 3 2" xfId="15826" xr:uid="{00000000-0005-0000-0000-000026500000}"/>
    <cellStyle name="40% - Accent4 2 6 3 3 2 2" xfId="20290" xr:uid="{00000000-0005-0000-0000-000027500000}"/>
    <cellStyle name="40% - Accent4 2 6 3 3 2 2 2" xfId="30658" xr:uid="{00000000-0005-0000-0000-000028500000}"/>
    <cellStyle name="40% - Accent4 2 6 3 3 2 2 2 2" xfId="49847" xr:uid="{00000000-0005-0000-0000-000029500000}"/>
    <cellStyle name="40% - Accent4 2 6 3 3 2 2 3" xfId="40149" xr:uid="{00000000-0005-0000-0000-00002A500000}"/>
    <cellStyle name="40% - Accent4 2 6 3 3 2 3" xfId="26203" xr:uid="{00000000-0005-0000-0000-00002B500000}"/>
    <cellStyle name="40% - Accent4 2 6 3 3 2 3 2" xfId="45392" xr:uid="{00000000-0005-0000-0000-00002C500000}"/>
    <cellStyle name="40% - Accent4 2 6 3 3 2 4" xfId="35694" xr:uid="{00000000-0005-0000-0000-00002D500000}"/>
    <cellStyle name="40% - Accent4 2 6 3 3 3" xfId="19175" xr:uid="{00000000-0005-0000-0000-00002E500000}"/>
    <cellStyle name="40% - Accent4 2 6 3 3 3 2" xfId="29543" xr:uid="{00000000-0005-0000-0000-00002F500000}"/>
    <cellStyle name="40% - Accent4 2 6 3 3 3 2 2" xfId="48732" xr:uid="{00000000-0005-0000-0000-000030500000}"/>
    <cellStyle name="40% - Accent4 2 6 3 3 3 3" xfId="39034" xr:uid="{00000000-0005-0000-0000-000031500000}"/>
    <cellStyle name="40% - Accent4 2 6 3 3 4" xfId="25088" xr:uid="{00000000-0005-0000-0000-000032500000}"/>
    <cellStyle name="40% - Accent4 2 6 3 3 4 2" xfId="44277" xr:uid="{00000000-0005-0000-0000-000033500000}"/>
    <cellStyle name="40% - Accent4 2 6 3 3 5" xfId="34579" xr:uid="{00000000-0005-0000-0000-000034500000}"/>
    <cellStyle name="40% - Accent4 2 6 3 4" xfId="15269" xr:uid="{00000000-0005-0000-0000-000035500000}"/>
    <cellStyle name="40% - Accent4 2 6 3 4 2" xfId="19733" xr:uid="{00000000-0005-0000-0000-000036500000}"/>
    <cellStyle name="40% - Accent4 2 6 3 4 2 2" xfId="30101" xr:uid="{00000000-0005-0000-0000-000037500000}"/>
    <cellStyle name="40% - Accent4 2 6 3 4 2 2 2" xfId="49290" xr:uid="{00000000-0005-0000-0000-000038500000}"/>
    <cellStyle name="40% - Accent4 2 6 3 4 2 3" xfId="39592" xr:uid="{00000000-0005-0000-0000-000039500000}"/>
    <cellStyle name="40% - Accent4 2 6 3 4 3" xfId="25646" xr:uid="{00000000-0005-0000-0000-00003A500000}"/>
    <cellStyle name="40% - Accent4 2 6 3 4 3 2" xfId="44835" xr:uid="{00000000-0005-0000-0000-00003B500000}"/>
    <cellStyle name="40% - Accent4 2 6 3 4 4" xfId="35137" xr:uid="{00000000-0005-0000-0000-00003C500000}"/>
    <cellStyle name="40% - Accent4 2 6 3 5" xfId="16939" xr:uid="{00000000-0005-0000-0000-00003D500000}"/>
    <cellStyle name="40% - Accent4 2 6 3 5 2" xfId="21403" xr:uid="{00000000-0005-0000-0000-00003E500000}"/>
    <cellStyle name="40% - Accent4 2 6 3 5 2 2" xfId="31771" xr:uid="{00000000-0005-0000-0000-00003F500000}"/>
    <cellStyle name="40% - Accent4 2 6 3 5 2 2 2" xfId="50960" xr:uid="{00000000-0005-0000-0000-000040500000}"/>
    <cellStyle name="40% - Accent4 2 6 3 5 2 3" xfId="41262" xr:uid="{00000000-0005-0000-0000-000041500000}"/>
    <cellStyle name="40% - Accent4 2 6 3 5 3" xfId="27316" xr:uid="{00000000-0005-0000-0000-000042500000}"/>
    <cellStyle name="40% - Accent4 2 6 3 5 3 2" xfId="46505" xr:uid="{00000000-0005-0000-0000-000043500000}"/>
    <cellStyle name="40% - Accent4 2 6 3 5 4" xfId="36807" xr:uid="{00000000-0005-0000-0000-000044500000}"/>
    <cellStyle name="40% - Accent4 2 6 3 6" xfId="17505" xr:uid="{00000000-0005-0000-0000-000045500000}"/>
    <cellStyle name="40% - Accent4 2 6 3 6 2" xfId="21960" xr:uid="{00000000-0005-0000-0000-000046500000}"/>
    <cellStyle name="40% - Accent4 2 6 3 6 2 2" xfId="32328" xr:uid="{00000000-0005-0000-0000-000047500000}"/>
    <cellStyle name="40% - Accent4 2 6 3 6 2 2 2" xfId="51517" xr:uid="{00000000-0005-0000-0000-000048500000}"/>
    <cellStyle name="40% - Accent4 2 6 3 6 2 3" xfId="41819" xr:uid="{00000000-0005-0000-0000-000049500000}"/>
    <cellStyle name="40% - Accent4 2 6 3 6 3" xfId="27873" xr:uid="{00000000-0005-0000-0000-00004A500000}"/>
    <cellStyle name="40% - Accent4 2 6 3 6 3 2" xfId="47062" xr:uid="{00000000-0005-0000-0000-00004B500000}"/>
    <cellStyle name="40% - Accent4 2 6 3 6 4" xfId="37364" xr:uid="{00000000-0005-0000-0000-00004C500000}"/>
    <cellStyle name="40% - Accent4 2 6 3 7" xfId="18062" xr:uid="{00000000-0005-0000-0000-00004D500000}"/>
    <cellStyle name="40% - Accent4 2 6 3 7 2" xfId="28430" xr:uid="{00000000-0005-0000-0000-00004E500000}"/>
    <cellStyle name="40% - Accent4 2 6 3 7 2 2" xfId="47619" xr:uid="{00000000-0005-0000-0000-00004F500000}"/>
    <cellStyle name="40% - Accent4 2 6 3 7 3" xfId="37921" xr:uid="{00000000-0005-0000-0000-000050500000}"/>
    <cellStyle name="40% - Accent4 2 6 3 8" xfId="23925" xr:uid="{00000000-0005-0000-0000-000051500000}"/>
    <cellStyle name="40% - Accent4 2 6 3 8 2" xfId="43164" xr:uid="{00000000-0005-0000-0000-000052500000}"/>
    <cellStyle name="40% - Accent4 2 6 3 9" xfId="33466" xr:uid="{00000000-0005-0000-0000-000053500000}"/>
    <cellStyle name="40% - Accent4 2 6 4" xfId="53524" xr:uid="{00000000-0005-0000-0000-000054500000}"/>
    <cellStyle name="40% - Accent4 2 6 5" xfId="52639" xr:uid="{00000000-0005-0000-0000-000055500000}"/>
    <cellStyle name="40% - Accent4 2 6 6" xfId="12264" xr:uid="{00000000-0005-0000-0000-000056500000}"/>
    <cellStyle name="40% - Accent4 2 7" xfId="1965" xr:uid="{00000000-0005-0000-0000-000057500000}"/>
    <cellStyle name="40% - Accent4 2 7 10" xfId="52666" xr:uid="{00000000-0005-0000-0000-000058500000}"/>
    <cellStyle name="40% - Accent4 2 7 11" xfId="12695" xr:uid="{00000000-0005-0000-0000-000059500000}"/>
    <cellStyle name="40% - Accent4 2 7 2" xfId="13810" xr:uid="{00000000-0005-0000-0000-00005A500000}"/>
    <cellStyle name="40% - Accent4 2 7 2 2" xfId="16074" xr:uid="{00000000-0005-0000-0000-00005B500000}"/>
    <cellStyle name="40% - Accent4 2 7 2 2 2" xfId="20538" xr:uid="{00000000-0005-0000-0000-00005C500000}"/>
    <cellStyle name="40% - Accent4 2 7 2 2 2 2" xfId="30906" xr:uid="{00000000-0005-0000-0000-00005D500000}"/>
    <cellStyle name="40% - Accent4 2 7 2 2 2 2 2" xfId="50095" xr:uid="{00000000-0005-0000-0000-00005E500000}"/>
    <cellStyle name="40% - Accent4 2 7 2 2 2 3" xfId="40397" xr:uid="{00000000-0005-0000-0000-00005F500000}"/>
    <cellStyle name="40% - Accent4 2 7 2 2 3" xfId="26451" xr:uid="{00000000-0005-0000-0000-000060500000}"/>
    <cellStyle name="40% - Accent4 2 7 2 2 3 2" xfId="45640" xr:uid="{00000000-0005-0000-0000-000061500000}"/>
    <cellStyle name="40% - Accent4 2 7 2 2 4" xfId="35942" xr:uid="{00000000-0005-0000-0000-000062500000}"/>
    <cellStyle name="40% - Accent4 2 7 2 2 5" xfId="53947" xr:uid="{00000000-0005-0000-0000-000063500000}"/>
    <cellStyle name="40% - Accent4 2 7 2 3" xfId="18310" xr:uid="{00000000-0005-0000-0000-000064500000}"/>
    <cellStyle name="40% - Accent4 2 7 2 3 2" xfId="28678" xr:uid="{00000000-0005-0000-0000-000065500000}"/>
    <cellStyle name="40% - Accent4 2 7 2 3 2 2" xfId="47867" xr:uid="{00000000-0005-0000-0000-000066500000}"/>
    <cellStyle name="40% - Accent4 2 7 2 3 3" xfId="38169" xr:uid="{00000000-0005-0000-0000-000067500000}"/>
    <cellStyle name="40% - Accent4 2 7 2 4" xfId="24218" xr:uid="{00000000-0005-0000-0000-000068500000}"/>
    <cellStyle name="40% - Accent4 2 7 2 4 2" xfId="43412" xr:uid="{00000000-0005-0000-0000-000069500000}"/>
    <cellStyle name="40% - Accent4 2 7 2 5" xfId="33714" xr:uid="{00000000-0005-0000-0000-00006A500000}"/>
    <cellStyle name="40% - Accent4 2 7 2 6" xfId="53094" xr:uid="{00000000-0005-0000-0000-00006B500000}"/>
    <cellStyle name="40% - Accent4 2 7 3" xfId="14389" xr:uid="{00000000-0005-0000-0000-00006C500000}"/>
    <cellStyle name="40% - Accent4 2 7 3 2" xfId="15518" xr:uid="{00000000-0005-0000-0000-00006D500000}"/>
    <cellStyle name="40% - Accent4 2 7 3 2 2" xfId="19982" xr:uid="{00000000-0005-0000-0000-00006E500000}"/>
    <cellStyle name="40% - Accent4 2 7 3 2 2 2" xfId="30350" xr:uid="{00000000-0005-0000-0000-00006F500000}"/>
    <cellStyle name="40% - Accent4 2 7 3 2 2 2 2" xfId="49539" xr:uid="{00000000-0005-0000-0000-000070500000}"/>
    <cellStyle name="40% - Accent4 2 7 3 2 2 3" xfId="39841" xr:uid="{00000000-0005-0000-0000-000071500000}"/>
    <cellStyle name="40% - Accent4 2 7 3 2 3" xfId="25895" xr:uid="{00000000-0005-0000-0000-000072500000}"/>
    <cellStyle name="40% - Accent4 2 7 3 2 3 2" xfId="45084" xr:uid="{00000000-0005-0000-0000-000073500000}"/>
    <cellStyle name="40% - Accent4 2 7 3 2 4" xfId="35386" xr:uid="{00000000-0005-0000-0000-000074500000}"/>
    <cellStyle name="40% - Accent4 2 7 3 3" xfId="18867" xr:uid="{00000000-0005-0000-0000-000075500000}"/>
    <cellStyle name="40% - Accent4 2 7 3 3 2" xfId="29235" xr:uid="{00000000-0005-0000-0000-000076500000}"/>
    <cellStyle name="40% - Accent4 2 7 3 3 2 2" xfId="48424" xr:uid="{00000000-0005-0000-0000-000077500000}"/>
    <cellStyle name="40% - Accent4 2 7 3 3 3" xfId="38726" xr:uid="{00000000-0005-0000-0000-000078500000}"/>
    <cellStyle name="40% - Accent4 2 7 3 4" xfId="24780" xr:uid="{00000000-0005-0000-0000-000079500000}"/>
    <cellStyle name="40% - Accent4 2 7 3 4 2" xfId="43969" xr:uid="{00000000-0005-0000-0000-00007A500000}"/>
    <cellStyle name="40% - Accent4 2 7 3 5" xfId="34271" xr:uid="{00000000-0005-0000-0000-00007B500000}"/>
    <cellStyle name="40% - Accent4 2 7 3 6" xfId="53551" xr:uid="{00000000-0005-0000-0000-00007C500000}"/>
    <cellStyle name="40% - Accent4 2 7 4" xfId="14961" xr:uid="{00000000-0005-0000-0000-00007D500000}"/>
    <cellStyle name="40% - Accent4 2 7 4 2" xfId="19425" xr:uid="{00000000-0005-0000-0000-00007E500000}"/>
    <cellStyle name="40% - Accent4 2 7 4 2 2" xfId="29793" xr:uid="{00000000-0005-0000-0000-00007F500000}"/>
    <cellStyle name="40% - Accent4 2 7 4 2 2 2" xfId="48982" xr:uid="{00000000-0005-0000-0000-000080500000}"/>
    <cellStyle name="40% - Accent4 2 7 4 2 3" xfId="39284" xr:uid="{00000000-0005-0000-0000-000081500000}"/>
    <cellStyle name="40% - Accent4 2 7 4 3" xfId="25338" xr:uid="{00000000-0005-0000-0000-000082500000}"/>
    <cellStyle name="40% - Accent4 2 7 4 3 2" xfId="44527" xr:uid="{00000000-0005-0000-0000-000083500000}"/>
    <cellStyle name="40% - Accent4 2 7 4 4" xfId="34829" xr:uid="{00000000-0005-0000-0000-000084500000}"/>
    <cellStyle name="40% - Accent4 2 7 5" xfId="16631" xr:uid="{00000000-0005-0000-0000-000085500000}"/>
    <cellStyle name="40% - Accent4 2 7 5 2" xfId="21095" xr:uid="{00000000-0005-0000-0000-000086500000}"/>
    <cellStyle name="40% - Accent4 2 7 5 2 2" xfId="31463" xr:uid="{00000000-0005-0000-0000-000087500000}"/>
    <cellStyle name="40% - Accent4 2 7 5 2 2 2" xfId="50652" xr:uid="{00000000-0005-0000-0000-000088500000}"/>
    <cellStyle name="40% - Accent4 2 7 5 2 3" xfId="40954" xr:uid="{00000000-0005-0000-0000-000089500000}"/>
    <cellStyle name="40% - Accent4 2 7 5 3" xfId="27008" xr:uid="{00000000-0005-0000-0000-00008A500000}"/>
    <cellStyle name="40% - Accent4 2 7 5 3 2" xfId="46197" xr:uid="{00000000-0005-0000-0000-00008B500000}"/>
    <cellStyle name="40% - Accent4 2 7 5 4" xfId="36499" xr:uid="{00000000-0005-0000-0000-00008C500000}"/>
    <cellStyle name="40% - Accent4 2 7 6" xfId="17197" xr:uid="{00000000-0005-0000-0000-00008D500000}"/>
    <cellStyle name="40% - Accent4 2 7 6 2" xfId="21652" xr:uid="{00000000-0005-0000-0000-00008E500000}"/>
    <cellStyle name="40% - Accent4 2 7 6 2 2" xfId="32020" xr:uid="{00000000-0005-0000-0000-00008F500000}"/>
    <cellStyle name="40% - Accent4 2 7 6 2 2 2" xfId="51209" xr:uid="{00000000-0005-0000-0000-000090500000}"/>
    <cellStyle name="40% - Accent4 2 7 6 2 3" xfId="41511" xr:uid="{00000000-0005-0000-0000-000091500000}"/>
    <cellStyle name="40% - Accent4 2 7 6 3" xfId="27565" xr:uid="{00000000-0005-0000-0000-000092500000}"/>
    <cellStyle name="40% - Accent4 2 7 6 3 2" xfId="46754" xr:uid="{00000000-0005-0000-0000-000093500000}"/>
    <cellStyle name="40% - Accent4 2 7 6 4" xfId="37056" xr:uid="{00000000-0005-0000-0000-000094500000}"/>
    <cellStyle name="40% - Accent4 2 7 7" xfId="17754" xr:uid="{00000000-0005-0000-0000-000095500000}"/>
    <cellStyle name="40% - Accent4 2 7 7 2" xfId="28122" xr:uid="{00000000-0005-0000-0000-000096500000}"/>
    <cellStyle name="40% - Accent4 2 7 7 2 2" xfId="47311" xr:uid="{00000000-0005-0000-0000-000097500000}"/>
    <cellStyle name="40% - Accent4 2 7 7 3" xfId="37613" xr:uid="{00000000-0005-0000-0000-000098500000}"/>
    <cellStyle name="40% - Accent4 2 7 8" xfId="23569" xr:uid="{00000000-0005-0000-0000-000099500000}"/>
    <cellStyle name="40% - Accent4 2 7 8 2" xfId="42856" xr:uid="{00000000-0005-0000-0000-00009A500000}"/>
    <cellStyle name="40% - Accent4 2 7 9" xfId="33158" xr:uid="{00000000-0005-0000-0000-00009B500000}"/>
    <cellStyle name="40% - Accent4 2 8" xfId="1966" xr:uid="{00000000-0005-0000-0000-00009C500000}"/>
    <cellStyle name="40% - Accent4 2 8 10" xfId="52866" xr:uid="{00000000-0005-0000-0000-00009D500000}"/>
    <cellStyle name="40% - Accent4 2 8 11" xfId="12800" xr:uid="{00000000-0005-0000-0000-00009E500000}"/>
    <cellStyle name="40% - Accent4 2 8 2" xfId="13826" xr:uid="{00000000-0005-0000-0000-00009F500000}"/>
    <cellStyle name="40% - Accent4 2 8 2 2" xfId="16090" xr:uid="{00000000-0005-0000-0000-0000A0500000}"/>
    <cellStyle name="40% - Accent4 2 8 2 2 2" xfId="20554" xr:uid="{00000000-0005-0000-0000-0000A1500000}"/>
    <cellStyle name="40% - Accent4 2 8 2 2 2 2" xfId="30922" xr:uid="{00000000-0005-0000-0000-0000A2500000}"/>
    <cellStyle name="40% - Accent4 2 8 2 2 2 2 2" xfId="50111" xr:uid="{00000000-0005-0000-0000-0000A3500000}"/>
    <cellStyle name="40% - Accent4 2 8 2 2 2 3" xfId="40413" xr:uid="{00000000-0005-0000-0000-0000A4500000}"/>
    <cellStyle name="40% - Accent4 2 8 2 2 3" xfId="26467" xr:uid="{00000000-0005-0000-0000-0000A5500000}"/>
    <cellStyle name="40% - Accent4 2 8 2 2 3 2" xfId="45656" xr:uid="{00000000-0005-0000-0000-0000A6500000}"/>
    <cellStyle name="40% - Accent4 2 8 2 2 4" xfId="35958" xr:uid="{00000000-0005-0000-0000-0000A7500000}"/>
    <cellStyle name="40% - Accent4 2 8 2 3" xfId="18326" xr:uid="{00000000-0005-0000-0000-0000A8500000}"/>
    <cellStyle name="40% - Accent4 2 8 2 3 2" xfId="28694" xr:uid="{00000000-0005-0000-0000-0000A9500000}"/>
    <cellStyle name="40% - Accent4 2 8 2 3 2 2" xfId="47883" xr:uid="{00000000-0005-0000-0000-0000AA500000}"/>
    <cellStyle name="40% - Accent4 2 8 2 3 3" xfId="38185" xr:uid="{00000000-0005-0000-0000-0000AB500000}"/>
    <cellStyle name="40% - Accent4 2 8 2 4" xfId="24234" xr:uid="{00000000-0005-0000-0000-0000AC500000}"/>
    <cellStyle name="40% - Accent4 2 8 2 4 2" xfId="43428" xr:uid="{00000000-0005-0000-0000-0000AD500000}"/>
    <cellStyle name="40% - Accent4 2 8 2 5" xfId="33730" xr:uid="{00000000-0005-0000-0000-0000AE500000}"/>
    <cellStyle name="40% - Accent4 2 8 2 6" xfId="53750" xr:uid="{00000000-0005-0000-0000-0000AF500000}"/>
    <cellStyle name="40% - Accent4 2 8 3" xfId="14405" xr:uid="{00000000-0005-0000-0000-0000B0500000}"/>
    <cellStyle name="40% - Accent4 2 8 3 2" xfId="15534" xr:uid="{00000000-0005-0000-0000-0000B1500000}"/>
    <cellStyle name="40% - Accent4 2 8 3 2 2" xfId="19998" xr:uid="{00000000-0005-0000-0000-0000B2500000}"/>
    <cellStyle name="40% - Accent4 2 8 3 2 2 2" xfId="30366" xr:uid="{00000000-0005-0000-0000-0000B3500000}"/>
    <cellStyle name="40% - Accent4 2 8 3 2 2 2 2" xfId="49555" xr:uid="{00000000-0005-0000-0000-0000B4500000}"/>
    <cellStyle name="40% - Accent4 2 8 3 2 2 3" xfId="39857" xr:uid="{00000000-0005-0000-0000-0000B5500000}"/>
    <cellStyle name="40% - Accent4 2 8 3 2 3" xfId="25911" xr:uid="{00000000-0005-0000-0000-0000B6500000}"/>
    <cellStyle name="40% - Accent4 2 8 3 2 3 2" xfId="45100" xr:uid="{00000000-0005-0000-0000-0000B7500000}"/>
    <cellStyle name="40% - Accent4 2 8 3 2 4" xfId="35402" xr:uid="{00000000-0005-0000-0000-0000B8500000}"/>
    <cellStyle name="40% - Accent4 2 8 3 3" xfId="18883" xr:uid="{00000000-0005-0000-0000-0000B9500000}"/>
    <cellStyle name="40% - Accent4 2 8 3 3 2" xfId="29251" xr:uid="{00000000-0005-0000-0000-0000BA500000}"/>
    <cellStyle name="40% - Accent4 2 8 3 3 2 2" xfId="48440" xr:uid="{00000000-0005-0000-0000-0000BB500000}"/>
    <cellStyle name="40% - Accent4 2 8 3 3 3" xfId="38742" xr:uid="{00000000-0005-0000-0000-0000BC500000}"/>
    <cellStyle name="40% - Accent4 2 8 3 4" xfId="24796" xr:uid="{00000000-0005-0000-0000-0000BD500000}"/>
    <cellStyle name="40% - Accent4 2 8 3 4 2" xfId="43985" xr:uid="{00000000-0005-0000-0000-0000BE500000}"/>
    <cellStyle name="40% - Accent4 2 8 3 5" xfId="34287" xr:uid="{00000000-0005-0000-0000-0000BF500000}"/>
    <cellStyle name="40% - Accent4 2 8 4" xfId="14977" xr:uid="{00000000-0005-0000-0000-0000C0500000}"/>
    <cellStyle name="40% - Accent4 2 8 4 2" xfId="19441" xr:uid="{00000000-0005-0000-0000-0000C1500000}"/>
    <cellStyle name="40% - Accent4 2 8 4 2 2" xfId="29809" xr:uid="{00000000-0005-0000-0000-0000C2500000}"/>
    <cellStyle name="40% - Accent4 2 8 4 2 2 2" xfId="48998" xr:uid="{00000000-0005-0000-0000-0000C3500000}"/>
    <cellStyle name="40% - Accent4 2 8 4 2 3" xfId="39300" xr:uid="{00000000-0005-0000-0000-0000C4500000}"/>
    <cellStyle name="40% - Accent4 2 8 4 3" xfId="25354" xr:uid="{00000000-0005-0000-0000-0000C5500000}"/>
    <cellStyle name="40% - Accent4 2 8 4 3 2" xfId="44543" xr:uid="{00000000-0005-0000-0000-0000C6500000}"/>
    <cellStyle name="40% - Accent4 2 8 4 4" xfId="34845" xr:uid="{00000000-0005-0000-0000-0000C7500000}"/>
    <cellStyle name="40% - Accent4 2 8 5" xfId="16647" xr:uid="{00000000-0005-0000-0000-0000C8500000}"/>
    <cellStyle name="40% - Accent4 2 8 5 2" xfId="21111" xr:uid="{00000000-0005-0000-0000-0000C9500000}"/>
    <cellStyle name="40% - Accent4 2 8 5 2 2" xfId="31479" xr:uid="{00000000-0005-0000-0000-0000CA500000}"/>
    <cellStyle name="40% - Accent4 2 8 5 2 2 2" xfId="50668" xr:uid="{00000000-0005-0000-0000-0000CB500000}"/>
    <cellStyle name="40% - Accent4 2 8 5 2 3" xfId="40970" xr:uid="{00000000-0005-0000-0000-0000CC500000}"/>
    <cellStyle name="40% - Accent4 2 8 5 3" xfId="27024" xr:uid="{00000000-0005-0000-0000-0000CD500000}"/>
    <cellStyle name="40% - Accent4 2 8 5 3 2" xfId="46213" xr:uid="{00000000-0005-0000-0000-0000CE500000}"/>
    <cellStyle name="40% - Accent4 2 8 5 4" xfId="36515" xr:uid="{00000000-0005-0000-0000-0000CF500000}"/>
    <cellStyle name="40% - Accent4 2 8 6" xfId="17213" xr:uid="{00000000-0005-0000-0000-0000D0500000}"/>
    <cellStyle name="40% - Accent4 2 8 6 2" xfId="21668" xr:uid="{00000000-0005-0000-0000-0000D1500000}"/>
    <cellStyle name="40% - Accent4 2 8 6 2 2" xfId="32036" xr:uid="{00000000-0005-0000-0000-0000D2500000}"/>
    <cellStyle name="40% - Accent4 2 8 6 2 2 2" xfId="51225" xr:uid="{00000000-0005-0000-0000-0000D3500000}"/>
    <cellStyle name="40% - Accent4 2 8 6 2 3" xfId="41527" xr:uid="{00000000-0005-0000-0000-0000D4500000}"/>
    <cellStyle name="40% - Accent4 2 8 6 3" xfId="27581" xr:uid="{00000000-0005-0000-0000-0000D5500000}"/>
    <cellStyle name="40% - Accent4 2 8 6 3 2" xfId="46770" xr:uid="{00000000-0005-0000-0000-0000D6500000}"/>
    <cellStyle name="40% - Accent4 2 8 6 4" xfId="37072" xr:uid="{00000000-0005-0000-0000-0000D7500000}"/>
    <cellStyle name="40% - Accent4 2 8 7" xfId="17770" xr:uid="{00000000-0005-0000-0000-0000D8500000}"/>
    <cellStyle name="40% - Accent4 2 8 7 2" xfId="28138" xr:uid="{00000000-0005-0000-0000-0000D9500000}"/>
    <cellStyle name="40% - Accent4 2 8 7 2 2" xfId="47327" xr:uid="{00000000-0005-0000-0000-0000DA500000}"/>
    <cellStyle name="40% - Accent4 2 8 7 3" xfId="37629" xr:uid="{00000000-0005-0000-0000-0000DB500000}"/>
    <cellStyle name="40% - Accent4 2 8 8" xfId="23603" xr:uid="{00000000-0005-0000-0000-0000DC500000}"/>
    <cellStyle name="40% - Accent4 2 8 8 2" xfId="42872" xr:uid="{00000000-0005-0000-0000-0000DD500000}"/>
    <cellStyle name="40% - Accent4 2 8 9" xfId="33174" xr:uid="{00000000-0005-0000-0000-0000DE500000}"/>
    <cellStyle name="40% - Accent4 2 9" xfId="1967" xr:uid="{00000000-0005-0000-0000-0000DF500000}"/>
    <cellStyle name="40% - Accent4 2 9 2" xfId="54147" xr:uid="{00000000-0005-0000-0000-0000E0500000}"/>
    <cellStyle name="40% - Accent4 2 9 3" xfId="53295" xr:uid="{00000000-0005-0000-0000-0000E1500000}"/>
    <cellStyle name="40% - Accent4 2 9 4" xfId="13181" xr:uid="{00000000-0005-0000-0000-0000E2500000}"/>
    <cellStyle name="40% - Accent4 20" xfId="22857" xr:uid="{00000000-0005-0000-0000-0000E3500000}"/>
    <cellStyle name="40% - Accent4 20 2" xfId="32941" xr:uid="{00000000-0005-0000-0000-0000E4500000}"/>
    <cellStyle name="40% - Accent4 20 2 2" xfId="52127" xr:uid="{00000000-0005-0000-0000-0000E5500000}"/>
    <cellStyle name="40% - Accent4 20 3" xfId="23214" xr:uid="{00000000-0005-0000-0000-0000E6500000}"/>
    <cellStyle name="40% - Accent4 20 3 2" xfId="42782" xr:uid="{00000000-0005-0000-0000-0000E7500000}"/>
    <cellStyle name="40% - Accent4 20 4" xfId="42429" xr:uid="{00000000-0005-0000-0000-0000E8500000}"/>
    <cellStyle name="40% - Accent4 21" xfId="22740" xr:uid="{00000000-0005-0000-0000-0000E9500000}"/>
    <cellStyle name="40% - Accent4 21 2" xfId="32824" xr:uid="{00000000-0005-0000-0000-0000EA500000}"/>
    <cellStyle name="40% - Accent4 21 2 2" xfId="52010" xr:uid="{00000000-0005-0000-0000-0000EB500000}"/>
    <cellStyle name="40% - Accent4 21 3" xfId="42312" xr:uid="{00000000-0005-0000-0000-0000EC500000}"/>
    <cellStyle name="40% - Accent4 22" xfId="23097" xr:uid="{00000000-0005-0000-0000-0000ED500000}"/>
    <cellStyle name="40% - Accent4 22 2" xfId="42665" xr:uid="{00000000-0005-0000-0000-0000EE500000}"/>
    <cellStyle name="40% - Accent4 23" xfId="33130" xr:uid="{00000000-0005-0000-0000-0000EF500000}"/>
    <cellStyle name="40% - Accent4 3" xfId="192" xr:uid="{00000000-0005-0000-0000-0000F0500000}"/>
    <cellStyle name="40% - Accent4 3 2" xfId="1969" xr:uid="{00000000-0005-0000-0000-0000F1500000}"/>
    <cellStyle name="40% - Accent4 3 2 2" xfId="1970" xr:uid="{00000000-0005-0000-0000-0000F2500000}"/>
    <cellStyle name="40% - Accent4 3 2 2 2" xfId="1971" xr:uid="{00000000-0005-0000-0000-0000F3500000}"/>
    <cellStyle name="40% - Accent4 3 2 2 2 2" xfId="1972" xr:uid="{00000000-0005-0000-0000-0000F4500000}"/>
    <cellStyle name="40% - Accent4 3 2 2 3" xfId="1973" xr:uid="{00000000-0005-0000-0000-0000F5500000}"/>
    <cellStyle name="40% - Accent4 3 2 3" xfId="1974" xr:uid="{00000000-0005-0000-0000-0000F6500000}"/>
    <cellStyle name="40% - Accent4 3 2 3 2" xfId="1975" xr:uid="{00000000-0005-0000-0000-0000F7500000}"/>
    <cellStyle name="40% - Accent4 3 2 4" xfId="1976" xr:uid="{00000000-0005-0000-0000-0000F8500000}"/>
    <cellStyle name="40% - Accent4 3 2 5" xfId="13182" xr:uid="{00000000-0005-0000-0000-0000F9500000}"/>
    <cellStyle name="40% - Accent4 3 3" xfId="1977" xr:uid="{00000000-0005-0000-0000-0000FA500000}"/>
    <cellStyle name="40% - Accent4 3 3 2" xfId="1978" xr:uid="{00000000-0005-0000-0000-0000FB500000}"/>
    <cellStyle name="40% - Accent4 3 3 2 2" xfId="1979" xr:uid="{00000000-0005-0000-0000-0000FC500000}"/>
    <cellStyle name="40% - Accent4 3 3 2 2 2" xfId="1980" xr:uid="{00000000-0005-0000-0000-0000FD500000}"/>
    <cellStyle name="40% - Accent4 3 3 2 3" xfId="1981" xr:uid="{00000000-0005-0000-0000-0000FE500000}"/>
    <cellStyle name="40% - Accent4 3 3 3" xfId="1982" xr:uid="{00000000-0005-0000-0000-0000FF500000}"/>
    <cellStyle name="40% - Accent4 3 3 3 2" xfId="1983" xr:uid="{00000000-0005-0000-0000-000000510000}"/>
    <cellStyle name="40% - Accent4 3 3 4" xfId="1984" xr:uid="{00000000-0005-0000-0000-000001510000}"/>
    <cellStyle name="40% - Accent4 3 3 5" xfId="13531" xr:uid="{00000000-0005-0000-0000-000002510000}"/>
    <cellStyle name="40% - Accent4 3 4" xfId="1985" xr:uid="{00000000-0005-0000-0000-000003510000}"/>
    <cellStyle name="40% - Accent4 3 4 2" xfId="1986" xr:uid="{00000000-0005-0000-0000-000004510000}"/>
    <cellStyle name="40% - Accent4 3 4 2 2" xfId="1987" xr:uid="{00000000-0005-0000-0000-000005510000}"/>
    <cellStyle name="40% - Accent4 3 4 3" xfId="1988" xr:uid="{00000000-0005-0000-0000-000006510000}"/>
    <cellStyle name="40% - Accent4 3 4 4" xfId="22304" xr:uid="{00000000-0005-0000-0000-000007510000}"/>
    <cellStyle name="40% - Accent4 3 5" xfId="1989" xr:uid="{00000000-0005-0000-0000-000008510000}"/>
    <cellStyle name="40% - Accent4 3 5 2" xfId="1990" xr:uid="{00000000-0005-0000-0000-000009510000}"/>
    <cellStyle name="40% - Accent4 3 5 3" xfId="23350" xr:uid="{00000000-0005-0000-0000-00000A510000}"/>
    <cellStyle name="40% - Accent4 3 6" xfId="1991" xr:uid="{00000000-0005-0000-0000-00000B510000}"/>
    <cellStyle name="40% - Accent4 3 7" xfId="1968" xr:uid="{00000000-0005-0000-0000-00000C510000}"/>
    <cellStyle name="40% - Accent4 3 8" xfId="12265" xr:uid="{00000000-0005-0000-0000-00000D510000}"/>
    <cellStyle name="40% - Accent4 4" xfId="193" xr:uid="{00000000-0005-0000-0000-00000E510000}"/>
    <cellStyle name="40% - Accent4 4 2" xfId="1992" xr:uid="{00000000-0005-0000-0000-00000F510000}"/>
    <cellStyle name="40% - Accent4 4 2 2" xfId="13694" xr:uid="{00000000-0005-0000-0000-000010510000}"/>
    <cellStyle name="40% - Accent4 4 3" xfId="22305" xr:uid="{00000000-0005-0000-0000-000011510000}"/>
    <cellStyle name="40% - Accent4 4 4" xfId="23351" xr:uid="{00000000-0005-0000-0000-000012510000}"/>
    <cellStyle name="40% - Accent4 4 5" xfId="12266" xr:uid="{00000000-0005-0000-0000-000013510000}"/>
    <cellStyle name="40% - Accent4 5" xfId="194" xr:uid="{00000000-0005-0000-0000-000014510000}"/>
    <cellStyle name="40% - Accent4 5 2" xfId="1993" xr:uid="{00000000-0005-0000-0000-000015510000}"/>
    <cellStyle name="40% - Accent4 5 2 2" xfId="22306" xr:uid="{00000000-0005-0000-0000-000016510000}"/>
    <cellStyle name="40% - Accent4 5 3" xfId="23531" xr:uid="{00000000-0005-0000-0000-000017510000}"/>
    <cellStyle name="40% - Accent4 5 4" xfId="12633" xr:uid="{00000000-0005-0000-0000-000018510000}"/>
    <cellStyle name="40% - Accent4 6" xfId="195" xr:uid="{00000000-0005-0000-0000-000019510000}"/>
    <cellStyle name="40% - Accent4 6 2" xfId="1994" xr:uid="{00000000-0005-0000-0000-00001A510000}"/>
    <cellStyle name="40% - Accent4 6 2 2" xfId="22307" xr:uid="{00000000-0005-0000-0000-00001B510000}"/>
    <cellStyle name="40% - Accent4 6 3" xfId="23602" xr:uid="{00000000-0005-0000-0000-00001C510000}"/>
    <cellStyle name="40% - Accent4 6 4" xfId="12799" xr:uid="{00000000-0005-0000-0000-00001D510000}"/>
    <cellStyle name="40% - Accent4 7" xfId="196" xr:uid="{00000000-0005-0000-0000-00001E510000}"/>
    <cellStyle name="40% - Accent4 7 2" xfId="1995" xr:uid="{00000000-0005-0000-0000-00001F510000}"/>
    <cellStyle name="40% - Accent4 8" xfId="197" xr:uid="{00000000-0005-0000-0000-000020510000}"/>
    <cellStyle name="40% - Accent4 8 2" xfId="1996" xr:uid="{00000000-0005-0000-0000-000021510000}"/>
    <cellStyle name="40% - Accent4 9" xfId="198" xr:uid="{00000000-0005-0000-0000-000022510000}"/>
    <cellStyle name="40% - Accent5 10" xfId="199" xr:uid="{00000000-0005-0000-0000-000023510000}"/>
    <cellStyle name="40% - Accent5 11" xfId="200" xr:uid="{00000000-0005-0000-0000-000024510000}"/>
    <cellStyle name="40% - Accent5 12" xfId="201" xr:uid="{00000000-0005-0000-0000-000025510000}"/>
    <cellStyle name="40% - Accent5 13" xfId="202" xr:uid="{00000000-0005-0000-0000-000026510000}"/>
    <cellStyle name="40% - Accent5 14" xfId="203" xr:uid="{00000000-0005-0000-0000-000027510000}"/>
    <cellStyle name="40% - Accent5 15" xfId="204" xr:uid="{00000000-0005-0000-0000-000028510000}"/>
    <cellStyle name="40% - Accent5 16" xfId="205" xr:uid="{00000000-0005-0000-0000-000029510000}"/>
    <cellStyle name="40% - Accent5 17" xfId="22769" xr:uid="{00000000-0005-0000-0000-00002A510000}"/>
    <cellStyle name="40% - Accent5 17 2" xfId="32853" xr:uid="{00000000-0005-0000-0000-00002B510000}"/>
    <cellStyle name="40% - Accent5 17 2 2" xfId="52039" xr:uid="{00000000-0005-0000-0000-00002C510000}"/>
    <cellStyle name="40% - Accent5 17 3" xfId="23126" xr:uid="{00000000-0005-0000-0000-00002D510000}"/>
    <cellStyle name="40% - Accent5 17 3 2" xfId="42694" xr:uid="{00000000-0005-0000-0000-00002E510000}"/>
    <cellStyle name="40% - Accent5 17 4" xfId="42341" xr:uid="{00000000-0005-0000-0000-00002F510000}"/>
    <cellStyle name="40% - Accent5 18" xfId="22799" xr:uid="{00000000-0005-0000-0000-000030510000}"/>
    <cellStyle name="40% - Accent5 18 2" xfId="32883" xr:uid="{00000000-0005-0000-0000-000031510000}"/>
    <cellStyle name="40% - Accent5 18 2 2" xfId="52069" xr:uid="{00000000-0005-0000-0000-000032510000}"/>
    <cellStyle name="40% - Accent5 18 3" xfId="23156" xr:uid="{00000000-0005-0000-0000-000033510000}"/>
    <cellStyle name="40% - Accent5 18 3 2" xfId="42724" xr:uid="{00000000-0005-0000-0000-000034510000}"/>
    <cellStyle name="40% - Accent5 18 4" xfId="42371" xr:uid="{00000000-0005-0000-0000-000035510000}"/>
    <cellStyle name="40% - Accent5 19" xfId="22844" xr:uid="{00000000-0005-0000-0000-000036510000}"/>
    <cellStyle name="40% - Accent5 19 2" xfId="32928" xr:uid="{00000000-0005-0000-0000-000037510000}"/>
    <cellStyle name="40% - Accent5 19 2 2" xfId="52114" xr:uid="{00000000-0005-0000-0000-000038510000}"/>
    <cellStyle name="40% - Accent5 19 3" xfId="23201" xr:uid="{00000000-0005-0000-0000-000039510000}"/>
    <cellStyle name="40% - Accent5 19 3 2" xfId="42769" xr:uid="{00000000-0005-0000-0000-00003A510000}"/>
    <cellStyle name="40% - Accent5 19 4" xfId="42416" xr:uid="{00000000-0005-0000-0000-00003B510000}"/>
    <cellStyle name="40% - Accent5 2" xfId="206" xr:uid="{00000000-0005-0000-0000-00003C510000}"/>
    <cellStyle name="40% - Accent5 2 10" xfId="1998" xr:uid="{00000000-0005-0000-0000-00003D510000}"/>
    <cellStyle name="40% - Accent5 2 10 10" xfId="53330" xr:uid="{00000000-0005-0000-0000-00003E510000}"/>
    <cellStyle name="40% - Accent5 2 10 11" xfId="13183" xr:uid="{00000000-0005-0000-0000-00003F510000}"/>
    <cellStyle name="40% - Accent5 2 10 2" xfId="14119" xr:uid="{00000000-0005-0000-0000-000040510000}"/>
    <cellStyle name="40% - Accent5 2 10 2 2" xfId="16383" xr:uid="{00000000-0005-0000-0000-000041510000}"/>
    <cellStyle name="40% - Accent5 2 10 2 2 2" xfId="20847" xr:uid="{00000000-0005-0000-0000-000042510000}"/>
    <cellStyle name="40% - Accent5 2 10 2 2 2 2" xfId="31215" xr:uid="{00000000-0005-0000-0000-000043510000}"/>
    <cellStyle name="40% - Accent5 2 10 2 2 2 2 2" xfId="50404" xr:uid="{00000000-0005-0000-0000-000044510000}"/>
    <cellStyle name="40% - Accent5 2 10 2 2 2 3" xfId="40706" xr:uid="{00000000-0005-0000-0000-000045510000}"/>
    <cellStyle name="40% - Accent5 2 10 2 2 3" xfId="26760" xr:uid="{00000000-0005-0000-0000-000046510000}"/>
    <cellStyle name="40% - Accent5 2 10 2 2 3 2" xfId="45949" xr:uid="{00000000-0005-0000-0000-000047510000}"/>
    <cellStyle name="40% - Accent5 2 10 2 2 4" xfId="36251" xr:uid="{00000000-0005-0000-0000-000048510000}"/>
    <cellStyle name="40% - Accent5 2 10 2 3" xfId="18619" xr:uid="{00000000-0005-0000-0000-000049510000}"/>
    <cellStyle name="40% - Accent5 2 10 2 3 2" xfId="28987" xr:uid="{00000000-0005-0000-0000-00004A510000}"/>
    <cellStyle name="40% - Accent5 2 10 2 3 2 2" xfId="48176" xr:uid="{00000000-0005-0000-0000-00004B510000}"/>
    <cellStyle name="40% - Accent5 2 10 2 3 3" xfId="38478" xr:uid="{00000000-0005-0000-0000-00004C510000}"/>
    <cellStyle name="40% - Accent5 2 10 2 4" xfId="24527" xr:uid="{00000000-0005-0000-0000-00004D510000}"/>
    <cellStyle name="40% - Accent5 2 10 2 4 2" xfId="43721" xr:uid="{00000000-0005-0000-0000-00004E510000}"/>
    <cellStyle name="40% - Accent5 2 10 2 5" xfId="34023" xr:uid="{00000000-0005-0000-0000-00004F510000}"/>
    <cellStyle name="40% - Accent5 2 10 2 6" xfId="54182" xr:uid="{00000000-0005-0000-0000-000050510000}"/>
    <cellStyle name="40% - Accent5 2 10 3" xfId="14698" xr:uid="{00000000-0005-0000-0000-000051510000}"/>
    <cellStyle name="40% - Accent5 2 10 3 2" xfId="15827" xr:uid="{00000000-0005-0000-0000-000052510000}"/>
    <cellStyle name="40% - Accent5 2 10 3 2 2" xfId="20291" xr:uid="{00000000-0005-0000-0000-000053510000}"/>
    <cellStyle name="40% - Accent5 2 10 3 2 2 2" xfId="30659" xr:uid="{00000000-0005-0000-0000-000054510000}"/>
    <cellStyle name="40% - Accent5 2 10 3 2 2 2 2" xfId="49848" xr:uid="{00000000-0005-0000-0000-000055510000}"/>
    <cellStyle name="40% - Accent5 2 10 3 2 2 3" xfId="40150" xr:uid="{00000000-0005-0000-0000-000056510000}"/>
    <cellStyle name="40% - Accent5 2 10 3 2 3" xfId="26204" xr:uid="{00000000-0005-0000-0000-000057510000}"/>
    <cellStyle name="40% - Accent5 2 10 3 2 3 2" xfId="45393" xr:uid="{00000000-0005-0000-0000-000058510000}"/>
    <cellStyle name="40% - Accent5 2 10 3 2 4" xfId="35695" xr:uid="{00000000-0005-0000-0000-000059510000}"/>
    <cellStyle name="40% - Accent5 2 10 3 3" xfId="19176" xr:uid="{00000000-0005-0000-0000-00005A510000}"/>
    <cellStyle name="40% - Accent5 2 10 3 3 2" xfId="29544" xr:uid="{00000000-0005-0000-0000-00005B510000}"/>
    <cellStyle name="40% - Accent5 2 10 3 3 2 2" xfId="48733" xr:uid="{00000000-0005-0000-0000-00005C510000}"/>
    <cellStyle name="40% - Accent5 2 10 3 3 3" xfId="39035" xr:uid="{00000000-0005-0000-0000-00005D510000}"/>
    <cellStyle name="40% - Accent5 2 10 3 4" xfId="25089" xr:uid="{00000000-0005-0000-0000-00005E510000}"/>
    <cellStyle name="40% - Accent5 2 10 3 4 2" xfId="44278" xr:uid="{00000000-0005-0000-0000-00005F510000}"/>
    <cellStyle name="40% - Accent5 2 10 3 5" xfId="34580" xr:uid="{00000000-0005-0000-0000-000060510000}"/>
    <cellStyle name="40% - Accent5 2 10 4" xfId="15270" xr:uid="{00000000-0005-0000-0000-000061510000}"/>
    <cellStyle name="40% - Accent5 2 10 4 2" xfId="19734" xr:uid="{00000000-0005-0000-0000-000062510000}"/>
    <cellStyle name="40% - Accent5 2 10 4 2 2" xfId="30102" xr:uid="{00000000-0005-0000-0000-000063510000}"/>
    <cellStyle name="40% - Accent5 2 10 4 2 2 2" xfId="49291" xr:uid="{00000000-0005-0000-0000-000064510000}"/>
    <cellStyle name="40% - Accent5 2 10 4 2 3" xfId="39593" xr:uid="{00000000-0005-0000-0000-000065510000}"/>
    <cellStyle name="40% - Accent5 2 10 4 3" xfId="25647" xr:uid="{00000000-0005-0000-0000-000066510000}"/>
    <cellStyle name="40% - Accent5 2 10 4 3 2" xfId="44836" xr:uid="{00000000-0005-0000-0000-000067510000}"/>
    <cellStyle name="40% - Accent5 2 10 4 4" xfId="35138" xr:uid="{00000000-0005-0000-0000-000068510000}"/>
    <cellStyle name="40% - Accent5 2 10 5" xfId="16940" xr:uid="{00000000-0005-0000-0000-000069510000}"/>
    <cellStyle name="40% - Accent5 2 10 5 2" xfId="21404" xr:uid="{00000000-0005-0000-0000-00006A510000}"/>
    <cellStyle name="40% - Accent5 2 10 5 2 2" xfId="31772" xr:uid="{00000000-0005-0000-0000-00006B510000}"/>
    <cellStyle name="40% - Accent5 2 10 5 2 2 2" xfId="50961" xr:uid="{00000000-0005-0000-0000-00006C510000}"/>
    <cellStyle name="40% - Accent5 2 10 5 2 3" xfId="41263" xr:uid="{00000000-0005-0000-0000-00006D510000}"/>
    <cellStyle name="40% - Accent5 2 10 5 3" xfId="27317" xr:uid="{00000000-0005-0000-0000-00006E510000}"/>
    <cellStyle name="40% - Accent5 2 10 5 3 2" xfId="46506" xr:uid="{00000000-0005-0000-0000-00006F510000}"/>
    <cellStyle name="40% - Accent5 2 10 5 4" xfId="36808" xr:uid="{00000000-0005-0000-0000-000070510000}"/>
    <cellStyle name="40% - Accent5 2 10 6" xfId="17506" xr:uid="{00000000-0005-0000-0000-000071510000}"/>
    <cellStyle name="40% - Accent5 2 10 6 2" xfId="21961" xr:uid="{00000000-0005-0000-0000-000072510000}"/>
    <cellStyle name="40% - Accent5 2 10 6 2 2" xfId="32329" xr:uid="{00000000-0005-0000-0000-000073510000}"/>
    <cellStyle name="40% - Accent5 2 10 6 2 2 2" xfId="51518" xr:uid="{00000000-0005-0000-0000-000074510000}"/>
    <cellStyle name="40% - Accent5 2 10 6 2 3" xfId="41820" xr:uid="{00000000-0005-0000-0000-000075510000}"/>
    <cellStyle name="40% - Accent5 2 10 6 3" xfId="27874" xr:uid="{00000000-0005-0000-0000-000076510000}"/>
    <cellStyle name="40% - Accent5 2 10 6 3 2" xfId="47063" xr:uid="{00000000-0005-0000-0000-000077510000}"/>
    <cellStyle name="40% - Accent5 2 10 6 4" xfId="37365" xr:uid="{00000000-0005-0000-0000-000078510000}"/>
    <cellStyle name="40% - Accent5 2 10 7" xfId="18063" xr:uid="{00000000-0005-0000-0000-000079510000}"/>
    <cellStyle name="40% - Accent5 2 10 7 2" xfId="28431" xr:uid="{00000000-0005-0000-0000-00007A510000}"/>
    <cellStyle name="40% - Accent5 2 10 7 2 2" xfId="47620" xr:uid="{00000000-0005-0000-0000-00007B510000}"/>
    <cellStyle name="40% - Accent5 2 10 7 3" xfId="37922" xr:uid="{00000000-0005-0000-0000-00007C510000}"/>
    <cellStyle name="40% - Accent5 2 10 8" xfId="23926" xr:uid="{00000000-0005-0000-0000-00007D510000}"/>
    <cellStyle name="40% - Accent5 2 10 8 2" xfId="43165" xr:uid="{00000000-0005-0000-0000-00007E510000}"/>
    <cellStyle name="40% - Accent5 2 10 9" xfId="33467" xr:uid="{00000000-0005-0000-0000-00007F510000}"/>
    <cellStyle name="40% - Accent5 2 11" xfId="1997" xr:uid="{00000000-0005-0000-0000-000080510000}"/>
    <cellStyle name="40% - Accent5 2 11 2" xfId="32576" xr:uid="{00000000-0005-0000-0000-000081510000}"/>
    <cellStyle name="40% - Accent5 2 11 2 2" xfId="51764" xr:uid="{00000000-0005-0000-0000-000082510000}"/>
    <cellStyle name="40% - Accent5 2 11 3" xfId="42066" xr:uid="{00000000-0005-0000-0000-000083510000}"/>
    <cellStyle name="40% - Accent5 2 11 4" xfId="53357" xr:uid="{00000000-0005-0000-0000-000084510000}"/>
    <cellStyle name="40% - Accent5 2 11 5" xfId="22217" xr:uid="{00000000-0005-0000-0000-000085510000}"/>
    <cellStyle name="40% - Accent5 2 12" xfId="22245" xr:uid="{00000000-0005-0000-0000-000086510000}"/>
    <cellStyle name="40% - Accent5 2 12 2" xfId="32602" xr:uid="{00000000-0005-0000-0000-000087510000}"/>
    <cellStyle name="40% - Accent5 2 12 2 2" xfId="51790" xr:uid="{00000000-0005-0000-0000-000088510000}"/>
    <cellStyle name="40% - Accent5 2 12 3" xfId="42092" xr:uid="{00000000-0005-0000-0000-000089510000}"/>
    <cellStyle name="40% - Accent5 2 13" xfId="12267" xr:uid="{00000000-0005-0000-0000-00008A510000}"/>
    <cellStyle name="40% - Accent5 2 14" xfId="23259" xr:uid="{00000000-0005-0000-0000-00008B510000}"/>
    <cellStyle name="40% - Accent5 2 14 2" xfId="42825" xr:uid="{00000000-0005-0000-0000-00008C510000}"/>
    <cellStyle name="40% - Accent5 2 15" xfId="33001" xr:uid="{00000000-0005-0000-0000-00008D510000}"/>
    <cellStyle name="40% - Accent5 2 15 2" xfId="52187" xr:uid="{00000000-0005-0000-0000-00008E510000}"/>
    <cellStyle name="40% - Accent5 2 16" xfId="33095" xr:uid="{00000000-0005-0000-0000-00008F510000}"/>
    <cellStyle name="40% - Accent5 2 17" xfId="52281" xr:uid="{00000000-0005-0000-0000-000090510000}"/>
    <cellStyle name="40% - Accent5 2 18" xfId="52338" xr:uid="{00000000-0005-0000-0000-000091510000}"/>
    <cellStyle name="40% - Accent5 2 19" xfId="52387" xr:uid="{00000000-0005-0000-0000-000092510000}"/>
    <cellStyle name="40% - Accent5 2 2" xfId="207" xr:uid="{00000000-0005-0000-0000-000093510000}"/>
    <cellStyle name="40% - Accent5 2 2 2" xfId="2000" xr:uid="{00000000-0005-0000-0000-000094510000}"/>
    <cellStyle name="40% - Accent5 2 2 2 2" xfId="8331" xr:uid="{00000000-0005-0000-0000-000095510000}"/>
    <cellStyle name="40% - Accent5 2 2 2 2 2" xfId="11228" xr:uid="{00000000-0005-0000-0000-000096510000}"/>
    <cellStyle name="40% - Accent5 2 2 2 2 2 2" xfId="53982" xr:uid="{00000000-0005-0000-0000-000097510000}"/>
    <cellStyle name="40% - Accent5 2 2 2 2 3" xfId="53129" xr:uid="{00000000-0005-0000-0000-000098510000}"/>
    <cellStyle name="40% - Accent5 2 2 2 3" xfId="9788" xr:uid="{00000000-0005-0000-0000-000099510000}"/>
    <cellStyle name="40% - Accent5 2 2 2 3 2" xfId="53586" xr:uid="{00000000-0005-0000-0000-00009A510000}"/>
    <cellStyle name="40% - Accent5 2 2 2 4" xfId="6852" xr:uid="{00000000-0005-0000-0000-00009B510000}"/>
    <cellStyle name="40% - Accent5 2 2 2 4 2" xfId="52701" xr:uid="{00000000-0005-0000-0000-00009C510000}"/>
    <cellStyle name="40% - Accent5 2 2 2 5" xfId="12715" xr:uid="{00000000-0005-0000-0000-00009D510000}"/>
    <cellStyle name="40% - Accent5 2 2 3" xfId="2001" xr:uid="{00000000-0005-0000-0000-00009E510000}"/>
    <cellStyle name="40% - Accent5 2 2 3 2" xfId="10570" xr:uid="{00000000-0005-0000-0000-00009F510000}"/>
    <cellStyle name="40% - Accent5 2 2 3 2 2" xfId="53786" xr:uid="{00000000-0005-0000-0000-0000A0510000}"/>
    <cellStyle name="40% - Accent5 2 2 3 3" xfId="7670" xr:uid="{00000000-0005-0000-0000-0000A1510000}"/>
    <cellStyle name="40% - Accent5 2 2 3 3 2" xfId="52911" xr:uid="{00000000-0005-0000-0000-0000A2510000}"/>
    <cellStyle name="40% - Accent5 2 2 3 4" xfId="12268" xr:uid="{00000000-0005-0000-0000-0000A3510000}"/>
    <cellStyle name="40% - Accent5 2 2 4" xfId="1999" xr:uid="{00000000-0005-0000-0000-0000A4510000}"/>
    <cellStyle name="40% - Accent5 2 2 4 2" xfId="9130" xr:uid="{00000000-0005-0000-0000-0000A5510000}"/>
    <cellStyle name="40% - Accent5 2 2 4 2 2" xfId="51873" xr:uid="{00000000-0005-0000-0000-0000A6510000}"/>
    <cellStyle name="40% - Accent5 2 2 4 2 3" xfId="32686" xr:uid="{00000000-0005-0000-0000-0000A7510000}"/>
    <cellStyle name="40% - Accent5 2 2 4 3" xfId="42175" xr:uid="{00000000-0005-0000-0000-0000A8510000}"/>
    <cellStyle name="40% - Accent5 2 2 4 4" xfId="53390" xr:uid="{00000000-0005-0000-0000-0000A9510000}"/>
    <cellStyle name="40% - Accent5 2 2 4 5" xfId="22588" xr:uid="{00000000-0005-0000-0000-0000AA510000}"/>
    <cellStyle name="40% - Accent5 2 2 5" xfId="6144" xr:uid="{00000000-0005-0000-0000-0000AB510000}"/>
    <cellStyle name="40% - Accent5 2 2 5 2" xfId="23291" xr:uid="{00000000-0005-0000-0000-0000AC510000}"/>
    <cellStyle name="40% - Accent5 2 2 6" xfId="22959" xr:uid="{00000000-0005-0000-0000-0000AD510000}"/>
    <cellStyle name="40% - Accent5 2 2 6 2" xfId="42528" xr:uid="{00000000-0005-0000-0000-0000AE510000}"/>
    <cellStyle name="40% - Accent5 2 2 7" xfId="12148" xr:uid="{00000000-0005-0000-0000-0000AF510000}"/>
    <cellStyle name="40% - Accent5 2 2 8" xfId="52497" xr:uid="{00000000-0005-0000-0000-0000B0510000}"/>
    <cellStyle name="40% - Accent5 2 2 9" xfId="12026" xr:uid="{00000000-0005-0000-0000-0000B1510000}"/>
    <cellStyle name="40% - Accent5 2 20" xfId="12109" xr:uid="{00000000-0005-0000-0000-0000B2510000}"/>
    <cellStyle name="40% - Accent5 2 21" xfId="52429" xr:uid="{00000000-0005-0000-0000-0000B3510000}"/>
    <cellStyle name="40% - Accent5 2 22" xfId="52455" xr:uid="{00000000-0005-0000-0000-0000B4510000}"/>
    <cellStyle name="40% - Accent5 2 23" xfId="11966" xr:uid="{00000000-0005-0000-0000-0000B5510000}"/>
    <cellStyle name="40% - Accent5 2 3" xfId="208" xr:uid="{00000000-0005-0000-0000-0000B6510000}"/>
    <cellStyle name="40% - Accent5 2 3 10" xfId="52538" xr:uid="{00000000-0005-0000-0000-0000B7510000}"/>
    <cellStyle name="40% - Accent5 2 3 11" xfId="12027" xr:uid="{00000000-0005-0000-0000-0000B8510000}"/>
    <cellStyle name="40% - Accent5 2 3 2" xfId="2003" xr:uid="{00000000-0005-0000-0000-0000B9510000}"/>
    <cellStyle name="40% - Accent5 2 3 2 10" xfId="18064" xr:uid="{00000000-0005-0000-0000-0000BA510000}"/>
    <cellStyle name="40% - Accent5 2 3 2 10 2" xfId="28432" xr:uid="{00000000-0005-0000-0000-0000BB510000}"/>
    <cellStyle name="40% - Accent5 2 3 2 10 2 2" xfId="47621" xr:uid="{00000000-0005-0000-0000-0000BC510000}"/>
    <cellStyle name="40% - Accent5 2 3 2 10 3" xfId="37923" xr:uid="{00000000-0005-0000-0000-0000BD510000}"/>
    <cellStyle name="40% - Accent5 2 3 2 11" xfId="23927" xr:uid="{00000000-0005-0000-0000-0000BE510000}"/>
    <cellStyle name="40% - Accent5 2 3 2 11 2" xfId="43166" xr:uid="{00000000-0005-0000-0000-0000BF510000}"/>
    <cellStyle name="40% - Accent5 2 3 2 12" xfId="33468" xr:uid="{00000000-0005-0000-0000-0000C0510000}"/>
    <cellStyle name="40% - Accent5 2 3 2 13" xfId="52739" xr:uid="{00000000-0005-0000-0000-0000C1510000}"/>
    <cellStyle name="40% - Accent5 2 3 2 14" xfId="13184" xr:uid="{00000000-0005-0000-0000-0000C2510000}"/>
    <cellStyle name="40% - Accent5 2 3 2 2" xfId="13185" xr:uid="{00000000-0005-0000-0000-0000C3510000}"/>
    <cellStyle name="40% - Accent5 2 3 2 2 10" xfId="23928" xr:uid="{00000000-0005-0000-0000-0000C4510000}"/>
    <cellStyle name="40% - Accent5 2 3 2 2 10 2" xfId="43167" xr:uid="{00000000-0005-0000-0000-0000C5510000}"/>
    <cellStyle name="40% - Accent5 2 3 2 2 11" xfId="33469" xr:uid="{00000000-0005-0000-0000-0000C6510000}"/>
    <cellStyle name="40% - Accent5 2 3 2 2 12" xfId="53167" xr:uid="{00000000-0005-0000-0000-0000C7510000}"/>
    <cellStyle name="40% - Accent5 2 3 2 2 2" xfId="13186" xr:uid="{00000000-0005-0000-0000-0000C8510000}"/>
    <cellStyle name="40% - Accent5 2 3 2 2 2 10" xfId="54020" xr:uid="{00000000-0005-0000-0000-0000C9510000}"/>
    <cellStyle name="40% - Accent5 2 3 2 2 2 2" xfId="14122" xr:uid="{00000000-0005-0000-0000-0000CA510000}"/>
    <cellStyle name="40% - Accent5 2 3 2 2 2 2 2" xfId="16386" xr:uid="{00000000-0005-0000-0000-0000CB510000}"/>
    <cellStyle name="40% - Accent5 2 3 2 2 2 2 2 2" xfId="20850" xr:uid="{00000000-0005-0000-0000-0000CC510000}"/>
    <cellStyle name="40% - Accent5 2 3 2 2 2 2 2 2 2" xfId="31218" xr:uid="{00000000-0005-0000-0000-0000CD510000}"/>
    <cellStyle name="40% - Accent5 2 3 2 2 2 2 2 2 2 2" xfId="50407" xr:uid="{00000000-0005-0000-0000-0000CE510000}"/>
    <cellStyle name="40% - Accent5 2 3 2 2 2 2 2 2 3" xfId="40709" xr:uid="{00000000-0005-0000-0000-0000CF510000}"/>
    <cellStyle name="40% - Accent5 2 3 2 2 2 2 2 3" xfId="26763" xr:uid="{00000000-0005-0000-0000-0000D0510000}"/>
    <cellStyle name="40% - Accent5 2 3 2 2 2 2 2 3 2" xfId="45952" xr:uid="{00000000-0005-0000-0000-0000D1510000}"/>
    <cellStyle name="40% - Accent5 2 3 2 2 2 2 2 4" xfId="36254" xr:uid="{00000000-0005-0000-0000-0000D2510000}"/>
    <cellStyle name="40% - Accent5 2 3 2 2 2 2 3" xfId="18622" xr:uid="{00000000-0005-0000-0000-0000D3510000}"/>
    <cellStyle name="40% - Accent5 2 3 2 2 2 2 3 2" xfId="28990" xr:uid="{00000000-0005-0000-0000-0000D4510000}"/>
    <cellStyle name="40% - Accent5 2 3 2 2 2 2 3 2 2" xfId="48179" xr:uid="{00000000-0005-0000-0000-0000D5510000}"/>
    <cellStyle name="40% - Accent5 2 3 2 2 2 2 3 3" xfId="38481" xr:uid="{00000000-0005-0000-0000-0000D6510000}"/>
    <cellStyle name="40% - Accent5 2 3 2 2 2 2 4" xfId="24530" xr:uid="{00000000-0005-0000-0000-0000D7510000}"/>
    <cellStyle name="40% - Accent5 2 3 2 2 2 2 4 2" xfId="43724" xr:uid="{00000000-0005-0000-0000-0000D8510000}"/>
    <cellStyle name="40% - Accent5 2 3 2 2 2 2 5" xfId="34026" xr:uid="{00000000-0005-0000-0000-0000D9510000}"/>
    <cellStyle name="40% - Accent5 2 3 2 2 2 3" xfId="14701" xr:uid="{00000000-0005-0000-0000-0000DA510000}"/>
    <cellStyle name="40% - Accent5 2 3 2 2 2 3 2" xfId="15830" xr:uid="{00000000-0005-0000-0000-0000DB510000}"/>
    <cellStyle name="40% - Accent5 2 3 2 2 2 3 2 2" xfId="20294" xr:uid="{00000000-0005-0000-0000-0000DC510000}"/>
    <cellStyle name="40% - Accent5 2 3 2 2 2 3 2 2 2" xfId="30662" xr:uid="{00000000-0005-0000-0000-0000DD510000}"/>
    <cellStyle name="40% - Accent5 2 3 2 2 2 3 2 2 2 2" xfId="49851" xr:uid="{00000000-0005-0000-0000-0000DE510000}"/>
    <cellStyle name="40% - Accent5 2 3 2 2 2 3 2 2 3" xfId="40153" xr:uid="{00000000-0005-0000-0000-0000DF510000}"/>
    <cellStyle name="40% - Accent5 2 3 2 2 2 3 2 3" xfId="26207" xr:uid="{00000000-0005-0000-0000-0000E0510000}"/>
    <cellStyle name="40% - Accent5 2 3 2 2 2 3 2 3 2" xfId="45396" xr:uid="{00000000-0005-0000-0000-0000E1510000}"/>
    <cellStyle name="40% - Accent5 2 3 2 2 2 3 2 4" xfId="35698" xr:uid="{00000000-0005-0000-0000-0000E2510000}"/>
    <cellStyle name="40% - Accent5 2 3 2 2 2 3 3" xfId="19179" xr:uid="{00000000-0005-0000-0000-0000E3510000}"/>
    <cellStyle name="40% - Accent5 2 3 2 2 2 3 3 2" xfId="29547" xr:uid="{00000000-0005-0000-0000-0000E4510000}"/>
    <cellStyle name="40% - Accent5 2 3 2 2 2 3 3 2 2" xfId="48736" xr:uid="{00000000-0005-0000-0000-0000E5510000}"/>
    <cellStyle name="40% - Accent5 2 3 2 2 2 3 3 3" xfId="39038" xr:uid="{00000000-0005-0000-0000-0000E6510000}"/>
    <cellStyle name="40% - Accent5 2 3 2 2 2 3 4" xfId="25092" xr:uid="{00000000-0005-0000-0000-0000E7510000}"/>
    <cellStyle name="40% - Accent5 2 3 2 2 2 3 4 2" xfId="44281" xr:uid="{00000000-0005-0000-0000-0000E8510000}"/>
    <cellStyle name="40% - Accent5 2 3 2 2 2 3 5" xfId="34583" xr:uid="{00000000-0005-0000-0000-0000E9510000}"/>
    <cellStyle name="40% - Accent5 2 3 2 2 2 4" xfId="15273" xr:uid="{00000000-0005-0000-0000-0000EA510000}"/>
    <cellStyle name="40% - Accent5 2 3 2 2 2 4 2" xfId="19737" xr:uid="{00000000-0005-0000-0000-0000EB510000}"/>
    <cellStyle name="40% - Accent5 2 3 2 2 2 4 2 2" xfId="30105" xr:uid="{00000000-0005-0000-0000-0000EC510000}"/>
    <cellStyle name="40% - Accent5 2 3 2 2 2 4 2 2 2" xfId="49294" xr:uid="{00000000-0005-0000-0000-0000ED510000}"/>
    <cellStyle name="40% - Accent5 2 3 2 2 2 4 2 3" xfId="39596" xr:uid="{00000000-0005-0000-0000-0000EE510000}"/>
    <cellStyle name="40% - Accent5 2 3 2 2 2 4 3" xfId="25650" xr:uid="{00000000-0005-0000-0000-0000EF510000}"/>
    <cellStyle name="40% - Accent5 2 3 2 2 2 4 3 2" xfId="44839" xr:uid="{00000000-0005-0000-0000-0000F0510000}"/>
    <cellStyle name="40% - Accent5 2 3 2 2 2 4 4" xfId="35141" xr:uid="{00000000-0005-0000-0000-0000F1510000}"/>
    <cellStyle name="40% - Accent5 2 3 2 2 2 5" xfId="16943" xr:uid="{00000000-0005-0000-0000-0000F2510000}"/>
    <cellStyle name="40% - Accent5 2 3 2 2 2 5 2" xfId="21407" xr:uid="{00000000-0005-0000-0000-0000F3510000}"/>
    <cellStyle name="40% - Accent5 2 3 2 2 2 5 2 2" xfId="31775" xr:uid="{00000000-0005-0000-0000-0000F4510000}"/>
    <cellStyle name="40% - Accent5 2 3 2 2 2 5 2 2 2" xfId="50964" xr:uid="{00000000-0005-0000-0000-0000F5510000}"/>
    <cellStyle name="40% - Accent5 2 3 2 2 2 5 2 3" xfId="41266" xr:uid="{00000000-0005-0000-0000-0000F6510000}"/>
    <cellStyle name="40% - Accent5 2 3 2 2 2 5 3" xfId="27320" xr:uid="{00000000-0005-0000-0000-0000F7510000}"/>
    <cellStyle name="40% - Accent5 2 3 2 2 2 5 3 2" xfId="46509" xr:uid="{00000000-0005-0000-0000-0000F8510000}"/>
    <cellStyle name="40% - Accent5 2 3 2 2 2 5 4" xfId="36811" xr:uid="{00000000-0005-0000-0000-0000F9510000}"/>
    <cellStyle name="40% - Accent5 2 3 2 2 2 6" xfId="17509" xr:uid="{00000000-0005-0000-0000-0000FA510000}"/>
    <cellStyle name="40% - Accent5 2 3 2 2 2 6 2" xfId="21964" xr:uid="{00000000-0005-0000-0000-0000FB510000}"/>
    <cellStyle name="40% - Accent5 2 3 2 2 2 6 2 2" xfId="32332" xr:uid="{00000000-0005-0000-0000-0000FC510000}"/>
    <cellStyle name="40% - Accent5 2 3 2 2 2 6 2 2 2" xfId="51521" xr:uid="{00000000-0005-0000-0000-0000FD510000}"/>
    <cellStyle name="40% - Accent5 2 3 2 2 2 6 2 3" xfId="41823" xr:uid="{00000000-0005-0000-0000-0000FE510000}"/>
    <cellStyle name="40% - Accent5 2 3 2 2 2 6 3" xfId="27877" xr:uid="{00000000-0005-0000-0000-0000FF510000}"/>
    <cellStyle name="40% - Accent5 2 3 2 2 2 6 3 2" xfId="47066" xr:uid="{00000000-0005-0000-0000-000000520000}"/>
    <cellStyle name="40% - Accent5 2 3 2 2 2 6 4" xfId="37368" xr:uid="{00000000-0005-0000-0000-000001520000}"/>
    <cellStyle name="40% - Accent5 2 3 2 2 2 7" xfId="18066" xr:uid="{00000000-0005-0000-0000-000002520000}"/>
    <cellStyle name="40% - Accent5 2 3 2 2 2 7 2" xfId="28434" xr:uid="{00000000-0005-0000-0000-000003520000}"/>
    <cellStyle name="40% - Accent5 2 3 2 2 2 7 2 2" xfId="47623" xr:uid="{00000000-0005-0000-0000-000004520000}"/>
    <cellStyle name="40% - Accent5 2 3 2 2 2 7 3" xfId="37925" xr:uid="{00000000-0005-0000-0000-000005520000}"/>
    <cellStyle name="40% - Accent5 2 3 2 2 2 8" xfId="23929" xr:uid="{00000000-0005-0000-0000-000006520000}"/>
    <cellStyle name="40% - Accent5 2 3 2 2 2 8 2" xfId="43168" xr:uid="{00000000-0005-0000-0000-000007520000}"/>
    <cellStyle name="40% - Accent5 2 3 2 2 2 9" xfId="33470" xr:uid="{00000000-0005-0000-0000-000008520000}"/>
    <cellStyle name="40% - Accent5 2 3 2 2 3" xfId="13187" xr:uid="{00000000-0005-0000-0000-000009520000}"/>
    <cellStyle name="40% - Accent5 2 3 2 2 3 2" xfId="14123" xr:uid="{00000000-0005-0000-0000-00000A520000}"/>
    <cellStyle name="40% - Accent5 2 3 2 2 3 2 2" xfId="16387" xr:uid="{00000000-0005-0000-0000-00000B520000}"/>
    <cellStyle name="40% - Accent5 2 3 2 2 3 2 2 2" xfId="20851" xr:uid="{00000000-0005-0000-0000-00000C520000}"/>
    <cellStyle name="40% - Accent5 2 3 2 2 3 2 2 2 2" xfId="31219" xr:uid="{00000000-0005-0000-0000-00000D520000}"/>
    <cellStyle name="40% - Accent5 2 3 2 2 3 2 2 2 2 2" xfId="50408" xr:uid="{00000000-0005-0000-0000-00000E520000}"/>
    <cellStyle name="40% - Accent5 2 3 2 2 3 2 2 2 3" xfId="40710" xr:uid="{00000000-0005-0000-0000-00000F520000}"/>
    <cellStyle name="40% - Accent5 2 3 2 2 3 2 2 3" xfId="26764" xr:uid="{00000000-0005-0000-0000-000010520000}"/>
    <cellStyle name="40% - Accent5 2 3 2 2 3 2 2 3 2" xfId="45953" xr:uid="{00000000-0005-0000-0000-000011520000}"/>
    <cellStyle name="40% - Accent5 2 3 2 2 3 2 2 4" xfId="36255" xr:uid="{00000000-0005-0000-0000-000012520000}"/>
    <cellStyle name="40% - Accent5 2 3 2 2 3 2 3" xfId="18623" xr:uid="{00000000-0005-0000-0000-000013520000}"/>
    <cellStyle name="40% - Accent5 2 3 2 2 3 2 3 2" xfId="28991" xr:uid="{00000000-0005-0000-0000-000014520000}"/>
    <cellStyle name="40% - Accent5 2 3 2 2 3 2 3 2 2" xfId="48180" xr:uid="{00000000-0005-0000-0000-000015520000}"/>
    <cellStyle name="40% - Accent5 2 3 2 2 3 2 3 3" xfId="38482" xr:uid="{00000000-0005-0000-0000-000016520000}"/>
    <cellStyle name="40% - Accent5 2 3 2 2 3 2 4" xfId="24531" xr:uid="{00000000-0005-0000-0000-000017520000}"/>
    <cellStyle name="40% - Accent5 2 3 2 2 3 2 4 2" xfId="43725" xr:uid="{00000000-0005-0000-0000-000018520000}"/>
    <cellStyle name="40% - Accent5 2 3 2 2 3 2 5" xfId="34027" xr:uid="{00000000-0005-0000-0000-000019520000}"/>
    <cellStyle name="40% - Accent5 2 3 2 2 3 3" xfId="14702" xr:uid="{00000000-0005-0000-0000-00001A520000}"/>
    <cellStyle name="40% - Accent5 2 3 2 2 3 3 2" xfId="15831" xr:uid="{00000000-0005-0000-0000-00001B520000}"/>
    <cellStyle name="40% - Accent5 2 3 2 2 3 3 2 2" xfId="20295" xr:uid="{00000000-0005-0000-0000-00001C520000}"/>
    <cellStyle name="40% - Accent5 2 3 2 2 3 3 2 2 2" xfId="30663" xr:uid="{00000000-0005-0000-0000-00001D520000}"/>
    <cellStyle name="40% - Accent5 2 3 2 2 3 3 2 2 2 2" xfId="49852" xr:uid="{00000000-0005-0000-0000-00001E520000}"/>
    <cellStyle name="40% - Accent5 2 3 2 2 3 3 2 2 3" xfId="40154" xr:uid="{00000000-0005-0000-0000-00001F520000}"/>
    <cellStyle name="40% - Accent5 2 3 2 2 3 3 2 3" xfId="26208" xr:uid="{00000000-0005-0000-0000-000020520000}"/>
    <cellStyle name="40% - Accent5 2 3 2 2 3 3 2 3 2" xfId="45397" xr:uid="{00000000-0005-0000-0000-000021520000}"/>
    <cellStyle name="40% - Accent5 2 3 2 2 3 3 2 4" xfId="35699" xr:uid="{00000000-0005-0000-0000-000022520000}"/>
    <cellStyle name="40% - Accent5 2 3 2 2 3 3 3" xfId="19180" xr:uid="{00000000-0005-0000-0000-000023520000}"/>
    <cellStyle name="40% - Accent5 2 3 2 2 3 3 3 2" xfId="29548" xr:uid="{00000000-0005-0000-0000-000024520000}"/>
    <cellStyle name="40% - Accent5 2 3 2 2 3 3 3 2 2" xfId="48737" xr:uid="{00000000-0005-0000-0000-000025520000}"/>
    <cellStyle name="40% - Accent5 2 3 2 2 3 3 3 3" xfId="39039" xr:uid="{00000000-0005-0000-0000-000026520000}"/>
    <cellStyle name="40% - Accent5 2 3 2 2 3 3 4" xfId="25093" xr:uid="{00000000-0005-0000-0000-000027520000}"/>
    <cellStyle name="40% - Accent5 2 3 2 2 3 3 4 2" xfId="44282" xr:uid="{00000000-0005-0000-0000-000028520000}"/>
    <cellStyle name="40% - Accent5 2 3 2 2 3 3 5" xfId="34584" xr:uid="{00000000-0005-0000-0000-000029520000}"/>
    <cellStyle name="40% - Accent5 2 3 2 2 3 4" xfId="15274" xr:uid="{00000000-0005-0000-0000-00002A520000}"/>
    <cellStyle name="40% - Accent5 2 3 2 2 3 4 2" xfId="19738" xr:uid="{00000000-0005-0000-0000-00002B520000}"/>
    <cellStyle name="40% - Accent5 2 3 2 2 3 4 2 2" xfId="30106" xr:uid="{00000000-0005-0000-0000-00002C520000}"/>
    <cellStyle name="40% - Accent5 2 3 2 2 3 4 2 2 2" xfId="49295" xr:uid="{00000000-0005-0000-0000-00002D520000}"/>
    <cellStyle name="40% - Accent5 2 3 2 2 3 4 2 3" xfId="39597" xr:uid="{00000000-0005-0000-0000-00002E520000}"/>
    <cellStyle name="40% - Accent5 2 3 2 2 3 4 3" xfId="25651" xr:uid="{00000000-0005-0000-0000-00002F520000}"/>
    <cellStyle name="40% - Accent5 2 3 2 2 3 4 3 2" xfId="44840" xr:uid="{00000000-0005-0000-0000-000030520000}"/>
    <cellStyle name="40% - Accent5 2 3 2 2 3 4 4" xfId="35142" xr:uid="{00000000-0005-0000-0000-000031520000}"/>
    <cellStyle name="40% - Accent5 2 3 2 2 3 5" xfId="16944" xr:uid="{00000000-0005-0000-0000-000032520000}"/>
    <cellStyle name="40% - Accent5 2 3 2 2 3 5 2" xfId="21408" xr:uid="{00000000-0005-0000-0000-000033520000}"/>
    <cellStyle name="40% - Accent5 2 3 2 2 3 5 2 2" xfId="31776" xr:uid="{00000000-0005-0000-0000-000034520000}"/>
    <cellStyle name="40% - Accent5 2 3 2 2 3 5 2 2 2" xfId="50965" xr:uid="{00000000-0005-0000-0000-000035520000}"/>
    <cellStyle name="40% - Accent5 2 3 2 2 3 5 2 3" xfId="41267" xr:uid="{00000000-0005-0000-0000-000036520000}"/>
    <cellStyle name="40% - Accent5 2 3 2 2 3 5 3" xfId="27321" xr:uid="{00000000-0005-0000-0000-000037520000}"/>
    <cellStyle name="40% - Accent5 2 3 2 2 3 5 3 2" xfId="46510" xr:uid="{00000000-0005-0000-0000-000038520000}"/>
    <cellStyle name="40% - Accent5 2 3 2 2 3 5 4" xfId="36812" xr:uid="{00000000-0005-0000-0000-000039520000}"/>
    <cellStyle name="40% - Accent5 2 3 2 2 3 6" xfId="17510" xr:uid="{00000000-0005-0000-0000-00003A520000}"/>
    <cellStyle name="40% - Accent5 2 3 2 2 3 6 2" xfId="21965" xr:uid="{00000000-0005-0000-0000-00003B520000}"/>
    <cellStyle name="40% - Accent5 2 3 2 2 3 6 2 2" xfId="32333" xr:uid="{00000000-0005-0000-0000-00003C520000}"/>
    <cellStyle name="40% - Accent5 2 3 2 2 3 6 2 2 2" xfId="51522" xr:uid="{00000000-0005-0000-0000-00003D520000}"/>
    <cellStyle name="40% - Accent5 2 3 2 2 3 6 2 3" xfId="41824" xr:uid="{00000000-0005-0000-0000-00003E520000}"/>
    <cellStyle name="40% - Accent5 2 3 2 2 3 6 3" xfId="27878" xr:uid="{00000000-0005-0000-0000-00003F520000}"/>
    <cellStyle name="40% - Accent5 2 3 2 2 3 6 3 2" xfId="47067" xr:uid="{00000000-0005-0000-0000-000040520000}"/>
    <cellStyle name="40% - Accent5 2 3 2 2 3 6 4" xfId="37369" xr:uid="{00000000-0005-0000-0000-000041520000}"/>
    <cellStyle name="40% - Accent5 2 3 2 2 3 7" xfId="18067" xr:uid="{00000000-0005-0000-0000-000042520000}"/>
    <cellStyle name="40% - Accent5 2 3 2 2 3 7 2" xfId="28435" xr:uid="{00000000-0005-0000-0000-000043520000}"/>
    <cellStyle name="40% - Accent5 2 3 2 2 3 7 2 2" xfId="47624" xr:uid="{00000000-0005-0000-0000-000044520000}"/>
    <cellStyle name="40% - Accent5 2 3 2 2 3 7 3" xfId="37926" xr:uid="{00000000-0005-0000-0000-000045520000}"/>
    <cellStyle name="40% - Accent5 2 3 2 2 3 8" xfId="23930" xr:uid="{00000000-0005-0000-0000-000046520000}"/>
    <cellStyle name="40% - Accent5 2 3 2 2 3 8 2" xfId="43169" xr:uid="{00000000-0005-0000-0000-000047520000}"/>
    <cellStyle name="40% - Accent5 2 3 2 2 3 9" xfId="33471" xr:uid="{00000000-0005-0000-0000-000048520000}"/>
    <cellStyle name="40% - Accent5 2 3 2 2 4" xfId="14121" xr:uid="{00000000-0005-0000-0000-000049520000}"/>
    <cellStyle name="40% - Accent5 2 3 2 2 4 2" xfId="16385" xr:uid="{00000000-0005-0000-0000-00004A520000}"/>
    <cellStyle name="40% - Accent5 2 3 2 2 4 2 2" xfId="20849" xr:uid="{00000000-0005-0000-0000-00004B520000}"/>
    <cellStyle name="40% - Accent5 2 3 2 2 4 2 2 2" xfId="31217" xr:uid="{00000000-0005-0000-0000-00004C520000}"/>
    <cellStyle name="40% - Accent5 2 3 2 2 4 2 2 2 2" xfId="50406" xr:uid="{00000000-0005-0000-0000-00004D520000}"/>
    <cellStyle name="40% - Accent5 2 3 2 2 4 2 2 3" xfId="40708" xr:uid="{00000000-0005-0000-0000-00004E520000}"/>
    <cellStyle name="40% - Accent5 2 3 2 2 4 2 3" xfId="26762" xr:uid="{00000000-0005-0000-0000-00004F520000}"/>
    <cellStyle name="40% - Accent5 2 3 2 2 4 2 3 2" xfId="45951" xr:uid="{00000000-0005-0000-0000-000050520000}"/>
    <cellStyle name="40% - Accent5 2 3 2 2 4 2 4" xfId="36253" xr:uid="{00000000-0005-0000-0000-000051520000}"/>
    <cellStyle name="40% - Accent5 2 3 2 2 4 3" xfId="18621" xr:uid="{00000000-0005-0000-0000-000052520000}"/>
    <cellStyle name="40% - Accent5 2 3 2 2 4 3 2" xfId="28989" xr:uid="{00000000-0005-0000-0000-000053520000}"/>
    <cellStyle name="40% - Accent5 2 3 2 2 4 3 2 2" xfId="48178" xr:uid="{00000000-0005-0000-0000-000054520000}"/>
    <cellStyle name="40% - Accent5 2 3 2 2 4 3 3" xfId="38480" xr:uid="{00000000-0005-0000-0000-000055520000}"/>
    <cellStyle name="40% - Accent5 2 3 2 2 4 4" xfId="24529" xr:uid="{00000000-0005-0000-0000-000056520000}"/>
    <cellStyle name="40% - Accent5 2 3 2 2 4 4 2" xfId="43723" xr:uid="{00000000-0005-0000-0000-000057520000}"/>
    <cellStyle name="40% - Accent5 2 3 2 2 4 5" xfId="34025" xr:uid="{00000000-0005-0000-0000-000058520000}"/>
    <cellStyle name="40% - Accent5 2 3 2 2 5" xfId="14700" xr:uid="{00000000-0005-0000-0000-000059520000}"/>
    <cellStyle name="40% - Accent5 2 3 2 2 5 2" xfId="15829" xr:uid="{00000000-0005-0000-0000-00005A520000}"/>
    <cellStyle name="40% - Accent5 2 3 2 2 5 2 2" xfId="20293" xr:uid="{00000000-0005-0000-0000-00005B520000}"/>
    <cellStyle name="40% - Accent5 2 3 2 2 5 2 2 2" xfId="30661" xr:uid="{00000000-0005-0000-0000-00005C520000}"/>
    <cellStyle name="40% - Accent5 2 3 2 2 5 2 2 2 2" xfId="49850" xr:uid="{00000000-0005-0000-0000-00005D520000}"/>
    <cellStyle name="40% - Accent5 2 3 2 2 5 2 2 3" xfId="40152" xr:uid="{00000000-0005-0000-0000-00005E520000}"/>
    <cellStyle name="40% - Accent5 2 3 2 2 5 2 3" xfId="26206" xr:uid="{00000000-0005-0000-0000-00005F520000}"/>
    <cellStyle name="40% - Accent5 2 3 2 2 5 2 3 2" xfId="45395" xr:uid="{00000000-0005-0000-0000-000060520000}"/>
    <cellStyle name="40% - Accent5 2 3 2 2 5 2 4" xfId="35697" xr:uid="{00000000-0005-0000-0000-000061520000}"/>
    <cellStyle name="40% - Accent5 2 3 2 2 5 3" xfId="19178" xr:uid="{00000000-0005-0000-0000-000062520000}"/>
    <cellStyle name="40% - Accent5 2 3 2 2 5 3 2" xfId="29546" xr:uid="{00000000-0005-0000-0000-000063520000}"/>
    <cellStyle name="40% - Accent5 2 3 2 2 5 3 2 2" xfId="48735" xr:uid="{00000000-0005-0000-0000-000064520000}"/>
    <cellStyle name="40% - Accent5 2 3 2 2 5 3 3" xfId="39037" xr:uid="{00000000-0005-0000-0000-000065520000}"/>
    <cellStyle name="40% - Accent5 2 3 2 2 5 4" xfId="25091" xr:uid="{00000000-0005-0000-0000-000066520000}"/>
    <cellStyle name="40% - Accent5 2 3 2 2 5 4 2" xfId="44280" xr:uid="{00000000-0005-0000-0000-000067520000}"/>
    <cellStyle name="40% - Accent5 2 3 2 2 5 5" xfId="34582" xr:uid="{00000000-0005-0000-0000-000068520000}"/>
    <cellStyle name="40% - Accent5 2 3 2 2 6" xfId="15272" xr:uid="{00000000-0005-0000-0000-000069520000}"/>
    <cellStyle name="40% - Accent5 2 3 2 2 6 2" xfId="19736" xr:uid="{00000000-0005-0000-0000-00006A520000}"/>
    <cellStyle name="40% - Accent5 2 3 2 2 6 2 2" xfId="30104" xr:uid="{00000000-0005-0000-0000-00006B520000}"/>
    <cellStyle name="40% - Accent5 2 3 2 2 6 2 2 2" xfId="49293" xr:uid="{00000000-0005-0000-0000-00006C520000}"/>
    <cellStyle name="40% - Accent5 2 3 2 2 6 2 3" xfId="39595" xr:uid="{00000000-0005-0000-0000-00006D520000}"/>
    <cellStyle name="40% - Accent5 2 3 2 2 6 3" xfId="25649" xr:uid="{00000000-0005-0000-0000-00006E520000}"/>
    <cellStyle name="40% - Accent5 2 3 2 2 6 3 2" xfId="44838" xr:uid="{00000000-0005-0000-0000-00006F520000}"/>
    <cellStyle name="40% - Accent5 2 3 2 2 6 4" xfId="35140" xr:uid="{00000000-0005-0000-0000-000070520000}"/>
    <cellStyle name="40% - Accent5 2 3 2 2 7" xfId="16942" xr:uid="{00000000-0005-0000-0000-000071520000}"/>
    <cellStyle name="40% - Accent5 2 3 2 2 7 2" xfId="21406" xr:uid="{00000000-0005-0000-0000-000072520000}"/>
    <cellStyle name="40% - Accent5 2 3 2 2 7 2 2" xfId="31774" xr:uid="{00000000-0005-0000-0000-000073520000}"/>
    <cellStyle name="40% - Accent5 2 3 2 2 7 2 2 2" xfId="50963" xr:uid="{00000000-0005-0000-0000-000074520000}"/>
    <cellStyle name="40% - Accent5 2 3 2 2 7 2 3" xfId="41265" xr:uid="{00000000-0005-0000-0000-000075520000}"/>
    <cellStyle name="40% - Accent5 2 3 2 2 7 3" xfId="27319" xr:uid="{00000000-0005-0000-0000-000076520000}"/>
    <cellStyle name="40% - Accent5 2 3 2 2 7 3 2" xfId="46508" xr:uid="{00000000-0005-0000-0000-000077520000}"/>
    <cellStyle name="40% - Accent5 2 3 2 2 7 4" xfId="36810" xr:uid="{00000000-0005-0000-0000-000078520000}"/>
    <cellStyle name="40% - Accent5 2 3 2 2 8" xfId="17508" xr:uid="{00000000-0005-0000-0000-000079520000}"/>
    <cellStyle name="40% - Accent5 2 3 2 2 8 2" xfId="21963" xr:uid="{00000000-0005-0000-0000-00007A520000}"/>
    <cellStyle name="40% - Accent5 2 3 2 2 8 2 2" xfId="32331" xr:uid="{00000000-0005-0000-0000-00007B520000}"/>
    <cellStyle name="40% - Accent5 2 3 2 2 8 2 2 2" xfId="51520" xr:uid="{00000000-0005-0000-0000-00007C520000}"/>
    <cellStyle name="40% - Accent5 2 3 2 2 8 2 3" xfId="41822" xr:uid="{00000000-0005-0000-0000-00007D520000}"/>
    <cellStyle name="40% - Accent5 2 3 2 2 8 3" xfId="27876" xr:uid="{00000000-0005-0000-0000-00007E520000}"/>
    <cellStyle name="40% - Accent5 2 3 2 2 8 3 2" xfId="47065" xr:uid="{00000000-0005-0000-0000-00007F520000}"/>
    <cellStyle name="40% - Accent5 2 3 2 2 8 4" xfId="37367" xr:uid="{00000000-0005-0000-0000-000080520000}"/>
    <cellStyle name="40% - Accent5 2 3 2 2 9" xfId="18065" xr:uid="{00000000-0005-0000-0000-000081520000}"/>
    <cellStyle name="40% - Accent5 2 3 2 2 9 2" xfId="28433" xr:uid="{00000000-0005-0000-0000-000082520000}"/>
    <cellStyle name="40% - Accent5 2 3 2 2 9 2 2" xfId="47622" xr:uid="{00000000-0005-0000-0000-000083520000}"/>
    <cellStyle name="40% - Accent5 2 3 2 2 9 3" xfId="37924" xr:uid="{00000000-0005-0000-0000-000084520000}"/>
    <cellStyle name="40% - Accent5 2 3 2 3" xfId="13188" xr:uid="{00000000-0005-0000-0000-000085520000}"/>
    <cellStyle name="40% - Accent5 2 3 2 3 10" xfId="53624" xr:uid="{00000000-0005-0000-0000-000086520000}"/>
    <cellStyle name="40% - Accent5 2 3 2 3 2" xfId="14124" xr:uid="{00000000-0005-0000-0000-000087520000}"/>
    <cellStyle name="40% - Accent5 2 3 2 3 2 2" xfId="16388" xr:uid="{00000000-0005-0000-0000-000088520000}"/>
    <cellStyle name="40% - Accent5 2 3 2 3 2 2 2" xfId="20852" xr:uid="{00000000-0005-0000-0000-000089520000}"/>
    <cellStyle name="40% - Accent5 2 3 2 3 2 2 2 2" xfId="31220" xr:uid="{00000000-0005-0000-0000-00008A520000}"/>
    <cellStyle name="40% - Accent5 2 3 2 3 2 2 2 2 2" xfId="50409" xr:uid="{00000000-0005-0000-0000-00008B520000}"/>
    <cellStyle name="40% - Accent5 2 3 2 3 2 2 2 3" xfId="40711" xr:uid="{00000000-0005-0000-0000-00008C520000}"/>
    <cellStyle name="40% - Accent5 2 3 2 3 2 2 3" xfId="26765" xr:uid="{00000000-0005-0000-0000-00008D520000}"/>
    <cellStyle name="40% - Accent5 2 3 2 3 2 2 3 2" xfId="45954" xr:uid="{00000000-0005-0000-0000-00008E520000}"/>
    <cellStyle name="40% - Accent5 2 3 2 3 2 2 4" xfId="36256" xr:uid="{00000000-0005-0000-0000-00008F520000}"/>
    <cellStyle name="40% - Accent5 2 3 2 3 2 3" xfId="18624" xr:uid="{00000000-0005-0000-0000-000090520000}"/>
    <cellStyle name="40% - Accent5 2 3 2 3 2 3 2" xfId="28992" xr:uid="{00000000-0005-0000-0000-000091520000}"/>
    <cellStyle name="40% - Accent5 2 3 2 3 2 3 2 2" xfId="48181" xr:uid="{00000000-0005-0000-0000-000092520000}"/>
    <cellStyle name="40% - Accent5 2 3 2 3 2 3 3" xfId="38483" xr:uid="{00000000-0005-0000-0000-000093520000}"/>
    <cellStyle name="40% - Accent5 2 3 2 3 2 4" xfId="24532" xr:uid="{00000000-0005-0000-0000-000094520000}"/>
    <cellStyle name="40% - Accent5 2 3 2 3 2 4 2" xfId="43726" xr:uid="{00000000-0005-0000-0000-000095520000}"/>
    <cellStyle name="40% - Accent5 2 3 2 3 2 5" xfId="34028" xr:uid="{00000000-0005-0000-0000-000096520000}"/>
    <cellStyle name="40% - Accent5 2 3 2 3 3" xfId="14703" xr:uid="{00000000-0005-0000-0000-000097520000}"/>
    <cellStyle name="40% - Accent5 2 3 2 3 3 2" xfId="15832" xr:uid="{00000000-0005-0000-0000-000098520000}"/>
    <cellStyle name="40% - Accent5 2 3 2 3 3 2 2" xfId="20296" xr:uid="{00000000-0005-0000-0000-000099520000}"/>
    <cellStyle name="40% - Accent5 2 3 2 3 3 2 2 2" xfId="30664" xr:uid="{00000000-0005-0000-0000-00009A520000}"/>
    <cellStyle name="40% - Accent5 2 3 2 3 3 2 2 2 2" xfId="49853" xr:uid="{00000000-0005-0000-0000-00009B520000}"/>
    <cellStyle name="40% - Accent5 2 3 2 3 3 2 2 3" xfId="40155" xr:uid="{00000000-0005-0000-0000-00009C520000}"/>
    <cellStyle name="40% - Accent5 2 3 2 3 3 2 3" xfId="26209" xr:uid="{00000000-0005-0000-0000-00009D520000}"/>
    <cellStyle name="40% - Accent5 2 3 2 3 3 2 3 2" xfId="45398" xr:uid="{00000000-0005-0000-0000-00009E520000}"/>
    <cellStyle name="40% - Accent5 2 3 2 3 3 2 4" xfId="35700" xr:uid="{00000000-0005-0000-0000-00009F520000}"/>
    <cellStyle name="40% - Accent5 2 3 2 3 3 3" xfId="19181" xr:uid="{00000000-0005-0000-0000-0000A0520000}"/>
    <cellStyle name="40% - Accent5 2 3 2 3 3 3 2" xfId="29549" xr:uid="{00000000-0005-0000-0000-0000A1520000}"/>
    <cellStyle name="40% - Accent5 2 3 2 3 3 3 2 2" xfId="48738" xr:uid="{00000000-0005-0000-0000-0000A2520000}"/>
    <cellStyle name="40% - Accent5 2 3 2 3 3 3 3" xfId="39040" xr:uid="{00000000-0005-0000-0000-0000A3520000}"/>
    <cellStyle name="40% - Accent5 2 3 2 3 3 4" xfId="25094" xr:uid="{00000000-0005-0000-0000-0000A4520000}"/>
    <cellStyle name="40% - Accent5 2 3 2 3 3 4 2" xfId="44283" xr:uid="{00000000-0005-0000-0000-0000A5520000}"/>
    <cellStyle name="40% - Accent5 2 3 2 3 3 5" xfId="34585" xr:uid="{00000000-0005-0000-0000-0000A6520000}"/>
    <cellStyle name="40% - Accent5 2 3 2 3 4" xfId="15275" xr:uid="{00000000-0005-0000-0000-0000A7520000}"/>
    <cellStyle name="40% - Accent5 2 3 2 3 4 2" xfId="19739" xr:uid="{00000000-0005-0000-0000-0000A8520000}"/>
    <cellStyle name="40% - Accent5 2 3 2 3 4 2 2" xfId="30107" xr:uid="{00000000-0005-0000-0000-0000A9520000}"/>
    <cellStyle name="40% - Accent5 2 3 2 3 4 2 2 2" xfId="49296" xr:uid="{00000000-0005-0000-0000-0000AA520000}"/>
    <cellStyle name="40% - Accent5 2 3 2 3 4 2 3" xfId="39598" xr:uid="{00000000-0005-0000-0000-0000AB520000}"/>
    <cellStyle name="40% - Accent5 2 3 2 3 4 3" xfId="25652" xr:uid="{00000000-0005-0000-0000-0000AC520000}"/>
    <cellStyle name="40% - Accent5 2 3 2 3 4 3 2" xfId="44841" xr:uid="{00000000-0005-0000-0000-0000AD520000}"/>
    <cellStyle name="40% - Accent5 2 3 2 3 4 4" xfId="35143" xr:uid="{00000000-0005-0000-0000-0000AE520000}"/>
    <cellStyle name="40% - Accent5 2 3 2 3 5" xfId="16945" xr:uid="{00000000-0005-0000-0000-0000AF520000}"/>
    <cellStyle name="40% - Accent5 2 3 2 3 5 2" xfId="21409" xr:uid="{00000000-0005-0000-0000-0000B0520000}"/>
    <cellStyle name="40% - Accent5 2 3 2 3 5 2 2" xfId="31777" xr:uid="{00000000-0005-0000-0000-0000B1520000}"/>
    <cellStyle name="40% - Accent5 2 3 2 3 5 2 2 2" xfId="50966" xr:uid="{00000000-0005-0000-0000-0000B2520000}"/>
    <cellStyle name="40% - Accent5 2 3 2 3 5 2 3" xfId="41268" xr:uid="{00000000-0005-0000-0000-0000B3520000}"/>
    <cellStyle name="40% - Accent5 2 3 2 3 5 3" xfId="27322" xr:uid="{00000000-0005-0000-0000-0000B4520000}"/>
    <cellStyle name="40% - Accent5 2 3 2 3 5 3 2" xfId="46511" xr:uid="{00000000-0005-0000-0000-0000B5520000}"/>
    <cellStyle name="40% - Accent5 2 3 2 3 5 4" xfId="36813" xr:uid="{00000000-0005-0000-0000-0000B6520000}"/>
    <cellStyle name="40% - Accent5 2 3 2 3 6" xfId="17511" xr:uid="{00000000-0005-0000-0000-0000B7520000}"/>
    <cellStyle name="40% - Accent5 2 3 2 3 6 2" xfId="21966" xr:uid="{00000000-0005-0000-0000-0000B8520000}"/>
    <cellStyle name="40% - Accent5 2 3 2 3 6 2 2" xfId="32334" xr:uid="{00000000-0005-0000-0000-0000B9520000}"/>
    <cellStyle name="40% - Accent5 2 3 2 3 6 2 2 2" xfId="51523" xr:uid="{00000000-0005-0000-0000-0000BA520000}"/>
    <cellStyle name="40% - Accent5 2 3 2 3 6 2 3" xfId="41825" xr:uid="{00000000-0005-0000-0000-0000BB520000}"/>
    <cellStyle name="40% - Accent5 2 3 2 3 6 3" xfId="27879" xr:uid="{00000000-0005-0000-0000-0000BC520000}"/>
    <cellStyle name="40% - Accent5 2 3 2 3 6 3 2" xfId="47068" xr:uid="{00000000-0005-0000-0000-0000BD520000}"/>
    <cellStyle name="40% - Accent5 2 3 2 3 6 4" xfId="37370" xr:uid="{00000000-0005-0000-0000-0000BE520000}"/>
    <cellStyle name="40% - Accent5 2 3 2 3 7" xfId="18068" xr:uid="{00000000-0005-0000-0000-0000BF520000}"/>
    <cellStyle name="40% - Accent5 2 3 2 3 7 2" xfId="28436" xr:uid="{00000000-0005-0000-0000-0000C0520000}"/>
    <cellStyle name="40% - Accent5 2 3 2 3 7 2 2" xfId="47625" xr:uid="{00000000-0005-0000-0000-0000C1520000}"/>
    <cellStyle name="40% - Accent5 2 3 2 3 7 3" xfId="37927" xr:uid="{00000000-0005-0000-0000-0000C2520000}"/>
    <cellStyle name="40% - Accent5 2 3 2 3 8" xfId="23931" xr:uid="{00000000-0005-0000-0000-0000C3520000}"/>
    <cellStyle name="40% - Accent5 2 3 2 3 8 2" xfId="43170" xr:uid="{00000000-0005-0000-0000-0000C4520000}"/>
    <cellStyle name="40% - Accent5 2 3 2 3 9" xfId="33472" xr:uid="{00000000-0005-0000-0000-0000C5520000}"/>
    <cellStyle name="40% - Accent5 2 3 2 4" xfId="13189" xr:uid="{00000000-0005-0000-0000-0000C6520000}"/>
    <cellStyle name="40% - Accent5 2 3 2 4 2" xfId="14125" xr:uid="{00000000-0005-0000-0000-0000C7520000}"/>
    <cellStyle name="40% - Accent5 2 3 2 4 2 2" xfId="16389" xr:uid="{00000000-0005-0000-0000-0000C8520000}"/>
    <cellStyle name="40% - Accent5 2 3 2 4 2 2 2" xfId="20853" xr:uid="{00000000-0005-0000-0000-0000C9520000}"/>
    <cellStyle name="40% - Accent5 2 3 2 4 2 2 2 2" xfId="31221" xr:uid="{00000000-0005-0000-0000-0000CA520000}"/>
    <cellStyle name="40% - Accent5 2 3 2 4 2 2 2 2 2" xfId="50410" xr:uid="{00000000-0005-0000-0000-0000CB520000}"/>
    <cellStyle name="40% - Accent5 2 3 2 4 2 2 2 3" xfId="40712" xr:uid="{00000000-0005-0000-0000-0000CC520000}"/>
    <cellStyle name="40% - Accent5 2 3 2 4 2 2 3" xfId="26766" xr:uid="{00000000-0005-0000-0000-0000CD520000}"/>
    <cellStyle name="40% - Accent5 2 3 2 4 2 2 3 2" xfId="45955" xr:uid="{00000000-0005-0000-0000-0000CE520000}"/>
    <cellStyle name="40% - Accent5 2 3 2 4 2 2 4" xfId="36257" xr:uid="{00000000-0005-0000-0000-0000CF520000}"/>
    <cellStyle name="40% - Accent5 2 3 2 4 2 3" xfId="18625" xr:uid="{00000000-0005-0000-0000-0000D0520000}"/>
    <cellStyle name="40% - Accent5 2 3 2 4 2 3 2" xfId="28993" xr:uid="{00000000-0005-0000-0000-0000D1520000}"/>
    <cellStyle name="40% - Accent5 2 3 2 4 2 3 2 2" xfId="48182" xr:uid="{00000000-0005-0000-0000-0000D2520000}"/>
    <cellStyle name="40% - Accent5 2 3 2 4 2 3 3" xfId="38484" xr:uid="{00000000-0005-0000-0000-0000D3520000}"/>
    <cellStyle name="40% - Accent5 2 3 2 4 2 4" xfId="24533" xr:uid="{00000000-0005-0000-0000-0000D4520000}"/>
    <cellStyle name="40% - Accent5 2 3 2 4 2 4 2" xfId="43727" xr:uid="{00000000-0005-0000-0000-0000D5520000}"/>
    <cellStyle name="40% - Accent5 2 3 2 4 2 5" xfId="34029" xr:uid="{00000000-0005-0000-0000-0000D6520000}"/>
    <cellStyle name="40% - Accent5 2 3 2 4 3" xfId="14704" xr:uid="{00000000-0005-0000-0000-0000D7520000}"/>
    <cellStyle name="40% - Accent5 2 3 2 4 3 2" xfId="15833" xr:uid="{00000000-0005-0000-0000-0000D8520000}"/>
    <cellStyle name="40% - Accent5 2 3 2 4 3 2 2" xfId="20297" xr:uid="{00000000-0005-0000-0000-0000D9520000}"/>
    <cellStyle name="40% - Accent5 2 3 2 4 3 2 2 2" xfId="30665" xr:uid="{00000000-0005-0000-0000-0000DA520000}"/>
    <cellStyle name="40% - Accent5 2 3 2 4 3 2 2 2 2" xfId="49854" xr:uid="{00000000-0005-0000-0000-0000DB520000}"/>
    <cellStyle name="40% - Accent5 2 3 2 4 3 2 2 3" xfId="40156" xr:uid="{00000000-0005-0000-0000-0000DC520000}"/>
    <cellStyle name="40% - Accent5 2 3 2 4 3 2 3" xfId="26210" xr:uid="{00000000-0005-0000-0000-0000DD520000}"/>
    <cellStyle name="40% - Accent5 2 3 2 4 3 2 3 2" xfId="45399" xr:uid="{00000000-0005-0000-0000-0000DE520000}"/>
    <cellStyle name="40% - Accent5 2 3 2 4 3 2 4" xfId="35701" xr:uid="{00000000-0005-0000-0000-0000DF520000}"/>
    <cellStyle name="40% - Accent5 2 3 2 4 3 3" xfId="19182" xr:uid="{00000000-0005-0000-0000-0000E0520000}"/>
    <cellStyle name="40% - Accent5 2 3 2 4 3 3 2" xfId="29550" xr:uid="{00000000-0005-0000-0000-0000E1520000}"/>
    <cellStyle name="40% - Accent5 2 3 2 4 3 3 2 2" xfId="48739" xr:uid="{00000000-0005-0000-0000-0000E2520000}"/>
    <cellStyle name="40% - Accent5 2 3 2 4 3 3 3" xfId="39041" xr:uid="{00000000-0005-0000-0000-0000E3520000}"/>
    <cellStyle name="40% - Accent5 2 3 2 4 3 4" xfId="25095" xr:uid="{00000000-0005-0000-0000-0000E4520000}"/>
    <cellStyle name="40% - Accent5 2 3 2 4 3 4 2" xfId="44284" xr:uid="{00000000-0005-0000-0000-0000E5520000}"/>
    <cellStyle name="40% - Accent5 2 3 2 4 3 5" xfId="34586" xr:uid="{00000000-0005-0000-0000-0000E6520000}"/>
    <cellStyle name="40% - Accent5 2 3 2 4 4" xfId="15276" xr:uid="{00000000-0005-0000-0000-0000E7520000}"/>
    <cellStyle name="40% - Accent5 2 3 2 4 4 2" xfId="19740" xr:uid="{00000000-0005-0000-0000-0000E8520000}"/>
    <cellStyle name="40% - Accent5 2 3 2 4 4 2 2" xfId="30108" xr:uid="{00000000-0005-0000-0000-0000E9520000}"/>
    <cellStyle name="40% - Accent5 2 3 2 4 4 2 2 2" xfId="49297" xr:uid="{00000000-0005-0000-0000-0000EA520000}"/>
    <cellStyle name="40% - Accent5 2 3 2 4 4 2 3" xfId="39599" xr:uid="{00000000-0005-0000-0000-0000EB520000}"/>
    <cellStyle name="40% - Accent5 2 3 2 4 4 3" xfId="25653" xr:uid="{00000000-0005-0000-0000-0000EC520000}"/>
    <cellStyle name="40% - Accent5 2 3 2 4 4 3 2" xfId="44842" xr:uid="{00000000-0005-0000-0000-0000ED520000}"/>
    <cellStyle name="40% - Accent5 2 3 2 4 4 4" xfId="35144" xr:uid="{00000000-0005-0000-0000-0000EE520000}"/>
    <cellStyle name="40% - Accent5 2 3 2 4 5" xfId="16946" xr:uid="{00000000-0005-0000-0000-0000EF520000}"/>
    <cellStyle name="40% - Accent5 2 3 2 4 5 2" xfId="21410" xr:uid="{00000000-0005-0000-0000-0000F0520000}"/>
    <cellStyle name="40% - Accent5 2 3 2 4 5 2 2" xfId="31778" xr:uid="{00000000-0005-0000-0000-0000F1520000}"/>
    <cellStyle name="40% - Accent5 2 3 2 4 5 2 2 2" xfId="50967" xr:uid="{00000000-0005-0000-0000-0000F2520000}"/>
    <cellStyle name="40% - Accent5 2 3 2 4 5 2 3" xfId="41269" xr:uid="{00000000-0005-0000-0000-0000F3520000}"/>
    <cellStyle name="40% - Accent5 2 3 2 4 5 3" xfId="27323" xr:uid="{00000000-0005-0000-0000-0000F4520000}"/>
    <cellStyle name="40% - Accent5 2 3 2 4 5 3 2" xfId="46512" xr:uid="{00000000-0005-0000-0000-0000F5520000}"/>
    <cellStyle name="40% - Accent5 2 3 2 4 5 4" xfId="36814" xr:uid="{00000000-0005-0000-0000-0000F6520000}"/>
    <cellStyle name="40% - Accent5 2 3 2 4 6" xfId="17512" xr:uid="{00000000-0005-0000-0000-0000F7520000}"/>
    <cellStyle name="40% - Accent5 2 3 2 4 6 2" xfId="21967" xr:uid="{00000000-0005-0000-0000-0000F8520000}"/>
    <cellStyle name="40% - Accent5 2 3 2 4 6 2 2" xfId="32335" xr:uid="{00000000-0005-0000-0000-0000F9520000}"/>
    <cellStyle name="40% - Accent5 2 3 2 4 6 2 2 2" xfId="51524" xr:uid="{00000000-0005-0000-0000-0000FA520000}"/>
    <cellStyle name="40% - Accent5 2 3 2 4 6 2 3" xfId="41826" xr:uid="{00000000-0005-0000-0000-0000FB520000}"/>
    <cellStyle name="40% - Accent5 2 3 2 4 6 3" xfId="27880" xr:uid="{00000000-0005-0000-0000-0000FC520000}"/>
    <cellStyle name="40% - Accent5 2 3 2 4 6 3 2" xfId="47069" xr:uid="{00000000-0005-0000-0000-0000FD520000}"/>
    <cellStyle name="40% - Accent5 2 3 2 4 6 4" xfId="37371" xr:uid="{00000000-0005-0000-0000-0000FE520000}"/>
    <cellStyle name="40% - Accent5 2 3 2 4 7" xfId="18069" xr:uid="{00000000-0005-0000-0000-0000FF520000}"/>
    <cellStyle name="40% - Accent5 2 3 2 4 7 2" xfId="28437" xr:uid="{00000000-0005-0000-0000-000000530000}"/>
    <cellStyle name="40% - Accent5 2 3 2 4 7 2 2" xfId="47626" xr:uid="{00000000-0005-0000-0000-000001530000}"/>
    <cellStyle name="40% - Accent5 2 3 2 4 7 3" xfId="37928" xr:uid="{00000000-0005-0000-0000-000002530000}"/>
    <cellStyle name="40% - Accent5 2 3 2 4 8" xfId="23932" xr:uid="{00000000-0005-0000-0000-000003530000}"/>
    <cellStyle name="40% - Accent5 2 3 2 4 8 2" xfId="43171" xr:uid="{00000000-0005-0000-0000-000004530000}"/>
    <cellStyle name="40% - Accent5 2 3 2 4 9" xfId="33473" xr:uid="{00000000-0005-0000-0000-000005530000}"/>
    <cellStyle name="40% - Accent5 2 3 2 5" xfId="14120" xr:uid="{00000000-0005-0000-0000-000006530000}"/>
    <cellStyle name="40% - Accent5 2 3 2 5 2" xfId="16384" xr:uid="{00000000-0005-0000-0000-000007530000}"/>
    <cellStyle name="40% - Accent5 2 3 2 5 2 2" xfId="20848" xr:uid="{00000000-0005-0000-0000-000008530000}"/>
    <cellStyle name="40% - Accent5 2 3 2 5 2 2 2" xfId="31216" xr:uid="{00000000-0005-0000-0000-000009530000}"/>
    <cellStyle name="40% - Accent5 2 3 2 5 2 2 2 2" xfId="50405" xr:uid="{00000000-0005-0000-0000-00000A530000}"/>
    <cellStyle name="40% - Accent5 2 3 2 5 2 2 3" xfId="40707" xr:uid="{00000000-0005-0000-0000-00000B530000}"/>
    <cellStyle name="40% - Accent5 2 3 2 5 2 3" xfId="26761" xr:uid="{00000000-0005-0000-0000-00000C530000}"/>
    <cellStyle name="40% - Accent5 2 3 2 5 2 3 2" xfId="45950" xr:uid="{00000000-0005-0000-0000-00000D530000}"/>
    <cellStyle name="40% - Accent5 2 3 2 5 2 4" xfId="36252" xr:uid="{00000000-0005-0000-0000-00000E530000}"/>
    <cellStyle name="40% - Accent5 2 3 2 5 3" xfId="18620" xr:uid="{00000000-0005-0000-0000-00000F530000}"/>
    <cellStyle name="40% - Accent5 2 3 2 5 3 2" xfId="28988" xr:uid="{00000000-0005-0000-0000-000010530000}"/>
    <cellStyle name="40% - Accent5 2 3 2 5 3 2 2" xfId="48177" xr:uid="{00000000-0005-0000-0000-000011530000}"/>
    <cellStyle name="40% - Accent5 2 3 2 5 3 3" xfId="38479" xr:uid="{00000000-0005-0000-0000-000012530000}"/>
    <cellStyle name="40% - Accent5 2 3 2 5 4" xfId="24528" xr:uid="{00000000-0005-0000-0000-000013530000}"/>
    <cellStyle name="40% - Accent5 2 3 2 5 4 2" xfId="43722" xr:uid="{00000000-0005-0000-0000-000014530000}"/>
    <cellStyle name="40% - Accent5 2 3 2 5 5" xfId="34024" xr:uid="{00000000-0005-0000-0000-000015530000}"/>
    <cellStyle name="40% - Accent5 2 3 2 6" xfId="14699" xr:uid="{00000000-0005-0000-0000-000016530000}"/>
    <cellStyle name="40% - Accent5 2 3 2 6 2" xfId="15828" xr:uid="{00000000-0005-0000-0000-000017530000}"/>
    <cellStyle name="40% - Accent5 2 3 2 6 2 2" xfId="20292" xr:uid="{00000000-0005-0000-0000-000018530000}"/>
    <cellStyle name="40% - Accent5 2 3 2 6 2 2 2" xfId="30660" xr:uid="{00000000-0005-0000-0000-000019530000}"/>
    <cellStyle name="40% - Accent5 2 3 2 6 2 2 2 2" xfId="49849" xr:uid="{00000000-0005-0000-0000-00001A530000}"/>
    <cellStyle name="40% - Accent5 2 3 2 6 2 2 3" xfId="40151" xr:uid="{00000000-0005-0000-0000-00001B530000}"/>
    <cellStyle name="40% - Accent5 2 3 2 6 2 3" xfId="26205" xr:uid="{00000000-0005-0000-0000-00001C530000}"/>
    <cellStyle name="40% - Accent5 2 3 2 6 2 3 2" xfId="45394" xr:uid="{00000000-0005-0000-0000-00001D530000}"/>
    <cellStyle name="40% - Accent5 2 3 2 6 2 4" xfId="35696" xr:uid="{00000000-0005-0000-0000-00001E530000}"/>
    <cellStyle name="40% - Accent5 2 3 2 6 3" xfId="19177" xr:uid="{00000000-0005-0000-0000-00001F530000}"/>
    <cellStyle name="40% - Accent5 2 3 2 6 3 2" xfId="29545" xr:uid="{00000000-0005-0000-0000-000020530000}"/>
    <cellStyle name="40% - Accent5 2 3 2 6 3 2 2" xfId="48734" xr:uid="{00000000-0005-0000-0000-000021530000}"/>
    <cellStyle name="40% - Accent5 2 3 2 6 3 3" xfId="39036" xr:uid="{00000000-0005-0000-0000-000022530000}"/>
    <cellStyle name="40% - Accent5 2 3 2 6 4" xfId="25090" xr:uid="{00000000-0005-0000-0000-000023530000}"/>
    <cellStyle name="40% - Accent5 2 3 2 6 4 2" xfId="44279" xr:uid="{00000000-0005-0000-0000-000024530000}"/>
    <cellStyle name="40% - Accent5 2 3 2 6 5" xfId="34581" xr:uid="{00000000-0005-0000-0000-000025530000}"/>
    <cellStyle name="40% - Accent5 2 3 2 7" xfId="15271" xr:uid="{00000000-0005-0000-0000-000026530000}"/>
    <cellStyle name="40% - Accent5 2 3 2 7 2" xfId="19735" xr:uid="{00000000-0005-0000-0000-000027530000}"/>
    <cellStyle name="40% - Accent5 2 3 2 7 2 2" xfId="30103" xr:uid="{00000000-0005-0000-0000-000028530000}"/>
    <cellStyle name="40% - Accent5 2 3 2 7 2 2 2" xfId="49292" xr:uid="{00000000-0005-0000-0000-000029530000}"/>
    <cellStyle name="40% - Accent5 2 3 2 7 2 3" xfId="39594" xr:uid="{00000000-0005-0000-0000-00002A530000}"/>
    <cellStyle name="40% - Accent5 2 3 2 7 3" xfId="25648" xr:uid="{00000000-0005-0000-0000-00002B530000}"/>
    <cellStyle name="40% - Accent5 2 3 2 7 3 2" xfId="44837" xr:uid="{00000000-0005-0000-0000-00002C530000}"/>
    <cellStyle name="40% - Accent5 2 3 2 7 4" xfId="35139" xr:uid="{00000000-0005-0000-0000-00002D530000}"/>
    <cellStyle name="40% - Accent5 2 3 2 8" xfId="16941" xr:uid="{00000000-0005-0000-0000-00002E530000}"/>
    <cellStyle name="40% - Accent5 2 3 2 8 2" xfId="21405" xr:uid="{00000000-0005-0000-0000-00002F530000}"/>
    <cellStyle name="40% - Accent5 2 3 2 8 2 2" xfId="31773" xr:uid="{00000000-0005-0000-0000-000030530000}"/>
    <cellStyle name="40% - Accent5 2 3 2 8 2 2 2" xfId="50962" xr:uid="{00000000-0005-0000-0000-000031530000}"/>
    <cellStyle name="40% - Accent5 2 3 2 8 2 3" xfId="41264" xr:uid="{00000000-0005-0000-0000-000032530000}"/>
    <cellStyle name="40% - Accent5 2 3 2 8 3" xfId="27318" xr:uid="{00000000-0005-0000-0000-000033530000}"/>
    <cellStyle name="40% - Accent5 2 3 2 8 3 2" xfId="46507" xr:uid="{00000000-0005-0000-0000-000034530000}"/>
    <cellStyle name="40% - Accent5 2 3 2 8 4" xfId="36809" xr:uid="{00000000-0005-0000-0000-000035530000}"/>
    <cellStyle name="40% - Accent5 2 3 2 9" xfId="17507" xr:uid="{00000000-0005-0000-0000-000036530000}"/>
    <cellStyle name="40% - Accent5 2 3 2 9 2" xfId="21962" xr:uid="{00000000-0005-0000-0000-000037530000}"/>
    <cellStyle name="40% - Accent5 2 3 2 9 2 2" xfId="32330" xr:uid="{00000000-0005-0000-0000-000038530000}"/>
    <cellStyle name="40% - Accent5 2 3 2 9 2 2 2" xfId="51519" xr:uid="{00000000-0005-0000-0000-000039530000}"/>
    <cellStyle name="40% - Accent5 2 3 2 9 2 3" xfId="41821" xr:uid="{00000000-0005-0000-0000-00003A530000}"/>
    <cellStyle name="40% - Accent5 2 3 2 9 3" xfId="27875" xr:uid="{00000000-0005-0000-0000-00003B530000}"/>
    <cellStyle name="40% - Accent5 2 3 2 9 3 2" xfId="47064" xr:uid="{00000000-0005-0000-0000-00003C530000}"/>
    <cellStyle name="40% - Accent5 2 3 2 9 4" xfId="37366" xr:uid="{00000000-0005-0000-0000-00003D530000}"/>
    <cellStyle name="40% - Accent5 2 3 3" xfId="2002" xr:uid="{00000000-0005-0000-0000-00003E530000}"/>
    <cellStyle name="40% - Accent5 2 3 3 10" xfId="23933" xr:uid="{00000000-0005-0000-0000-00003F530000}"/>
    <cellStyle name="40% - Accent5 2 3 3 10 2" xfId="43172" xr:uid="{00000000-0005-0000-0000-000040530000}"/>
    <cellStyle name="40% - Accent5 2 3 3 11" xfId="33474" xr:uid="{00000000-0005-0000-0000-000041530000}"/>
    <cellStyle name="40% - Accent5 2 3 3 12" xfId="52949" xr:uid="{00000000-0005-0000-0000-000042530000}"/>
    <cellStyle name="40% - Accent5 2 3 3 13" xfId="13190" xr:uid="{00000000-0005-0000-0000-000043530000}"/>
    <cellStyle name="40% - Accent5 2 3 3 2" xfId="13191" xr:uid="{00000000-0005-0000-0000-000044530000}"/>
    <cellStyle name="40% - Accent5 2 3 3 2 10" xfId="53824" xr:uid="{00000000-0005-0000-0000-000045530000}"/>
    <cellStyle name="40% - Accent5 2 3 3 2 2" xfId="14127" xr:uid="{00000000-0005-0000-0000-000046530000}"/>
    <cellStyle name="40% - Accent5 2 3 3 2 2 2" xfId="16391" xr:uid="{00000000-0005-0000-0000-000047530000}"/>
    <cellStyle name="40% - Accent5 2 3 3 2 2 2 2" xfId="20855" xr:uid="{00000000-0005-0000-0000-000048530000}"/>
    <cellStyle name="40% - Accent5 2 3 3 2 2 2 2 2" xfId="31223" xr:uid="{00000000-0005-0000-0000-000049530000}"/>
    <cellStyle name="40% - Accent5 2 3 3 2 2 2 2 2 2" xfId="50412" xr:uid="{00000000-0005-0000-0000-00004A530000}"/>
    <cellStyle name="40% - Accent5 2 3 3 2 2 2 2 3" xfId="40714" xr:uid="{00000000-0005-0000-0000-00004B530000}"/>
    <cellStyle name="40% - Accent5 2 3 3 2 2 2 3" xfId="26768" xr:uid="{00000000-0005-0000-0000-00004C530000}"/>
    <cellStyle name="40% - Accent5 2 3 3 2 2 2 3 2" xfId="45957" xr:uid="{00000000-0005-0000-0000-00004D530000}"/>
    <cellStyle name="40% - Accent5 2 3 3 2 2 2 4" xfId="36259" xr:uid="{00000000-0005-0000-0000-00004E530000}"/>
    <cellStyle name="40% - Accent5 2 3 3 2 2 3" xfId="18627" xr:uid="{00000000-0005-0000-0000-00004F530000}"/>
    <cellStyle name="40% - Accent5 2 3 3 2 2 3 2" xfId="28995" xr:uid="{00000000-0005-0000-0000-000050530000}"/>
    <cellStyle name="40% - Accent5 2 3 3 2 2 3 2 2" xfId="48184" xr:uid="{00000000-0005-0000-0000-000051530000}"/>
    <cellStyle name="40% - Accent5 2 3 3 2 2 3 3" xfId="38486" xr:uid="{00000000-0005-0000-0000-000052530000}"/>
    <cellStyle name="40% - Accent5 2 3 3 2 2 4" xfId="24535" xr:uid="{00000000-0005-0000-0000-000053530000}"/>
    <cellStyle name="40% - Accent5 2 3 3 2 2 4 2" xfId="43729" xr:uid="{00000000-0005-0000-0000-000054530000}"/>
    <cellStyle name="40% - Accent5 2 3 3 2 2 5" xfId="34031" xr:uid="{00000000-0005-0000-0000-000055530000}"/>
    <cellStyle name="40% - Accent5 2 3 3 2 3" xfId="14706" xr:uid="{00000000-0005-0000-0000-000056530000}"/>
    <cellStyle name="40% - Accent5 2 3 3 2 3 2" xfId="15835" xr:uid="{00000000-0005-0000-0000-000057530000}"/>
    <cellStyle name="40% - Accent5 2 3 3 2 3 2 2" xfId="20299" xr:uid="{00000000-0005-0000-0000-000058530000}"/>
    <cellStyle name="40% - Accent5 2 3 3 2 3 2 2 2" xfId="30667" xr:uid="{00000000-0005-0000-0000-000059530000}"/>
    <cellStyle name="40% - Accent5 2 3 3 2 3 2 2 2 2" xfId="49856" xr:uid="{00000000-0005-0000-0000-00005A530000}"/>
    <cellStyle name="40% - Accent5 2 3 3 2 3 2 2 3" xfId="40158" xr:uid="{00000000-0005-0000-0000-00005B530000}"/>
    <cellStyle name="40% - Accent5 2 3 3 2 3 2 3" xfId="26212" xr:uid="{00000000-0005-0000-0000-00005C530000}"/>
    <cellStyle name="40% - Accent5 2 3 3 2 3 2 3 2" xfId="45401" xr:uid="{00000000-0005-0000-0000-00005D530000}"/>
    <cellStyle name="40% - Accent5 2 3 3 2 3 2 4" xfId="35703" xr:uid="{00000000-0005-0000-0000-00005E530000}"/>
    <cellStyle name="40% - Accent5 2 3 3 2 3 3" xfId="19184" xr:uid="{00000000-0005-0000-0000-00005F530000}"/>
    <cellStyle name="40% - Accent5 2 3 3 2 3 3 2" xfId="29552" xr:uid="{00000000-0005-0000-0000-000060530000}"/>
    <cellStyle name="40% - Accent5 2 3 3 2 3 3 2 2" xfId="48741" xr:uid="{00000000-0005-0000-0000-000061530000}"/>
    <cellStyle name="40% - Accent5 2 3 3 2 3 3 3" xfId="39043" xr:uid="{00000000-0005-0000-0000-000062530000}"/>
    <cellStyle name="40% - Accent5 2 3 3 2 3 4" xfId="25097" xr:uid="{00000000-0005-0000-0000-000063530000}"/>
    <cellStyle name="40% - Accent5 2 3 3 2 3 4 2" xfId="44286" xr:uid="{00000000-0005-0000-0000-000064530000}"/>
    <cellStyle name="40% - Accent5 2 3 3 2 3 5" xfId="34588" xr:uid="{00000000-0005-0000-0000-000065530000}"/>
    <cellStyle name="40% - Accent5 2 3 3 2 4" xfId="15278" xr:uid="{00000000-0005-0000-0000-000066530000}"/>
    <cellStyle name="40% - Accent5 2 3 3 2 4 2" xfId="19742" xr:uid="{00000000-0005-0000-0000-000067530000}"/>
    <cellStyle name="40% - Accent5 2 3 3 2 4 2 2" xfId="30110" xr:uid="{00000000-0005-0000-0000-000068530000}"/>
    <cellStyle name="40% - Accent5 2 3 3 2 4 2 2 2" xfId="49299" xr:uid="{00000000-0005-0000-0000-000069530000}"/>
    <cellStyle name="40% - Accent5 2 3 3 2 4 2 3" xfId="39601" xr:uid="{00000000-0005-0000-0000-00006A530000}"/>
    <cellStyle name="40% - Accent5 2 3 3 2 4 3" xfId="25655" xr:uid="{00000000-0005-0000-0000-00006B530000}"/>
    <cellStyle name="40% - Accent5 2 3 3 2 4 3 2" xfId="44844" xr:uid="{00000000-0005-0000-0000-00006C530000}"/>
    <cellStyle name="40% - Accent5 2 3 3 2 4 4" xfId="35146" xr:uid="{00000000-0005-0000-0000-00006D530000}"/>
    <cellStyle name="40% - Accent5 2 3 3 2 5" xfId="16948" xr:uid="{00000000-0005-0000-0000-00006E530000}"/>
    <cellStyle name="40% - Accent5 2 3 3 2 5 2" xfId="21412" xr:uid="{00000000-0005-0000-0000-00006F530000}"/>
    <cellStyle name="40% - Accent5 2 3 3 2 5 2 2" xfId="31780" xr:uid="{00000000-0005-0000-0000-000070530000}"/>
    <cellStyle name="40% - Accent5 2 3 3 2 5 2 2 2" xfId="50969" xr:uid="{00000000-0005-0000-0000-000071530000}"/>
    <cellStyle name="40% - Accent5 2 3 3 2 5 2 3" xfId="41271" xr:uid="{00000000-0005-0000-0000-000072530000}"/>
    <cellStyle name="40% - Accent5 2 3 3 2 5 3" xfId="27325" xr:uid="{00000000-0005-0000-0000-000073530000}"/>
    <cellStyle name="40% - Accent5 2 3 3 2 5 3 2" xfId="46514" xr:uid="{00000000-0005-0000-0000-000074530000}"/>
    <cellStyle name="40% - Accent5 2 3 3 2 5 4" xfId="36816" xr:uid="{00000000-0005-0000-0000-000075530000}"/>
    <cellStyle name="40% - Accent5 2 3 3 2 6" xfId="17514" xr:uid="{00000000-0005-0000-0000-000076530000}"/>
    <cellStyle name="40% - Accent5 2 3 3 2 6 2" xfId="21969" xr:uid="{00000000-0005-0000-0000-000077530000}"/>
    <cellStyle name="40% - Accent5 2 3 3 2 6 2 2" xfId="32337" xr:uid="{00000000-0005-0000-0000-000078530000}"/>
    <cellStyle name="40% - Accent5 2 3 3 2 6 2 2 2" xfId="51526" xr:uid="{00000000-0005-0000-0000-000079530000}"/>
    <cellStyle name="40% - Accent5 2 3 3 2 6 2 3" xfId="41828" xr:uid="{00000000-0005-0000-0000-00007A530000}"/>
    <cellStyle name="40% - Accent5 2 3 3 2 6 3" xfId="27882" xr:uid="{00000000-0005-0000-0000-00007B530000}"/>
    <cellStyle name="40% - Accent5 2 3 3 2 6 3 2" xfId="47071" xr:uid="{00000000-0005-0000-0000-00007C530000}"/>
    <cellStyle name="40% - Accent5 2 3 3 2 6 4" xfId="37373" xr:uid="{00000000-0005-0000-0000-00007D530000}"/>
    <cellStyle name="40% - Accent5 2 3 3 2 7" xfId="18071" xr:uid="{00000000-0005-0000-0000-00007E530000}"/>
    <cellStyle name="40% - Accent5 2 3 3 2 7 2" xfId="28439" xr:uid="{00000000-0005-0000-0000-00007F530000}"/>
    <cellStyle name="40% - Accent5 2 3 3 2 7 2 2" xfId="47628" xr:uid="{00000000-0005-0000-0000-000080530000}"/>
    <cellStyle name="40% - Accent5 2 3 3 2 7 3" xfId="37930" xr:uid="{00000000-0005-0000-0000-000081530000}"/>
    <cellStyle name="40% - Accent5 2 3 3 2 8" xfId="23934" xr:uid="{00000000-0005-0000-0000-000082530000}"/>
    <cellStyle name="40% - Accent5 2 3 3 2 8 2" xfId="43173" xr:uid="{00000000-0005-0000-0000-000083530000}"/>
    <cellStyle name="40% - Accent5 2 3 3 2 9" xfId="33475" xr:uid="{00000000-0005-0000-0000-000084530000}"/>
    <cellStyle name="40% - Accent5 2 3 3 3" xfId="13192" xr:uid="{00000000-0005-0000-0000-000085530000}"/>
    <cellStyle name="40% - Accent5 2 3 3 3 2" xfId="14128" xr:uid="{00000000-0005-0000-0000-000086530000}"/>
    <cellStyle name="40% - Accent5 2 3 3 3 2 2" xfId="16392" xr:uid="{00000000-0005-0000-0000-000087530000}"/>
    <cellStyle name="40% - Accent5 2 3 3 3 2 2 2" xfId="20856" xr:uid="{00000000-0005-0000-0000-000088530000}"/>
    <cellStyle name="40% - Accent5 2 3 3 3 2 2 2 2" xfId="31224" xr:uid="{00000000-0005-0000-0000-000089530000}"/>
    <cellStyle name="40% - Accent5 2 3 3 3 2 2 2 2 2" xfId="50413" xr:uid="{00000000-0005-0000-0000-00008A530000}"/>
    <cellStyle name="40% - Accent5 2 3 3 3 2 2 2 3" xfId="40715" xr:uid="{00000000-0005-0000-0000-00008B530000}"/>
    <cellStyle name="40% - Accent5 2 3 3 3 2 2 3" xfId="26769" xr:uid="{00000000-0005-0000-0000-00008C530000}"/>
    <cellStyle name="40% - Accent5 2 3 3 3 2 2 3 2" xfId="45958" xr:uid="{00000000-0005-0000-0000-00008D530000}"/>
    <cellStyle name="40% - Accent5 2 3 3 3 2 2 4" xfId="36260" xr:uid="{00000000-0005-0000-0000-00008E530000}"/>
    <cellStyle name="40% - Accent5 2 3 3 3 2 3" xfId="18628" xr:uid="{00000000-0005-0000-0000-00008F530000}"/>
    <cellStyle name="40% - Accent5 2 3 3 3 2 3 2" xfId="28996" xr:uid="{00000000-0005-0000-0000-000090530000}"/>
    <cellStyle name="40% - Accent5 2 3 3 3 2 3 2 2" xfId="48185" xr:uid="{00000000-0005-0000-0000-000091530000}"/>
    <cellStyle name="40% - Accent5 2 3 3 3 2 3 3" xfId="38487" xr:uid="{00000000-0005-0000-0000-000092530000}"/>
    <cellStyle name="40% - Accent5 2 3 3 3 2 4" xfId="24536" xr:uid="{00000000-0005-0000-0000-000093530000}"/>
    <cellStyle name="40% - Accent5 2 3 3 3 2 4 2" xfId="43730" xr:uid="{00000000-0005-0000-0000-000094530000}"/>
    <cellStyle name="40% - Accent5 2 3 3 3 2 5" xfId="34032" xr:uid="{00000000-0005-0000-0000-000095530000}"/>
    <cellStyle name="40% - Accent5 2 3 3 3 3" xfId="14707" xr:uid="{00000000-0005-0000-0000-000096530000}"/>
    <cellStyle name="40% - Accent5 2 3 3 3 3 2" xfId="15836" xr:uid="{00000000-0005-0000-0000-000097530000}"/>
    <cellStyle name="40% - Accent5 2 3 3 3 3 2 2" xfId="20300" xr:uid="{00000000-0005-0000-0000-000098530000}"/>
    <cellStyle name="40% - Accent5 2 3 3 3 3 2 2 2" xfId="30668" xr:uid="{00000000-0005-0000-0000-000099530000}"/>
    <cellStyle name="40% - Accent5 2 3 3 3 3 2 2 2 2" xfId="49857" xr:uid="{00000000-0005-0000-0000-00009A530000}"/>
    <cellStyle name="40% - Accent5 2 3 3 3 3 2 2 3" xfId="40159" xr:uid="{00000000-0005-0000-0000-00009B530000}"/>
    <cellStyle name="40% - Accent5 2 3 3 3 3 2 3" xfId="26213" xr:uid="{00000000-0005-0000-0000-00009C530000}"/>
    <cellStyle name="40% - Accent5 2 3 3 3 3 2 3 2" xfId="45402" xr:uid="{00000000-0005-0000-0000-00009D530000}"/>
    <cellStyle name="40% - Accent5 2 3 3 3 3 2 4" xfId="35704" xr:uid="{00000000-0005-0000-0000-00009E530000}"/>
    <cellStyle name="40% - Accent5 2 3 3 3 3 3" xfId="19185" xr:uid="{00000000-0005-0000-0000-00009F530000}"/>
    <cellStyle name="40% - Accent5 2 3 3 3 3 3 2" xfId="29553" xr:uid="{00000000-0005-0000-0000-0000A0530000}"/>
    <cellStyle name="40% - Accent5 2 3 3 3 3 3 2 2" xfId="48742" xr:uid="{00000000-0005-0000-0000-0000A1530000}"/>
    <cellStyle name="40% - Accent5 2 3 3 3 3 3 3" xfId="39044" xr:uid="{00000000-0005-0000-0000-0000A2530000}"/>
    <cellStyle name="40% - Accent5 2 3 3 3 3 4" xfId="25098" xr:uid="{00000000-0005-0000-0000-0000A3530000}"/>
    <cellStyle name="40% - Accent5 2 3 3 3 3 4 2" xfId="44287" xr:uid="{00000000-0005-0000-0000-0000A4530000}"/>
    <cellStyle name="40% - Accent5 2 3 3 3 3 5" xfId="34589" xr:uid="{00000000-0005-0000-0000-0000A5530000}"/>
    <cellStyle name="40% - Accent5 2 3 3 3 4" xfId="15279" xr:uid="{00000000-0005-0000-0000-0000A6530000}"/>
    <cellStyle name="40% - Accent5 2 3 3 3 4 2" xfId="19743" xr:uid="{00000000-0005-0000-0000-0000A7530000}"/>
    <cellStyle name="40% - Accent5 2 3 3 3 4 2 2" xfId="30111" xr:uid="{00000000-0005-0000-0000-0000A8530000}"/>
    <cellStyle name="40% - Accent5 2 3 3 3 4 2 2 2" xfId="49300" xr:uid="{00000000-0005-0000-0000-0000A9530000}"/>
    <cellStyle name="40% - Accent5 2 3 3 3 4 2 3" xfId="39602" xr:uid="{00000000-0005-0000-0000-0000AA530000}"/>
    <cellStyle name="40% - Accent5 2 3 3 3 4 3" xfId="25656" xr:uid="{00000000-0005-0000-0000-0000AB530000}"/>
    <cellStyle name="40% - Accent5 2 3 3 3 4 3 2" xfId="44845" xr:uid="{00000000-0005-0000-0000-0000AC530000}"/>
    <cellStyle name="40% - Accent5 2 3 3 3 4 4" xfId="35147" xr:uid="{00000000-0005-0000-0000-0000AD530000}"/>
    <cellStyle name="40% - Accent5 2 3 3 3 5" xfId="16949" xr:uid="{00000000-0005-0000-0000-0000AE530000}"/>
    <cellStyle name="40% - Accent5 2 3 3 3 5 2" xfId="21413" xr:uid="{00000000-0005-0000-0000-0000AF530000}"/>
    <cellStyle name="40% - Accent5 2 3 3 3 5 2 2" xfId="31781" xr:uid="{00000000-0005-0000-0000-0000B0530000}"/>
    <cellStyle name="40% - Accent5 2 3 3 3 5 2 2 2" xfId="50970" xr:uid="{00000000-0005-0000-0000-0000B1530000}"/>
    <cellStyle name="40% - Accent5 2 3 3 3 5 2 3" xfId="41272" xr:uid="{00000000-0005-0000-0000-0000B2530000}"/>
    <cellStyle name="40% - Accent5 2 3 3 3 5 3" xfId="27326" xr:uid="{00000000-0005-0000-0000-0000B3530000}"/>
    <cellStyle name="40% - Accent5 2 3 3 3 5 3 2" xfId="46515" xr:uid="{00000000-0005-0000-0000-0000B4530000}"/>
    <cellStyle name="40% - Accent5 2 3 3 3 5 4" xfId="36817" xr:uid="{00000000-0005-0000-0000-0000B5530000}"/>
    <cellStyle name="40% - Accent5 2 3 3 3 6" xfId="17515" xr:uid="{00000000-0005-0000-0000-0000B6530000}"/>
    <cellStyle name="40% - Accent5 2 3 3 3 6 2" xfId="21970" xr:uid="{00000000-0005-0000-0000-0000B7530000}"/>
    <cellStyle name="40% - Accent5 2 3 3 3 6 2 2" xfId="32338" xr:uid="{00000000-0005-0000-0000-0000B8530000}"/>
    <cellStyle name="40% - Accent5 2 3 3 3 6 2 2 2" xfId="51527" xr:uid="{00000000-0005-0000-0000-0000B9530000}"/>
    <cellStyle name="40% - Accent5 2 3 3 3 6 2 3" xfId="41829" xr:uid="{00000000-0005-0000-0000-0000BA530000}"/>
    <cellStyle name="40% - Accent5 2 3 3 3 6 3" xfId="27883" xr:uid="{00000000-0005-0000-0000-0000BB530000}"/>
    <cellStyle name="40% - Accent5 2 3 3 3 6 3 2" xfId="47072" xr:uid="{00000000-0005-0000-0000-0000BC530000}"/>
    <cellStyle name="40% - Accent5 2 3 3 3 6 4" xfId="37374" xr:uid="{00000000-0005-0000-0000-0000BD530000}"/>
    <cellStyle name="40% - Accent5 2 3 3 3 7" xfId="18072" xr:uid="{00000000-0005-0000-0000-0000BE530000}"/>
    <cellStyle name="40% - Accent5 2 3 3 3 7 2" xfId="28440" xr:uid="{00000000-0005-0000-0000-0000BF530000}"/>
    <cellStyle name="40% - Accent5 2 3 3 3 7 2 2" xfId="47629" xr:uid="{00000000-0005-0000-0000-0000C0530000}"/>
    <cellStyle name="40% - Accent5 2 3 3 3 7 3" xfId="37931" xr:uid="{00000000-0005-0000-0000-0000C1530000}"/>
    <cellStyle name="40% - Accent5 2 3 3 3 8" xfId="23935" xr:uid="{00000000-0005-0000-0000-0000C2530000}"/>
    <cellStyle name="40% - Accent5 2 3 3 3 8 2" xfId="43174" xr:uid="{00000000-0005-0000-0000-0000C3530000}"/>
    <cellStyle name="40% - Accent5 2 3 3 3 9" xfId="33476" xr:uid="{00000000-0005-0000-0000-0000C4530000}"/>
    <cellStyle name="40% - Accent5 2 3 3 4" xfId="14126" xr:uid="{00000000-0005-0000-0000-0000C5530000}"/>
    <cellStyle name="40% - Accent5 2 3 3 4 2" xfId="16390" xr:uid="{00000000-0005-0000-0000-0000C6530000}"/>
    <cellStyle name="40% - Accent5 2 3 3 4 2 2" xfId="20854" xr:uid="{00000000-0005-0000-0000-0000C7530000}"/>
    <cellStyle name="40% - Accent5 2 3 3 4 2 2 2" xfId="31222" xr:uid="{00000000-0005-0000-0000-0000C8530000}"/>
    <cellStyle name="40% - Accent5 2 3 3 4 2 2 2 2" xfId="50411" xr:uid="{00000000-0005-0000-0000-0000C9530000}"/>
    <cellStyle name="40% - Accent5 2 3 3 4 2 2 3" xfId="40713" xr:uid="{00000000-0005-0000-0000-0000CA530000}"/>
    <cellStyle name="40% - Accent5 2 3 3 4 2 3" xfId="26767" xr:uid="{00000000-0005-0000-0000-0000CB530000}"/>
    <cellStyle name="40% - Accent5 2 3 3 4 2 3 2" xfId="45956" xr:uid="{00000000-0005-0000-0000-0000CC530000}"/>
    <cellStyle name="40% - Accent5 2 3 3 4 2 4" xfId="36258" xr:uid="{00000000-0005-0000-0000-0000CD530000}"/>
    <cellStyle name="40% - Accent5 2 3 3 4 3" xfId="18626" xr:uid="{00000000-0005-0000-0000-0000CE530000}"/>
    <cellStyle name="40% - Accent5 2 3 3 4 3 2" xfId="28994" xr:uid="{00000000-0005-0000-0000-0000CF530000}"/>
    <cellStyle name="40% - Accent5 2 3 3 4 3 2 2" xfId="48183" xr:uid="{00000000-0005-0000-0000-0000D0530000}"/>
    <cellStyle name="40% - Accent5 2 3 3 4 3 3" xfId="38485" xr:uid="{00000000-0005-0000-0000-0000D1530000}"/>
    <cellStyle name="40% - Accent5 2 3 3 4 4" xfId="24534" xr:uid="{00000000-0005-0000-0000-0000D2530000}"/>
    <cellStyle name="40% - Accent5 2 3 3 4 4 2" xfId="43728" xr:uid="{00000000-0005-0000-0000-0000D3530000}"/>
    <cellStyle name="40% - Accent5 2 3 3 4 5" xfId="34030" xr:uid="{00000000-0005-0000-0000-0000D4530000}"/>
    <cellStyle name="40% - Accent5 2 3 3 5" xfId="14705" xr:uid="{00000000-0005-0000-0000-0000D5530000}"/>
    <cellStyle name="40% - Accent5 2 3 3 5 2" xfId="15834" xr:uid="{00000000-0005-0000-0000-0000D6530000}"/>
    <cellStyle name="40% - Accent5 2 3 3 5 2 2" xfId="20298" xr:uid="{00000000-0005-0000-0000-0000D7530000}"/>
    <cellStyle name="40% - Accent5 2 3 3 5 2 2 2" xfId="30666" xr:uid="{00000000-0005-0000-0000-0000D8530000}"/>
    <cellStyle name="40% - Accent5 2 3 3 5 2 2 2 2" xfId="49855" xr:uid="{00000000-0005-0000-0000-0000D9530000}"/>
    <cellStyle name="40% - Accent5 2 3 3 5 2 2 3" xfId="40157" xr:uid="{00000000-0005-0000-0000-0000DA530000}"/>
    <cellStyle name="40% - Accent5 2 3 3 5 2 3" xfId="26211" xr:uid="{00000000-0005-0000-0000-0000DB530000}"/>
    <cellStyle name="40% - Accent5 2 3 3 5 2 3 2" xfId="45400" xr:uid="{00000000-0005-0000-0000-0000DC530000}"/>
    <cellStyle name="40% - Accent5 2 3 3 5 2 4" xfId="35702" xr:uid="{00000000-0005-0000-0000-0000DD530000}"/>
    <cellStyle name="40% - Accent5 2 3 3 5 3" xfId="19183" xr:uid="{00000000-0005-0000-0000-0000DE530000}"/>
    <cellStyle name="40% - Accent5 2 3 3 5 3 2" xfId="29551" xr:uid="{00000000-0005-0000-0000-0000DF530000}"/>
    <cellStyle name="40% - Accent5 2 3 3 5 3 2 2" xfId="48740" xr:uid="{00000000-0005-0000-0000-0000E0530000}"/>
    <cellStyle name="40% - Accent5 2 3 3 5 3 3" xfId="39042" xr:uid="{00000000-0005-0000-0000-0000E1530000}"/>
    <cellStyle name="40% - Accent5 2 3 3 5 4" xfId="25096" xr:uid="{00000000-0005-0000-0000-0000E2530000}"/>
    <cellStyle name="40% - Accent5 2 3 3 5 4 2" xfId="44285" xr:uid="{00000000-0005-0000-0000-0000E3530000}"/>
    <cellStyle name="40% - Accent5 2 3 3 5 5" xfId="34587" xr:uid="{00000000-0005-0000-0000-0000E4530000}"/>
    <cellStyle name="40% - Accent5 2 3 3 6" xfId="15277" xr:uid="{00000000-0005-0000-0000-0000E5530000}"/>
    <cellStyle name="40% - Accent5 2 3 3 6 2" xfId="19741" xr:uid="{00000000-0005-0000-0000-0000E6530000}"/>
    <cellStyle name="40% - Accent5 2 3 3 6 2 2" xfId="30109" xr:uid="{00000000-0005-0000-0000-0000E7530000}"/>
    <cellStyle name="40% - Accent5 2 3 3 6 2 2 2" xfId="49298" xr:uid="{00000000-0005-0000-0000-0000E8530000}"/>
    <cellStyle name="40% - Accent5 2 3 3 6 2 3" xfId="39600" xr:uid="{00000000-0005-0000-0000-0000E9530000}"/>
    <cellStyle name="40% - Accent5 2 3 3 6 3" xfId="25654" xr:uid="{00000000-0005-0000-0000-0000EA530000}"/>
    <cellStyle name="40% - Accent5 2 3 3 6 3 2" xfId="44843" xr:uid="{00000000-0005-0000-0000-0000EB530000}"/>
    <cellStyle name="40% - Accent5 2 3 3 6 4" xfId="35145" xr:uid="{00000000-0005-0000-0000-0000EC530000}"/>
    <cellStyle name="40% - Accent5 2 3 3 7" xfId="16947" xr:uid="{00000000-0005-0000-0000-0000ED530000}"/>
    <cellStyle name="40% - Accent5 2 3 3 7 2" xfId="21411" xr:uid="{00000000-0005-0000-0000-0000EE530000}"/>
    <cellStyle name="40% - Accent5 2 3 3 7 2 2" xfId="31779" xr:uid="{00000000-0005-0000-0000-0000EF530000}"/>
    <cellStyle name="40% - Accent5 2 3 3 7 2 2 2" xfId="50968" xr:uid="{00000000-0005-0000-0000-0000F0530000}"/>
    <cellStyle name="40% - Accent5 2 3 3 7 2 3" xfId="41270" xr:uid="{00000000-0005-0000-0000-0000F1530000}"/>
    <cellStyle name="40% - Accent5 2 3 3 7 3" xfId="27324" xr:uid="{00000000-0005-0000-0000-0000F2530000}"/>
    <cellStyle name="40% - Accent5 2 3 3 7 3 2" xfId="46513" xr:uid="{00000000-0005-0000-0000-0000F3530000}"/>
    <cellStyle name="40% - Accent5 2 3 3 7 4" xfId="36815" xr:uid="{00000000-0005-0000-0000-0000F4530000}"/>
    <cellStyle name="40% - Accent5 2 3 3 8" xfId="17513" xr:uid="{00000000-0005-0000-0000-0000F5530000}"/>
    <cellStyle name="40% - Accent5 2 3 3 8 2" xfId="21968" xr:uid="{00000000-0005-0000-0000-0000F6530000}"/>
    <cellStyle name="40% - Accent5 2 3 3 8 2 2" xfId="32336" xr:uid="{00000000-0005-0000-0000-0000F7530000}"/>
    <cellStyle name="40% - Accent5 2 3 3 8 2 2 2" xfId="51525" xr:uid="{00000000-0005-0000-0000-0000F8530000}"/>
    <cellStyle name="40% - Accent5 2 3 3 8 2 3" xfId="41827" xr:uid="{00000000-0005-0000-0000-0000F9530000}"/>
    <cellStyle name="40% - Accent5 2 3 3 8 3" xfId="27881" xr:uid="{00000000-0005-0000-0000-0000FA530000}"/>
    <cellStyle name="40% - Accent5 2 3 3 8 3 2" xfId="47070" xr:uid="{00000000-0005-0000-0000-0000FB530000}"/>
    <cellStyle name="40% - Accent5 2 3 3 8 4" xfId="37372" xr:uid="{00000000-0005-0000-0000-0000FC530000}"/>
    <cellStyle name="40% - Accent5 2 3 3 9" xfId="18070" xr:uid="{00000000-0005-0000-0000-0000FD530000}"/>
    <cellStyle name="40% - Accent5 2 3 3 9 2" xfId="28438" xr:uid="{00000000-0005-0000-0000-0000FE530000}"/>
    <cellStyle name="40% - Accent5 2 3 3 9 2 2" xfId="47627" xr:uid="{00000000-0005-0000-0000-0000FF530000}"/>
    <cellStyle name="40% - Accent5 2 3 3 9 3" xfId="37929" xr:uid="{00000000-0005-0000-0000-000000540000}"/>
    <cellStyle name="40% - Accent5 2 3 4" xfId="13193" xr:uid="{00000000-0005-0000-0000-000001540000}"/>
    <cellStyle name="40% - Accent5 2 3 4 10" xfId="53428" xr:uid="{00000000-0005-0000-0000-000002540000}"/>
    <cellStyle name="40% - Accent5 2 3 4 2" xfId="14129" xr:uid="{00000000-0005-0000-0000-000003540000}"/>
    <cellStyle name="40% - Accent5 2 3 4 2 2" xfId="16393" xr:uid="{00000000-0005-0000-0000-000004540000}"/>
    <cellStyle name="40% - Accent5 2 3 4 2 2 2" xfId="20857" xr:uid="{00000000-0005-0000-0000-000005540000}"/>
    <cellStyle name="40% - Accent5 2 3 4 2 2 2 2" xfId="31225" xr:uid="{00000000-0005-0000-0000-000006540000}"/>
    <cellStyle name="40% - Accent5 2 3 4 2 2 2 2 2" xfId="50414" xr:uid="{00000000-0005-0000-0000-000007540000}"/>
    <cellStyle name="40% - Accent5 2 3 4 2 2 2 3" xfId="40716" xr:uid="{00000000-0005-0000-0000-000008540000}"/>
    <cellStyle name="40% - Accent5 2 3 4 2 2 3" xfId="26770" xr:uid="{00000000-0005-0000-0000-000009540000}"/>
    <cellStyle name="40% - Accent5 2 3 4 2 2 3 2" xfId="45959" xr:uid="{00000000-0005-0000-0000-00000A540000}"/>
    <cellStyle name="40% - Accent5 2 3 4 2 2 4" xfId="36261" xr:uid="{00000000-0005-0000-0000-00000B540000}"/>
    <cellStyle name="40% - Accent5 2 3 4 2 3" xfId="18629" xr:uid="{00000000-0005-0000-0000-00000C540000}"/>
    <cellStyle name="40% - Accent5 2 3 4 2 3 2" xfId="28997" xr:uid="{00000000-0005-0000-0000-00000D540000}"/>
    <cellStyle name="40% - Accent5 2 3 4 2 3 2 2" xfId="48186" xr:uid="{00000000-0005-0000-0000-00000E540000}"/>
    <cellStyle name="40% - Accent5 2 3 4 2 3 3" xfId="38488" xr:uid="{00000000-0005-0000-0000-00000F540000}"/>
    <cellStyle name="40% - Accent5 2 3 4 2 4" xfId="24537" xr:uid="{00000000-0005-0000-0000-000010540000}"/>
    <cellStyle name="40% - Accent5 2 3 4 2 4 2" xfId="43731" xr:uid="{00000000-0005-0000-0000-000011540000}"/>
    <cellStyle name="40% - Accent5 2 3 4 2 5" xfId="34033" xr:uid="{00000000-0005-0000-0000-000012540000}"/>
    <cellStyle name="40% - Accent5 2 3 4 3" xfId="14708" xr:uid="{00000000-0005-0000-0000-000013540000}"/>
    <cellStyle name="40% - Accent5 2 3 4 3 2" xfId="15837" xr:uid="{00000000-0005-0000-0000-000014540000}"/>
    <cellStyle name="40% - Accent5 2 3 4 3 2 2" xfId="20301" xr:uid="{00000000-0005-0000-0000-000015540000}"/>
    <cellStyle name="40% - Accent5 2 3 4 3 2 2 2" xfId="30669" xr:uid="{00000000-0005-0000-0000-000016540000}"/>
    <cellStyle name="40% - Accent5 2 3 4 3 2 2 2 2" xfId="49858" xr:uid="{00000000-0005-0000-0000-000017540000}"/>
    <cellStyle name="40% - Accent5 2 3 4 3 2 2 3" xfId="40160" xr:uid="{00000000-0005-0000-0000-000018540000}"/>
    <cellStyle name="40% - Accent5 2 3 4 3 2 3" xfId="26214" xr:uid="{00000000-0005-0000-0000-000019540000}"/>
    <cellStyle name="40% - Accent5 2 3 4 3 2 3 2" xfId="45403" xr:uid="{00000000-0005-0000-0000-00001A540000}"/>
    <cellStyle name="40% - Accent5 2 3 4 3 2 4" xfId="35705" xr:uid="{00000000-0005-0000-0000-00001B540000}"/>
    <cellStyle name="40% - Accent5 2 3 4 3 3" xfId="19186" xr:uid="{00000000-0005-0000-0000-00001C540000}"/>
    <cellStyle name="40% - Accent5 2 3 4 3 3 2" xfId="29554" xr:uid="{00000000-0005-0000-0000-00001D540000}"/>
    <cellStyle name="40% - Accent5 2 3 4 3 3 2 2" xfId="48743" xr:uid="{00000000-0005-0000-0000-00001E540000}"/>
    <cellStyle name="40% - Accent5 2 3 4 3 3 3" xfId="39045" xr:uid="{00000000-0005-0000-0000-00001F540000}"/>
    <cellStyle name="40% - Accent5 2 3 4 3 4" xfId="25099" xr:uid="{00000000-0005-0000-0000-000020540000}"/>
    <cellStyle name="40% - Accent5 2 3 4 3 4 2" xfId="44288" xr:uid="{00000000-0005-0000-0000-000021540000}"/>
    <cellStyle name="40% - Accent5 2 3 4 3 5" xfId="34590" xr:uid="{00000000-0005-0000-0000-000022540000}"/>
    <cellStyle name="40% - Accent5 2 3 4 4" xfId="15280" xr:uid="{00000000-0005-0000-0000-000023540000}"/>
    <cellStyle name="40% - Accent5 2 3 4 4 2" xfId="19744" xr:uid="{00000000-0005-0000-0000-000024540000}"/>
    <cellStyle name="40% - Accent5 2 3 4 4 2 2" xfId="30112" xr:uid="{00000000-0005-0000-0000-000025540000}"/>
    <cellStyle name="40% - Accent5 2 3 4 4 2 2 2" xfId="49301" xr:uid="{00000000-0005-0000-0000-000026540000}"/>
    <cellStyle name="40% - Accent5 2 3 4 4 2 3" xfId="39603" xr:uid="{00000000-0005-0000-0000-000027540000}"/>
    <cellStyle name="40% - Accent5 2 3 4 4 3" xfId="25657" xr:uid="{00000000-0005-0000-0000-000028540000}"/>
    <cellStyle name="40% - Accent5 2 3 4 4 3 2" xfId="44846" xr:uid="{00000000-0005-0000-0000-000029540000}"/>
    <cellStyle name="40% - Accent5 2 3 4 4 4" xfId="35148" xr:uid="{00000000-0005-0000-0000-00002A540000}"/>
    <cellStyle name="40% - Accent5 2 3 4 5" xfId="16950" xr:uid="{00000000-0005-0000-0000-00002B540000}"/>
    <cellStyle name="40% - Accent5 2 3 4 5 2" xfId="21414" xr:uid="{00000000-0005-0000-0000-00002C540000}"/>
    <cellStyle name="40% - Accent5 2 3 4 5 2 2" xfId="31782" xr:uid="{00000000-0005-0000-0000-00002D540000}"/>
    <cellStyle name="40% - Accent5 2 3 4 5 2 2 2" xfId="50971" xr:uid="{00000000-0005-0000-0000-00002E540000}"/>
    <cellStyle name="40% - Accent5 2 3 4 5 2 3" xfId="41273" xr:uid="{00000000-0005-0000-0000-00002F540000}"/>
    <cellStyle name="40% - Accent5 2 3 4 5 3" xfId="27327" xr:uid="{00000000-0005-0000-0000-000030540000}"/>
    <cellStyle name="40% - Accent5 2 3 4 5 3 2" xfId="46516" xr:uid="{00000000-0005-0000-0000-000031540000}"/>
    <cellStyle name="40% - Accent5 2 3 4 5 4" xfId="36818" xr:uid="{00000000-0005-0000-0000-000032540000}"/>
    <cellStyle name="40% - Accent5 2 3 4 6" xfId="17516" xr:uid="{00000000-0005-0000-0000-000033540000}"/>
    <cellStyle name="40% - Accent5 2 3 4 6 2" xfId="21971" xr:uid="{00000000-0005-0000-0000-000034540000}"/>
    <cellStyle name="40% - Accent5 2 3 4 6 2 2" xfId="32339" xr:uid="{00000000-0005-0000-0000-000035540000}"/>
    <cellStyle name="40% - Accent5 2 3 4 6 2 2 2" xfId="51528" xr:uid="{00000000-0005-0000-0000-000036540000}"/>
    <cellStyle name="40% - Accent5 2 3 4 6 2 3" xfId="41830" xr:uid="{00000000-0005-0000-0000-000037540000}"/>
    <cellStyle name="40% - Accent5 2 3 4 6 3" xfId="27884" xr:uid="{00000000-0005-0000-0000-000038540000}"/>
    <cellStyle name="40% - Accent5 2 3 4 6 3 2" xfId="47073" xr:uid="{00000000-0005-0000-0000-000039540000}"/>
    <cellStyle name="40% - Accent5 2 3 4 6 4" xfId="37375" xr:uid="{00000000-0005-0000-0000-00003A540000}"/>
    <cellStyle name="40% - Accent5 2 3 4 7" xfId="18073" xr:uid="{00000000-0005-0000-0000-00003B540000}"/>
    <cellStyle name="40% - Accent5 2 3 4 7 2" xfId="28441" xr:uid="{00000000-0005-0000-0000-00003C540000}"/>
    <cellStyle name="40% - Accent5 2 3 4 7 2 2" xfId="47630" xr:uid="{00000000-0005-0000-0000-00003D540000}"/>
    <cellStyle name="40% - Accent5 2 3 4 7 3" xfId="37932" xr:uid="{00000000-0005-0000-0000-00003E540000}"/>
    <cellStyle name="40% - Accent5 2 3 4 8" xfId="23936" xr:uid="{00000000-0005-0000-0000-00003F540000}"/>
    <cellStyle name="40% - Accent5 2 3 4 8 2" xfId="43175" xr:uid="{00000000-0005-0000-0000-000040540000}"/>
    <cellStyle name="40% - Accent5 2 3 4 9" xfId="33477" xr:uid="{00000000-0005-0000-0000-000041540000}"/>
    <cellStyle name="40% - Accent5 2 3 5" xfId="13194" xr:uid="{00000000-0005-0000-0000-000042540000}"/>
    <cellStyle name="40% - Accent5 2 3 5 2" xfId="14130" xr:uid="{00000000-0005-0000-0000-000043540000}"/>
    <cellStyle name="40% - Accent5 2 3 5 2 2" xfId="16394" xr:uid="{00000000-0005-0000-0000-000044540000}"/>
    <cellStyle name="40% - Accent5 2 3 5 2 2 2" xfId="20858" xr:uid="{00000000-0005-0000-0000-000045540000}"/>
    <cellStyle name="40% - Accent5 2 3 5 2 2 2 2" xfId="31226" xr:uid="{00000000-0005-0000-0000-000046540000}"/>
    <cellStyle name="40% - Accent5 2 3 5 2 2 2 2 2" xfId="50415" xr:uid="{00000000-0005-0000-0000-000047540000}"/>
    <cellStyle name="40% - Accent5 2 3 5 2 2 2 3" xfId="40717" xr:uid="{00000000-0005-0000-0000-000048540000}"/>
    <cellStyle name="40% - Accent5 2 3 5 2 2 3" xfId="26771" xr:uid="{00000000-0005-0000-0000-000049540000}"/>
    <cellStyle name="40% - Accent5 2 3 5 2 2 3 2" xfId="45960" xr:uid="{00000000-0005-0000-0000-00004A540000}"/>
    <cellStyle name="40% - Accent5 2 3 5 2 2 4" xfId="36262" xr:uid="{00000000-0005-0000-0000-00004B540000}"/>
    <cellStyle name="40% - Accent5 2 3 5 2 3" xfId="18630" xr:uid="{00000000-0005-0000-0000-00004C540000}"/>
    <cellStyle name="40% - Accent5 2 3 5 2 3 2" xfId="28998" xr:uid="{00000000-0005-0000-0000-00004D540000}"/>
    <cellStyle name="40% - Accent5 2 3 5 2 3 2 2" xfId="48187" xr:uid="{00000000-0005-0000-0000-00004E540000}"/>
    <cellStyle name="40% - Accent5 2 3 5 2 3 3" xfId="38489" xr:uid="{00000000-0005-0000-0000-00004F540000}"/>
    <cellStyle name="40% - Accent5 2 3 5 2 4" xfId="24538" xr:uid="{00000000-0005-0000-0000-000050540000}"/>
    <cellStyle name="40% - Accent5 2 3 5 2 4 2" xfId="43732" xr:uid="{00000000-0005-0000-0000-000051540000}"/>
    <cellStyle name="40% - Accent5 2 3 5 2 5" xfId="34034" xr:uid="{00000000-0005-0000-0000-000052540000}"/>
    <cellStyle name="40% - Accent5 2 3 5 3" xfId="14709" xr:uid="{00000000-0005-0000-0000-000053540000}"/>
    <cellStyle name="40% - Accent5 2 3 5 3 2" xfId="15838" xr:uid="{00000000-0005-0000-0000-000054540000}"/>
    <cellStyle name="40% - Accent5 2 3 5 3 2 2" xfId="20302" xr:uid="{00000000-0005-0000-0000-000055540000}"/>
    <cellStyle name="40% - Accent5 2 3 5 3 2 2 2" xfId="30670" xr:uid="{00000000-0005-0000-0000-000056540000}"/>
    <cellStyle name="40% - Accent5 2 3 5 3 2 2 2 2" xfId="49859" xr:uid="{00000000-0005-0000-0000-000057540000}"/>
    <cellStyle name="40% - Accent5 2 3 5 3 2 2 3" xfId="40161" xr:uid="{00000000-0005-0000-0000-000058540000}"/>
    <cellStyle name="40% - Accent5 2 3 5 3 2 3" xfId="26215" xr:uid="{00000000-0005-0000-0000-000059540000}"/>
    <cellStyle name="40% - Accent5 2 3 5 3 2 3 2" xfId="45404" xr:uid="{00000000-0005-0000-0000-00005A540000}"/>
    <cellStyle name="40% - Accent5 2 3 5 3 2 4" xfId="35706" xr:uid="{00000000-0005-0000-0000-00005B540000}"/>
    <cellStyle name="40% - Accent5 2 3 5 3 3" xfId="19187" xr:uid="{00000000-0005-0000-0000-00005C540000}"/>
    <cellStyle name="40% - Accent5 2 3 5 3 3 2" xfId="29555" xr:uid="{00000000-0005-0000-0000-00005D540000}"/>
    <cellStyle name="40% - Accent5 2 3 5 3 3 2 2" xfId="48744" xr:uid="{00000000-0005-0000-0000-00005E540000}"/>
    <cellStyle name="40% - Accent5 2 3 5 3 3 3" xfId="39046" xr:uid="{00000000-0005-0000-0000-00005F540000}"/>
    <cellStyle name="40% - Accent5 2 3 5 3 4" xfId="25100" xr:uid="{00000000-0005-0000-0000-000060540000}"/>
    <cellStyle name="40% - Accent5 2 3 5 3 4 2" xfId="44289" xr:uid="{00000000-0005-0000-0000-000061540000}"/>
    <cellStyle name="40% - Accent5 2 3 5 3 5" xfId="34591" xr:uid="{00000000-0005-0000-0000-000062540000}"/>
    <cellStyle name="40% - Accent5 2 3 5 4" xfId="15281" xr:uid="{00000000-0005-0000-0000-000063540000}"/>
    <cellStyle name="40% - Accent5 2 3 5 4 2" xfId="19745" xr:uid="{00000000-0005-0000-0000-000064540000}"/>
    <cellStyle name="40% - Accent5 2 3 5 4 2 2" xfId="30113" xr:uid="{00000000-0005-0000-0000-000065540000}"/>
    <cellStyle name="40% - Accent5 2 3 5 4 2 2 2" xfId="49302" xr:uid="{00000000-0005-0000-0000-000066540000}"/>
    <cellStyle name="40% - Accent5 2 3 5 4 2 3" xfId="39604" xr:uid="{00000000-0005-0000-0000-000067540000}"/>
    <cellStyle name="40% - Accent5 2 3 5 4 3" xfId="25658" xr:uid="{00000000-0005-0000-0000-000068540000}"/>
    <cellStyle name="40% - Accent5 2 3 5 4 3 2" xfId="44847" xr:uid="{00000000-0005-0000-0000-000069540000}"/>
    <cellStyle name="40% - Accent5 2 3 5 4 4" xfId="35149" xr:uid="{00000000-0005-0000-0000-00006A540000}"/>
    <cellStyle name="40% - Accent5 2 3 5 5" xfId="16951" xr:uid="{00000000-0005-0000-0000-00006B540000}"/>
    <cellStyle name="40% - Accent5 2 3 5 5 2" xfId="21415" xr:uid="{00000000-0005-0000-0000-00006C540000}"/>
    <cellStyle name="40% - Accent5 2 3 5 5 2 2" xfId="31783" xr:uid="{00000000-0005-0000-0000-00006D540000}"/>
    <cellStyle name="40% - Accent5 2 3 5 5 2 2 2" xfId="50972" xr:uid="{00000000-0005-0000-0000-00006E540000}"/>
    <cellStyle name="40% - Accent5 2 3 5 5 2 3" xfId="41274" xr:uid="{00000000-0005-0000-0000-00006F540000}"/>
    <cellStyle name="40% - Accent5 2 3 5 5 3" xfId="27328" xr:uid="{00000000-0005-0000-0000-000070540000}"/>
    <cellStyle name="40% - Accent5 2 3 5 5 3 2" xfId="46517" xr:uid="{00000000-0005-0000-0000-000071540000}"/>
    <cellStyle name="40% - Accent5 2 3 5 5 4" xfId="36819" xr:uid="{00000000-0005-0000-0000-000072540000}"/>
    <cellStyle name="40% - Accent5 2 3 5 6" xfId="17517" xr:uid="{00000000-0005-0000-0000-000073540000}"/>
    <cellStyle name="40% - Accent5 2 3 5 6 2" xfId="21972" xr:uid="{00000000-0005-0000-0000-000074540000}"/>
    <cellStyle name="40% - Accent5 2 3 5 6 2 2" xfId="32340" xr:uid="{00000000-0005-0000-0000-000075540000}"/>
    <cellStyle name="40% - Accent5 2 3 5 6 2 2 2" xfId="51529" xr:uid="{00000000-0005-0000-0000-000076540000}"/>
    <cellStyle name="40% - Accent5 2 3 5 6 2 3" xfId="41831" xr:uid="{00000000-0005-0000-0000-000077540000}"/>
    <cellStyle name="40% - Accent5 2 3 5 6 3" xfId="27885" xr:uid="{00000000-0005-0000-0000-000078540000}"/>
    <cellStyle name="40% - Accent5 2 3 5 6 3 2" xfId="47074" xr:uid="{00000000-0005-0000-0000-000079540000}"/>
    <cellStyle name="40% - Accent5 2 3 5 6 4" xfId="37376" xr:uid="{00000000-0005-0000-0000-00007A540000}"/>
    <cellStyle name="40% - Accent5 2 3 5 7" xfId="18074" xr:uid="{00000000-0005-0000-0000-00007B540000}"/>
    <cellStyle name="40% - Accent5 2 3 5 7 2" xfId="28442" xr:uid="{00000000-0005-0000-0000-00007C540000}"/>
    <cellStyle name="40% - Accent5 2 3 5 7 2 2" xfId="47631" xr:uid="{00000000-0005-0000-0000-00007D540000}"/>
    <cellStyle name="40% - Accent5 2 3 5 7 3" xfId="37933" xr:uid="{00000000-0005-0000-0000-00007E540000}"/>
    <cellStyle name="40% - Accent5 2 3 5 8" xfId="23937" xr:uid="{00000000-0005-0000-0000-00007F540000}"/>
    <cellStyle name="40% - Accent5 2 3 5 8 2" xfId="43176" xr:uid="{00000000-0005-0000-0000-000080540000}"/>
    <cellStyle name="40% - Accent5 2 3 5 9" xfId="33478" xr:uid="{00000000-0005-0000-0000-000081540000}"/>
    <cellStyle name="40% - Accent5 2 3 6" xfId="22873" xr:uid="{00000000-0005-0000-0000-000082540000}"/>
    <cellStyle name="40% - Accent5 2 3 6 2" xfId="32957" xr:uid="{00000000-0005-0000-0000-000083540000}"/>
    <cellStyle name="40% - Accent5 2 3 6 2 2" xfId="52143" xr:uid="{00000000-0005-0000-0000-000084540000}"/>
    <cellStyle name="40% - Accent5 2 3 6 3" xfId="42445" xr:uid="{00000000-0005-0000-0000-000085540000}"/>
    <cellStyle name="40% - Accent5 2 3 7" xfId="23352" xr:uid="{00000000-0005-0000-0000-000086540000}"/>
    <cellStyle name="40% - Accent5 2 3 8" xfId="23230" xr:uid="{00000000-0005-0000-0000-000087540000}"/>
    <cellStyle name="40% - Accent5 2 3 8 2" xfId="42798" xr:uid="{00000000-0005-0000-0000-000088540000}"/>
    <cellStyle name="40% - Accent5 2 3 9" xfId="12269" xr:uid="{00000000-0005-0000-0000-000089540000}"/>
    <cellStyle name="40% - Accent5 2 4" xfId="2004" xr:uid="{00000000-0005-0000-0000-00008A540000}"/>
    <cellStyle name="40% - Accent5 2 4 2" xfId="13195" xr:uid="{00000000-0005-0000-0000-00008B540000}"/>
    <cellStyle name="40% - Accent5 2 4 2 10" xfId="23938" xr:uid="{00000000-0005-0000-0000-00008C540000}"/>
    <cellStyle name="40% - Accent5 2 4 2 10 2" xfId="43177" xr:uid="{00000000-0005-0000-0000-00008D540000}"/>
    <cellStyle name="40% - Accent5 2 4 2 11" xfId="33479" xr:uid="{00000000-0005-0000-0000-00008E540000}"/>
    <cellStyle name="40% - Accent5 2 4 2 12" xfId="52770" xr:uid="{00000000-0005-0000-0000-00008F540000}"/>
    <cellStyle name="40% - Accent5 2 4 2 2" xfId="13196" xr:uid="{00000000-0005-0000-0000-000090540000}"/>
    <cellStyle name="40% - Accent5 2 4 2 2 10" xfId="53198" xr:uid="{00000000-0005-0000-0000-000091540000}"/>
    <cellStyle name="40% - Accent5 2 4 2 2 2" xfId="14132" xr:uid="{00000000-0005-0000-0000-000092540000}"/>
    <cellStyle name="40% - Accent5 2 4 2 2 2 2" xfId="16396" xr:uid="{00000000-0005-0000-0000-000093540000}"/>
    <cellStyle name="40% - Accent5 2 4 2 2 2 2 2" xfId="20860" xr:uid="{00000000-0005-0000-0000-000094540000}"/>
    <cellStyle name="40% - Accent5 2 4 2 2 2 2 2 2" xfId="31228" xr:uid="{00000000-0005-0000-0000-000095540000}"/>
    <cellStyle name="40% - Accent5 2 4 2 2 2 2 2 2 2" xfId="50417" xr:uid="{00000000-0005-0000-0000-000096540000}"/>
    <cellStyle name="40% - Accent5 2 4 2 2 2 2 2 3" xfId="40719" xr:uid="{00000000-0005-0000-0000-000097540000}"/>
    <cellStyle name="40% - Accent5 2 4 2 2 2 2 3" xfId="26773" xr:uid="{00000000-0005-0000-0000-000098540000}"/>
    <cellStyle name="40% - Accent5 2 4 2 2 2 2 3 2" xfId="45962" xr:uid="{00000000-0005-0000-0000-000099540000}"/>
    <cellStyle name="40% - Accent5 2 4 2 2 2 2 4" xfId="36264" xr:uid="{00000000-0005-0000-0000-00009A540000}"/>
    <cellStyle name="40% - Accent5 2 4 2 2 2 3" xfId="18632" xr:uid="{00000000-0005-0000-0000-00009B540000}"/>
    <cellStyle name="40% - Accent5 2 4 2 2 2 3 2" xfId="29000" xr:uid="{00000000-0005-0000-0000-00009C540000}"/>
    <cellStyle name="40% - Accent5 2 4 2 2 2 3 2 2" xfId="48189" xr:uid="{00000000-0005-0000-0000-00009D540000}"/>
    <cellStyle name="40% - Accent5 2 4 2 2 2 3 3" xfId="38491" xr:uid="{00000000-0005-0000-0000-00009E540000}"/>
    <cellStyle name="40% - Accent5 2 4 2 2 2 4" xfId="24540" xr:uid="{00000000-0005-0000-0000-00009F540000}"/>
    <cellStyle name="40% - Accent5 2 4 2 2 2 4 2" xfId="43734" xr:uid="{00000000-0005-0000-0000-0000A0540000}"/>
    <cellStyle name="40% - Accent5 2 4 2 2 2 5" xfId="34036" xr:uid="{00000000-0005-0000-0000-0000A1540000}"/>
    <cellStyle name="40% - Accent5 2 4 2 2 2 6" xfId="54051" xr:uid="{00000000-0005-0000-0000-0000A2540000}"/>
    <cellStyle name="40% - Accent5 2 4 2 2 3" xfId="14711" xr:uid="{00000000-0005-0000-0000-0000A3540000}"/>
    <cellStyle name="40% - Accent5 2 4 2 2 3 2" xfId="15840" xr:uid="{00000000-0005-0000-0000-0000A4540000}"/>
    <cellStyle name="40% - Accent5 2 4 2 2 3 2 2" xfId="20304" xr:uid="{00000000-0005-0000-0000-0000A5540000}"/>
    <cellStyle name="40% - Accent5 2 4 2 2 3 2 2 2" xfId="30672" xr:uid="{00000000-0005-0000-0000-0000A6540000}"/>
    <cellStyle name="40% - Accent5 2 4 2 2 3 2 2 2 2" xfId="49861" xr:uid="{00000000-0005-0000-0000-0000A7540000}"/>
    <cellStyle name="40% - Accent5 2 4 2 2 3 2 2 3" xfId="40163" xr:uid="{00000000-0005-0000-0000-0000A8540000}"/>
    <cellStyle name="40% - Accent5 2 4 2 2 3 2 3" xfId="26217" xr:uid="{00000000-0005-0000-0000-0000A9540000}"/>
    <cellStyle name="40% - Accent5 2 4 2 2 3 2 3 2" xfId="45406" xr:uid="{00000000-0005-0000-0000-0000AA540000}"/>
    <cellStyle name="40% - Accent5 2 4 2 2 3 2 4" xfId="35708" xr:uid="{00000000-0005-0000-0000-0000AB540000}"/>
    <cellStyle name="40% - Accent5 2 4 2 2 3 3" xfId="19189" xr:uid="{00000000-0005-0000-0000-0000AC540000}"/>
    <cellStyle name="40% - Accent5 2 4 2 2 3 3 2" xfId="29557" xr:uid="{00000000-0005-0000-0000-0000AD540000}"/>
    <cellStyle name="40% - Accent5 2 4 2 2 3 3 2 2" xfId="48746" xr:uid="{00000000-0005-0000-0000-0000AE540000}"/>
    <cellStyle name="40% - Accent5 2 4 2 2 3 3 3" xfId="39048" xr:uid="{00000000-0005-0000-0000-0000AF540000}"/>
    <cellStyle name="40% - Accent5 2 4 2 2 3 4" xfId="25102" xr:uid="{00000000-0005-0000-0000-0000B0540000}"/>
    <cellStyle name="40% - Accent5 2 4 2 2 3 4 2" xfId="44291" xr:uid="{00000000-0005-0000-0000-0000B1540000}"/>
    <cellStyle name="40% - Accent5 2 4 2 2 3 5" xfId="34593" xr:uid="{00000000-0005-0000-0000-0000B2540000}"/>
    <cellStyle name="40% - Accent5 2 4 2 2 4" xfId="15283" xr:uid="{00000000-0005-0000-0000-0000B3540000}"/>
    <cellStyle name="40% - Accent5 2 4 2 2 4 2" xfId="19747" xr:uid="{00000000-0005-0000-0000-0000B4540000}"/>
    <cellStyle name="40% - Accent5 2 4 2 2 4 2 2" xfId="30115" xr:uid="{00000000-0005-0000-0000-0000B5540000}"/>
    <cellStyle name="40% - Accent5 2 4 2 2 4 2 2 2" xfId="49304" xr:uid="{00000000-0005-0000-0000-0000B6540000}"/>
    <cellStyle name="40% - Accent5 2 4 2 2 4 2 3" xfId="39606" xr:uid="{00000000-0005-0000-0000-0000B7540000}"/>
    <cellStyle name="40% - Accent5 2 4 2 2 4 3" xfId="25660" xr:uid="{00000000-0005-0000-0000-0000B8540000}"/>
    <cellStyle name="40% - Accent5 2 4 2 2 4 3 2" xfId="44849" xr:uid="{00000000-0005-0000-0000-0000B9540000}"/>
    <cellStyle name="40% - Accent5 2 4 2 2 4 4" xfId="35151" xr:uid="{00000000-0005-0000-0000-0000BA540000}"/>
    <cellStyle name="40% - Accent5 2 4 2 2 5" xfId="16953" xr:uid="{00000000-0005-0000-0000-0000BB540000}"/>
    <cellStyle name="40% - Accent5 2 4 2 2 5 2" xfId="21417" xr:uid="{00000000-0005-0000-0000-0000BC540000}"/>
    <cellStyle name="40% - Accent5 2 4 2 2 5 2 2" xfId="31785" xr:uid="{00000000-0005-0000-0000-0000BD540000}"/>
    <cellStyle name="40% - Accent5 2 4 2 2 5 2 2 2" xfId="50974" xr:uid="{00000000-0005-0000-0000-0000BE540000}"/>
    <cellStyle name="40% - Accent5 2 4 2 2 5 2 3" xfId="41276" xr:uid="{00000000-0005-0000-0000-0000BF540000}"/>
    <cellStyle name="40% - Accent5 2 4 2 2 5 3" xfId="27330" xr:uid="{00000000-0005-0000-0000-0000C0540000}"/>
    <cellStyle name="40% - Accent5 2 4 2 2 5 3 2" xfId="46519" xr:uid="{00000000-0005-0000-0000-0000C1540000}"/>
    <cellStyle name="40% - Accent5 2 4 2 2 5 4" xfId="36821" xr:uid="{00000000-0005-0000-0000-0000C2540000}"/>
    <cellStyle name="40% - Accent5 2 4 2 2 6" xfId="17519" xr:uid="{00000000-0005-0000-0000-0000C3540000}"/>
    <cellStyle name="40% - Accent5 2 4 2 2 6 2" xfId="21974" xr:uid="{00000000-0005-0000-0000-0000C4540000}"/>
    <cellStyle name="40% - Accent5 2 4 2 2 6 2 2" xfId="32342" xr:uid="{00000000-0005-0000-0000-0000C5540000}"/>
    <cellStyle name="40% - Accent5 2 4 2 2 6 2 2 2" xfId="51531" xr:uid="{00000000-0005-0000-0000-0000C6540000}"/>
    <cellStyle name="40% - Accent5 2 4 2 2 6 2 3" xfId="41833" xr:uid="{00000000-0005-0000-0000-0000C7540000}"/>
    <cellStyle name="40% - Accent5 2 4 2 2 6 3" xfId="27887" xr:uid="{00000000-0005-0000-0000-0000C8540000}"/>
    <cellStyle name="40% - Accent5 2 4 2 2 6 3 2" xfId="47076" xr:uid="{00000000-0005-0000-0000-0000C9540000}"/>
    <cellStyle name="40% - Accent5 2 4 2 2 6 4" xfId="37378" xr:uid="{00000000-0005-0000-0000-0000CA540000}"/>
    <cellStyle name="40% - Accent5 2 4 2 2 7" xfId="18076" xr:uid="{00000000-0005-0000-0000-0000CB540000}"/>
    <cellStyle name="40% - Accent5 2 4 2 2 7 2" xfId="28444" xr:uid="{00000000-0005-0000-0000-0000CC540000}"/>
    <cellStyle name="40% - Accent5 2 4 2 2 7 2 2" xfId="47633" xr:uid="{00000000-0005-0000-0000-0000CD540000}"/>
    <cellStyle name="40% - Accent5 2 4 2 2 7 3" xfId="37935" xr:uid="{00000000-0005-0000-0000-0000CE540000}"/>
    <cellStyle name="40% - Accent5 2 4 2 2 8" xfId="23939" xr:uid="{00000000-0005-0000-0000-0000CF540000}"/>
    <cellStyle name="40% - Accent5 2 4 2 2 8 2" xfId="43178" xr:uid="{00000000-0005-0000-0000-0000D0540000}"/>
    <cellStyle name="40% - Accent5 2 4 2 2 9" xfId="33480" xr:uid="{00000000-0005-0000-0000-0000D1540000}"/>
    <cellStyle name="40% - Accent5 2 4 2 3" xfId="13197" xr:uid="{00000000-0005-0000-0000-0000D2540000}"/>
    <cellStyle name="40% - Accent5 2 4 2 3 10" xfId="53655" xr:uid="{00000000-0005-0000-0000-0000D3540000}"/>
    <cellStyle name="40% - Accent5 2 4 2 3 2" xfId="14133" xr:uid="{00000000-0005-0000-0000-0000D4540000}"/>
    <cellStyle name="40% - Accent5 2 4 2 3 2 2" xfId="16397" xr:uid="{00000000-0005-0000-0000-0000D5540000}"/>
    <cellStyle name="40% - Accent5 2 4 2 3 2 2 2" xfId="20861" xr:uid="{00000000-0005-0000-0000-0000D6540000}"/>
    <cellStyle name="40% - Accent5 2 4 2 3 2 2 2 2" xfId="31229" xr:uid="{00000000-0005-0000-0000-0000D7540000}"/>
    <cellStyle name="40% - Accent5 2 4 2 3 2 2 2 2 2" xfId="50418" xr:uid="{00000000-0005-0000-0000-0000D8540000}"/>
    <cellStyle name="40% - Accent5 2 4 2 3 2 2 2 3" xfId="40720" xr:uid="{00000000-0005-0000-0000-0000D9540000}"/>
    <cellStyle name="40% - Accent5 2 4 2 3 2 2 3" xfId="26774" xr:uid="{00000000-0005-0000-0000-0000DA540000}"/>
    <cellStyle name="40% - Accent5 2 4 2 3 2 2 3 2" xfId="45963" xr:uid="{00000000-0005-0000-0000-0000DB540000}"/>
    <cellStyle name="40% - Accent5 2 4 2 3 2 2 4" xfId="36265" xr:uid="{00000000-0005-0000-0000-0000DC540000}"/>
    <cellStyle name="40% - Accent5 2 4 2 3 2 3" xfId="18633" xr:uid="{00000000-0005-0000-0000-0000DD540000}"/>
    <cellStyle name="40% - Accent5 2 4 2 3 2 3 2" xfId="29001" xr:uid="{00000000-0005-0000-0000-0000DE540000}"/>
    <cellStyle name="40% - Accent5 2 4 2 3 2 3 2 2" xfId="48190" xr:uid="{00000000-0005-0000-0000-0000DF540000}"/>
    <cellStyle name="40% - Accent5 2 4 2 3 2 3 3" xfId="38492" xr:uid="{00000000-0005-0000-0000-0000E0540000}"/>
    <cellStyle name="40% - Accent5 2 4 2 3 2 4" xfId="24541" xr:uid="{00000000-0005-0000-0000-0000E1540000}"/>
    <cellStyle name="40% - Accent5 2 4 2 3 2 4 2" xfId="43735" xr:uid="{00000000-0005-0000-0000-0000E2540000}"/>
    <cellStyle name="40% - Accent5 2 4 2 3 2 5" xfId="34037" xr:uid="{00000000-0005-0000-0000-0000E3540000}"/>
    <cellStyle name="40% - Accent5 2 4 2 3 3" xfId="14712" xr:uid="{00000000-0005-0000-0000-0000E4540000}"/>
    <cellStyle name="40% - Accent5 2 4 2 3 3 2" xfId="15841" xr:uid="{00000000-0005-0000-0000-0000E5540000}"/>
    <cellStyle name="40% - Accent5 2 4 2 3 3 2 2" xfId="20305" xr:uid="{00000000-0005-0000-0000-0000E6540000}"/>
    <cellStyle name="40% - Accent5 2 4 2 3 3 2 2 2" xfId="30673" xr:uid="{00000000-0005-0000-0000-0000E7540000}"/>
    <cellStyle name="40% - Accent5 2 4 2 3 3 2 2 2 2" xfId="49862" xr:uid="{00000000-0005-0000-0000-0000E8540000}"/>
    <cellStyle name="40% - Accent5 2 4 2 3 3 2 2 3" xfId="40164" xr:uid="{00000000-0005-0000-0000-0000E9540000}"/>
    <cellStyle name="40% - Accent5 2 4 2 3 3 2 3" xfId="26218" xr:uid="{00000000-0005-0000-0000-0000EA540000}"/>
    <cellStyle name="40% - Accent5 2 4 2 3 3 2 3 2" xfId="45407" xr:uid="{00000000-0005-0000-0000-0000EB540000}"/>
    <cellStyle name="40% - Accent5 2 4 2 3 3 2 4" xfId="35709" xr:uid="{00000000-0005-0000-0000-0000EC540000}"/>
    <cellStyle name="40% - Accent5 2 4 2 3 3 3" xfId="19190" xr:uid="{00000000-0005-0000-0000-0000ED540000}"/>
    <cellStyle name="40% - Accent5 2 4 2 3 3 3 2" xfId="29558" xr:uid="{00000000-0005-0000-0000-0000EE540000}"/>
    <cellStyle name="40% - Accent5 2 4 2 3 3 3 2 2" xfId="48747" xr:uid="{00000000-0005-0000-0000-0000EF540000}"/>
    <cellStyle name="40% - Accent5 2 4 2 3 3 3 3" xfId="39049" xr:uid="{00000000-0005-0000-0000-0000F0540000}"/>
    <cellStyle name="40% - Accent5 2 4 2 3 3 4" xfId="25103" xr:uid="{00000000-0005-0000-0000-0000F1540000}"/>
    <cellStyle name="40% - Accent5 2 4 2 3 3 4 2" xfId="44292" xr:uid="{00000000-0005-0000-0000-0000F2540000}"/>
    <cellStyle name="40% - Accent5 2 4 2 3 3 5" xfId="34594" xr:uid="{00000000-0005-0000-0000-0000F3540000}"/>
    <cellStyle name="40% - Accent5 2 4 2 3 4" xfId="15284" xr:uid="{00000000-0005-0000-0000-0000F4540000}"/>
    <cellStyle name="40% - Accent5 2 4 2 3 4 2" xfId="19748" xr:uid="{00000000-0005-0000-0000-0000F5540000}"/>
    <cellStyle name="40% - Accent5 2 4 2 3 4 2 2" xfId="30116" xr:uid="{00000000-0005-0000-0000-0000F6540000}"/>
    <cellStyle name="40% - Accent5 2 4 2 3 4 2 2 2" xfId="49305" xr:uid="{00000000-0005-0000-0000-0000F7540000}"/>
    <cellStyle name="40% - Accent5 2 4 2 3 4 2 3" xfId="39607" xr:uid="{00000000-0005-0000-0000-0000F8540000}"/>
    <cellStyle name="40% - Accent5 2 4 2 3 4 3" xfId="25661" xr:uid="{00000000-0005-0000-0000-0000F9540000}"/>
    <cellStyle name="40% - Accent5 2 4 2 3 4 3 2" xfId="44850" xr:uid="{00000000-0005-0000-0000-0000FA540000}"/>
    <cellStyle name="40% - Accent5 2 4 2 3 4 4" xfId="35152" xr:uid="{00000000-0005-0000-0000-0000FB540000}"/>
    <cellStyle name="40% - Accent5 2 4 2 3 5" xfId="16954" xr:uid="{00000000-0005-0000-0000-0000FC540000}"/>
    <cellStyle name="40% - Accent5 2 4 2 3 5 2" xfId="21418" xr:uid="{00000000-0005-0000-0000-0000FD540000}"/>
    <cellStyle name="40% - Accent5 2 4 2 3 5 2 2" xfId="31786" xr:uid="{00000000-0005-0000-0000-0000FE540000}"/>
    <cellStyle name="40% - Accent5 2 4 2 3 5 2 2 2" xfId="50975" xr:uid="{00000000-0005-0000-0000-0000FF540000}"/>
    <cellStyle name="40% - Accent5 2 4 2 3 5 2 3" xfId="41277" xr:uid="{00000000-0005-0000-0000-000000550000}"/>
    <cellStyle name="40% - Accent5 2 4 2 3 5 3" xfId="27331" xr:uid="{00000000-0005-0000-0000-000001550000}"/>
    <cellStyle name="40% - Accent5 2 4 2 3 5 3 2" xfId="46520" xr:uid="{00000000-0005-0000-0000-000002550000}"/>
    <cellStyle name="40% - Accent5 2 4 2 3 5 4" xfId="36822" xr:uid="{00000000-0005-0000-0000-000003550000}"/>
    <cellStyle name="40% - Accent5 2 4 2 3 6" xfId="17520" xr:uid="{00000000-0005-0000-0000-000004550000}"/>
    <cellStyle name="40% - Accent5 2 4 2 3 6 2" xfId="21975" xr:uid="{00000000-0005-0000-0000-000005550000}"/>
    <cellStyle name="40% - Accent5 2 4 2 3 6 2 2" xfId="32343" xr:uid="{00000000-0005-0000-0000-000006550000}"/>
    <cellStyle name="40% - Accent5 2 4 2 3 6 2 2 2" xfId="51532" xr:uid="{00000000-0005-0000-0000-000007550000}"/>
    <cellStyle name="40% - Accent5 2 4 2 3 6 2 3" xfId="41834" xr:uid="{00000000-0005-0000-0000-000008550000}"/>
    <cellStyle name="40% - Accent5 2 4 2 3 6 3" xfId="27888" xr:uid="{00000000-0005-0000-0000-000009550000}"/>
    <cellStyle name="40% - Accent5 2 4 2 3 6 3 2" xfId="47077" xr:uid="{00000000-0005-0000-0000-00000A550000}"/>
    <cellStyle name="40% - Accent5 2 4 2 3 6 4" xfId="37379" xr:uid="{00000000-0005-0000-0000-00000B550000}"/>
    <cellStyle name="40% - Accent5 2 4 2 3 7" xfId="18077" xr:uid="{00000000-0005-0000-0000-00000C550000}"/>
    <cellStyle name="40% - Accent5 2 4 2 3 7 2" xfId="28445" xr:uid="{00000000-0005-0000-0000-00000D550000}"/>
    <cellStyle name="40% - Accent5 2 4 2 3 7 2 2" xfId="47634" xr:uid="{00000000-0005-0000-0000-00000E550000}"/>
    <cellStyle name="40% - Accent5 2 4 2 3 7 3" xfId="37936" xr:uid="{00000000-0005-0000-0000-00000F550000}"/>
    <cellStyle name="40% - Accent5 2 4 2 3 8" xfId="23940" xr:uid="{00000000-0005-0000-0000-000010550000}"/>
    <cellStyle name="40% - Accent5 2 4 2 3 8 2" xfId="43179" xr:uid="{00000000-0005-0000-0000-000011550000}"/>
    <cellStyle name="40% - Accent5 2 4 2 3 9" xfId="33481" xr:uid="{00000000-0005-0000-0000-000012550000}"/>
    <cellStyle name="40% - Accent5 2 4 2 4" xfId="14131" xr:uid="{00000000-0005-0000-0000-000013550000}"/>
    <cellStyle name="40% - Accent5 2 4 2 4 2" xfId="16395" xr:uid="{00000000-0005-0000-0000-000014550000}"/>
    <cellStyle name="40% - Accent5 2 4 2 4 2 2" xfId="20859" xr:uid="{00000000-0005-0000-0000-000015550000}"/>
    <cellStyle name="40% - Accent5 2 4 2 4 2 2 2" xfId="31227" xr:uid="{00000000-0005-0000-0000-000016550000}"/>
    <cellStyle name="40% - Accent5 2 4 2 4 2 2 2 2" xfId="50416" xr:uid="{00000000-0005-0000-0000-000017550000}"/>
    <cellStyle name="40% - Accent5 2 4 2 4 2 2 3" xfId="40718" xr:uid="{00000000-0005-0000-0000-000018550000}"/>
    <cellStyle name="40% - Accent5 2 4 2 4 2 3" xfId="26772" xr:uid="{00000000-0005-0000-0000-000019550000}"/>
    <cellStyle name="40% - Accent5 2 4 2 4 2 3 2" xfId="45961" xr:uid="{00000000-0005-0000-0000-00001A550000}"/>
    <cellStyle name="40% - Accent5 2 4 2 4 2 4" xfId="36263" xr:uid="{00000000-0005-0000-0000-00001B550000}"/>
    <cellStyle name="40% - Accent5 2 4 2 4 3" xfId="18631" xr:uid="{00000000-0005-0000-0000-00001C550000}"/>
    <cellStyle name="40% - Accent5 2 4 2 4 3 2" xfId="28999" xr:uid="{00000000-0005-0000-0000-00001D550000}"/>
    <cellStyle name="40% - Accent5 2 4 2 4 3 2 2" xfId="48188" xr:uid="{00000000-0005-0000-0000-00001E550000}"/>
    <cellStyle name="40% - Accent5 2 4 2 4 3 3" xfId="38490" xr:uid="{00000000-0005-0000-0000-00001F550000}"/>
    <cellStyle name="40% - Accent5 2 4 2 4 4" xfId="24539" xr:uid="{00000000-0005-0000-0000-000020550000}"/>
    <cellStyle name="40% - Accent5 2 4 2 4 4 2" xfId="43733" xr:uid="{00000000-0005-0000-0000-000021550000}"/>
    <cellStyle name="40% - Accent5 2 4 2 4 5" xfId="34035" xr:uid="{00000000-0005-0000-0000-000022550000}"/>
    <cellStyle name="40% - Accent5 2 4 2 5" xfId="14710" xr:uid="{00000000-0005-0000-0000-000023550000}"/>
    <cellStyle name="40% - Accent5 2 4 2 5 2" xfId="15839" xr:uid="{00000000-0005-0000-0000-000024550000}"/>
    <cellStyle name="40% - Accent5 2 4 2 5 2 2" xfId="20303" xr:uid="{00000000-0005-0000-0000-000025550000}"/>
    <cellStyle name="40% - Accent5 2 4 2 5 2 2 2" xfId="30671" xr:uid="{00000000-0005-0000-0000-000026550000}"/>
    <cellStyle name="40% - Accent5 2 4 2 5 2 2 2 2" xfId="49860" xr:uid="{00000000-0005-0000-0000-000027550000}"/>
    <cellStyle name="40% - Accent5 2 4 2 5 2 2 3" xfId="40162" xr:uid="{00000000-0005-0000-0000-000028550000}"/>
    <cellStyle name="40% - Accent5 2 4 2 5 2 3" xfId="26216" xr:uid="{00000000-0005-0000-0000-000029550000}"/>
    <cellStyle name="40% - Accent5 2 4 2 5 2 3 2" xfId="45405" xr:uid="{00000000-0005-0000-0000-00002A550000}"/>
    <cellStyle name="40% - Accent5 2 4 2 5 2 4" xfId="35707" xr:uid="{00000000-0005-0000-0000-00002B550000}"/>
    <cellStyle name="40% - Accent5 2 4 2 5 3" xfId="19188" xr:uid="{00000000-0005-0000-0000-00002C550000}"/>
    <cellStyle name="40% - Accent5 2 4 2 5 3 2" xfId="29556" xr:uid="{00000000-0005-0000-0000-00002D550000}"/>
    <cellStyle name="40% - Accent5 2 4 2 5 3 2 2" xfId="48745" xr:uid="{00000000-0005-0000-0000-00002E550000}"/>
    <cellStyle name="40% - Accent5 2 4 2 5 3 3" xfId="39047" xr:uid="{00000000-0005-0000-0000-00002F550000}"/>
    <cellStyle name="40% - Accent5 2 4 2 5 4" xfId="25101" xr:uid="{00000000-0005-0000-0000-000030550000}"/>
    <cellStyle name="40% - Accent5 2 4 2 5 4 2" xfId="44290" xr:uid="{00000000-0005-0000-0000-000031550000}"/>
    <cellStyle name="40% - Accent5 2 4 2 5 5" xfId="34592" xr:uid="{00000000-0005-0000-0000-000032550000}"/>
    <cellStyle name="40% - Accent5 2 4 2 6" xfId="15282" xr:uid="{00000000-0005-0000-0000-000033550000}"/>
    <cellStyle name="40% - Accent5 2 4 2 6 2" xfId="19746" xr:uid="{00000000-0005-0000-0000-000034550000}"/>
    <cellStyle name="40% - Accent5 2 4 2 6 2 2" xfId="30114" xr:uid="{00000000-0005-0000-0000-000035550000}"/>
    <cellStyle name="40% - Accent5 2 4 2 6 2 2 2" xfId="49303" xr:uid="{00000000-0005-0000-0000-000036550000}"/>
    <cellStyle name="40% - Accent5 2 4 2 6 2 3" xfId="39605" xr:uid="{00000000-0005-0000-0000-000037550000}"/>
    <cellStyle name="40% - Accent5 2 4 2 6 3" xfId="25659" xr:uid="{00000000-0005-0000-0000-000038550000}"/>
    <cellStyle name="40% - Accent5 2 4 2 6 3 2" xfId="44848" xr:uid="{00000000-0005-0000-0000-000039550000}"/>
    <cellStyle name="40% - Accent5 2 4 2 6 4" xfId="35150" xr:uid="{00000000-0005-0000-0000-00003A550000}"/>
    <cellStyle name="40% - Accent5 2 4 2 7" xfId="16952" xr:uid="{00000000-0005-0000-0000-00003B550000}"/>
    <cellStyle name="40% - Accent5 2 4 2 7 2" xfId="21416" xr:uid="{00000000-0005-0000-0000-00003C550000}"/>
    <cellStyle name="40% - Accent5 2 4 2 7 2 2" xfId="31784" xr:uid="{00000000-0005-0000-0000-00003D550000}"/>
    <cellStyle name="40% - Accent5 2 4 2 7 2 2 2" xfId="50973" xr:uid="{00000000-0005-0000-0000-00003E550000}"/>
    <cellStyle name="40% - Accent5 2 4 2 7 2 3" xfId="41275" xr:uid="{00000000-0005-0000-0000-00003F550000}"/>
    <cellStyle name="40% - Accent5 2 4 2 7 3" xfId="27329" xr:uid="{00000000-0005-0000-0000-000040550000}"/>
    <cellStyle name="40% - Accent5 2 4 2 7 3 2" xfId="46518" xr:uid="{00000000-0005-0000-0000-000041550000}"/>
    <cellStyle name="40% - Accent5 2 4 2 7 4" xfId="36820" xr:uid="{00000000-0005-0000-0000-000042550000}"/>
    <cellStyle name="40% - Accent5 2 4 2 8" xfId="17518" xr:uid="{00000000-0005-0000-0000-000043550000}"/>
    <cellStyle name="40% - Accent5 2 4 2 8 2" xfId="21973" xr:uid="{00000000-0005-0000-0000-000044550000}"/>
    <cellStyle name="40% - Accent5 2 4 2 8 2 2" xfId="32341" xr:uid="{00000000-0005-0000-0000-000045550000}"/>
    <cellStyle name="40% - Accent5 2 4 2 8 2 2 2" xfId="51530" xr:uid="{00000000-0005-0000-0000-000046550000}"/>
    <cellStyle name="40% - Accent5 2 4 2 8 2 3" xfId="41832" xr:uid="{00000000-0005-0000-0000-000047550000}"/>
    <cellStyle name="40% - Accent5 2 4 2 8 3" xfId="27886" xr:uid="{00000000-0005-0000-0000-000048550000}"/>
    <cellStyle name="40% - Accent5 2 4 2 8 3 2" xfId="47075" xr:uid="{00000000-0005-0000-0000-000049550000}"/>
    <cellStyle name="40% - Accent5 2 4 2 8 4" xfId="37377" xr:uid="{00000000-0005-0000-0000-00004A550000}"/>
    <cellStyle name="40% - Accent5 2 4 2 9" xfId="18075" xr:uid="{00000000-0005-0000-0000-00004B550000}"/>
    <cellStyle name="40% - Accent5 2 4 2 9 2" xfId="28443" xr:uid="{00000000-0005-0000-0000-00004C550000}"/>
    <cellStyle name="40% - Accent5 2 4 2 9 2 2" xfId="47632" xr:uid="{00000000-0005-0000-0000-00004D550000}"/>
    <cellStyle name="40% - Accent5 2 4 2 9 3" xfId="37934" xr:uid="{00000000-0005-0000-0000-00004E550000}"/>
    <cellStyle name="40% - Accent5 2 4 3" xfId="13198" xr:uid="{00000000-0005-0000-0000-00004F550000}"/>
    <cellStyle name="40% - Accent5 2 4 3 10" xfId="23941" xr:uid="{00000000-0005-0000-0000-000050550000}"/>
    <cellStyle name="40% - Accent5 2 4 3 10 2" xfId="43180" xr:uid="{00000000-0005-0000-0000-000051550000}"/>
    <cellStyle name="40% - Accent5 2 4 3 11" xfId="33482" xr:uid="{00000000-0005-0000-0000-000052550000}"/>
    <cellStyle name="40% - Accent5 2 4 3 12" xfId="52980" xr:uid="{00000000-0005-0000-0000-000053550000}"/>
    <cellStyle name="40% - Accent5 2 4 3 2" xfId="13199" xr:uid="{00000000-0005-0000-0000-000054550000}"/>
    <cellStyle name="40% - Accent5 2 4 3 2 10" xfId="53855" xr:uid="{00000000-0005-0000-0000-000055550000}"/>
    <cellStyle name="40% - Accent5 2 4 3 2 2" xfId="14135" xr:uid="{00000000-0005-0000-0000-000056550000}"/>
    <cellStyle name="40% - Accent5 2 4 3 2 2 2" xfId="16399" xr:uid="{00000000-0005-0000-0000-000057550000}"/>
    <cellStyle name="40% - Accent5 2 4 3 2 2 2 2" xfId="20863" xr:uid="{00000000-0005-0000-0000-000058550000}"/>
    <cellStyle name="40% - Accent5 2 4 3 2 2 2 2 2" xfId="31231" xr:uid="{00000000-0005-0000-0000-000059550000}"/>
    <cellStyle name="40% - Accent5 2 4 3 2 2 2 2 2 2" xfId="50420" xr:uid="{00000000-0005-0000-0000-00005A550000}"/>
    <cellStyle name="40% - Accent5 2 4 3 2 2 2 2 3" xfId="40722" xr:uid="{00000000-0005-0000-0000-00005B550000}"/>
    <cellStyle name="40% - Accent5 2 4 3 2 2 2 3" xfId="26776" xr:uid="{00000000-0005-0000-0000-00005C550000}"/>
    <cellStyle name="40% - Accent5 2 4 3 2 2 2 3 2" xfId="45965" xr:uid="{00000000-0005-0000-0000-00005D550000}"/>
    <cellStyle name="40% - Accent5 2 4 3 2 2 2 4" xfId="36267" xr:uid="{00000000-0005-0000-0000-00005E550000}"/>
    <cellStyle name="40% - Accent5 2 4 3 2 2 3" xfId="18635" xr:uid="{00000000-0005-0000-0000-00005F550000}"/>
    <cellStyle name="40% - Accent5 2 4 3 2 2 3 2" xfId="29003" xr:uid="{00000000-0005-0000-0000-000060550000}"/>
    <cellStyle name="40% - Accent5 2 4 3 2 2 3 2 2" xfId="48192" xr:uid="{00000000-0005-0000-0000-000061550000}"/>
    <cellStyle name="40% - Accent5 2 4 3 2 2 3 3" xfId="38494" xr:uid="{00000000-0005-0000-0000-000062550000}"/>
    <cellStyle name="40% - Accent5 2 4 3 2 2 4" xfId="24543" xr:uid="{00000000-0005-0000-0000-000063550000}"/>
    <cellStyle name="40% - Accent5 2 4 3 2 2 4 2" xfId="43737" xr:uid="{00000000-0005-0000-0000-000064550000}"/>
    <cellStyle name="40% - Accent5 2 4 3 2 2 5" xfId="34039" xr:uid="{00000000-0005-0000-0000-000065550000}"/>
    <cellStyle name="40% - Accent5 2 4 3 2 3" xfId="14714" xr:uid="{00000000-0005-0000-0000-000066550000}"/>
    <cellStyle name="40% - Accent5 2 4 3 2 3 2" xfId="15843" xr:uid="{00000000-0005-0000-0000-000067550000}"/>
    <cellStyle name="40% - Accent5 2 4 3 2 3 2 2" xfId="20307" xr:uid="{00000000-0005-0000-0000-000068550000}"/>
    <cellStyle name="40% - Accent5 2 4 3 2 3 2 2 2" xfId="30675" xr:uid="{00000000-0005-0000-0000-000069550000}"/>
    <cellStyle name="40% - Accent5 2 4 3 2 3 2 2 2 2" xfId="49864" xr:uid="{00000000-0005-0000-0000-00006A550000}"/>
    <cellStyle name="40% - Accent5 2 4 3 2 3 2 2 3" xfId="40166" xr:uid="{00000000-0005-0000-0000-00006B550000}"/>
    <cellStyle name="40% - Accent5 2 4 3 2 3 2 3" xfId="26220" xr:uid="{00000000-0005-0000-0000-00006C550000}"/>
    <cellStyle name="40% - Accent5 2 4 3 2 3 2 3 2" xfId="45409" xr:uid="{00000000-0005-0000-0000-00006D550000}"/>
    <cellStyle name="40% - Accent5 2 4 3 2 3 2 4" xfId="35711" xr:uid="{00000000-0005-0000-0000-00006E550000}"/>
    <cellStyle name="40% - Accent5 2 4 3 2 3 3" xfId="19192" xr:uid="{00000000-0005-0000-0000-00006F550000}"/>
    <cellStyle name="40% - Accent5 2 4 3 2 3 3 2" xfId="29560" xr:uid="{00000000-0005-0000-0000-000070550000}"/>
    <cellStyle name="40% - Accent5 2 4 3 2 3 3 2 2" xfId="48749" xr:uid="{00000000-0005-0000-0000-000071550000}"/>
    <cellStyle name="40% - Accent5 2 4 3 2 3 3 3" xfId="39051" xr:uid="{00000000-0005-0000-0000-000072550000}"/>
    <cellStyle name="40% - Accent5 2 4 3 2 3 4" xfId="25105" xr:uid="{00000000-0005-0000-0000-000073550000}"/>
    <cellStyle name="40% - Accent5 2 4 3 2 3 4 2" xfId="44294" xr:uid="{00000000-0005-0000-0000-000074550000}"/>
    <cellStyle name="40% - Accent5 2 4 3 2 3 5" xfId="34596" xr:uid="{00000000-0005-0000-0000-000075550000}"/>
    <cellStyle name="40% - Accent5 2 4 3 2 4" xfId="15286" xr:uid="{00000000-0005-0000-0000-000076550000}"/>
    <cellStyle name="40% - Accent5 2 4 3 2 4 2" xfId="19750" xr:uid="{00000000-0005-0000-0000-000077550000}"/>
    <cellStyle name="40% - Accent5 2 4 3 2 4 2 2" xfId="30118" xr:uid="{00000000-0005-0000-0000-000078550000}"/>
    <cellStyle name="40% - Accent5 2 4 3 2 4 2 2 2" xfId="49307" xr:uid="{00000000-0005-0000-0000-000079550000}"/>
    <cellStyle name="40% - Accent5 2 4 3 2 4 2 3" xfId="39609" xr:uid="{00000000-0005-0000-0000-00007A550000}"/>
    <cellStyle name="40% - Accent5 2 4 3 2 4 3" xfId="25663" xr:uid="{00000000-0005-0000-0000-00007B550000}"/>
    <cellStyle name="40% - Accent5 2 4 3 2 4 3 2" xfId="44852" xr:uid="{00000000-0005-0000-0000-00007C550000}"/>
    <cellStyle name="40% - Accent5 2 4 3 2 4 4" xfId="35154" xr:uid="{00000000-0005-0000-0000-00007D550000}"/>
    <cellStyle name="40% - Accent5 2 4 3 2 5" xfId="16956" xr:uid="{00000000-0005-0000-0000-00007E550000}"/>
    <cellStyle name="40% - Accent5 2 4 3 2 5 2" xfId="21420" xr:uid="{00000000-0005-0000-0000-00007F550000}"/>
    <cellStyle name="40% - Accent5 2 4 3 2 5 2 2" xfId="31788" xr:uid="{00000000-0005-0000-0000-000080550000}"/>
    <cellStyle name="40% - Accent5 2 4 3 2 5 2 2 2" xfId="50977" xr:uid="{00000000-0005-0000-0000-000081550000}"/>
    <cellStyle name="40% - Accent5 2 4 3 2 5 2 3" xfId="41279" xr:uid="{00000000-0005-0000-0000-000082550000}"/>
    <cellStyle name="40% - Accent5 2 4 3 2 5 3" xfId="27333" xr:uid="{00000000-0005-0000-0000-000083550000}"/>
    <cellStyle name="40% - Accent5 2 4 3 2 5 3 2" xfId="46522" xr:uid="{00000000-0005-0000-0000-000084550000}"/>
    <cellStyle name="40% - Accent5 2 4 3 2 5 4" xfId="36824" xr:uid="{00000000-0005-0000-0000-000085550000}"/>
    <cellStyle name="40% - Accent5 2 4 3 2 6" xfId="17522" xr:uid="{00000000-0005-0000-0000-000086550000}"/>
    <cellStyle name="40% - Accent5 2 4 3 2 6 2" xfId="21977" xr:uid="{00000000-0005-0000-0000-000087550000}"/>
    <cellStyle name="40% - Accent5 2 4 3 2 6 2 2" xfId="32345" xr:uid="{00000000-0005-0000-0000-000088550000}"/>
    <cellStyle name="40% - Accent5 2 4 3 2 6 2 2 2" xfId="51534" xr:uid="{00000000-0005-0000-0000-000089550000}"/>
    <cellStyle name="40% - Accent5 2 4 3 2 6 2 3" xfId="41836" xr:uid="{00000000-0005-0000-0000-00008A550000}"/>
    <cellStyle name="40% - Accent5 2 4 3 2 6 3" xfId="27890" xr:uid="{00000000-0005-0000-0000-00008B550000}"/>
    <cellStyle name="40% - Accent5 2 4 3 2 6 3 2" xfId="47079" xr:uid="{00000000-0005-0000-0000-00008C550000}"/>
    <cellStyle name="40% - Accent5 2 4 3 2 6 4" xfId="37381" xr:uid="{00000000-0005-0000-0000-00008D550000}"/>
    <cellStyle name="40% - Accent5 2 4 3 2 7" xfId="18079" xr:uid="{00000000-0005-0000-0000-00008E550000}"/>
    <cellStyle name="40% - Accent5 2 4 3 2 7 2" xfId="28447" xr:uid="{00000000-0005-0000-0000-00008F550000}"/>
    <cellStyle name="40% - Accent5 2 4 3 2 7 2 2" xfId="47636" xr:uid="{00000000-0005-0000-0000-000090550000}"/>
    <cellStyle name="40% - Accent5 2 4 3 2 7 3" xfId="37938" xr:uid="{00000000-0005-0000-0000-000091550000}"/>
    <cellStyle name="40% - Accent5 2 4 3 2 8" xfId="23942" xr:uid="{00000000-0005-0000-0000-000092550000}"/>
    <cellStyle name="40% - Accent5 2 4 3 2 8 2" xfId="43181" xr:uid="{00000000-0005-0000-0000-000093550000}"/>
    <cellStyle name="40% - Accent5 2 4 3 2 9" xfId="33483" xr:uid="{00000000-0005-0000-0000-000094550000}"/>
    <cellStyle name="40% - Accent5 2 4 3 3" xfId="13200" xr:uid="{00000000-0005-0000-0000-000095550000}"/>
    <cellStyle name="40% - Accent5 2 4 3 3 2" xfId="14136" xr:uid="{00000000-0005-0000-0000-000096550000}"/>
    <cellStyle name="40% - Accent5 2 4 3 3 2 2" xfId="16400" xr:uid="{00000000-0005-0000-0000-000097550000}"/>
    <cellStyle name="40% - Accent5 2 4 3 3 2 2 2" xfId="20864" xr:uid="{00000000-0005-0000-0000-000098550000}"/>
    <cellStyle name="40% - Accent5 2 4 3 3 2 2 2 2" xfId="31232" xr:uid="{00000000-0005-0000-0000-000099550000}"/>
    <cellStyle name="40% - Accent5 2 4 3 3 2 2 2 2 2" xfId="50421" xr:uid="{00000000-0005-0000-0000-00009A550000}"/>
    <cellStyle name="40% - Accent5 2 4 3 3 2 2 2 3" xfId="40723" xr:uid="{00000000-0005-0000-0000-00009B550000}"/>
    <cellStyle name="40% - Accent5 2 4 3 3 2 2 3" xfId="26777" xr:uid="{00000000-0005-0000-0000-00009C550000}"/>
    <cellStyle name="40% - Accent5 2 4 3 3 2 2 3 2" xfId="45966" xr:uid="{00000000-0005-0000-0000-00009D550000}"/>
    <cellStyle name="40% - Accent5 2 4 3 3 2 2 4" xfId="36268" xr:uid="{00000000-0005-0000-0000-00009E550000}"/>
    <cellStyle name="40% - Accent5 2 4 3 3 2 3" xfId="18636" xr:uid="{00000000-0005-0000-0000-00009F550000}"/>
    <cellStyle name="40% - Accent5 2 4 3 3 2 3 2" xfId="29004" xr:uid="{00000000-0005-0000-0000-0000A0550000}"/>
    <cellStyle name="40% - Accent5 2 4 3 3 2 3 2 2" xfId="48193" xr:uid="{00000000-0005-0000-0000-0000A1550000}"/>
    <cellStyle name="40% - Accent5 2 4 3 3 2 3 3" xfId="38495" xr:uid="{00000000-0005-0000-0000-0000A2550000}"/>
    <cellStyle name="40% - Accent5 2 4 3 3 2 4" xfId="24544" xr:uid="{00000000-0005-0000-0000-0000A3550000}"/>
    <cellStyle name="40% - Accent5 2 4 3 3 2 4 2" xfId="43738" xr:uid="{00000000-0005-0000-0000-0000A4550000}"/>
    <cellStyle name="40% - Accent5 2 4 3 3 2 5" xfId="34040" xr:uid="{00000000-0005-0000-0000-0000A5550000}"/>
    <cellStyle name="40% - Accent5 2 4 3 3 3" xfId="14715" xr:uid="{00000000-0005-0000-0000-0000A6550000}"/>
    <cellStyle name="40% - Accent5 2 4 3 3 3 2" xfId="15844" xr:uid="{00000000-0005-0000-0000-0000A7550000}"/>
    <cellStyle name="40% - Accent5 2 4 3 3 3 2 2" xfId="20308" xr:uid="{00000000-0005-0000-0000-0000A8550000}"/>
    <cellStyle name="40% - Accent5 2 4 3 3 3 2 2 2" xfId="30676" xr:uid="{00000000-0005-0000-0000-0000A9550000}"/>
    <cellStyle name="40% - Accent5 2 4 3 3 3 2 2 2 2" xfId="49865" xr:uid="{00000000-0005-0000-0000-0000AA550000}"/>
    <cellStyle name="40% - Accent5 2 4 3 3 3 2 2 3" xfId="40167" xr:uid="{00000000-0005-0000-0000-0000AB550000}"/>
    <cellStyle name="40% - Accent5 2 4 3 3 3 2 3" xfId="26221" xr:uid="{00000000-0005-0000-0000-0000AC550000}"/>
    <cellStyle name="40% - Accent5 2 4 3 3 3 2 3 2" xfId="45410" xr:uid="{00000000-0005-0000-0000-0000AD550000}"/>
    <cellStyle name="40% - Accent5 2 4 3 3 3 2 4" xfId="35712" xr:uid="{00000000-0005-0000-0000-0000AE550000}"/>
    <cellStyle name="40% - Accent5 2 4 3 3 3 3" xfId="19193" xr:uid="{00000000-0005-0000-0000-0000AF550000}"/>
    <cellStyle name="40% - Accent5 2 4 3 3 3 3 2" xfId="29561" xr:uid="{00000000-0005-0000-0000-0000B0550000}"/>
    <cellStyle name="40% - Accent5 2 4 3 3 3 3 2 2" xfId="48750" xr:uid="{00000000-0005-0000-0000-0000B1550000}"/>
    <cellStyle name="40% - Accent5 2 4 3 3 3 3 3" xfId="39052" xr:uid="{00000000-0005-0000-0000-0000B2550000}"/>
    <cellStyle name="40% - Accent5 2 4 3 3 3 4" xfId="25106" xr:uid="{00000000-0005-0000-0000-0000B3550000}"/>
    <cellStyle name="40% - Accent5 2 4 3 3 3 4 2" xfId="44295" xr:uid="{00000000-0005-0000-0000-0000B4550000}"/>
    <cellStyle name="40% - Accent5 2 4 3 3 3 5" xfId="34597" xr:uid="{00000000-0005-0000-0000-0000B5550000}"/>
    <cellStyle name="40% - Accent5 2 4 3 3 4" xfId="15287" xr:uid="{00000000-0005-0000-0000-0000B6550000}"/>
    <cellStyle name="40% - Accent5 2 4 3 3 4 2" xfId="19751" xr:uid="{00000000-0005-0000-0000-0000B7550000}"/>
    <cellStyle name="40% - Accent5 2 4 3 3 4 2 2" xfId="30119" xr:uid="{00000000-0005-0000-0000-0000B8550000}"/>
    <cellStyle name="40% - Accent5 2 4 3 3 4 2 2 2" xfId="49308" xr:uid="{00000000-0005-0000-0000-0000B9550000}"/>
    <cellStyle name="40% - Accent5 2 4 3 3 4 2 3" xfId="39610" xr:uid="{00000000-0005-0000-0000-0000BA550000}"/>
    <cellStyle name="40% - Accent5 2 4 3 3 4 3" xfId="25664" xr:uid="{00000000-0005-0000-0000-0000BB550000}"/>
    <cellStyle name="40% - Accent5 2 4 3 3 4 3 2" xfId="44853" xr:uid="{00000000-0005-0000-0000-0000BC550000}"/>
    <cellStyle name="40% - Accent5 2 4 3 3 4 4" xfId="35155" xr:uid="{00000000-0005-0000-0000-0000BD550000}"/>
    <cellStyle name="40% - Accent5 2 4 3 3 5" xfId="16957" xr:uid="{00000000-0005-0000-0000-0000BE550000}"/>
    <cellStyle name="40% - Accent5 2 4 3 3 5 2" xfId="21421" xr:uid="{00000000-0005-0000-0000-0000BF550000}"/>
    <cellStyle name="40% - Accent5 2 4 3 3 5 2 2" xfId="31789" xr:uid="{00000000-0005-0000-0000-0000C0550000}"/>
    <cellStyle name="40% - Accent5 2 4 3 3 5 2 2 2" xfId="50978" xr:uid="{00000000-0005-0000-0000-0000C1550000}"/>
    <cellStyle name="40% - Accent5 2 4 3 3 5 2 3" xfId="41280" xr:uid="{00000000-0005-0000-0000-0000C2550000}"/>
    <cellStyle name="40% - Accent5 2 4 3 3 5 3" xfId="27334" xr:uid="{00000000-0005-0000-0000-0000C3550000}"/>
    <cellStyle name="40% - Accent5 2 4 3 3 5 3 2" xfId="46523" xr:uid="{00000000-0005-0000-0000-0000C4550000}"/>
    <cellStyle name="40% - Accent5 2 4 3 3 5 4" xfId="36825" xr:uid="{00000000-0005-0000-0000-0000C5550000}"/>
    <cellStyle name="40% - Accent5 2 4 3 3 6" xfId="17523" xr:uid="{00000000-0005-0000-0000-0000C6550000}"/>
    <cellStyle name="40% - Accent5 2 4 3 3 6 2" xfId="21978" xr:uid="{00000000-0005-0000-0000-0000C7550000}"/>
    <cellStyle name="40% - Accent5 2 4 3 3 6 2 2" xfId="32346" xr:uid="{00000000-0005-0000-0000-0000C8550000}"/>
    <cellStyle name="40% - Accent5 2 4 3 3 6 2 2 2" xfId="51535" xr:uid="{00000000-0005-0000-0000-0000C9550000}"/>
    <cellStyle name="40% - Accent5 2 4 3 3 6 2 3" xfId="41837" xr:uid="{00000000-0005-0000-0000-0000CA550000}"/>
    <cellStyle name="40% - Accent5 2 4 3 3 6 3" xfId="27891" xr:uid="{00000000-0005-0000-0000-0000CB550000}"/>
    <cellStyle name="40% - Accent5 2 4 3 3 6 3 2" xfId="47080" xr:uid="{00000000-0005-0000-0000-0000CC550000}"/>
    <cellStyle name="40% - Accent5 2 4 3 3 6 4" xfId="37382" xr:uid="{00000000-0005-0000-0000-0000CD550000}"/>
    <cellStyle name="40% - Accent5 2 4 3 3 7" xfId="18080" xr:uid="{00000000-0005-0000-0000-0000CE550000}"/>
    <cellStyle name="40% - Accent5 2 4 3 3 7 2" xfId="28448" xr:uid="{00000000-0005-0000-0000-0000CF550000}"/>
    <cellStyle name="40% - Accent5 2 4 3 3 7 2 2" xfId="47637" xr:uid="{00000000-0005-0000-0000-0000D0550000}"/>
    <cellStyle name="40% - Accent5 2 4 3 3 7 3" xfId="37939" xr:uid="{00000000-0005-0000-0000-0000D1550000}"/>
    <cellStyle name="40% - Accent5 2 4 3 3 8" xfId="23943" xr:uid="{00000000-0005-0000-0000-0000D2550000}"/>
    <cellStyle name="40% - Accent5 2 4 3 3 8 2" xfId="43182" xr:uid="{00000000-0005-0000-0000-0000D3550000}"/>
    <cellStyle name="40% - Accent5 2 4 3 3 9" xfId="33484" xr:uid="{00000000-0005-0000-0000-0000D4550000}"/>
    <cellStyle name="40% - Accent5 2 4 3 4" xfId="14134" xr:uid="{00000000-0005-0000-0000-0000D5550000}"/>
    <cellStyle name="40% - Accent5 2 4 3 4 2" xfId="16398" xr:uid="{00000000-0005-0000-0000-0000D6550000}"/>
    <cellStyle name="40% - Accent5 2 4 3 4 2 2" xfId="20862" xr:uid="{00000000-0005-0000-0000-0000D7550000}"/>
    <cellStyle name="40% - Accent5 2 4 3 4 2 2 2" xfId="31230" xr:uid="{00000000-0005-0000-0000-0000D8550000}"/>
    <cellStyle name="40% - Accent5 2 4 3 4 2 2 2 2" xfId="50419" xr:uid="{00000000-0005-0000-0000-0000D9550000}"/>
    <cellStyle name="40% - Accent5 2 4 3 4 2 2 3" xfId="40721" xr:uid="{00000000-0005-0000-0000-0000DA550000}"/>
    <cellStyle name="40% - Accent5 2 4 3 4 2 3" xfId="26775" xr:uid="{00000000-0005-0000-0000-0000DB550000}"/>
    <cellStyle name="40% - Accent5 2 4 3 4 2 3 2" xfId="45964" xr:uid="{00000000-0005-0000-0000-0000DC550000}"/>
    <cellStyle name="40% - Accent5 2 4 3 4 2 4" xfId="36266" xr:uid="{00000000-0005-0000-0000-0000DD550000}"/>
    <cellStyle name="40% - Accent5 2 4 3 4 3" xfId="18634" xr:uid="{00000000-0005-0000-0000-0000DE550000}"/>
    <cellStyle name="40% - Accent5 2 4 3 4 3 2" xfId="29002" xr:uid="{00000000-0005-0000-0000-0000DF550000}"/>
    <cellStyle name="40% - Accent5 2 4 3 4 3 2 2" xfId="48191" xr:uid="{00000000-0005-0000-0000-0000E0550000}"/>
    <cellStyle name="40% - Accent5 2 4 3 4 3 3" xfId="38493" xr:uid="{00000000-0005-0000-0000-0000E1550000}"/>
    <cellStyle name="40% - Accent5 2 4 3 4 4" xfId="24542" xr:uid="{00000000-0005-0000-0000-0000E2550000}"/>
    <cellStyle name="40% - Accent5 2 4 3 4 4 2" xfId="43736" xr:uid="{00000000-0005-0000-0000-0000E3550000}"/>
    <cellStyle name="40% - Accent5 2 4 3 4 5" xfId="34038" xr:uid="{00000000-0005-0000-0000-0000E4550000}"/>
    <cellStyle name="40% - Accent5 2 4 3 5" xfId="14713" xr:uid="{00000000-0005-0000-0000-0000E5550000}"/>
    <cellStyle name="40% - Accent5 2 4 3 5 2" xfId="15842" xr:uid="{00000000-0005-0000-0000-0000E6550000}"/>
    <cellStyle name="40% - Accent5 2 4 3 5 2 2" xfId="20306" xr:uid="{00000000-0005-0000-0000-0000E7550000}"/>
    <cellStyle name="40% - Accent5 2 4 3 5 2 2 2" xfId="30674" xr:uid="{00000000-0005-0000-0000-0000E8550000}"/>
    <cellStyle name="40% - Accent5 2 4 3 5 2 2 2 2" xfId="49863" xr:uid="{00000000-0005-0000-0000-0000E9550000}"/>
    <cellStyle name="40% - Accent5 2 4 3 5 2 2 3" xfId="40165" xr:uid="{00000000-0005-0000-0000-0000EA550000}"/>
    <cellStyle name="40% - Accent5 2 4 3 5 2 3" xfId="26219" xr:uid="{00000000-0005-0000-0000-0000EB550000}"/>
    <cellStyle name="40% - Accent5 2 4 3 5 2 3 2" xfId="45408" xr:uid="{00000000-0005-0000-0000-0000EC550000}"/>
    <cellStyle name="40% - Accent5 2 4 3 5 2 4" xfId="35710" xr:uid="{00000000-0005-0000-0000-0000ED550000}"/>
    <cellStyle name="40% - Accent5 2 4 3 5 3" xfId="19191" xr:uid="{00000000-0005-0000-0000-0000EE550000}"/>
    <cellStyle name="40% - Accent5 2 4 3 5 3 2" xfId="29559" xr:uid="{00000000-0005-0000-0000-0000EF550000}"/>
    <cellStyle name="40% - Accent5 2 4 3 5 3 2 2" xfId="48748" xr:uid="{00000000-0005-0000-0000-0000F0550000}"/>
    <cellStyle name="40% - Accent5 2 4 3 5 3 3" xfId="39050" xr:uid="{00000000-0005-0000-0000-0000F1550000}"/>
    <cellStyle name="40% - Accent5 2 4 3 5 4" xfId="25104" xr:uid="{00000000-0005-0000-0000-0000F2550000}"/>
    <cellStyle name="40% - Accent5 2 4 3 5 4 2" xfId="44293" xr:uid="{00000000-0005-0000-0000-0000F3550000}"/>
    <cellStyle name="40% - Accent5 2 4 3 5 5" xfId="34595" xr:uid="{00000000-0005-0000-0000-0000F4550000}"/>
    <cellStyle name="40% - Accent5 2 4 3 6" xfId="15285" xr:uid="{00000000-0005-0000-0000-0000F5550000}"/>
    <cellStyle name="40% - Accent5 2 4 3 6 2" xfId="19749" xr:uid="{00000000-0005-0000-0000-0000F6550000}"/>
    <cellStyle name="40% - Accent5 2 4 3 6 2 2" xfId="30117" xr:uid="{00000000-0005-0000-0000-0000F7550000}"/>
    <cellStyle name="40% - Accent5 2 4 3 6 2 2 2" xfId="49306" xr:uid="{00000000-0005-0000-0000-0000F8550000}"/>
    <cellStyle name="40% - Accent5 2 4 3 6 2 3" xfId="39608" xr:uid="{00000000-0005-0000-0000-0000F9550000}"/>
    <cellStyle name="40% - Accent5 2 4 3 6 3" xfId="25662" xr:uid="{00000000-0005-0000-0000-0000FA550000}"/>
    <cellStyle name="40% - Accent5 2 4 3 6 3 2" xfId="44851" xr:uid="{00000000-0005-0000-0000-0000FB550000}"/>
    <cellStyle name="40% - Accent5 2 4 3 6 4" xfId="35153" xr:uid="{00000000-0005-0000-0000-0000FC550000}"/>
    <cellStyle name="40% - Accent5 2 4 3 7" xfId="16955" xr:uid="{00000000-0005-0000-0000-0000FD550000}"/>
    <cellStyle name="40% - Accent5 2 4 3 7 2" xfId="21419" xr:uid="{00000000-0005-0000-0000-0000FE550000}"/>
    <cellStyle name="40% - Accent5 2 4 3 7 2 2" xfId="31787" xr:uid="{00000000-0005-0000-0000-0000FF550000}"/>
    <cellStyle name="40% - Accent5 2 4 3 7 2 2 2" xfId="50976" xr:uid="{00000000-0005-0000-0000-000000560000}"/>
    <cellStyle name="40% - Accent5 2 4 3 7 2 3" xfId="41278" xr:uid="{00000000-0005-0000-0000-000001560000}"/>
    <cellStyle name="40% - Accent5 2 4 3 7 3" xfId="27332" xr:uid="{00000000-0005-0000-0000-000002560000}"/>
    <cellStyle name="40% - Accent5 2 4 3 7 3 2" xfId="46521" xr:uid="{00000000-0005-0000-0000-000003560000}"/>
    <cellStyle name="40% - Accent5 2 4 3 7 4" xfId="36823" xr:uid="{00000000-0005-0000-0000-000004560000}"/>
    <cellStyle name="40% - Accent5 2 4 3 8" xfId="17521" xr:uid="{00000000-0005-0000-0000-000005560000}"/>
    <cellStyle name="40% - Accent5 2 4 3 8 2" xfId="21976" xr:uid="{00000000-0005-0000-0000-000006560000}"/>
    <cellStyle name="40% - Accent5 2 4 3 8 2 2" xfId="32344" xr:uid="{00000000-0005-0000-0000-000007560000}"/>
    <cellStyle name="40% - Accent5 2 4 3 8 2 2 2" xfId="51533" xr:uid="{00000000-0005-0000-0000-000008560000}"/>
    <cellStyle name="40% - Accent5 2 4 3 8 2 3" xfId="41835" xr:uid="{00000000-0005-0000-0000-000009560000}"/>
    <cellStyle name="40% - Accent5 2 4 3 8 3" xfId="27889" xr:uid="{00000000-0005-0000-0000-00000A560000}"/>
    <cellStyle name="40% - Accent5 2 4 3 8 3 2" xfId="47078" xr:uid="{00000000-0005-0000-0000-00000B560000}"/>
    <cellStyle name="40% - Accent5 2 4 3 8 4" xfId="37380" xr:uid="{00000000-0005-0000-0000-00000C560000}"/>
    <cellStyle name="40% - Accent5 2 4 3 9" xfId="18078" xr:uid="{00000000-0005-0000-0000-00000D560000}"/>
    <cellStyle name="40% - Accent5 2 4 3 9 2" xfId="28446" xr:uid="{00000000-0005-0000-0000-00000E560000}"/>
    <cellStyle name="40% - Accent5 2 4 3 9 2 2" xfId="47635" xr:uid="{00000000-0005-0000-0000-00000F560000}"/>
    <cellStyle name="40% - Accent5 2 4 3 9 3" xfId="37937" xr:uid="{00000000-0005-0000-0000-000010560000}"/>
    <cellStyle name="40% - Accent5 2 4 4" xfId="13201" xr:uid="{00000000-0005-0000-0000-000011560000}"/>
    <cellStyle name="40% - Accent5 2 4 4 10" xfId="53459" xr:uid="{00000000-0005-0000-0000-000012560000}"/>
    <cellStyle name="40% - Accent5 2 4 4 2" xfId="14137" xr:uid="{00000000-0005-0000-0000-000013560000}"/>
    <cellStyle name="40% - Accent5 2 4 4 2 2" xfId="16401" xr:uid="{00000000-0005-0000-0000-000014560000}"/>
    <cellStyle name="40% - Accent5 2 4 4 2 2 2" xfId="20865" xr:uid="{00000000-0005-0000-0000-000015560000}"/>
    <cellStyle name="40% - Accent5 2 4 4 2 2 2 2" xfId="31233" xr:uid="{00000000-0005-0000-0000-000016560000}"/>
    <cellStyle name="40% - Accent5 2 4 4 2 2 2 2 2" xfId="50422" xr:uid="{00000000-0005-0000-0000-000017560000}"/>
    <cellStyle name="40% - Accent5 2 4 4 2 2 2 3" xfId="40724" xr:uid="{00000000-0005-0000-0000-000018560000}"/>
    <cellStyle name="40% - Accent5 2 4 4 2 2 3" xfId="26778" xr:uid="{00000000-0005-0000-0000-000019560000}"/>
    <cellStyle name="40% - Accent5 2 4 4 2 2 3 2" xfId="45967" xr:uid="{00000000-0005-0000-0000-00001A560000}"/>
    <cellStyle name="40% - Accent5 2 4 4 2 2 4" xfId="36269" xr:uid="{00000000-0005-0000-0000-00001B560000}"/>
    <cellStyle name="40% - Accent5 2 4 4 2 3" xfId="18637" xr:uid="{00000000-0005-0000-0000-00001C560000}"/>
    <cellStyle name="40% - Accent5 2 4 4 2 3 2" xfId="29005" xr:uid="{00000000-0005-0000-0000-00001D560000}"/>
    <cellStyle name="40% - Accent5 2 4 4 2 3 2 2" xfId="48194" xr:uid="{00000000-0005-0000-0000-00001E560000}"/>
    <cellStyle name="40% - Accent5 2 4 4 2 3 3" xfId="38496" xr:uid="{00000000-0005-0000-0000-00001F560000}"/>
    <cellStyle name="40% - Accent5 2 4 4 2 4" xfId="24545" xr:uid="{00000000-0005-0000-0000-000020560000}"/>
    <cellStyle name="40% - Accent5 2 4 4 2 4 2" xfId="43739" xr:uid="{00000000-0005-0000-0000-000021560000}"/>
    <cellStyle name="40% - Accent5 2 4 4 2 5" xfId="34041" xr:uid="{00000000-0005-0000-0000-000022560000}"/>
    <cellStyle name="40% - Accent5 2 4 4 3" xfId="14716" xr:uid="{00000000-0005-0000-0000-000023560000}"/>
    <cellStyle name="40% - Accent5 2 4 4 3 2" xfId="15845" xr:uid="{00000000-0005-0000-0000-000024560000}"/>
    <cellStyle name="40% - Accent5 2 4 4 3 2 2" xfId="20309" xr:uid="{00000000-0005-0000-0000-000025560000}"/>
    <cellStyle name="40% - Accent5 2 4 4 3 2 2 2" xfId="30677" xr:uid="{00000000-0005-0000-0000-000026560000}"/>
    <cellStyle name="40% - Accent5 2 4 4 3 2 2 2 2" xfId="49866" xr:uid="{00000000-0005-0000-0000-000027560000}"/>
    <cellStyle name="40% - Accent5 2 4 4 3 2 2 3" xfId="40168" xr:uid="{00000000-0005-0000-0000-000028560000}"/>
    <cellStyle name="40% - Accent5 2 4 4 3 2 3" xfId="26222" xr:uid="{00000000-0005-0000-0000-000029560000}"/>
    <cellStyle name="40% - Accent5 2 4 4 3 2 3 2" xfId="45411" xr:uid="{00000000-0005-0000-0000-00002A560000}"/>
    <cellStyle name="40% - Accent5 2 4 4 3 2 4" xfId="35713" xr:uid="{00000000-0005-0000-0000-00002B560000}"/>
    <cellStyle name="40% - Accent5 2 4 4 3 3" xfId="19194" xr:uid="{00000000-0005-0000-0000-00002C560000}"/>
    <cellStyle name="40% - Accent5 2 4 4 3 3 2" xfId="29562" xr:uid="{00000000-0005-0000-0000-00002D560000}"/>
    <cellStyle name="40% - Accent5 2 4 4 3 3 2 2" xfId="48751" xr:uid="{00000000-0005-0000-0000-00002E560000}"/>
    <cellStyle name="40% - Accent5 2 4 4 3 3 3" xfId="39053" xr:uid="{00000000-0005-0000-0000-00002F560000}"/>
    <cellStyle name="40% - Accent5 2 4 4 3 4" xfId="25107" xr:uid="{00000000-0005-0000-0000-000030560000}"/>
    <cellStyle name="40% - Accent5 2 4 4 3 4 2" xfId="44296" xr:uid="{00000000-0005-0000-0000-000031560000}"/>
    <cellStyle name="40% - Accent5 2 4 4 3 5" xfId="34598" xr:uid="{00000000-0005-0000-0000-000032560000}"/>
    <cellStyle name="40% - Accent5 2 4 4 4" xfId="15288" xr:uid="{00000000-0005-0000-0000-000033560000}"/>
    <cellStyle name="40% - Accent5 2 4 4 4 2" xfId="19752" xr:uid="{00000000-0005-0000-0000-000034560000}"/>
    <cellStyle name="40% - Accent5 2 4 4 4 2 2" xfId="30120" xr:uid="{00000000-0005-0000-0000-000035560000}"/>
    <cellStyle name="40% - Accent5 2 4 4 4 2 2 2" xfId="49309" xr:uid="{00000000-0005-0000-0000-000036560000}"/>
    <cellStyle name="40% - Accent5 2 4 4 4 2 3" xfId="39611" xr:uid="{00000000-0005-0000-0000-000037560000}"/>
    <cellStyle name="40% - Accent5 2 4 4 4 3" xfId="25665" xr:uid="{00000000-0005-0000-0000-000038560000}"/>
    <cellStyle name="40% - Accent5 2 4 4 4 3 2" xfId="44854" xr:uid="{00000000-0005-0000-0000-000039560000}"/>
    <cellStyle name="40% - Accent5 2 4 4 4 4" xfId="35156" xr:uid="{00000000-0005-0000-0000-00003A560000}"/>
    <cellStyle name="40% - Accent5 2 4 4 5" xfId="16958" xr:uid="{00000000-0005-0000-0000-00003B560000}"/>
    <cellStyle name="40% - Accent5 2 4 4 5 2" xfId="21422" xr:uid="{00000000-0005-0000-0000-00003C560000}"/>
    <cellStyle name="40% - Accent5 2 4 4 5 2 2" xfId="31790" xr:uid="{00000000-0005-0000-0000-00003D560000}"/>
    <cellStyle name="40% - Accent5 2 4 4 5 2 2 2" xfId="50979" xr:uid="{00000000-0005-0000-0000-00003E560000}"/>
    <cellStyle name="40% - Accent5 2 4 4 5 2 3" xfId="41281" xr:uid="{00000000-0005-0000-0000-00003F560000}"/>
    <cellStyle name="40% - Accent5 2 4 4 5 3" xfId="27335" xr:uid="{00000000-0005-0000-0000-000040560000}"/>
    <cellStyle name="40% - Accent5 2 4 4 5 3 2" xfId="46524" xr:uid="{00000000-0005-0000-0000-000041560000}"/>
    <cellStyle name="40% - Accent5 2 4 4 5 4" xfId="36826" xr:uid="{00000000-0005-0000-0000-000042560000}"/>
    <cellStyle name="40% - Accent5 2 4 4 6" xfId="17524" xr:uid="{00000000-0005-0000-0000-000043560000}"/>
    <cellStyle name="40% - Accent5 2 4 4 6 2" xfId="21979" xr:uid="{00000000-0005-0000-0000-000044560000}"/>
    <cellStyle name="40% - Accent5 2 4 4 6 2 2" xfId="32347" xr:uid="{00000000-0005-0000-0000-000045560000}"/>
    <cellStyle name="40% - Accent5 2 4 4 6 2 2 2" xfId="51536" xr:uid="{00000000-0005-0000-0000-000046560000}"/>
    <cellStyle name="40% - Accent5 2 4 4 6 2 3" xfId="41838" xr:uid="{00000000-0005-0000-0000-000047560000}"/>
    <cellStyle name="40% - Accent5 2 4 4 6 3" xfId="27892" xr:uid="{00000000-0005-0000-0000-000048560000}"/>
    <cellStyle name="40% - Accent5 2 4 4 6 3 2" xfId="47081" xr:uid="{00000000-0005-0000-0000-000049560000}"/>
    <cellStyle name="40% - Accent5 2 4 4 6 4" xfId="37383" xr:uid="{00000000-0005-0000-0000-00004A560000}"/>
    <cellStyle name="40% - Accent5 2 4 4 7" xfId="18081" xr:uid="{00000000-0005-0000-0000-00004B560000}"/>
    <cellStyle name="40% - Accent5 2 4 4 7 2" xfId="28449" xr:uid="{00000000-0005-0000-0000-00004C560000}"/>
    <cellStyle name="40% - Accent5 2 4 4 7 2 2" xfId="47638" xr:uid="{00000000-0005-0000-0000-00004D560000}"/>
    <cellStyle name="40% - Accent5 2 4 4 7 3" xfId="37940" xr:uid="{00000000-0005-0000-0000-00004E560000}"/>
    <cellStyle name="40% - Accent5 2 4 4 8" xfId="23944" xr:uid="{00000000-0005-0000-0000-00004F560000}"/>
    <cellStyle name="40% - Accent5 2 4 4 8 2" xfId="43183" xr:uid="{00000000-0005-0000-0000-000050560000}"/>
    <cellStyle name="40% - Accent5 2 4 4 9" xfId="33485" xr:uid="{00000000-0005-0000-0000-000051560000}"/>
    <cellStyle name="40% - Accent5 2 4 5" xfId="13202" xr:uid="{00000000-0005-0000-0000-000052560000}"/>
    <cellStyle name="40% - Accent5 2 4 5 2" xfId="14138" xr:uid="{00000000-0005-0000-0000-000053560000}"/>
    <cellStyle name="40% - Accent5 2 4 5 2 2" xfId="16402" xr:uid="{00000000-0005-0000-0000-000054560000}"/>
    <cellStyle name="40% - Accent5 2 4 5 2 2 2" xfId="20866" xr:uid="{00000000-0005-0000-0000-000055560000}"/>
    <cellStyle name="40% - Accent5 2 4 5 2 2 2 2" xfId="31234" xr:uid="{00000000-0005-0000-0000-000056560000}"/>
    <cellStyle name="40% - Accent5 2 4 5 2 2 2 2 2" xfId="50423" xr:uid="{00000000-0005-0000-0000-000057560000}"/>
    <cellStyle name="40% - Accent5 2 4 5 2 2 2 3" xfId="40725" xr:uid="{00000000-0005-0000-0000-000058560000}"/>
    <cellStyle name="40% - Accent5 2 4 5 2 2 3" xfId="26779" xr:uid="{00000000-0005-0000-0000-000059560000}"/>
    <cellStyle name="40% - Accent5 2 4 5 2 2 3 2" xfId="45968" xr:uid="{00000000-0005-0000-0000-00005A560000}"/>
    <cellStyle name="40% - Accent5 2 4 5 2 2 4" xfId="36270" xr:uid="{00000000-0005-0000-0000-00005B560000}"/>
    <cellStyle name="40% - Accent5 2 4 5 2 3" xfId="18638" xr:uid="{00000000-0005-0000-0000-00005C560000}"/>
    <cellStyle name="40% - Accent5 2 4 5 2 3 2" xfId="29006" xr:uid="{00000000-0005-0000-0000-00005D560000}"/>
    <cellStyle name="40% - Accent5 2 4 5 2 3 2 2" xfId="48195" xr:uid="{00000000-0005-0000-0000-00005E560000}"/>
    <cellStyle name="40% - Accent5 2 4 5 2 3 3" xfId="38497" xr:uid="{00000000-0005-0000-0000-00005F560000}"/>
    <cellStyle name="40% - Accent5 2 4 5 2 4" xfId="24546" xr:uid="{00000000-0005-0000-0000-000060560000}"/>
    <cellStyle name="40% - Accent5 2 4 5 2 4 2" xfId="43740" xr:uid="{00000000-0005-0000-0000-000061560000}"/>
    <cellStyle name="40% - Accent5 2 4 5 2 5" xfId="34042" xr:uid="{00000000-0005-0000-0000-000062560000}"/>
    <cellStyle name="40% - Accent5 2 4 5 3" xfId="14717" xr:uid="{00000000-0005-0000-0000-000063560000}"/>
    <cellStyle name="40% - Accent5 2 4 5 3 2" xfId="15846" xr:uid="{00000000-0005-0000-0000-000064560000}"/>
    <cellStyle name="40% - Accent5 2 4 5 3 2 2" xfId="20310" xr:uid="{00000000-0005-0000-0000-000065560000}"/>
    <cellStyle name="40% - Accent5 2 4 5 3 2 2 2" xfId="30678" xr:uid="{00000000-0005-0000-0000-000066560000}"/>
    <cellStyle name="40% - Accent5 2 4 5 3 2 2 2 2" xfId="49867" xr:uid="{00000000-0005-0000-0000-000067560000}"/>
    <cellStyle name="40% - Accent5 2 4 5 3 2 2 3" xfId="40169" xr:uid="{00000000-0005-0000-0000-000068560000}"/>
    <cellStyle name="40% - Accent5 2 4 5 3 2 3" xfId="26223" xr:uid="{00000000-0005-0000-0000-000069560000}"/>
    <cellStyle name="40% - Accent5 2 4 5 3 2 3 2" xfId="45412" xr:uid="{00000000-0005-0000-0000-00006A560000}"/>
    <cellStyle name="40% - Accent5 2 4 5 3 2 4" xfId="35714" xr:uid="{00000000-0005-0000-0000-00006B560000}"/>
    <cellStyle name="40% - Accent5 2 4 5 3 3" xfId="19195" xr:uid="{00000000-0005-0000-0000-00006C560000}"/>
    <cellStyle name="40% - Accent5 2 4 5 3 3 2" xfId="29563" xr:uid="{00000000-0005-0000-0000-00006D560000}"/>
    <cellStyle name="40% - Accent5 2 4 5 3 3 2 2" xfId="48752" xr:uid="{00000000-0005-0000-0000-00006E560000}"/>
    <cellStyle name="40% - Accent5 2 4 5 3 3 3" xfId="39054" xr:uid="{00000000-0005-0000-0000-00006F560000}"/>
    <cellStyle name="40% - Accent5 2 4 5 3 4" xfId="25108" xr:uid="{00000000-0005-0000-0000-000070560000}"/>
    <cellStyle name="40% - Accent5 2 4 5 3 4 2" xfId="44297" xr:uid="{00000000-0005-0000-0000-000071560000}"/>
    <cellStyle name="40% - Accent5 2 4 5 3 5" xfId="34599" xr:uid="{00000000-0005-0000-0000-000072560000}"/>
    <cellStyle name="40% - Accent5 2 4 5 4" xfId="15289" xr:uid="{00000000-0005-0000-0000-000073560000}"/>
    <cellStyle name="40% - Accent5 2 4 5 4 2" xfId="19753" xr:uid="{00000000-0005-0000-0000-000074560000}"/>
    <cellStyle name="40% - Accent5 2 4 5 4 2 2" xfId="30121" xr:uid="{00000000-0005-0000-0000-000075560000}"/>
    <cellStyle name="40% - Accent5 2 4 5 4 2 2 2" xfId="49310" xr:uid="{00000000-0005-0000-0000-000076560000}"/>
    <cellStyle name="40% - Accent5 2 4 5 4 2 3" xfId="39612" xr:uid="{00000000-0005-0000-0000-000077560000}"/>
    <cellStyle name="40% - Accent5 2 4 5 4 3" xfId="25666" xr:uid="{00000000-0005-0000-0000-000078560000}"/>
    <cellStyle name="40% - Accent5 2 4 5 4 3 2" xfId="44855" xr:uid="{00000000-0005-0000-0000-000079560000}"/>
    <cellStyle name="40% - Accent5 2 4 5 4 4" xfId="35157" xr:uid="{00000000-0005-0000-0000-00007A560000}"/>
    <cellStyle name="40% - Accent5 2 4 5 5" xfId="16959" xr:uid="{00000000-0005-0000-0000-00007B560000}"/>
    <cellStyle name="40% - Accent5 2 4 5 5 2" xfId="21423" xr:uid="{00000000-0005-0000-0000-00007C560000}"/>
    <cellStyle name="40% - Accent5 2 4 5 5 2 2" xfId="31791" xr:uid="{00000000-0005-0000-0000-00007D560000}"/>
    <cellStyle name="40% - Accent5 2 4 5 5 2 2 2" xfId="50980" xr:uid="{00000000-0005-0000-0000-00007E560000}"/>
    <cellStyle name="40% - Accent5 2 4 5 5 2 3" xfId="41282" xr:uid="{00000000-0005-0000-0000-00007F560000}"/>
    <cellStyle name="40% - Accent5 2 4 5 5 3" xfId="27336" xr:uid="{00000000-0005-0000-0000-000080560000}"/>
    <cellStyle name="40% - Accent5 2 4 5 5 3 2" xfId="46525" xr:uid="{00000000-0005-0000-0000-000081560000}"/>
    <cellStyle name="40% - Accent5 2 4 5 5 4" xfId="36827" xr:uid="{00000000-0005-0000-0000-000082560000}"/>
    <cellStyle name="40% - Accent5 2 4 5 6" xfId="17525" xr:uid="{00000000-0005-0000-0000-000083560000}"/>
    <cellStyle name="40% - Accent5 2 4 5 6 2" xfId="21980" xr:uid="{00000000-0005-0000-0000-000084560000}"/>
    <cellStyle name="40% - Accent5 2 4 5 6 2 2" xfId="32348" xr:uid="{00000000-0005-0000-0000-000085560000}"/>
    <cellStyle name="40% - Accent5 2 4 5 6 2 2 2" xfId="51537" xr:uid="{00000000-0005-0000-0000-000086560000}"/>
    <cellStyle name="40% - Accent5 2 4 5 6 2 3" xfId="41839" xr:uid="{00000000-0005-0000-0000-000087560000}"/>
    <cellStyle name="40% - Accent5 2 4 5 6 3" xfId="27893" xr:uid="{00000000-0005-0000-0000-000088560000}"/>
    <cellStyle name="40% - Accent5 2 4 5 6 3 2" xfId="47082" xr:uid="{00000000-0005-0000-0000-000089560000}"/>
    <cellStyle name="40% - Accent5 2 4 5 6 4" xfId="37384" xr:uid="{00000000-0005-0000-0000-00008A560000}"/>
    <cellStyle name="40% - Accent5 2 4 5 7" xfId="18082" xr:uid="{00000000-0005-0000-0000-00008B560000}"/>
    <cellStyle name="40% - Accent5 2 4 5 7 2" xfId="28450" xr:uid="{00000000-0005-0000-0000-00008C560000}"/>
    <cellStyle name="40% - Accent5 2 4 5 7 2 2" xfId="47639" xr:uid="{00000000-0005-0000-0000-00008D560000}"/>
    <cellStyle name="40% - Accent5 2 4 5 7 3" xfId="37941" xr:uid="{00000000-0005-0000-0000-00008E560000}"/>
    <cellStyle name="40% - Accent5 2 4 5 8" xfId="23945" xr:uid="{00000000-0005-0000-0000-00008F560000}"/>
    <cellStyle name="40% - Accent5 2 4 5 8 2" xfId="43184" xr:uid="{00000000-0005-0000-0000-000090560000}"/>
    <cellStyle name="40% - Accent5 2 4 5 9" xfId="33486" xr:uid="{00000000-0005-0000-0000-000091560000}"/>
    <cellStyle name="40% - Accent5 2 4 6" xfId="12270" xr:uid="{00000000-0005-0000-0000-000092560000}"/>
    <cellStyle name="40% - Accent5 2 4 7" xfId="52570" xr:uid="{00000000-0005-0000-0000-000093560000}"/>
    <cellStyle name="40% - Accent5 2 4 8" xfId="12028" xr:uid="{00000000-0005-0000-0000-000094560000}"/>
    <cellStyle name="40% - Accent5 2 5" xfId="2005" xr:uid="{00000000-0005-0000-0000-000095560000}"/>
    <cellStyle name="40% - Accent5 2 5 2" xfId="13203" xr:uid="{00000000-0005-0000-0000-000096560000}"/>
    <cellStyle name="40% - Accent5 2 5 2 10" xfId="23946" xr:uid="{00000000-0005-0000-0000-000097560000}"/>
    <cellStyle name="40% - Accent5 2 5 2 10 2" xfId="43185" xr:uid="{00000000-0005-0000-0000-000098560000}"/>
    <cellStyle name="40% - Accent5 2 5 2 11" xfId="33487" xr:uid="{00000000-0005-0000-0000-000099560000}"/>
    <cellStyle name="40% - Accent5 2 5 2 12" xfId="52804" xr:uid="{00000000-0005-0000-0000-00009A560000}"/>
    <cellStyle name="40% - Accent5 2 5 2 2" xfId="13204" xr:uid="{00000000-0005-0000-0000-00009B560000}"/>
    <cellStyle name="40% - Accent5 2 5 2 2 10" xfId="53232" xr:uid="{00000000-0005-0000-0000-00009C560000}"/>
    <cellStyle name="40% - Accent5 2 5 2 2 2" xfId="14140" xr:uid="{00000000-0005-0000-0000-00009D560000}"/>
    <cellStyle name="40% - Accent5 2 5 2 2 2 2" xfId="16404" xr:uid="{00000000-0005-0000-0000-00009E560000}"/>
    <cellStyle name="40% - Accent5 2 5 2 2 2 2 2" xfId="20868" xr:uid="{00000000-0005-0000-0000-00009F560000}"/>
    <cellStyle name="40% - Accent5 2 5 2 2 2 2 2 2" xfId="31236" xr:uid="{00000000-0005-0000-0000-0000A0560000}"/>
    <cellStyle name="40% - Accent5 2 5 2 2 2 2 2 2 2" xfId="50425" xr:uid="{00000000-0005-0000-0000-0000A1560000}"/>
    <cellStyle name="40% - Accent5 2 5 2 2 2 2 2 3" xfId="40727" xr:uid="{00000000-0005-0000-0000-0000A2560000}"/>
    <cellStyle name="40% - Accent5 2 5 2 2 2 2 3" xfId="26781" xr:uid="{00000000-0005-0000-0000-0000A3560000}"/>
    <cellStyle name="40% - Accent5 2 5 2 2 2 2 3 2" xfId="45970" xr:uid="{00000000-0005-0000-0000-0000A4560000}"/>
    <cellStyle name="40% - Accent5 2 5 2 2 2 2 4" xfId="36272" xr:uid="{00000000-0005-0000-0000-0000A5560000}"/>
    <cellStyle name="40% - Accent5 2 5 2 2 2 3" xfId="18640" xr:uid="{00000000-0005-0000-0000-0000A6560000}"/>
    <cellStyle name="40% - Accent5 2 5 2 2 2 3 2" xfId="29008" xr:uid="{00000000-0005-0000-0000-0000A7560000}"/>
    <cellStyle name="40% - Accent5 2 5 2 2 2 3 2 2" xfId="48197" xr:uid="{00000000-0005-0000-0000-0000A8560000}"/>
    <cellStyle name="40% - Accent5 2 5 2 2 2 3 3" xfId="38499" xr:uid="{00000000-0005-0000-0000-0000A9560000}"/>
    <cellStyle name="40% - Accent5 2 5 2 2 2 4" xfId="24548" xr:uid="{00000000-0005-0000-0000-0000AA560000}"/>
    <cellStyle name="40% - Accent5 2 5 2 2 2 4 2" xfId="43742" xr:uid="{00000000-0005-0000-0000-0000AB560000}"/>
    <cellStyle name="40% - Accent5 2 5 2 2 2 5" xfId="34044" xr:uid="{00000000-0005-0000-0000-0000AC560000}"/>
    <cellStyle name="40% - Accent5 2 5 2 2 2 6" xfId="54085" xr:uid="{00000000-0005-0000-0000-0000AD560000}"/>
    <cellStyle name="40% - Accent5 2 5 2 2 3" xfId="14719" xr:uid="{00000000-0005-0000-0000-0000AE560000}"/>
    <cellStyle name="40% - Accent5 2 5 2 2 3 2" xfId="15848" xr:uid="{00000000-0005-0000-0000-0000AF560000}"/>
    <cellStyle name="40% - Accent5 2 5 2 2 3 2 2" xfId="20312" xr:uid="{00000000-0005-0000-0000-0000B0560000}"/>
    <cellStyle name="40% - Accent5 2 5 2 2 3 2 2 2" xfId="30680" xr:uid="{00000000-0005-0000-0000-0000B1560000}"/>
    <cellStyle name="40% - Accent5 2 5 2 2 3 2 2 2 2" xfId="49869" xr:uid="{00000000-0005-0000-0000-0000B2560000}"/>
    <cellStyle name="40% - Accent5 2 5 2 2 3 2 2 3" xfId="40171" xr:uid="{00000000-0005-0000-0000-0000B3560000}"/>
    <cellStyle name="40% - Accent5 2 5 2 2 3 2 3" xfId="26225" xr:uid="{00000000-0005-0000-0000-0000B4560000}"/>
    <cellStyle name="40% - Accent5 2 5 2 2 3 2 3 2" xfId="45414" xr:uid="{00000000-0005-0000-0000-0000B5560000}"/>
    <cellStyle name="40% - Accent5 2 5 2 2 3 2 4" xfId="35716" xr:uid="{00000000-0005-0000-0000-0000B6560000}"/>
    <cellStyle name="40% - Accent5 2 5 2 2 3 3" xfId="19197" xr:uid="{00000000-0005-0000-0000-0000B7560000}"/>
    <cellStyle name="40% - Accent5 2 5 2 2 3 3 2" xfId="29565" xr:uid="{00000000-0005-0000-0000-0000B8560000}"/>
    <cellStyle name="40% - Accent5 2 5 2 2 3 3 2 2" xfId="48754" xr:uid="{00000000-0005-0000-0000-0000B9560000}"/>
    <cellStyle name="40% - Accent5 2 5 2 2 3 3 3" xfId="39056" xr:uid="{00000000-0005-0000-0000-0000BA560000}"/>
    <cellStyle name="40% - Accent5 2 5 2 2 3 4" xfId="25110" xr:uid="{00000000-0005-0000-0000-0000BB560000}"/>
    <cellStyle name="40% - Accent5 2 5 2 2 3 4 2" xfId="44299" xr:uid="{00000000-0005-0000-0000-0000BC560000}"/>
    <cellStyle name="40% - Accent5 2 5 2 2 3 5" xfId="34601" xr:uid="{00000000-0005-0000-0000-0000BD560000}"/>
    <cellStyle name="40% - Accent5 2 5 2 2 4" xfId="15291" xr:uid="{00000000-0005-0000-0000-0000BE560000}"/>
    <cellStyle name="40% - Accent5 2 5 2 2 4 2" xfId="19755" xr:uid="{00000000-0005-0000-0000-0000BF560000}"/>
    <cellStyle name="40% - Accent5 2 5 2 2 4 2 2" xfId="30123" xr:uid="{00000000-0005-0000-0000-0000C0560000}"/>
    <cellStyle name="40% - Accent5 2 5 2 2 4 2 2 2" xfId="49312" xr:uid="{00000000-0005-0000-0000-0000C1560000}"/>
    <cellStyle name="40% - Accent5 2 5 2 2 4 2 3" xfId="39614" xr:uid="{00000000-0005-0000-0000-0000C2560000}"/>
    <cellStyle name="40% - Accent5 2 5 2 2 4 3" xfId="25668" xr:uid="{00000000-0005-0000-0000-0000C3560000}"/>
    <cellStyle name="40% - Accent5 2 5 2 2 4 3 2" xfId="44857" xr:uid="{00000000-0005-0000-0000-0000C4560000}"/>
    <cellStyle name="40% - Accent5 2 5 2 2 4 4" xfId="35159" xr:uid="{00000000-0005-0000-0000-0000C5560000}"/>
    <cellStyle name="40% - Accent5 2 5 2 2 5" xfId="16961" xr:uid="{00000000-0005-0000-0000-0000C6560000}"/>
    <cellStyle name="40% - Accent5 2 5 2 2 5 2" xfId="21425" xr:uid="{00000000-0005-0000-0000-0000C7560000}"/>
    <cellStyle name="40% - Accent5 2 5 2 2 5 2 2" xfId="31793" xr:uid="{00000000-0005-0000-0000-0000C8560000}"/>
    <cellStyle name="40% - Accent5 2 5 2 2 5 2 2 2" xfId="50982" xr:uid="{00000000-0005-0000-0000-0000C9560000}"/>
    <cellStyle name="40% - Accent5 2 5 2 2 5 2 3" xfId="41284" xr:uid="{00000000-0005-0000-0000-0000CA560000}"/>
    <cellStyle name="40% - Accent5 2 5 2 2 5 3" xfId="27338" xr:uid="{00000000-0005-0000-0000-0000CB560000}"/>
    <cellStyle name="40% - Accent5 2 5 2 2 5 3 2" xfId="46527" xr:uid="{00000000-0005-0000-0000-0000CC560000}"/>
    <cellStyle name="40% - Accent5 2 5 2 2 5 4" xfId="36829" xr:uid="{00000000-0005-0000-0000-0000CD560000}"/>
    <cellStyle name="40% - Accent5 2 5 2 2 6" xfId="17527" xr:uid="{00000000-0005-0000-0000-0000CE560000}"/>
    <cellStyle name="40% - Accent5 2 5 2 2 6 2" xfId="21982" xr:uid="{00000000-0005-0000-0000-0000CF560000}"/>
    <cellStyle name="40% - Accent5 2 5 2 2 6 2 2" xfId="32350" xr:uid="{00000000-0005-0000-0000-0000D0560000}"/>
    <cellStyle name="40% - Accent5 2 5 2 2 6 2 2 2" xfId="51539" xr:uid="{00000000-0005-0000-0000-0000D1560000}"/>
    <cellStyle name="40% - Accent5 2 5 2 2 6 2 3" xfId="41841" xr:uid="{00000000-0005-0000-0000-0000D2560000}"/>
    <cellStyle name="40% - Accent5 2 5 2 2 6 3" xfId="27895" xr:uid="{00000000-0005-0000-0000-0000D3560000}"/>
    <cellStyle name="40% - Accent5 2 5 2 2 6 3 2" xfId="47084" xr:uid="{00000000-0005-0000-0000-0000D4560000}"/>
    <cellStyle name="40% - Accent5 2 5 2 2 6 4" xfId="37386" xr:uid="{00000000-0005-0000-0000-0000D5560000}"/>
    <cellStyle name="40% - Accent5 2 5 2 2 7" xfId="18084" xr:uid="{00000000-0005-0000-0000-0000D6560000}"/>
    <cellStyle name="40% - Accent5 2 5 2 2 7 2" xfId="28452" xr:uid="{00000000-0005-0000-0000-0000D7560000}"/>
    <cellStyle name="40% - Accent5 2 5 2 2 7 2 2" xfId="47641" xr:uid="{00000000-0005-0000-0000-0000D8560000}"/>
    <cellStyle name="40% - Accent5 2 5 2 2 7 3" xfId="37943" xr:uid="{00000000-0005-0000-0000-0000D9560000}"/>
    <cellStyle name="40% - Accent5 2 5 2 2 8" xfId="23947" xr:uid="{00000000-0005-0000-0000-0000DA560000}"/>
    <cellStyle name="40% - Accent5 2 5 2 2 8 2" xfId="43186" xr:uid="{00000000-0005-0000-0000-0000DB560000}"/>
    <cellStyle name="40% - Accent5 2 5 2 2 9" xfId="33488" xr:uid="{00000000-0005-0000-0000-0000DC560000}"/>
    <cellStyle name="40% - Accent5 2 5 2 3" xfId="13205" xr:uid="{00000000-0005-0000-0000-0000DD560000}"/>
    <cellStyle name="40% - Accent5 2 5 2 3 10" xfId="53689" xr:uid="{00000000-0005-0000-0000-0000DE560000}"/>
    <cellStyle name="40% - Accent5 2 5 2 3 2" xfId="14141" xr:uid="{00000000-0005-0000-0000-0000DF560000}"/>
    <cellStyle name="40% - Accent5 2 5 2 3 2 2" xfId="16405" xr:uid="{00000000-0005-0000-0000-0000E0560000}"/>
    <cellStyle name="40% - Accent5 2 5 2 3 2 2 2" xfId="20869" xr:uid="{00000000-0005-0000-0000-0000E1560000}"/>
    <cellStyle name="40% - Accent5 2 5 2 3 2 2 2 2" xfId="31237" xr:uid="{00000000-0005-0000-0000-0000E2560000}"/>
    <cellStyle name="40% - Accent5 2 5 2 3 2 2 2 2 2" xfId="50426" xr:uid="{00000000-0005-0000-0000-0000E3560000}"/>
    <cellStyle name="40% - Accent5 2 5 2 3 2 2 2 3" xfId="40728" xr:uid="{00000000-0005-0000-0000-0000E4560000}"/>
    <cellStyle name="40% - Accent5 2 5 2 3 2 2 3" xfId="26782" xr:uid="{00000000-0005-0000-0000-0000E5560000}"/>
    <cellStyle name="40% - Accent5 2 5 2 3 2 2 3 2" xfId="45971" xr:uid="{00000000-0005-0000-0000-0000E6560000}"/>
    <cellStyle name="40% - Accent5 2 5 2 3 2 2 4" xfId="36273" xr:uid="{00000000-0005-0000-0000-0000E7560000}"/>
    <cellStyle name="40% - Accent5 2 5 2 3 2 3" xfId="18641" xr:uid="{00000000-0005-0000-0000-0000E8560000}"/>
    <cellStyle name="40% - Accent5 2 5 2 3 2 3 2" xfId="29009" xr:uid="{00000000-0005-0000-0000-0000E9560000}"/>
    <cellStyle name="40% - Accent5 2 5 2 3 2 3 2 2" xfId="48198" xr:uid="{00000000-0005-0000-0000-0000EA560000}"/>
    <cellStyle name="40% - Accent5 2 5 2 3 2 3 3" xfId="38500" xr:uid="{00000000-0005-0000-0000-0000EB560000}"/>
    <cellStyle name="40% - Accent5 2 5 2 3 2 4" xfId="24549" xr:uid="{00000000-0005-0000-0000-0000EC560000}"/>
    <cellStyle name="40% - Accent5 2 5 2 3 2 4 2" xfId="43743" xr:uid="{00000000-0005-0000-0000-0000ED560000}"/>
    <cellStyle name="40% - Accent5 2 5 2 3 2 5" xfId="34045" xr:uid="{00000000-0005-0000-0000-0000EE560000}"/>
    <cellStyle name="40% - Accent5 2 5 2 3 3" xfId="14720" xr:uid="{00000000-0005-0000-0000-0000EF560000}"/>
    <cellStyle name="40% - Accent5 2 5 2 3 3 2" xfId="15849" xr:uid="{00000000-0005-0000-0000-0000F0560000}"/>
    <cellStyle name="40% - Accent5 2 5 2 3 3 2 2" xfId="20313" xr:uid="{00000000-0005-0000-0000-0000F1560000}"/>
    <cellStyle name="40% - Accent5 2 5 2 3 3 2 2 2" xfId="30681" xr:uid="{00000000-0005-0000-0000-0000F2560000}"/>
    <cellStyle name="40% - Accent5 2 5 2 3 3 2 2 2 2" xfId="49870" xr:uid="{00000000-0005-0000-0000-0000F3560000}"/>
    <cellStyle name="40% - Accent5 2 5 2 3 3 2 2 3" xfId="40172" xr:uid="{00000000-0005-0000-0000-0000F4560000}"/>
    <cellStyle name="40% - Accent5 2 5 2 3 3 2 3" xfId="26226" xr:uid="{00000000-0005-0000-0000-0000F5560000}"/>
    <cellStyle name="40% - Accent5 2 5 2 3 3 2 3 2" xfId="45415" xr:uid="{00000000-0005-0000-0000-0000F6560000}"/>
    <cellStyle name="40% - Accent5 2 5 2 3 3 2 4" xfId="35717" xr:uid="{00000000-0005-0000-0000-0000F7560000}"/>
    <cellStyle name="40% - Accent5 2 5 2 3 3 3" xfId="19198" xr:uid="{00000000-0005-0000-0000-0000F8560000}"/>
    <cellStyle name="40% - Accent5 2 5 2 3 3 3 2" xfId="29566" xr:uid="{00000000-0005-0000-0000-0000F9560000}"/>
    <cellStyle name="40% - Accent5 2 5 2 3 3 3 2 2" xfId="48755" xr:uid="{00000000-0005-0000-0000-0000FA560000}"/>
    <cellStyle name="40% - Accent5 2 5 2 3 3 3 3" xfId="39057" xr:uid="{00000000-0005-0000-0000-0000FB560000}"/>
    <cellStyle name="40% - Accent5 2 5 2 3 3 4" xfId="25111" xr:uid="{00000000-0005-0000-0000-0000FC560000}"/>
    <cellStyle name="40% - Accent5 2 5 2 3 3 4 2" xfId="44300" xr:uid="{00000000-0005-0000-0000-0000FD560000}"/>
    <cellStyle name="40% - Accent5 2 5 2 3 3 5" xfId="34602" xr:uid="{00000000-0005-0000-0000-0000FE560000}"/>
    <cellStyle name="40% - Accent5 2 5 2 3 4" xfId="15292" xr:uid="{00000000-0005-0000-0000-0000FF560000}"/>
    <cellStyle name="40% - Accent5 2 5 2 3 4 2" xfId="19756" xr:uid="{00000000-0005-0000-0000-000000570000}"/>
    <cellStyle name="40% - Accent5 2 5 2 3 4 2 2" xfId="30124" xr:uid="{00000000-0005-0000-0000-000001570000}"/>
    <cellStyle name="40% - Accent5 2 5 2 3 4 2 2 2" xfId="49313" xr:uid="{00000000-0005-0000-0000-000002570000}"/>
    <cellStyle name="40% - Accent5 2 5 2 3 4 2 3" xfId="39615" xr:uid="{00000000-0005-0000-0000-000003570000}"/>
    <cellStyle name="40% - Accent5 2 5 2 3 4 3" xfId="25669" xr:uid="{00000000-0005-0000-0000-000004570000}"/>
    <cellStyle name="40% - Accent5 2 5 2 3 4 3 2" xfId="44858" xr:uid="{00000000-0005-0000-0000-000005570000}"/>
    <cellStyle name="40% - Accent5 2 5 2 3 4 4" xfId="35160" xr:uid="{00000000-0005-0000-0000-000006570000}"/>
    <cellStyle name="40% - Accent5 2 5 2 3 5" xfId="16962" xr:uid="{00000000-0005-0000-0000-000007570000}"/>
    <cellStyle name="40% - Accent5 2 5 2 3 5 2" xfId="21426" xr:uid="{00000000-0005-0000-0000-000008570000}"/>
    <cellStyle name="40% - Accent5 2 5 2 3 5 2 2" xfId="31794" xr:uid="{00000000-0005-0000-0000-000009570000}"/>
    <cellStyle name="40% - Accent5 2 5 2 3 5 2 2 2" xfId="50983" xr:uid="{00000000-0005-0000-0000-00000A570000}"/>
    <cellStyle name="40% - Accent5 2 5 2 3 5 2 3" xfId="41285" xr:uid="{00000000-0005-0000-0000-00000B570000}"/>
    <cellStyle name="40% - Accent5 2 5 2 3 5 3" xfId="27339" xr:uid="{00000000-0005-0000-0000-00000C570000}"/>
    <cellStyle name="40% - Accent5 2 5 2 3 5 3 2" xfId="46528" xr:uid="{00000000-0005-0000-0000-00000D570000}"/>
    <cellStyle name="40% - Accent5 2 5 2 3 5 4" xfId="36830" xr:uid="{00000000-0005-0000-0000-00000E570000}"/>
    <cellStyle name="40% - Accent5 2 5 2 3 6" xfId="17528" xr:uid="{00000000-0005-0000-0000-00000F570000}"/>
    <cellStyle name="40% - Accent5 2 5 2 3 6 2" xfId="21983" xr:uid="{00000000-0005-0000-0000-000010570000}"/>
    <cellStyle name="40% - Accent5 2 5 2 3 6 2 2" xfId="32351" xr:uid="{00000000-0005-0000-0000-000011570000}"/>
    <cellStyle name="40% - Accent5 2 5 2 3 6 2 2 2" xfId="51540" xr:uid="{00000000-0005-0000-0000-000012570000}"/>
    <cellStyle name="40% - Accent5 2 5 2 3 6 2 3" xfId="41842" xr:uid="{00000000-0005-0000-0000-000013570000}"/>
    <cellStyle name="40% - Accent5 2 5 2 3 6 3" xfId="27896" xr:uid="{00000000-0005-0000-0000-000014570000}"/>
    <cellStyle name="40% - Accent5 2 5 2 3 6 3 2" xfId="47085" xr:uid="{00000000-0005-0000-0000-000015570000}"/>
    <cellStyle name="40% - Accent5 2 5 2 3 6 4" xfId="37387" xr:uid="{00000000-0005-0000-0000-000016570000}"/>
    <cellStyle name="40% - Accent5 2 5 2 3 7" xfId="18085" xr:uid="{00000000-0005-0000-0000-000017570000}"/>
    <cellStyle name="40% - Accent5 2 5 2 3 7 2" xfId="28453" xr:uid="{00000000-0005-0000-0000-000018570000}"/>
    <cellStyle name="40% - Accent5 2 5 2 3 7 2 2" xfId="47642" xr:uid="{00000000-0005-0000-0000-000019570000}"/>
    <cellStyle name="40% - Accent5 2 5 2 3 7 3" xfId="37944" xr:uid="{00000000-0005-0000-0000-00001A570000}"/>
    <cellStyle name="40% - Accent5 2 5 2 3 8" xfId="23948" xr:uid="{00000000-0005-0000-0000-00001B570000}"/>
    <cellStyle name="40% - Accent5 2 5 2 3 8 2" xfId="43187" xr:uid="{00000000-0005-0000-0000-00001C570000}"/>
    <cellStyle name="40% - Accent5 2 5 2 3 9" xfId="33489" xr:uid="{00000000-0005-0000-0000-00001D570000}"/>
    <cellStyle name="40% - Accent5 2 5 2 4" xfId="14139" xr:uid="{00000000-0005-0000-0000-00001E570000}"/>
    <cellStyle name="40% - Accent5 2 5 2 4 2" xfId="16403" xr:uid="{00000000-0005-0000-0000-00001F570000}"/>
    <cellStyle name="40% - Accent5 2 5 2 4 2 2" xfId="20867" xr:uid="{00000000-0005-0000-0000-000020570000}"/>
    <cellStyle name="40% - Accent5 2 5 2 4 2 2 2" xfId="31235" xr:uid="{00000000-0005-0000-0000-000021570000}"/>
    <cellStyle name="40% - Accent5 2 5 2 4 2 2 2 2" xfId="50424" xr:uid="{00000000-0005-0000-0000-000022570000}"/>
    <cellStyle name="40% - Accent5 2 5 2 4 2 2 3" xfId="40726" xr:uid="{00000000-0005-0000-0000-000023570000}"/>
    <cellStyle name="40% - Accent5 2 5 2 4 2 3" xfId="26780" xr:uid="{00000000-0005-0000-0000-000024570000}"/>
    <cellStyle name="40% - Accent5 2 5 2 4 2 3 2" xfId="45969" xr:uid="{00000000-0005-0000-0000-000025570000}"/>
    <cellStyle name="40% - Accent5 2 5 2 4 2 4" xfId="36271" xr:uid="{00000000-0005-0000-0000-000026570000}"/>
    <cellStyle name="40% - Accent5 2 5 2 4 3" xfId="18639" xr:uid="{00000000-0005-0000-0000-000027570000}"/>
    <cellStyle name="40% - Accent5 2 5 2 4 3 2" xfId="29007" xr:uid="{00000000-0005-0000-0000-000028570000}"/>
    <cellStyle name="40% - Accent5 2 5 2 4 3 2 2" xfId="48196" xr:uid="{00000000-0005-0000-0000-000029570000}"/>
    <cellStyle name="40% - Accent5 2 5 2 4 3 3" xfId="38498" xr:uid="{00000000-0005-0000-0000-00002A570000}"/>
    <cellStyle name="40% - Accent5 2 5 2 4 4" xfId="24547" xr:uid="{00000000-0005-0000-0000-00002B570000}"/>
    <cellStyle name="40% - Accent5 2 5 2 4 4 2" xfId="43741" xr:uid="{00000000-0005-0000-0000-00002C570000}"/>
    <cellStyle name="40% - Accent5 2 5 2 4 5" xfId="34043" xr:uid="{00000000-0005-0000-0000-00002D570000}"/>
    <cellStyle name="40% - Accent5 2 5 2 5" xfId="14718" xr:uid="{00000000-0005-0000-0000-00002E570000}"/>
    <cellStyle name="40% - Accent5 2 5 2 5 2" xfId="15847" xr:uid="{00000000-0005-0000-0000-00002F570000}"/>
    <cellStyle name="40% - Accent5 2 5 2 5 2 2" xfId="20311" xr:uid="{00000000-0005-0000-0000-000030570000}"/>
    <cellStyle name="40% - Accent5 2 5 2 5 2 2 2" xfId="30679" xr:uid="{00000000-0005-0000-0000-000031570000}"/>
    <cellStyle name="40% - Accent5 2 5 2 5 2 2 2 2" xfId="49868" xr:uid="{00000000-0005-0000-0000-000032570000}"/>
    <cellStyle name="40% - Accent5 2 5 2 5 2 2 3" xfId="40170" xr:uid="{00000000-0005-0000-0000-000033570000}"/>
    <cellStyle name="40% - Accent5 2 5 2 5 2 3" xfId="26224" xr:uid="{00000000-0005-0000-0000-000034570000}"/>
    <cellStyle name="40% - Accent5 2 5 2 5 2 3 2" xfId="45413" xr:uid="{00000000-0005-0000-0000-000035570000}"/>
    <cellStyle name="40% - Accent5 2 5 2 5 2 4" xfId="35715" xr:uid="{00000000-0005-0000-0000-000036570000}"/>
    <cellStyle name="40% - Accent5 2 5 2 5 3" xfId="19196" xr:uid="{00000000-0005-0000-0000-000037570000}"/>
    <cellStyle name="40% - Accent5 2 5 2 5 3 2" xfId="29564" xr:uid="{00000000-0005-0000-0000-000038570000}"/>
    <cellStyle name="40% - Accent5 2 5 2 5 3 2 2" xfId="48753" xr:uid="{00000000-0005-0000-0000-000039570000}"/>
    <cellStyle name="40% - Accent5 2 5 2 5 3 3" xfId="39055" xr:uid="{00000000-0005-0000-0000-00003A570000}"/>
    <cellStyle name="40% - Accent5 2 5 2 5 4" xfId="25109" xr:uid="{00000000-0005-0000-0000-00003B570000}"/>
    <cellStyle name="40% - Accent5 2 5 2 5 4 2" xfId="44298" xr:uid="{00000000-0005-0000-0000-00003C570000}"/>
    <cellStyle name="40% - Accent5 2 5 2 5 5" xfId="34600" xr:uid="{00000000-0005-0000-0000-00003D570000}"/>
    <cellStyle name="40% - Accent5 2 5 2 6" xfId="15290" xr:uid="{00000000-0005-0000-0000-00003E570000}"/>
    <cellStyle name="40% - Accent5 2 5 2 6 2" xfId="19754" xr:uid="{00000000-0005-0000-0000-00003F570000}"/>
    <cellStyle name="40% - Accent5 2 5 2 6 2 2" xfId="30122" xr:uid="{00000000-0005-0000-0000-000040570000}"/>
    <cellStyle name="40% - Accent5 2 5 2 6 2 2 2" xfId="49311" xr:uid="{00000000-0005-0000-0000-000041570000}"/>
    <cellStyle name="40% - Accent5 2 5 2 6 2 3" xfId="39613" xr:uid="{00000000-0005-0000-0000-000042570000}"/>
    <cellStyle name="40% - Accent5 2 5 2 6 3" xfId="25667" xr:uid="{00000000-0005-0000-0000-000043570000}"/>
    <cellStyle name="40% - Accent5 2 5 2 6 3 2" xfId="44856" xr:uid="{00000000-0005-0000-0000-000044570000}"/>
    <cellStyle name="40% - Accent5 2 5 2 6 4" xfId="35158" xr:uid="{00000000-0005-0000-0000-000045570000}"/>
    <cellStyle name="40% - Accent5 2 5 2 7" xfId="16960" xr:uid="{00000000-0005-0000-0000-000046570000}"/>
    <cellStyle name="40% - Accent5 2 5 2 7 2" xfId="21424" xr:uid="{00000000-0005-0000-0000-000047570000}"/>
    <cellStyle name="40% - Accent5 2 5 2 7 2 2" xfId="31792" xr:uid="{00000000-0005-0000-0000-000048570000}"/>
    <cellStyle name="40% - Accent5 2 5 2 7 2 2 2" xfId="50981" xr:uid="{00000000-0005-0000-0000-000049570000}"/>
    <cellStyle name="40% - Accent5 2 5 2 7 2 3" xfId="41283" xr:uid="{00000000-0005-0000-0000-00004A570000}"/>
    <cellStyle name="40% - Accent5 2 5 2 7 3" xfId="27337" xr:uid="{00000000-0005-0000-0000-00004B570000}"/>
    <cellStyle name="40% - Accent5 2 5 2 7 3 2" xfId="46526" xr:uid="{00000000-0005-0000-0000-00004C570000}"/>
    <cellStyle name="40% - Accent5 2 5 2 7 4" xfId="36828" xr:uid="{00000000-0005-0000-0000-00004D570000}"/>
    <cellStyle name="40% - Accent5 2 5 2 8" xfId="17526" xr:uid="{00000000-0005-0000-0000-00004E570000}"/>
    <cellStyle name="40% - Accent5 2 5 2 8 2" xfId="21981" xr:uid="{00000000-0005-0000-0000-00004F570000}"/>
    <cellStyle name="40% - Accent5 2 5 2 8 2 2" xfId="32349" xr:uid="{00000000-0005-0000-0000-000050570000}"/>
    <cellStyle name="40% - Accent5 2 5 2 8 2 2 2" xfId="51538" xr:uid="{00000000-0005-0000-0000-000051570000}"/>
    <cellStyle name="40% - Accent5 2 5 2 8 2 3" xfId="41840" xr:uid="{00000000-0005-0000-0000-000052570000}"/>
    <cellStyle name="40% - Accent5 2 5 2 8 3" xfId="27894" xr:uid="{00000000-0005-0000-0000-000053570000}"/>
    <cellStyle name="40% - Accent5 2 5 2 8 3 2" xfId="47083" xr:uid="{00000000-0005-0000-0000-000054570000}"/>
    <cellStyle name="40% - Accent5 2 5 2 8 4" xfId="37385" xr:uid="{00000000-0005-0000-0000-000055570000}"/>
    <cellStyle name="40% - Accent5 2 5 2 9" xfId="18083" xr:uid="{00000000-0005-0000-0000-000056570000}"/>
    <cellStyle name="40% - Accent5 2 5 2 9 2" xfId="28451" xr:uid="{00000000-0005-0000-0000-000057570000}"/>
    <cellStyle name="40% - Accent5 2 5 2 9 2 2" xfId="47640" xr:uid="{00000000-0005-0000-0000-000058570000}"/>
    <cellStyle name="40% - Accent5 2 5 2 9 3" xfId="37942" xr:uid="{00000000-0005-0000-0000-000059570000}"/>
    <cellStyle name="40% - Accent5 2 5 3" xfId="13206" xr:uid="{00000000-0005-0000-0000-00005A570000}"/>
    <cellStyle name="40% - Accent5 2 5 3 10" xfId="53014" xr:uid="{00000000-0005-0000-0000-00005B570000}"/>
    <cellStyle name="40% - Accent5 2 5 3 2" xfId="14142" xr:uid="{00000000-0005-0000-0000-00005C570000}"/>
    <cellStyle name="40% - Accent5 2 5 3 2 2" xfId="16406" xr:uid="{00000000-0005-0000-0000-00005D570000}"/>
    <cellStyle name="40% - Accent5 2 5 3 2 2 2" xfId="20870" xr:uid="{00000000-0005-0000-0000-00005E570000}"/>
    <cellStyle name="40% - Accent5 2 5 3 2 2 2 2" xfId="31238" xr:uid="{00000000-0005-0000-0000-00005F570000}"/>
    <cellStyle name="40% - Accent5 2 5 3 2 2 2 2 2" xfId="50427" xr:uid="{00000000-0005-0000-0000-000060570000}"/>
    <cellStyle name="40% - Accent5 2 5 3 2 2 2 3" xfId="40729" xr:uid="{00000000-0005-0000-0000-000061570000}"/>
    <cellStyle name="40% - Accent5 2 5 3 2 2 3" xfId="26783" xr:uid="{00000000-0005-0000-0000-000062570000}"/>
    <cellStyle name="40% - Accent5 2 5 3 2 2 3 2" xfId="45972" xr:uid="{00000000-0005-0000-0000-000063570000}"/>
    <cellStyle name="40% - Accent5 2 5 3 2 2 4" xfId="36274" xr:uid="{00000000-0005-0000-0000-000064570000}"/>
    <cellStyle name="40% - Accent5 2 5 3 2 3" xfId="18642" xr:uid="{00000000-0005-0000-0000-000065570000}"/>
    <cellStyle name="40% - Accent5 2 5 3 2 3 2" xfId="29010" xr:uid="{00000000-0005-0000-0000-000066570000}"/>
    <cellStyle name="40% - Accent5 2 5 3 2 3 2 2" xfId="48199" xr:uid="{00000000-0005-0000-0000-000067570000}"/>
    <cellStyle name="40% - Accent5 2 5 3 2 3 3" xfId="38501" xr:uid="{00000000-0005-0000-0000-000068570000}"/>
    <cellStyle name="40% - Accent5 2 5 3 2 4" xfId="24550" xr:uid="{00000000-0005-0000-0000-000069570000}"/>
    <cellStyle name="40% - Accent5 2 5 3 2 4 2" xfId="43744" xr:uid="{00000000-0005-0000-0000-00006A570000}"/>
    <cellStyle name="40% - Accent5 2 5 3 2 5" xfId="34046" xr:uid="{00000000-0005-0000-0000-00006B570000}"/>
    <cellStyle name="40% - Accent5 2 5 3 2 6" xfId="53889" xr:uid="{00000000-0005-0000-0000-00006C570000}"/>
    <cellStyle name="40% - Accent5 2 5 3 3" xfId="14721" xr:uid="{00000000-0005-0000-0000-00006D570000}"/>
    <cellStyle name="40% - Accent5 2 5 3 3 2" xfId="15850" xr:uid="{00000000-0005-0000-0000-00006E570000}"/>
    <cellStyle name="40% - Accent5 2 5 3 3 2 2" xfId="20314" xr:uid="{00000000-0005-0000-0000-00006F570000}"/>
    <cellStyle name="40% - Accent5 2 5 3 3 2 2 2" xfId="30682" xr:uid="{00000000-0005-0000-0000-000070570000}"/>
    <cellStyle name="40% - Accent5 2 5 3 3 2 2 2 2" xfId="49871" xr:uid="{00000000-0005-0000-0000-000071570000}"/>
    <cellStyle name="40% - Accent5 2 5 3 3 2 2 3" xfId="40173" xr:uid="{00000000-0005-0000-0000-000072570000}"/>
    <cellStyle name="40% - Accent5 2 5 3 3 2 3" xfId="26227" xr:uid="{00000000-0005-0000-0000-000073570000}"/>
    <cellStyle name="40% - Accent5 2 5 3 3 2 3 2" xfId="45416" xr:uid="{00000000-0005-0000-0000-000074570000}"/>
    <cellStyle name="40% - Accent5 2 5 3 3 2 4" xfId="35718" xr:uid="{00000000-0005-0000-0000-000075570000}"/>
    <cellStyle name="40% - Accent5 2 5 3 3 3" xfId="19199" xr:uid="{00000000-0005-0000-0000-000076570000}"/>
    <cellStyle name="40% - Accent5 2 5 3 3 3 2" xfId="29567" xr:uid="{00000000-0005-0000-0000-000077570000}"/>
    <cellStyle name="40% - Accent5 2 5 3 3 3 2 2" xfId="48756" xr:uid="{00000000-0005-0000-0000-000078570000}"/>
    <cellStyle name="40% - Accent5 2 5 3 3 3 3" xfId="39058" xr:uid="{00000000-0005-0000-0000-000079570000}"/>
    <cellStyle name="40% - Accent5 2 5 3 3 4" xfId="25112" xr:uid="{00000000-0005-0000-0000-00007A570000}"/>
    <cellStyle name="40% - Accent5 2 5 3 3 4 2" xfId="44301" xr:uid="{00000000-0005-0000-0000-00007B570000}"/>
    <cellStyle name="40% - Accent5 2 5 3 3 5" xfId="34603" xr:uid="{00000000-0005-0000-0000-00007C570000}"/>
    <cellStyle name="40% - Accent5 2 5 3 4" xfId="15293" xr:uid="{00000000-0005-0000-0000-00007D570000}"/>
    <cellStyle name="40% - Accent5 2 5 3 4 2" xfId="19757" xr:uid="{00000000-0005-0000-0000-00007E570000}"/>
    <cellStyle name="40% - Accent5 2 5 3 4 2 2" xfId="30125" xr:uid="{00000000-0005-0000-0000-00007F570000}"/>
    <cellStyle name="40% - Accent5 2 5 3 4 2 2 2" xfId="49314" xr:uid="{00000000-0005-0000-0000-000080570000}"/>
    <cellStyle name="40% - Accent5 2 5 3 4 2 3" xfId="39616" xr:uid="{00000000-0005-0000-0000-000081570000}"/>
    <cellStyle name="40% - Accent5 2 5 3 4 3" xfId="25670" xr:uid="{00000000-0005-0000-0000-000082570000}"/>
    <cellStyle name="40% - Accent5 2 5 3 4 3 2" xfId="44859" xr:uid="{00000000-0005-0000-0000-000083570000}"/>
    <cellStyle name="40% - Accent5 2 5 3 4 4" xfId="35161" xr:uid="{00000000-0005-0000-0000-000084570000}"/>
    <cellStyle name="40% - Accent5 2 5 3 5" xfId="16963" xr:uid="{00000000-0005-0000-0000-000085570000}"/>
    <cellStyle name="40% - Accent5 2 5 3 5 2" xfId="21427" xr:uid="{00000000-0005-0000-0000-000086570000}"/>
    <cellStyle name="40% - Accent5 2 5 3 5 2 2" xfId="31795" xr:uid="{00000000-0005-0000-0000-000087570000}"/>
    <cellStyle name="40% - Accent5 2 5 3 5 2 2 2" xfId="50984" xr:uid="{00000000-0005-0000-0000-000088570000}"/>
    <cellStyle name="40% - Accent5 2 5 3 5 2 3" xfId="41286" xr:uid="{00000000-0005-0000-0000-000089570000}"/>
    <cellStyle name="40% - Accent5 2 5 3 5 3" xfId="27340" xr:uid="{00000000-0005-0000-0000-00008A570000}"/>
    <cellStyle name="40% - Accent5 2 5 3 5 3 2" xfId="46529" xr:uid="{00000000-0005-0000-0000-00008B570000}"/>
    <cellStyle name="40% - Accent5 2 5 3 5 4" xfId="36831" xr:uid="{00000000-0005-0000-0000-00008C570000}"/>
    <cellStyle name="40% - Accent5 2 5 3 6" xfId="17529" xr:uid="{00000000-0005-0000-0000-00008D570000}"/>
    <cellStyle name="40% - Accent5 2 5 3 6 2" xfId="21984" xr:uid="{00000000-0005-0000-0000-00008E570000}"/>
    <cellStyle name="40% - Accent5 2 5 3 6 2 2" xfId="32352" xr:uid="{00000000-0005-0000-0000-00008F570000}"/>
    <cellStyle name="40% - Accent5 2 5 3 6 2 2 2" xfId="51541" xr:uid="{00000000-0005-0000-0000-000090570000}"/>
    <cellStyle name="40% - Accent5 2 5 3 6 2 3" xfId="41843" xr:uid="{00000000-0005-0000-0000-000091570000}"/>
    <cellStyle name="40% - Accent5 2 5 3 6 3" xfId="27897" xr:uid="{00000000-0005-0000-0000-000092570000}"/>
    <cellStyle name="40% - Accent5 2 5 3 6 3 2" xfId="47086" xr:uid="{00000000-0005-0000-0000-000093570000}"/>
    <cellStyle name="40% - Accent5 2 5 3 6 4" xfId="37388" xr:uid="{00000000-0005-0000-0000-000094570000}"/>
    <cellStyle name="40% - Accent5 2 5 3 7" xfId="18086" xr:uid="{00000000-0005-0000-0000-000095570000}"/>
    <cellStyle name="40% - Accent5 2 5 3 7 2" xfId="28454" xr:uid="{00000000-0005-0000-0000-000096570000}"/>
    <cellStyle name="40% - Accent5 2 5 3 7 2 2" xfId="47643" xr:uid="{00000000-0005-0000-0000-000097570000}"/>
    <cellStyle name="40% - Accent5 2 5 3 7 3" xfId="37945" xr:uid="{00000000-0005-0000-0000-000098570000}"/>
    <cellStyle name="40% - Accent5 2 5 3 8" xfId="23949" xr:uid="{00000000-0005-0000-0000-000099570000}"/>
    <cellStyle name="40% - Accent5 2 5 3 8 2" xfId="43188" xr:uid="{00000000-0005-0000-0000-00009A570000}"/>
    <cellStyle name="40% - Accent5 2 5 3 9" xfId="33490" xr:uid="{00000000-0005-0000-0000-00009B570000}"/>
    <cellStyle name="40% - Accent5 2 5 4" xfId="13207" xr:uid="{00000000-0005-0000-0000-00009C570000}"/>
    <cellStyle name="40% - Accent5 2 5 4 10" xfId="53493" xr:uid="{00000000-0005-0000-0000-00009D570000}"/>
    <cellStyle name="40% - Accent5 2 5 4 2" xfId="14143" xr:uid="{00000000-0005-0000-0000-00009E570000}"/>
    <cellStyle name="40% - Accent5 2 5 4 2 2" xfId="16407" xr:uid="{00000000-0005-0000-0000-00009F570000}"/>
    <cellStyle name="40% - Accent5 2 5 4 2 2 2" xfId="20871" xr:uid="{00000000-0005-0000-0000-0000A0570000}"/>
    <cellStyle name="40% - Accent5 2 5 4 2 2 2 2" xfId="31239" xr:uid="{00000000-0005-0000-0000-0000A1570000}"/>
    <cellStyle name="40% - Accent5 2 5 4 2 2 2 2 2" xfId="50428" xr:uid="{00000000-0005-0000-0000-0000A2570000}"/>
    <cellStyle name="40% - Accent5 2 5 4 2 2 2 3" xfId="40730" xr:uid="{00000000-0005-0000-0000-0000A3570000}"/>
    <cellStyle name="40% - Accent5 2 5 4 2 2 3" xfId="26784" xr:uid="{00000000-0005-0000-0000-0000A4570000}"/>
    <cellStyle name="40% - Accent5 2 5 4 2 2 3 2" xfId="45973" xr:uid="{00000000-0005-0000-0000-0000A5570000}"/>
    <cellStyle name="40% - Accent5 2 5 4 2 2 4" xfId="36275" xr:uid="{00000000-0005-0000-0000-0000A6570000}"/>
    <cellStyle name="40% - Accent5 2 5 4 2 3" xfId="18643" xr:uid="{00000000-0005-0000-0000-0000A7570000}"/>
    <cellStyle name="40% - Accent5 2 5 4 2 3 2" xfId="29011" xr:uid="{00000000-0005-0000-0000-0000A8570000}"/>
    <cellStyle name="40% - Accent5 2 5 4 2 3 2 2" xfId="48200" xr:uid="{00000000-0005-0000-0000-0000A9570000}"/>
    <cellStyle name="40% - Accent5 2 5 4 2 3 3" xfId="38502" xr:uid="{00000000-0005-0000-0000-0000AA570000}"/>
    <cellStyle name="40% - Accent5 2 5 4 2 4" xfId="24551" xr:uid="{00000000-0005-0000-0000-0000AB570000}"/>
    <cellStyle name="40% - Accent5 2 5 4 2 4 2" xfId="43745" xr:uid="{00000000-0005-0000-0000-0000AC570000}"/>
    <cellStyle name="40% - Accent5 2 5 4 2 5" xfId="34047" xr:uid="{00000000-0005-0000-0000-0000AD570000}"/>
    <cellStyle name="40% - Accent5 2 5 4 3" xfId="14722" xr:uid="{00000000-0005-0000-0000-0000AE570000}"/>
    <cellStyle name="40% - Accent5 2 5 4 3 2" xfId="15851" xr:uid="{00000000-0005-0000-0000-0000AF570000}"/>
    <cellStyle name="40% - Accent5 2 5 4 3 2 2" xfId="20315" xr:uid="{00000000-0005-0000-0000-0000B0570000}"/>
    <cellStyle name="40% - Accent5 2 5 4 3 2 2 2" xfId="30683" xr:uid="{00000000-0005-0000-0000-0000B1570000}"/>
    <cellStyle name="40% - Accent5 2 5 4 3 2 2 2 2" xfId="49872" xr:uid="{00000000-0005-0000-0000-0000B2570000}"/>
    <cellStyle name="40% - Accent5 2 5 4 3 2 2 3" xfId="40174" xr:uid="{00000000-0005-0000-0000-0000B3570000}"/>
    <cellStyle name="40% - Accent5 2 5 4 3 2 3" xfId="26228" xr:uid="{00000000-0005-0000-0000-0000B4570000}"/>
    <cellStyle name="40% - Accent5 2 5 4 3 2 3 2" xfId="45417" xr:uid="{00000000-0005-0000-0000-0000B5570000}"/>
    <cellStyle name="40% - Accent5 2 5 4 3 2 4" xfId="35719" xr:uid="{00000000-0005-0000-0000-0000B6570000}"/>
    <cellStyle name="40% - Accent5 2 5 4 3 3" xfId="19200" xr:uid="{00000000-0005-0000-0000-0000B7570000}"/>
    <cellStyle name="40% - Accent5 2 5 4 3 3 2" xfId="29568" xr:uid="{00000000-0005-0000-0000-0000B8570000}"/>
    <cellStyle name="40% - Accent5 2 5 4 3 3 2 2" xfId="48757" xr:uid="{00000000-0005-0000-0000-0000B9570000}"/>
    <cellStyle name="40% - Accent5 2 5 4 3 3 3" xfId="39059" xr:uid="{00000000-0005-0000-0000-0000BA570000}"/>
    <cellStyle name="40% - Accent5 2 5 4 3 4" xfId="25113" xr:uid="{00000000-0005-0000-0000-0000BB570000}"/>
    <cellStyle name="40% - Accent5 2 5 4 3 4 2" xfId="44302" xr:uid="{00000000-0005-0000-0000-0000BC570000}"/>
    <cellStyle name="40% - Accent5 2 5 4 3 5" xfId="34604" xr:uid="{00000000-0005-0000-0000-0000BD570000}"/>
    <cellStyle name="40% - Accent5 2 5 4 4" xfId="15294" xr:uid="{00000000-0005-0000-0000-0000BE570000}"/>
    <cellStyle name="40% - Accent5 2 5 4 4 2" xfId="19758" xr:uid="{00000000-0005-0000-0000-0000BF570000}"/>
    <cellStyle name="40% - Accent5 2 5 4 4 2 2" xfId="30126" xr:uid="{00000000-0005-0000-0000-0000C0570000}"/>
    <cellStyle name="40% - Accent5 2 5 4 4 2 2 2" xfId="49315" xr:uid="{00000000-0005-0000-0000-0000C1570000}"/>
    <cellStyle name="40% - Accent5 2 5 4 4 2 3" xfId="39617" xr:uid="{00000000-0005-0000-0000-0000C2570000}"/>
    <cellStyle name="40% - Accent5 2 5 4 4 3" xfId="25671" xr:uid="{00000000-0005-0000-0000-0000C3570000}"/>
    <cellStyle name="40% - Accent5 2 5 4 4 3 2" xfId="44860" xr:uid="{00000000-0005-0000-0000-0000C4570000}"/>
    <cellStyle name="40% - Accent5 2 5 4 4 4" xfId="35162" xr:uid="{00000000-0005-0000-0000-0000C5570000}"/>
    <cellStyle name="40% - Accent5 2 5 4 5" xfId="16964" xr:uid="{00000000-0005-0000-0000-0000C6570000}"/>
    <cellStyle name="40% - Accent5 2 5 4 5 2" xfId="21428" xr:uid="{00000000-0005-0000-0000-0000C7570000}"/>
    <cellStyle name="40% - Accent5 2 5 4 5 2 2" xfId="31796" xr:uid="{00000000-0005-0000-0000-0000C8570000}"/>
    <cellStyle name="40% - Accent5 2 5 4 5 2 2 2" xfId="50985" xr:uid="{00000000-0005-0000-0000-0000C9570000}"/>
    <cellStyle name="40% - Accent5 2 5 4 5 2 3" xfId="41287" xr:uid="{00000000-0005-0000-0000-0000CA570000}"/>
    <cellStyle name="40% - Accent5 2 5 4 5 3" xfId="27341" xr:uid="{00000000-0005-0000-0000-0000CB570000}"/>
    <cellStyle name="40% - Accent5 2 5 4 5 3 2" xfId="46530" xr:uid="{00000000-0005-0000-0000-0000CC570000}"/>
    <cellStyle name="40% - Accent5 2 5 4 5 4" xfId="36832" xr:uid="{00000000-0005-0000-0000-0000CD570000}"/>
    <cellStyle name="40% - Accent5 2 5 4 6" xfId="17530" xr:uid="{00000000-0005-0000-0000-0000CE570000}"/>
    <cellStyle name="40% - Accent5 2 5 4 6 2" xfId="21985" xr:uid="{00000000-0005-0000-0000-0000CF570000}"/>
    <cellStyle name="40% - Accent5 2 5 4 6 2 2" xfId="32353" xr:uid="{00000000-0005-0000-0000-0000D0570000}"/>
    <cellStyle name="40% - Accent5 2 5 4 6 2 2 2" xfId="51542" xr:uid="{00000000-0005-0000-0000-0000D1570000}"/>
    <cellStyle name="40% - Accent5 2 5 4 6 2 3" xfId="41844" xr:uid="{00000000-0005-0000-0000-0000D2570000}"/>
    <cellStyle name="40% - Accent5 2 5 4 6 3" xfId="27898" xr:uid="{00000000-0005-0000-0000-0000D3570000}"/>
    <cellStyle name="40% - Accent5 2 5 4 6 3 2" xfId="47087" xr:uid="{00000000-0005-0000-0000-0000D4570000}"/>
    <cellStyle name="40% - Accent5 2 5 4 6 4" xfId="37389" xr:uid="{00000000-0005-0000-0000-0000D5570000}"/>
    <cellStyle name="40% - Accent5 2 5 4 7" xfId="18087" xr:uid="{00000000-0005-0000-0000-0000D6570000}"/>
    <cellStyle name="40% - Accent5 2 5 4 7 2" xfId="28455" xr:uid="{00000000-0005-0000-0000-0000D7570000}"/>
    <cellStyle name="40% - Accent5 2 5 4 7 2 2" xfId="47644" xr:uid="{00000000-0005-0000-0000-0000D8570000}"/>
    <cellStyle name="40% - Accent5 2 5 4 7 3" xfId="37946" xr:uid="{00000000-0005-0000-0000-0000D9570000}"/>
    <cellStyle name="40% - Accent5 2 5 4 8" xfId="23950" xr:uid="{00000000-0005-0000-0000-0000DA570000}"/>
    <cellStyle name="40% - Accent5 2 5 4 8 2" xfId="43189" xr:uid="{00000000-0005-0000-0000-0000DB570000}"/>
    <cellStyle name="40% - Accent5 2 5 4 9" xfId="33491" xr:uid="{00000000-0005-0000-0000-0000DC570000}"/>
    <cellStyle name="40% - Accent5 2 5 5" xfId="12271" xr:uid="{00000000-0005-0000-0000-0000DD570000}"/>
    <cellStyle name="40% - Accent5 2 5 6" xfId="52604" xr:uid="{00000000-0005-0000-0000-0000DE570000}"/>
    <cellStyle name="40% - Accent5 2 5 7" xfId="12025" xr:uid="{00000000-0005-0000-0000-0000DF570000}"/>
    <cellStyle name="40% - Accent5 2 6" xfId="2006" xr:uid="{00000000-0005-0000-0000-0000E0570000}"/>
    <cellStyle name="40% - Accent5 2 6 2" xfId="13208" xr:uid="{00000000-0005-0000-0000-0000E1570000}"/>
    <cellStyle name="40% - Accent5 2 6 2 10" xfId="52837" xr:uid="{00000000-0005-0000-0000-0000E2570000}"/>
    <cellStyle name="40% - Accent5 2 6 2 2" xfId="14144" xr:uid="{00000000-0005-0000-0000-0000E3570000}"/>
    <cellStyle name="40% - Accent5 2 6 2 2 2" xfId="16408" xr:uid="{00000000-0005-0000-0000-0000E4570000}"/>
    <cellStyle name="40% - Accent5 2 6 2 2 2 2" xfId="20872" xr:uid="{00000000-0005-0000-0000-0000E5570000}"/>
    <cellStyle name="40% - Accent5 2 6 2 2 2 2 2" xfId="31240" xr:uid="{00000000-0005-0000-0000-0000E6570000}"/>
    <cellStyle name="40% - Accent5 2 6 2 2 2 2 2 2" xfId="50429" xr:uid="{00000000-0005-0000-0000-0000E7570000}"/>
    <cellStyle name="40% - Accent5 2 6 2 2 2 2 3" xfId="40731" xr:uid="{00000000-0005-0000-0000-0000E8570000}"/>
    <cellStyle name="40% - Accent5 2 6 2 2 2 3" xfId="26785" xr:uid="{00000000-0005-0000-0000-0000E9570000}"/>
    <cellStyle name="40% - Accent5 2 6 2 2 2 3 2" xfId="45974" xr:uid="{00000000-0005-0000-0000-0000EA570000}"/>
    <cellStyle name="40% - Accent5 2 6 2 2 2 4" xfId="36276" xr:uid="{00000000-0005-0000-0000-0000EB570000}"/>
    <cellStyle name="40% - Accent5 2 6 2 2 2 5" xfId="54118" xr:uid="{00000000-0005-0000-0000-0000EC570000}"/>
    <cellStyle name="40% - Accent5 2 6 2 2 3" xfId="18644" xr:uid="{00000000-0005-0000-0000-0000ED570000}"/>
    <cellStyle name="40% - Accent5 2 6 2 2 3 2" xfId="29012" xr:uid="{00000000-0005-0000-0000-0000EE570000}"/>
    <cellStyle name="40% - Accent5 2 6 2 2 3 2 2" xfId="48201" xr:uid="{00000000-0005-0000-0000-0000EF570000}"/>
    <cellStyle name="40% - Accent5 2 6 2 2 3 3" xfId="38503" xr:uid="{00000000-0005-0000-0000-0000F0570000}"/>
    <cellStyle name="40% - Accent5 2 6 2 2 4" xfId="24552" xr:uid="{00000000-0005-0000-0000-0000F1570000}"/>
    <cellStyle name="40% - Accent5 2 6 2 2 4 2" xfId="43746" xr:uid="{00000000-0005-0000-0000-0000F2570000}"/>
    <cellStyle name="40% - Accent5 2 6 2 2 5" xfId="34048" xr:uid="{00000000-0005-0000-0000-0000F3570000}"/>
    <cellStyle name="40% - Accent5 2 6 2 2 6" xfId="53265" xr:uid="{00000000-0005-0000-0000-0000F4570000}"/>
    <cellStyle name="40% - Accent5 2 6 2 3" xfId="14723" xr:uid="{00000000-0005-0000-0000-0000F5570000}"/>
    <cellStyle name="40% - Accent5 2 6 2 3 2" xfId="15852" xr:uid="{00000000-0005-0000-0000-0000F6570000}"/>
    <cellStyle name="40% - Accent5 2 6 2 3 2 2" xfId="20316" xr:uid="{00000000-0005-0000-0000-0000F7570000}"/>
    <cellStyle name="40% - Accent5 2 6 2 3 2 2 2" xfId="30684" xr:uid="{00000000-0005-0000-0000-0000F8570000}"/>
    <cellStyle name="40% - Accent5 2 6 2 3 2 2 2 2" xfId="49873" xr:uid="{00000000-0005-0000-0000-0000F9570000}"/>
    <cellStyle name="40% - Accent5 2 6 2 3 2 2 3" xfId="40175" xr:uid="{00000000-0005-0000-0000-0000FA570000}"/>
    <cellStyle name="40% - Accent5 2 6 2 3 2 3" xfId="26229" xr:uid="{00000000-0005-0000-0000-0000FB570000}"/>
    <cellStyle name="40% - Accent5 2 6 2 3 2 3 2" xfId="45418" xr:uid="{00000000-0005-0000-0000-0000FC570000}"/>
    <cellStyle name="40% - Accent5 2 6 2 3 2 4" xfId="35720" xr:uid="{00000000-0005-0000-0000-0000FD570000}"/>
    <cellStyle name="40% - Accent5 2 6 2 3 3" xfId="19201" xr:uid="{00000000-0005-0000-0000-0000FE570000}"/>
    <cellStyle name="40% - Accent5 2 6 2 3 3 2" xfId="29569" xr:uid="{00000000-0005-0000-0000-0000FF570000}"/>
    <cellStyle name="40% - Accent5 2 6 2 3 3 2 2" xfId="48758" xr:uid="{00000000-0005-0000-0000-000000580000}"/>
    <cellStyle name="40% - Accent5 2 6 2 3 3 3" xfId="39060" xr:uid="{00000000-0005-0000-0000-000001580000}"/>
    <cellStyle name="40% - Accent5 2 6 2 3 4" xfId="25114" xr:uid="{00000000-0005-0000-0000-000002580000}"/>
    <cellStyle name="40% - Accent5 2 6 2 3 4 2" xfId="44303" xr:uid="{00000000-0005-0000-0000-000003580000}"/>
    <cellStyle name="40% - Accent5 2 6 2 3 5" xfId="34605" xr:uid="{00000000-0005-0000-0000-000004580000}"/>
    <cellStyle name="40% - Accent5 2 6 2 3 6" xfId="53722" xr:uid="{00000000-0005-0000-0000-000005580000}"/>
    <cellStyle name="40% - Accent5 2 6 2 4" xfId="15295" xr:uid="{00000000-0005-0000-0000-000006580000}"/>
    <cellStyle name="40% - Accent5 2 6 2 4 2" xfId="19759" xr:uid="{00000000-0005-0000-0000-000007580000}"/>
    <cellStyle name="40% - Accent5 2 6 2 4 2 2" xfId="30127" xr:uid="{00000000-0005-0000-0000-000008580000}"/>
    <cellStyle name="40% - Accent5 2 6 2 4 2 2 2" xfId="49316" xr:uid="{00000000-0005-0000-0000-000009580000}"/>
    <cellStyle name="40% - Accent5 2 6 2 4 2 3" xfId="39618" xr:uid="{00000000-0005-0000-0000-00000A580000}"/>
    <cellStyle name="40% - Accent5 2 6 2 4 3" xfId="25672" xr:uid="{00000000-0005-0000-0000-00000B580000}"/>
    <cellStyle name="40% - Accent5 2 6 2 4 3 2" xfId="44861" xr:uid="{00000000-0005-0000-0000-00000C580000}"/>
    <cellStyle name="40% - Accent5 2 6 2 4 4" xfId="35163" xr:uid="{00000000-0005-0000-0000-00000D580000}"/>
    <cellStyle name="40% - Accent5 2 6 2 5" xfId="16965" xr:uid="{00000000-0005-0000-0000-00000E580000}"/>
    <cellStyle name="40% - Accent5 2 6 2 5 2" xfId="21429" xr:uid="{00000000-0005-0000-0000-00000F580000}"/>
    <cellStyle name="40% - Accent5 2 6 2 5 2 2" xfId="31797" xr:uid="{00000000-0005-0000-0000-000010580000}"/>
    <cellStyle name="40% - Accent5 2 6 2 5 2 2 2" xfId="50986" xr:uid="{00000000-0005-0000-0000-000011580000}"/>
    <cellStyle name="40% - Accent5 2 6 2 5 2 3" xfId="41288" xr:uid="{00000000-0005-0000-0000-000012580000}"/>
    <cellStyle name="40% - Accent5 2 6 2 5 3" xfId="27342" xr:uid="{00000000-0005-0000-0000-000013580000}"/>
    <cellStyle name="40% - Accent5 2 6 2 5 3 2" xfId="46531" xr:uid="{00000000-0005-0000-0000-000014580000}"/>
    <cellStyle name="40% - Accent5 2 6 2 5 4" xfId="36833" xr:uid="{00000000-0005-0000-0000-000015580000}"/>
    <cellStyle name="40% - Accent5 2 6 2 6" xfId="17531" xr:uid="{00000000-0005-0000-0000-000016580000}"/>
    <cellStyle name="40% - Accent5 2 6 2 6 2" xfId="21986" xr:uid="{00000000-0005-0000-0000-000017580000}"/>
    <cellStyle name="40% - Accent5 2 6 2 6 2 2" xfId="32354" xr:uid="{00000000-0005-0000-0000-000018580000}"/>
    <cellStyle name="40% - Accent5 2 6 2 6 2 2 2" xfId="51543" xr:uid="{00000000-0005-0000-0000-000019580000}"/>
    <cellStyle name="40% - Accent5 2 6 2 6 2 3" xfId="41845" xr:uid="{00000000-0005-0000-0000-00001A580000}"/>
    <cellStyle name="40% - Accent5 2 6 2 6 3" xfId="27899" xr:uid="{00000000-0005-0000-0000-00001B580000}"/>
    <cellStyle name="40% - Accent5 2 6 2 6 3 2" xfId="47088" xr:uid="{00000000-0005-0000-0000-00001C580000}"/>
    <cellStyle name="40% - Accent5 2 6 2 6 4" xfId="37390" xr:uid="{00000000-0005-0000-0000-00001D580000}"/>
    <cellStyle name="40% - Accent5 2 6 2 7" xfId="18088" xr:uid="{00000000-0005-0000-0000-00001E580000}"/>
    <cellStyle name="40% - Accent5 2 6 2 7 2" xfId="28456" xr:uid="{00000000-0005-0000-0000-00001F580000}"/>
    <cellStyle name="40% - Accent5 2 6 2 7 2 2" xfId="47645" xr:uid="{00000000-0005-0000-0000-000020580000}"/>
    <cellStyle name="40% - Accent5 2 6 2 7 3" xfId="37947" xr:uid="{00000000-0005-0000-0000-000021580000}"/>
    <cellStyle name="40% - Accent5 2 6 2 8" xfId="23951" xr:uid="{00000000-0005-0000-0000-000022580000}"/>
    <cellStyle name="40% - Accent5 2 6 2 8 2" xfId="43190" xr:uid="{00000000-0005-0000-0000-000023580000}"/>
    <cellStyle name="40% - Accent5 2 6 2 9" xfId="33492" xr:uid="{00000000-0005-0000-0000-000024580000}"/>
    <cellStyle name="40% - Accent5 2 6 3" xfId="13209" xr:uid="{00000000-0005-0000-0000-000025580000}"/>
    <cellStyle name="40% - Accent5 2 6 3 10" xfId="53047" xr:uid="{00000000-0005-0000-0000-000026580000}"/>
    <cellStyle name="40% - Accent5 2 6 3 2" xfId="14145" xr:uid="{00000000-0005-0000-0000-000027580000}"/>
    <cellStyle name="40% - Accent5 2 6 3 2 2" xfId="16409" xr:uid="{00000000-0005-0000-0000-000028580000}"/>
    <cellStyle name="40% - Accent5 2 6 3 2 2 2" xfId="20873" xr:uid="{00000000-0005-0000-0000-000029580000}"/>
    <cellStyle name="40% - Accent5 2 6 3 2 2 2 2" xfId="31241" xr:uid="{00000000-0005-0000-0000-00002A580000}"/>
    <cellStyle name="40% - Accent5 2 6 3 2 2 2 2 2" xfId="50430" xr:uid="{00000000-0005-0000-0000-00002B580000}"/>
    <cellStyle name="40% - Accent5 2 6 3 2 2 2 3" xfId="40732" xr:uid="{00000000-0005-0000-0000-00002C580000}"/>
    <cellStyle name="40% - Accent5 2 6 3 2 2 3" xfId="26786" xr:uid="{00000000-0005-0000-0000-00002D580000}"/>
    <cellStyle name="40% - Accent5 2 6 3 2 2 3 2" xfId="45975" xr:uid="{00000000-0005-0000-0000-00002E580000}"/>
    <cellStyle name="40% - Accent5 2 6 3 2 2 4" xfId="36277" xr:uid="{00000000-0005-0000-0000-00002F580000}"/>
    <cellStyle name="40% - Accent5 2 6 3 2 3" xfId="18645" xr:uid="{00000000-0005-0000-0000-000030580000}"/>
    <cellStyle name="40% - Accent5 2 6 3 2 3 2" xfId="29013" xr:uid="{00000000-0005-0000-0000-000031580000}"/>
    <cellStyle name="40% - Accent5 2 6 3 2 3 2 2" xfId="48202" xr:uid="{00000000-0005-0000-0000-000032580000}"/>
    <cellStyle name="40% - Accent5 2 6 3 2 3 3" xfId="38504" xr:uid="{00000000-0005-0000-0000-000033580000}"/>
    <cellStyle name="40% - Accent5 2 6 3 2 4" xfId="24553" xr:uid="{00000000-0005-0000-0000-000034580000}"/>
    <cellStyle name="40% - Accent5 2 6 3 2 4 2" xfId="43747" xr:uid="{00000000-0005-0000-0000-000035580000}"/>
    <cellStyle name="40% - Accent5 2 6 3 2 5" xfId="34049" xr:uid="{00000000-0005-0000-0000-000036580000}"/>
    <cellStyle name="40% - Accent5 2 6 3 2 6" xfId="53922" xr:uid="{00000000-0005-0000-0000-000037580000}"/>
    <cellStyle name="40% - Accent5 2 6 3 3" xfId="14724" xr:uid="{00000000-0005-0000-0000-000038580000}"/>
    <cellStyle name="40% - Accent5 2 6 3 3 2" xfId="15853" xr:uid="{00000000-0005-0000-0000-000039580000}"/>
    <cellStyle name="40% - Accent5 2 6 3 3 2 2" xfId="20317" xr:uid="{00000000-0005-0000-0000-00003A580000}"/>
    <cellStyle name="40% - Accent5 2 6 3 3 2 2 2" xfId="30685" xr:uid="{00000000-0005-0000-0000-00003B580000}"/>
    <cellStyle name="40% - Accent5 2 6 3 3 2 2 2 2" xfId="49874" xr:uid="{00000000-0005-0000-0000-00003C580000}"/>
    <cellStyle name="40% - Accent5 2 6 3 3 2 2 3" xfId="40176" xr:uid="{00000000-0005-0000-0000-00003D580000}"/>
    <cellStyle name="40% - Accent5 2 6 3 3 2 3" xfId="26230" xr:uid="{00000000-0005-0000-0000-00003E580000}"/>
    <cellStyle name="40% - Accent5 2 6 3 3 2 3 2" xfId="45419" xr:uid="{00000000-0005-0000-0000-00003F580000}"/>
    <cellStyle name="40% - Accent5 2 6 3 3 2 4" xfId="35721" xr:uid="{00000000-0005-0000-0000-000040580000}"/>
    <cellStyle name="40% - Accent5 2 6 3 3 3" xfId="19202" xr:uid="{00000000-0005-0000-0000-000041580000}"/>
    <cellStyle name="40% - Accent5 2 6 3 3 3 2" xfId="29570" xr:uid="{00000000-0005-0000-0000-000042580000}"/>
    <cellStyle name="40% - Accent5 2 6 3 3 3 2 2" xfId="48759" xr:uid="{00000000-0005-0000-0000-000043580000}"/>
    <cellStyle name="40% - Accent5 2 6 3 3 3 3" xfId="39061" xr:uid="{00000000-0005-0000-0000-000044580000}"/>
    <cellStyle name="40% - Accent5 2 6 3 3 4" xfId="25115" xr:uid="{00000000-0005-0000-0000-000045580000}"/>
    <cellStyle name="40% - Accent5 2 6 3 3 4 2" xfId="44304" xr:uid="{00000000-0005-0000-0000-000046580000}"/>
    <cellStyle name="40% - Accent5 2 6 3 3 5" xfId="34606" xr:uid="{00000000-0005-0000-0000-000047580000}"/>
    <cellStyle name="40% - Accent5 2 6 3 4" xfId="15296" xr:uid="{00000000-0005-0000-0000-000048580000}"/>
    <cellStyle name="40% - Accent5 2 6 3 4 2" xfId="19760" xr:uid="{00000000-0005-0000-0000-000049580000}"/>
    <cellStyle name="40% - Accent5 2 6 3 4 2 2" xfId="30128" xr:uid="{00000000-0005-0000-0000-00004A580000}"/>
    <cellStyle name="40% - Accent5 2 6 3 4 2 2 2" xfId="49317" xr:uid="{00000000-0005-0000-0000-00004B580000}"/>
    <cellStyle name="40% - Accent5 2 6 3 4 2 3" xfId="39619" xr:uid="{00000000-0005-0000-0000-00004C580000}"/>
    <cellStyle name="40% - Accent5 2 6 3 4 3" xfId="25673" xr:uid="{00000000-0005-0000-0000-00004D580000}"/>
    <cellStyle name="40% - Accent5 2 6 3 4 3 2" xfId="44862" xr:uid="{00000000-0005-0000-0000-00004E580000}"/>
    <cellStyle name="40% - Accent5 2 6 3 4 4" xfId="35164" xr:uid="{00000000-0005-0000-0000-00004F580000}"/>
    <cellStyle name="40% - Accent5 2 6 3 5" xfId="16966" xr:uid="{00000000-0005-0000-0000-000050580000}"/>
    <cellStyle name="40% - Accent5 2 6 3 5 2" xfId="21430" xr:uid="{00000000-0005-0000-0000-000051580000}"/>
    <cellStyle name="40% - Accent5 2 6 3 5 2 2" xfId="31798" xr:uid="{00000000-0005-0000-0000-000052580000}"/>
    <cellStyle name="40% - Accent5 2 6 3 5 2 2 2" xfId="50987" xr:uid="{00000000-0005-0000-0000-000053580000}"/>
    <cellStyle name="40% - Accent5 2 6 3 5 2 3" xfId="41289" xr:uid="{00000000-0005-0000-0000-000054580000}"/>
    <cellStyle name="40% - Accent5 2 6 3 5 3" xfId="27343" xr:uid="{00000000-0005-0000-0000-000055580000}"/>
    <cellStyle name="40% - Accent5 2 6 3 5 3 2" xfId="46532" xr:uid="{00000000-0005-0000-0000-000056580000}"/>
    <cellStyle name="40% - Accent5 2 6 3 5 4" xfId="36834" xr:uid="{00000000-0005-0000-0000-000057580000}"/>
    <cellStyle name="40% - Accent5 2 6 3 6" xfId="17532" xr:uid="{00000000-0005-0000-0000-000058580000}"/>
    <cellStyle name="40% - Accent5 2 6 3 6 2" xfId="21987" xr:uid="{00000000-0005-0000-0000-000059580000}"/>
    <cellStyle name="40% - Accent5 2 6 3 6 2 2" xfId="32355" xr:uid="{00000000-0005-0000-0000-00005A580000}"/>
    <cellStyle name="40% - Accent5 2 6 3 6 2 2 2" xfId="51544" xr:uid="{00000000-0005-0000-0000-00005B580000}"/>
    <cellStyle name="40% - Accent5 2 6 3 6 2 3" xfId="41846" xr:uid="{00000000-0005-0000-0000-00005C580000}"/>
    <cellStyle name="40% - Accent5 2 6 3 6 3" xfId="27900" xr:uid="{00000000-0005-0000-0000-00005D580000}"/>
    <cellStyle name="40% - Accent5 2 6 3 6 3 2" xfId="47089" xr:uid="{00000000-0005-0000-0000-00005E580000}"/>
    <cellStyle name="40% - Accent5 2 6 3 6 4" xfId="37391" xr:uid="{00000000-0005-0000-0000-00005F580000}"/>
    <cellStyle name="40% - Accent5 2 6 3 7" xfId="18089" xr:uid="{00000000-0005-0000-0000-000060580000}"/>
    <cellStyle name="40% - Accent5 2 6 3 7 2" xfId="28457" xr:uid="{00000000-0005-0000-0000-000061580000}"/>
    <cellStyle name="40% - Accent5 2 6 3 7 2 2" xfId="47646" xr:uid="{00000000-0005-0000-0000-000062580000}"/>
    <cellStyle name="40% - Accent5 2 6 3 7 3" xfId="37948" xr:uid="{00000000-0005-0000-0000-000063580000}"/>
    <cellStyle name="40% - Accent5 2 6 3 8" xfId="23952" xr:uid="{00000000-0005-0000-0000-000064580000}"/>
    <cellStyle name="40% - Accent5 2 6 3 8 2" xfId="43191" xr:uid="{00000000-0005-0000-0000-000065580000}"/>
    <cellStyle name="40% - Accent5 2 6 3 9" xfId="33493" xr:uid="{00000000-0005-0000-0000-000066580000}"/>
    <cellStyle name="40% - Accent5 2 6 4" xfId="53526" xr:uid="{00000000-0005-0000-0000-000067580000}"/>
    <cellStyle name="40% - Accent5 2 6 5" xfId="52641" xr:uid="{00000000-0005-0000-0000-000068580000}"/>
    <cellStyle name="40% - Accent5 2 6 6" xfId="12272" xr:uid="{00000000-0005-0000-0000-000069580000}"/>
    <cellStyle name="40% - Accent5 2 7" xfId="2007" xr:uid="{00000000-0005-0000-0000-00006A580000}"/>
    <cellStyle name="40% - Accent5 2 7 10" xfId="52668" xr:uid="{00000000-0005-0000-0000-00006B580000}"/>
    <cellStyle name="40% - Accent5 2 7 11" xfId="12699" xr:uid="{00000000-0005-0000-0000-00006C580000}"/>
    <cellStyle name="40% - Accent5 2 7 2" xfId="13812" xr:uid="{00000000-0005-0000-0000-00006D580000}"/>
    <cellStyle name="40% - Accent5 2 7 2 2" xfId="16076" xr:uid="{00000000-0005-0000-0000-00006E580000}"/>
    <cellStyle name="40% - Accent5 2 7 2 2 2" xfId="20540" xr:uid="{00000000-0005-0000-0000-00006F580000}"/>
    <cellStyle name="40% - Accent5 2 7 2 2 2 2" xfId="30908" xr:uid="{00000000-0005-0000-0000-000070580000}"/>
    <cellStyle name="40% - Accent5 2 7 2 2 2 2 2" xfId="50097" xr:uid="{00000000-0005-0000-0000-000071580000}"/>
    <cellStyle name="40% - Accent5 2 7 2 2 2 3" xfId="40399" xr:uid="{00000000-0005-0000-0000-000072580000}"/>
    <cellStyle name="40% - Accent5 2 7 2 2 3" xfId="26453" xr:uid="{00000000-0005-0000-0000-000073580000}"/>
    <cellStyle name="40% - Accent5 2 7 2 2 3 2" xfId="45642" xr:uid="{00000000-0005-0000-0000-000074580000}"/>
    <cellStyle name="40% - Accent5 2 7 2 2 4" xfId="35944" xr:uid="{00000000-0005-0000-0000-000075580000}"/>
    <cellStyle name="40% - Accent5 2 7 2 2 5" xfId="53949" xr:uid="{00000000-0005-0000-0000-000076580000}"/>
    <cellStyle name="40% - Accent5 2 7 2 3" xfId="18312" xr:uid="{00000000-0005-0000-0000-000077580000}"/>
    <cellStyle name="40% - Accent5 2 7 2 3 2" xfId="28680" xr:uid="{00000000-0005-0000-0000-000078580000}"/>
    <cellStyle name="40% - Accent5 2 7 2 3 2 2" xfId="47869" xr:uid="{00000000-0005-0000-0000-000079580000}"/>
    <cellStyle name="40% - Accent5 2 7 2 3 3" xfId="38171" xr:uid="{00000000-0005-0000-0000-00007A580000}"/>
    <cellStyle name="40% - Accent5 2 7 2 4" xfId="24220" xr:uid="{00000000-0005-0000-0000-00007B580000}"/>
    <cellStyle name="40% - Accent5 2 7 2 4 2" xfId="43414" xr:uid="{00000000-0005-0000-0000-00007C580000}"/>
    <cellStyle name="40% - Accent5 2 7 2 5" xfId="33716" xr:uid="{00000000-0005-0000-0000-00007D580000}"/>
    <cellStyle name="40% - Accent5 2 7 2 6" xfId="53096" xr:uid="{00000000-0005-0000-0000-00007E580000}"/>
    <cellStyle name="40% - Accent5 2 7 3" xfId="14391" xr:uid="{00000000-0005-0000-0000-00007F580000}"/>
    <cellStyle name="40% - Accent5 2 7 3 2" xfId="15520" xr:uid="{00000000-0005-0000-0000-000080580000}"/>
    <cellStyle name="40% - Accent5 2 7 3 2 2" xfId="19984" xr:uid="{00000000-0005-0000-0000-000081580000}"/>
    <cellStyle name="40% - Accent5 2 7 3 2 2 2" xfId="30352" xr:uid="{00000000-0005-0000-0000-000082580000}"/>
    <cellStyle name="40% - Accent5 2 7 3 2 2 2 2" xfId="49541" xr:uid="{00000000-0005-0000-0000-000083580000}"/>
    <cellStyle name="40% - Accent5 2 7 3 2 2 3" xfId="39843" xr:uid="{00000000-0005-0000-0000-000084580000}"/>
    <cellStyle name="40% - Accent5 2 7 3 2 3" xfId="25897" xr:uid="{00000000-0005-0000-0000-000085580000}"/>
    <cellStyle name="40% - Accent5 2 7 3 2 3 2" xfId="45086" xr:uid="{00000000-0005-0000-0000-000086580000}"/>
    <cellStyle name="40% - Accent5 2 7 3 2 4" xfId="35388" xr:uid="{00000000-0005-0000-0000-000087580000}"/>
    <cellStyle name="40% - Accent5 2 7 3 3" xfId="18869" xr:uid="{00000000-0005-0000-0000-000088580000}"/>
    <cellStyle name="40% - Accent5 2 7 3 3 2" xfId="29237" xr:uid="{00000000-0005-0000-0000-000089580000}"/>
    <cellStyle name="40% - Accent5 2 7 3 3 2 2" xfId="48426" xr:uid="{00000000-0005-0000-0000-00008A580000}"/>
    <cellStyle name="40% - Accent5 2 7 3 3 3" xfId="38728" xr:uid="{00000000-0005-0000-0000-00008B580000}"/>
    <cellStyle name="40% - Accent5 2 7 3 4" xfId="24782" xr:uid="{00000000-0005-0000-0000-00008C580000}"/>
    <cellStyle name="40% - Accent5 2 7 3 4 2" xfId="43971" xr:uid="{00000000-0005-0000-0000-00008D580000}"/>
    <cellStyle name="40% - Accent5 2 7 3 5" xfId="34273" xr:uid="{00000000-0005-0000-0000-00008E580000}"/>
    <cellStyle name="40% - Accent5 2 7 3 6" xfId="53553" xr:uid="{00000000-0005-0000-0000-00008F580000}"/>
    <cellStyle name="40% - Accent5 2 7 4" xfId="14963" xr:uid="{00000000-0005-0000-0000-000090580000}"/>
    <cellStyle name="40% - Accent5 2 7 4 2" xfId="19427" xr:uid="{00000000-0005-0000-0000-000091580000}"/>
    <cellStyle name="40% - Accent5 2 7 4 2 2" xfId="29795" xr:uid="{00000000-0005-0000-0000-000092580000}"/>
    <cellStyle name="40% - Accent5 2 7 4 2 2 2" xfId="48984" xr:uid="{00000000-0005-0000-0000-000093580000}"/>
    <cellStyle name="40% - Accent5 2 7 4 2 3" xfId="39286" xr:uid="{00000000-0005-0000-0000-000094580000}"/>
    <cellStyle name="40% - Accent5 2 7 4 3" xfId="25340" xr:uid="{00000000-0005-0000-0000-000095580000}"/>
    <cellStyle name="40% - Accent5 2 7 4 3 2" xfId="44529" xr:uid="{00000000-0005-0000-0000-000096580000}"/>
    <cellStyle name="40% - Accent5 2 7 4 4" xfId="34831" xr:uid="{00000000-0005-0000-0000-000097580000}"/>
    <cellStyle name="40% - Accent5 2 7 5" xfId="16633" xr:uid="{00000000-0005-0000-0000-000098580000}"/>
    <cellStyle name="40% - Accent5 2 7 5 2" xfId="21097" xr:uid="{00000000-0005-0000-0000-000099580000}"/>
    <cellStyle name="40% - Accent5 2 7 5 2 2" xfId="31465" xr:uid="{00000000-0005-0000-0000-00009A580000}"/>
    <cellStyle name="40% - Accent5 2 7 5 2 2 2" xfId="50654" xr:uid="{00000000-0005-0000-0000-00009B580000}"/>
    <cellStyle name="40% - Accent5 2 7 5 2 3" xfId="40956" xr:uid="{00000000-0005-0000-0000-00009C580000}"/>
    <cellStyle name="40% - Accent5 2 7 5 3" xfId="27010" xr:uid="{00000000-0005-0000-0000-00009D580000}"/>
    <cellStyle name="40% - Accent5 2 7 5 3 2" xfId="46199" xr:uid="{00000000-0005-0000-0000-00009E580000}"/>
    <cellStyle name="40% - Accent5 2 7 5 4" xfId="36501" xr:uid="{00000000-0005-0000-0000-00009F580000}"/>
    <cellStyle name="40% - Accent5 2 7 6" xfId="17199" xr:uid="{00000000-0005-0000-0000-0000A0580000}"/>
    <cellStyle name="40% - Accent5 2 7 6 2" xfId="21654" xr:uid="{00000000-0005-0000-0000-0000A1580000}"/>
    <cellStyle name="40% - Accent5 2 7 6 2 2" xfId="32022" xr:uid="{00000000-0005-0000-0000-0000A2580000}"/>
    <cellStyle name="40% - Accent5 2 7 6 2 2 2" xfId="51211" xr:uid="{00000000-0005-0000-0000-0000A3580000}"/>
    <cellStyle name="40% - Accent5 2 7 6 2 3" xfId="41513" xr:uid="{00000000-0005-0000-0000-0000A4580000}"/>
    <cellStyle name="40% - Accent5 2 7 6 3" xfId="27567" xr:uid="{00000000-0005-0000-0000-0000A5580000}"/>
    <cellStyle name="40% - Accent5 2 7 6 3 2" xfId="46756" xr:uid="{00000000-0005-0000-0000-0000A6580000}"/>
    <cellStyle name="40% - Accent5 2 7 6 4" xfId="37058" xr:uid="{00000000-0005-0000-0000-0000A7580000}"/>
    <cellStyle name="40% - Accent5 2 7 7" xfId="17756" xr:uid="{00000000-0005-0000-0000-0000A8580000}"/>
    <cellStyle name="40% - Accent5 2 7 7 2" xfId="28124" xr:uid="{00000000-0005-0000-0000-0000A9580000}"/>
    <cellStyle name="40% - Accent5 2 7 7 2 2" xfId="47313" xr:uid="{00000000-0005-0000-0000-0000AA580000}"/>
    <cellStyle name="40% - Accent5 2 7 7 3" xfId="37615" xr:uid="{00000000-0005-0000-0000-0000AB580000}"/>
    <cellStyle name="40% - Accent5 2 7 8" xfId="23571" xr:uid="{00000000-0005-0000-0000-0000AC580000}"/>
    <cellStyle name="40% - Accent5 2 7 8 2" xfId="42858" xr:uid="{00000000-0005-0000-0000-0000AD580000}"/>
    <cellStyle name="40% - Accent5 2 7 9" xfId="33160" xr:uid="{00000000-0005-0000-0000-0000AE580000}"/>
    <cellStyle name="40% - Accent5 2 8" xfId="2008" xr:uid="{00000000-0005-0000-0000-0000AF580000}"/>
    <cellStyle name="40% - Accent5 2 8 10" xfId="52868" xr:uid="{00000000-0005-0000-0000-0000B0580000}"/>
    <cellStyle name="40% - Accent5 2 8 11" xfId="12802" xr:uid="{00000000-0005-0000-0000-0000B1580000}"/>
    <cellStyle name="40% - Accent5 2 8 2" xfId="13827" xr:uid="{00000000-0005-0000-0000-0000B2580000}"/>
    <cellStyle name="40% - Accent5 2 8 2 2" xfId="16091" xr:uid="{00000000-0005-0000-0000-0000B3580000}"/>
    <cellStyle name="40% - Accent5 2 8 2 2 2" xfId="20555" xr:uid="{00000000-0005-0000-0000-0000B4580000}"/>
    <cellStyle name="40% - Accent5 2 8 2 2 2 2" xfId="30923" xr:uid="{00000000-0005-0000-0000-0000B5580000}"/>
    <cellStyle name="40% - Accent5 2 8 2 2 2 2 2" xfId="50112" xr:uid="{00000000-0005-0000-0000-0000B6580000}"/>
    <cellStyle name="40% - Accent5 2 8 2 2 2 3" xfId="40414" xr:uid="{00000000-0005-0000-0000-0000B7580000}"/>
    <cellStyle name="40% - Accent5 2 8 2 2 3" xfId="26468" xr:uid="{00000000-0005-0000-0000-0000B8580000}"/>
    <cellStyle name="40% - Accent5 2 8 2 2 3 2" xfId="45657" xr:uid="{00000000-0005-0000-0000-0000B9580000}"/>
    <cellStyle name="40% - Accent5 2 8 2 2 4" xfId="35959" xr:uid="{00000000-0005-0000-0000-0000BA580000}"/>
    <cellStyle name="40% - Accent5 2 8 2 3" xfId="18327" xr:uid="{00000000-0005-0000-0000-0000BB580000}"/>
    <cellStyle name="40% - Accent5 2 8 2 3 2" xfId="28695" xr:uid="{00000000-0005-0000-0000-0000BC580000}"/>
    <cellStyle name="40% - Accent5 2 8 2 3 2 2" xfId="47884" xr:uid="{00000000-0005-0000-0000-0000BD580000}"/>
    <cellStyle name="40% - Accent5 2 8 2 3 3" xfId="38186" xr:uid="{00000000-0005-0000-0000-0000BE580000}"/>
    <cellStyle name="40% - Accent5 2 8 2 4" xfId="24235" xr:uid="{00000000-0005-0000-0000-0000BF580000}"/>
    <cellStyle name="40% - Accent5 2 8 2 4 2" xfId="43429" xr:uid="{00000000-0005-0000-0000-0000C0580000}"/>
    <cellStyle name="40% - Accent5 2 8 2 5" xfId="33731" xr:uid="{00000000-0005-0000-0000-0000C1580000}"/>
    <cellStyle name="40% - Accent5 2 8 2 6" xfId="53752" xr:uid="{00000000-0005-0000-0000-0000C2580000}"/>
    <cellStyle name="40% - Accent5 2 8 3" xfId="14406" xr:uid="{00000000-0005-0000-0000-0000C3580000}"/>
    <cellStyle name="40% - Accent5 2 8 3 2" xfId="15535" xr:uid="{00000000-0005-0000-0000-0000C4580000}"/>
    <cellStyle name="40% - Accent5 2 8 3 2 2" xfId="19999" xr:uid="{00000000-0005-0000-0000-0000C5580000}"/>
    <cellStyle name="40% - Accent5 2 8 3 2 2 2" xfId="30367" xr:uid="{00000000-0005-0000-0000-0000C6580000}"/>
    <cellStyle name="40% - Accent5 2 8 3 2 2 2 2" xfId="49556" xr:uid="{00000000-0005-0000-0000-0000C7580000}"/>
    <cellStyle name="40% - Accent5 2 8 3 2 2 3" xfId="39858" xr:uid="{00000000-0005-0000-0000-0000C8580000}"/>
    <cellStyle name="40% - Accent5 2 8 3 2 3" xfId="25912" xr:uid="{00000000-0005-0000-0000-0000C9580000}"/>
    <cellStyle name="40% - Accent5 2 8 3 2 3 2" xfId="45101" xr:uid="{00000000-0005-0000-0000-0000CA580000}"/>
    <cellStyle name="40% - Accent5 2 8 3 2 4" xfId="35403" xr:uid="{00000000-0005-0000-0000-0000CB580000}"/>
    <cellStyle name="40% - Accent5 2 8 3 3" xfId="18884" xr:uid="{00000000-0005-0000-0000-0000CC580000}"/>
    <cellStyle name="40% - Accent5 2 8 3 3 2" xfId="29252" xr:uid="{00000000-0005-0000-0000-0000CD580000}"/>
    <cellStyle name="40% - Accent5 2 8 3 3 2 2" xfId="48441" xr:uid="{00000000-0005-0000-0000-0000CE580000}"/>
    <cellStyle name="40% - Accent5 2 8 3 3 3" xfId="38743" xr:uid="{00000000-0005-0000-0000-0000CF580000}"/>
    <cellStyle name="40% - Accent5 2 8 3 4" xfId="24797" xr:uid="{00000000-0005-0000-0000-0000D0580000}"/>
    <cellStyle name="40% - Accent5 2 8 3 4 2" xfId="43986" xr:uid="{00000000-0005-0000-0000-0000D1580000}"/>
    <cellStyle name="40% - Accent5 2 8 3 5" xfId="34288" xr:uid="{00000000-0005-0000-0000-0000D2580000}"/>
    <cellStyle name="40% - Accent5 2 8 4" xfId="14978" xr:uid="{00000000-0005-0000-0000-0000D3580000}"/>
    <cellStyle name="40% - Accent5 2 8 4 2" xfId="19442" xr:uid="{00000000-0005-0000-0000-0000D4580000}"/>
    <cellStyle name="40% - Accent5 2 8 4 2 2" xfId="29810" xr:uid="{00000000-0005-0000-0000-0000D5580000}"/>
    <cellStyle name="40% - Accent5 2 8 4 2 2 2" xfId="48999" xr:uid="{00000000-0005-0000-0000-0000D6580000}"/>
    <cellStyle name="40% - Accent5 2 8 4 2 3" xfId="39301" xr:uid="{00000000-0005-0000-0000-0000D7580000}"/>
    <cellStyle name="40% - Accent5 2 8 4 3" xfId="25355" xr:uid="{00000000-0005-0000-0000-0000D8580000}"/>
    <cellStyle name="40% - Accent5 2 8 4 3 2" xfId="44544" xr:uid="{00000000-0005-0000-0000-0000D9580000}"/>
    <cellStyle name="40% - Accent5 2 8 4 4" xfId="34846" xr:uid="{00000000-0005-0000-0000-0000DA580000}"/>
    <cellStyle name="40% - Accent5 2 8 5" xfId="16648" xr:uid="{00000000-0005-0000-0000-0000DB580000}"/>
    <cellStyle name="40% - Accent5 2 8 5 2" xfId="21112" xr:uid="{00000000-0005-0000-0000-0000DC580000}"/>
    <cellStyle name="40% - Accent5 2 8 5 2 2" xfId="31480" xr:uid="{00000000-0005-0000-0000-0000DD580000}"/>
    <cellStyle name="40% - Accent5 2 8 5 2 2 2" xfId="50669" xr:uid="{00000000-0005-0000-0000-0000DE580000}"/>
    <cellStyle name="40% - Accent5 2 8 5 2 3" xfId="40971" xr:uid="{00000000-0005-0000-0000-0000DF580000}"/>
    <cellStyle name="40% - Accent5 2 8 5 3" xfId="27025" xr:uid="{00000000-0005-0000-0000-0000E0580000}"/>
    <cellStyle name="40% - Accent5 2 8 5 3 2" xfId="46214" xr:uid="{00000000-0005-0000-0000-0000E1580000}"/>
    <cellStyle name="40% - Accent5 2 8 5 4" xfId="36516" xr:uid="{00000000-0005-0000-0000-0000E2580000}"/>
    <cellStyle name="40% - Accent5 2 8 6" xfId="17214" xr:uid="{00000000-0005-0000-0000-0000E3580000}"/>
    <cellStyle name="40% - Accent5 2 8 6 2" xfId="21669" xr:uid="{00000000-0005-0000-0000-0000E4580000}"/>
    <cellStyle name="40% - Accent5 2 8 6 2 2" xfId="32037" xr:uid="{00000000-0005-0000-0000-0000E5580000}"/>
    <cellStyle name="40% - Accent5 2 8 6 2 2 2" xfId="51226" xr:uid="{00000000-0005-0000-0000-0000E6580000}"/>
    <cellStyle name="40% - Accent5 2 8 6 2 3" xfId="41528" xr:uid="{00000000-0005-0000-0000-0000E7580000}"/>
    <cellStyle name="40% - Accent5 2 8 6 3" xfId="27582" xr:uid="{00000000-0005-0000-0000-0000E8580000}"/>
    <cellStyle name="40% - Accent5 2 8 6 3 2" xfId="46771" xr:uid="{00000000-0005-0000-0000-0000E9580000}"/>
    <cellStyle name="40% - Accent5 2 8 6 4" xfId="37073" xr:uid="{00000000-0005-0000-0000-0000EA580000}"/>
    <cellStyle name="40% - Accent5 2 8 7" xfId="17771" xr:uid="{00000000-0005-0000-0000-0000EB580000}"/>
    <cellStyle name="40% - Accent5 2 8 7 2" xfId="28139" xr:uid="{00000000-0005-0000-0000-0000EC580000}"/>
    <cellStyle name="40% - Accent5 2 8 7 2 2" xfId="47328" xr:uid="{00000000-0005-0000-0000-0000ED580000}"/>
    <cellStyle name="40% - Accent5 2 8 7 3" xfId="37630" xr:uid="{00000000-0005-0000-0000-0000EE580000}"/>
    <cellStyle name="40% - Accent5 2 8 8" xfId="23605" xr:uid="{00000000-0005-0000-0000-0000EF580000}"/>
    <cellStyle name="40% - Accent5 2 8 8 2" xfId="42873" xr:uid="{00000000-0005-0000-0000-0000F0580000}"/>
    <cellStyle name="40% - Accent5 2 8 9" xfId="33175" xr:uid="{00000000-0005-0000-0000-0000F1580000}"/>
    <cellStyle name="40% - Accent5 2 9" xfId="2009" xr:uid="{00000000-0005-0000-0000-0000F2580000}"/>
    <cellStyle name="40% - Accent5 2 9 2" xfId="54149" xr:uid="{00000000-0005-0000-0000-0000F3580000}"/>
    <cellStyle name="40% - Accent5 2 9 3" xfId="53297" xr:uid="{00000000-0005-0000-0000-0000F4580000}"/>
    <cellStyle name="40% - Accent5 2 9 4" xfId="13210" xr:uid="{00000000-0005-0000-0000-0000F5580000}"/>
    <cellStyle name="40% - Accent5 20" xfId="22859" xr:uid="{00000000-0005-0000-0000-0000F6580000}"/>
    <cellStyle name="40% - Accent5 20 2" xfId="32943" xr:uid="{00000000-0005-0000-0000-0000F7580000}"/>
    <cellStyle name="40% - Accent5 20 2 2" xfId="52129" xr:uid="{00000000-0005-0000-0000-0000F8580000}"/>
    <cellStyle name="40% - Accent5 20 3" xfId="23216" xr:uid="{00000000-0005-0000-0000-0000F9580000}"/>
    <cellStyle name="40% - Accent5 20 3 2" xfId="42784" xr:uid="{00000000-0005-0000-0000-0000FA580000}"/>
    <cellStyle name="40% - Accent5 20 4" xfId="42431" xr:uid="{00000000-0005-0000-0000-0000FB580000}"/>
    <cellStyle name="40% - Accent5 21" xfId="22742" xr:uid="{00000000-0005-0000-0000-0000FC580000}"/>
    <cellStyle name="40% - Accent5 21 2" xfId="32826" xr:uid="{00000000-0005-0000-0000-0000FD580000}"/>
    <cellStyle name="40% - Accent5 21 2 2" xfId="52012" xr:uid="{00000000-0005-0000-0000-0000FE580000}"/>
    <cellStyle name="40% - Accent5 21 3" xfId="42314" xr:uid="{00000000-0005-0000-0000-0000FF580000}"/>
    <cellStyle name="40% - Accent5 22" xfId="23099" xr:uid="{00000000-0005-0000-0000-000000590000}"/>
    <cellStyle name="40% - Accent5 22 2" xfId="42667" xr:uid="{00000000-0005-0000-0000-000001590000}"/>
    <cellStyle name="40% - Accent5 23" xfId="33077" xr:uid="{00000000-0005-0000-0000-000002590000}"/>
    <cellStyle name="40% - Accent5 3" xfId="209" xr:uid="{00000000-0005-0000-0000-000003590000}"/>
    <cellStyle name="40% - Accent5 3 2" xfId="2011" xr:uid="{00000000-0005-0000-0000-000004590000}"/>
    <cellStyle name="40% - Accent5 3 2 2" xfId="2012" xr:uid="{00000000-0005-0000-0000-000005590000}"/>
    <cellStyle name="40% - Accent5 3 2 2 2" xfId="2013" xr:uid="{00000000-0005-0000-0000-000006590000}"/>
    <cellStyle name="40% - Accent5 3 2 2 2 2" xfId="2014" xr:uid="{00000000-0005-0000-0000-000007590000}"/>
    <cellStyle name="40% - Accent5 3 2 2 3" xfId="2015" xr:uid="{00000000-0005-0000-0000-000008590000}"/>
    <cellStyle name="40% - Accent5 3 2 3" xfId="2016" xr:uid="{00000000-0005-0000-0000-000009590000}"/>
    <cellStyle name="40% - Accent5 3 2 3 2" xfId="2017" xr:uid="{00000000-0005-0000-0000-00000A590000}"/>
    <cellStyle name="40% - Accent5 3 2 4" xfId="2018" xr:uid="{00000000-0005-0000-0000-00000B590000}"/>
    <cellStyle name="40% - Accent5 3 2 5" xfId="13211" xr:uid="{00000000-0005-0000-0000-00000C590000}"/>
    <cellStyle name="40% - Accent5 3 3" xfId="2019" xr:uid="{00000000-0005-0000-0000-00000D590000}"/>
    <cellStyle name="40% - Accent5 3 3 2" xfId="2020" xr:uid="{00000000-0005-0000-0000-00000E590000}"/>
    <cellStyle name="40% - Accent5 3 3 2 2" xfId="2021" xr:uid="{00000000-0005-0000-0000-00000F590000}"/>
    <cellStyle name="40% - Accent5 3 3 2 2 2" xfId="2022" xr:uid="{00000000-0005-0000-0000-000010590000}"/>
    <cellStyle name="40% - Accent5 3 3 2 3" xfId="2023" xr:uid="{00000000-0005-0000-0000-000011590000}"/>
    <cellStyle name="40% - Accent5 3 3 3" xfId="2024" xr:uid="{00000000-0005-0000-0000-000012590000}"/>
    <cellStyle name="40% - Accent5 3 3 3 2" xfId="2025" xr:uid="{00000000-0005-0000-0000-000013590000}"/>
    <cellStyle name="40% - Accent5 3 3 4" xfId="2026" xr:uid="{00000000-0005-0000-0000-000014590000}"/>
    <cellStyle name="40% - Accent5 3 3 5" xfId="13532" xr:uid="{00000000-0005-0000-0000-000015590000}"/>
    <cellStyle name="40% - Accent5 3 4" xfId="2027" xr:uid="{00000000-0005-0000-0000-000016590000}"/>
    <cellStyle name="40% - Accent5 3 4 2" xfId="2028" xr:uid="{00000000-0005-0000-0000-000017590000}"/>
    <cellStyle name="40% - Accent5 3 4 2 2" xfId="2029" xr:uid="{00000000-0005-0000-0000-000018590000}"/>
    <cellStyle name="40% - Accent5 3 4 3" xfId="2030" xr:uid="{00000000-0005-0000-0000-000019590000}"/>
    <cellStyle name="40% - Accent5 3 4 4" xfId="22308" xr:uid="{00000000-0005-0000-0000-00001A590000}"/>
    <cellStyle name="40% - Accent5 3 5" xfId="2031" xr:uid="{00000000-0005-0000-0000-00001B590000}"/>
    <cellStyle name="40% - Accent5 3 5 2" xfId="2032" xr:uid="{00000000-0005-0000-0000-00001C590000}"/>
    <cellStyle name="40% - Accent5 3 5 3" xfId="23353" xr:uid="{00000000-0005-0000-0000-00001D590000}"/>
    <cellStyle name="40% - Accent5 3 6" xfId="2033" xr:uid="{00000000-0005-0000-0000-00001E590000}"/>
    <cellStyle name="40% - Accent5 3 7" xfId="2010" xr:uid="{00000000-0005-0000-0000-00001F590000}"/>
    <cellStyle name="40% - Accent5 3 8" xfId="12273" xr:uid="{00000000-0005-0000-0000-000020590000}"/>
    <cellStyle name="40% - Accent5 4" xfId="210" xr:uid="{00000000-0005-0000-0000-000021590000}"/>
    <cellStyle name="40% - Accent5 4 2" xfId="2034" xr:uid="{00000000-0005-0000-0000-000022590000}"/>
    <cellStyle name="40% - Accent5 4 2 2" xfId="13695" xr:uid="{00000000-0005-0000-0000-000023590000}"/>
    <cellStyle name="40% - Accent5 4 3" xfId="22309" xr:uid="{00000000-0005-0000-0000-000024590000}"/>
    <cellStyle name="40% - Accent5 4 4" xfId="23354" xr:uid="{00000000-0005-0000-0000-000025590000}"/>
    <cellStyle name="40% - Accent5 4 5" xfId="12274" xr:uid="{00000000-0005-0000-0000-000026590000}"/>
    <cellStyle name="40% - Accent5 5" xfId="211" xr:uid="{00000000-0005-0000-0000-000027590000}"/>
    <cellStyle name="40% - Accent5 5 2" xfId="2035" xr:uid="{00000000-0005-0000-0000-000028590000}"/>
    <cellStyle name="40% - Accent5 5 2 2" xfId="22310" xr:uid="{00000000-0005-0000-0000-000029590000}"/>
    <cellStyle name="40% - Accent5 5 3" xfId="23532" xr:uid="{00000000-0005-0000-0000-00002A590000}"/>
    <cellStyle name="40% - Accent5 5 4" xfId="12634" xr:uid="{00000000-0005-0000-0000-00002B590000}"/>
    <cellStyle name="40% - Accent5 6" xfId="212" xr:uid="{00000000-0005-0000-0000-00002C590000}"/>
    <cellStyle name="40% - Accent5 6 2" xfId="2036" xr:uid="{00000000-0005-0000-0000-00002D590000}"/>
    <cellStyle name="40% - Accent5 6 2 2" xfId="22311" xr:uid="{00000000-0005-0000-0000-00002E590000}"/>
    <cellStyle name="40% - Accent5 6 3" xfId="23604" xr:uid="{00000000-0005-0000-0000-00002F590000}"/>
    <cellStyle name="40% - Accent5 6 4" xfId="12801" xr:uid="{00000000-0005-0000-0000-000030590000}"/>
    <cellStyle name="40% - Accent5 7" xfId="213" xr:uid="{00000000-0005-0000-0000-000031590000}"/>
    <cellStyle name="40% - Accent5 7 2" xfId="2037" xr:uid="{00000000-0005-0000-0000-000032590000}"/>
    <cellStyle name="40% - Accent5 8" xfId="214" xr:uid="{00000000-0005-0000-0000-000033590000}"/>
    <cellStyle name="40% - Accent5 8 2" xfId="2038" xr:uid="{00000000-0005-0000-0000-000034590000}"/>
    <cellStyle name="40% - Accent5 9" xfId="215" xr:uid="{00000000-0005-0000-0000-000035590000}"/>
    <cellStyle name="40% - Accent6 10" xfId="216" xr:uid="{00000000-0005-0000-0000-000036590000}"/>
    <cellStyle name="40% - Accent6 11" xfId="217" xr:uid="{00000000-0005-0000-0000-000037590000}"/>
    <cellStyle name="40% - Accent6 12" xfId="218" xr:uid="{00000000-0005-0000-0000-000038590000}"/>
    <cellStyle name="40% - Accent6 13" xfId="219" xr:uid="{00000000-0005-0000-0000-000039590000}"/>
    <cellStyle name="40% - Accent6 14" xfId="220" xr:uid="{00000000-0005-0000-0000-00003A590000}"/>
    <cellStyle name="40% - Accent6 15" xfId="221" xr:uid="{00000000-0005-0000-0000-00003B590000}"/>
    <cellStyle name="40% - Accent6 16" xfId="222" xr:uid="{00000000-0005-0000-0000-00003C590000}"/>
    <cellStyle name="40% - Accent6 17" xfId="22771" xr:uid="{00000000-0005-0000-0000-00003D590000}"/>
    <cellStyle name="40% - Accent6 17 2" xfId="32855" xr:uid="{00000000-0005-0000-0000-00003E590000}"/>
    <cellStyle name="40% - Accent6 17 2 2" xfId="52041" xr:uid="{00000000-0005-0000-0000-00003F590000}"/>
    <cellStyle name="40% - Accent6 17 3" xfId="23128" xr:uid="{00000000-0005-0000-0000-000040590000}"/>
    <cellStyle name="40% - Accent6 17 3 2" xfId="42696" xr:uid="{00000000-0005-0000-0000-000041590000}"/>
    <cellStyle name="40% - Accent6 17 4" xfId="42343" xr:uid="{00000000-0005-0000-0000-000042590000}"/>
    <cellStyle name="40% - Accent6 18" xfId="22803" xr:uid="{00000000-0005-0000-0000-000043590000}"/>
    <cellStyle name="40% - Accent6 18 2" xfId="32887" xr:uid="{00000000-0005-0000-0000-000044590000}"/>
    <cellStyle name="40% - Accent6 18 2 2" xfId="52073" xr:uid="{00000000-0005-0000-0000-000045590000}"/>
    <cellStyle name="40% - Accent6 18 3" xfId="23160" xr:uid="{00000000-0005-0000-0000-000046590000}"/>
    <cellStyle name="40% - Accent6 18 3 2" xfId="42728" xr:uid="{00000000-0005-0000-0000-000047590000}"/>
    <cellStyle name="40% - Accent6 18 4" xfId="42375" xr:uid="{00000000-0005-0000-0000-000048590000}"/>
    <cellStyle name="40% - Accent6 19" xfId="22846" xr:uid="{00000000-0005-0000-0000-000049590000}"/>
    <cellStyle name="40% - Accent6 19 2" xfId="32930" xr:uid="{00000000-0005-0000-0000-00004A590000}"/>
    <cellStyle name="40% - Accent6 19 2 2" xfId="52116" xr:uid="{00000000-0005-0000-0000-00004B590000}"/>
    <cellStyle name="40% - Accent6 19 3" xfId="23203" xr:uid="{00000000-0005-0000-0000-00004C590000}"/>
    <cellStyle name="40% - Accent6 19 3 2" xfId="42771" xr:uid="{00000000-0005-0000-0000-00004D590000}"/>
    <cellStyle name="40% - Accent6 19 4" xfId="42418" xr:uid="{00000000-0005-0000-0000-00004E590000}"/>
    <cellStyle name="40% - Accent6 2" xfId="223" xr:uid="{00000000-0005-0000-0000-00004F590000}"/>
    <cellStyle name="40% - Accent6 2 10" xfId="2040" xr:uid="{00000000-0005-0000-0000-000050590000}"/>
    <cellStyle name="40% - Accent6 2 10 10" xfId="53332" xr:uid="{00000000-0005-0000-0000-000051590000}"/>
    <cellStyle name="40% - Accent6 2 10 11" xfId="13212" xr:uid="{00000000-0005-0000-0000-000052590000}"/>
    <cellStyle name="40% - Accent6 2 10 2" xfId="14146" xr:uid="{00000000-0005-0000-0000-000053590000}"/>
    <cellStyle name="40% - Accent6 2 10 2 2" xfId="16410" xr:uid="{00000000-0005-0000-0000-000054590000}"/>
    <cellStyle name="40% - Accent6 2 10 2 2 2" xfId="20874" xr:uid="{00000000-0005-0000-0000-000055590000}"/>
    <cellStyle name="40% - Accent6 2 10 2 2 2 2" xfId="31242" xr:uid="{00000000-0005-0000-0000-000056590000}"/>
    <cellStyle name="40% - Accent6 2 10 2 2 2 2 2" xfId="50431" xr:uid="{00000000-0005-0000-0000-000057590000}"/>
    <cellStyle name="40% - Accent6 2 10 2 2 2 3" xfId="40733" xr:uid="{00000000-0005-0000-0000-000058590000}"/>
    <cellStyle name="40% - Accent6 2 10 2 2 3" xfId="26787" xr:uid="{00000000-0005-0000-0000-000059590000}"/>
    <cellStyle name="40% - Accent6 2 10 2 2 3 2" xfId="45976" xr:uid="{00000000-0005-0000-0000-00005A590000}"/>
    <cellStyle name="40% - Accent6 2 10 2 2 4" xfId="36278" xr:uid="{00000000-0005-0000-0000-00005B590000}"/>
    <cellStyle name="40% - Accent6 2 10 2 3" xfId="18646" xr:uid="{00000000-0005-0000-0000-00005C590000}"/>
    <cellStyle name="40% - Accent6 2 10 2 3 2" xfId="29014" xr:uid="{00000000-0005-0000-0000-00005D590000}"/>
    <cellStyle name="40% - Accent6 2 10 2 3 2 2" xfId="48203" xr:uid="{00000000-0005-0000-0000-00005E590000}"/>
    <cellStyle name="40% - Accent6 2 10 2 3 3" xfId="38505" xr:uid="{00000000-0005-0000-0000-00005F590000}"/>
    <cellStyle name="40% - Accent6 2 10 2 4" xfId="24554" xr:uid="{00000000-0005-0000-0000-000060590000}"/>
    <cellStyle name="40% - Accent6 2 10 2 4 2" xfId="43748" xr:uid="{00000000-0005-0000-0000-000061590000}"/>
    <cellStyle name="40% - Accent6 2 10 2 5" xfId="34050" xr:uid="{00000000-0005-0000-0000-000062590000}"/>
    <cellStyle name="40% - Accent6 2 10 2 6" xfId="54184" xr:uid="{00000000-0005-0000-0000-000063590000}"/>
    <cellStyle name="40% - Accent6 2 10 3" xfId="14725" xr:uid="{00000000-0005-0000-0000-000064590000}"/>
    <cellStyle name="40% - Accent6 2 10 3 2" xfId="15854" xr:uid="{00000000-0005-0000-0000-000065590000}"/>
    <cellStyle name="40% - Accent6 2 10 3 2 2" xfId="20318" xr:uid="{00000000-0005-0000-0000-000066590000}"/>
    <cellStyle name="40% - Accent6 2 10 3 2 2 2" xfId="30686" xr:uid="{00000000-0005-0000-0000-000067590000}"/>
    <cellStyle name="40% - Accent6 2 10 3 2 2 2 2" xfId="49875" xr:uid="{00000000-0005-0000-0000-000068590000}"/>
    <cellStyle name="40% - Accent6 2 10 3 2 2 3" xfId="40177" xr:uid="{00000000-0005-0000-0000-000069590000}"/>
    <cellStyle name="40% - Accent6 2 10 3 2 3" xfId="26231" xr:uid="{00000000-0005-0000-0000-00006A590000}"/>
    <cellStyle name="40% - Accent6 2 10 3 2 3 2" xfId="45420" xr:uid="{00000000-0005-0000-0000-00006B590000}"/>
    <cellStyle name="40% - Accent6 2 10 3 2 4" xfId="35722" xr:uid="{00000000-0005-0000-0000-00006C590000}"/>
    <cellStyle name="40% - Accent6 2 10 3 3" xfId="19203" xr:uid="{00000000-0005-0000-0000-00006D590000}"/>
    <cellStyle name="40% - Accent6 2 10 3 3 2" xfId="29571" xr:uid="{00000000-0005-0000-0000-00006E590000}"/>
    <cellStyle name="40% - Accent6 2 10 3 3 2 2" xfId="48760" xr:uid="{00000000-0005-0000-0000-00006F590000}"/>
    <cellStyle name="40% - Accent6 2 10 3 3 3" xfId="39062" xr:uid="{00000000-0005-0000-0000-000070590000}"/>
    <cellStyle name="40% - Accent6 2 10 3 4" xfId="25116" xr:uid="{00000000-0005-0000-0000-000071590000}"/>
    <cellStyle name="40% - Accent6 2 10 3 4 2" xfId="44305" xr:uid="{00000000-0005-0000-0000-000072590000}"/>
    <cellStyle name="40% - Accent6 2 10 3 5" xfId="34607" xr:uid="{00000000-0005-0000-0000-000073590000}"/>
    <cellStyle name="40% - Accent6 2 10 4" xfId="15297" xr:uid="{00000000-0005-0000-0000-000074590000}"/>
    <cellStyle name="40% - Accent6 2 10 4 2" xfId="19761" xr:uid="{00000000-0005-0000-0000-000075590000}"/>
    <cellStyle name="40% - Accent6 2 10 4 2 2" xfId="30129" xr:uid="{00000000-0005-0000-0000-000076590000}"/>
    <cellStyle name="40% - Accent6 2 10 4 2 2 2" xfId="49318" xr:uid="{00000000-0005-0000-0000-000077590000}"/>
    <cellStyle name="40% - Accent6 2 10 4 2 3" xfId="39620" xr:uid="{00000000-0005-0000-0000-000078590000}"/>
    <cellStyle name="40% - Accent6 2 10 4 3" xfId="25674" xr:uid="{00000000-0005-0000-0000-000079590000}"/>
    <cellStyle name="40% - Accent6 2 10 4 3 2" xfId="44863" xr:uid="{00000000-0005-0000-0000-00007A590000}"/>
    <cellStyle name="40% - Accent6 2 10 4 4" xfId="35165" xr:uid="{00000000-0005-0000-0000-00007B590000}"/>
    <cellStyle name="40% - Accent6 2 10 5" xfId="16967" xr:uid="{00000000-0005-0000-0000-00007C590000}"/>
    <cellStyle name="40% - Accent6 2 10 5 2" xfId="21431" xr:uid="{00000000-0005-0000-0000-00007D590000}"/>
    <cellStyle name="40% - Accent6 2 10 5 2 2" xfId="31799" xr:uid="{00000000-0005-0000-0000-00007E590000}"/>
    <cellStyle name="40% - Accent6 2 10 5 2 2 2" xfId="50988" xr:uid="{00000000-0005-0000-0000-00007F590000}"/>
    <cellStyle name="40% - Accent6 2 10 5 2 3" xfId="41290" xr:uid="{00000000-0005-0000-0000-000080590000}"/>
    <cellStyle name="40% - Accent6 2 10 5 3" xfId="27344" xr:uid="{00000000-0005-0000-0000-000081590000}"/>
    <cellStyle name="40% - Accent6 2 10 5 3 2" xfId="46533" xr:uid="{00000000-0005-0000-0000-000082590000}"/>
    <cellStyle name="40% - Accent6 2 10 5 4" xfId="36835" xr:uid="{00000000-0005-0000-0000-000083590000}"/>
    <cellStyle name="40% - Accent6 2 10 6" xfId="17533" xr:uid="{00000000-0005-0000-0000-000084590000}"/>
    <cellStyle name="40% - Accent6 2 10 6 2" xfId="21988" xr:uid="{00000000-0005-0000-0000-000085590000}"/>
    <cellStyle name="40% - Accent6 2 10 6 2 2" xfId="32356" xr:uid="{00000000-0005-0000-0000-000086590000}"/>
    <cellStyle name="40% - Accent6 2 10 6 2 2 2" xfId="51545" xr:uid="{00000000-0005-0000-0000-000087590000}"/>
    <cellStyle name="40% - Accent6 2 10 6 2 3" xfId="41847" xr:uid="{00000000-0005-0000-0000-000088590000}"/>
    <cellStyle name="40% - Accent6 2 10 6 3" xfId="27901" xr:uid="{00000000-0005-0000-0000-000089590000}"/>
    <cellStyle name="40% - Accent6 2 10 6 3 2" xfId="47090" xr:uid="{00000000-0005-0000-0000-00008A590000}"/>
    <cellStyle name="40% - Accent6 2 10 6 4" xfId="37392" xr:uid="{00000000-0005-0000-0000-00008B590000}"/>
    <cellStyle name="40% - Accent6 2 10 7" xfId="18090" xr:uid="{00000000-0005-0000-0000-00008C590000}"/>
    <cellStyle name="40% - Accent6 2 10 7 2" xfId="28458" xr:uid="{00000000-0005-0000-0000-00008D590000}"/>
    <cellStyle name="40% - Accent6 2 10 7 2 2" xfId="47647" xr:uid="{00000000-0005-0000-0000-00008E590000}"/>
    <cellStyle name="40% - Accent6 2 10 7 3" xfId="37949" xr:uid="{00000000-0005-0000-0000-00008F590000}"/>
    <cellStyle name="40% - Accent6 2 10 8" xfId="23953" xr:uid="{00000000-0005-0000-0000-000090590000}"/>
    <cellStyle name="40% - Accent6 2 10 8 2" xfId="43192" xr:uid="{00000000-0005-0000-0000-000091590000}"/>
    <cellStyle name="40% - Accent6 2 10 9" xfId="33494" xr:uid="{00000000-0005-0000-0000-000092590000}"/>
    <cellStyle name="40% - Accent6 2 11" xfId="2039" xr:uid="{00000000-0005-0000-0000-000093590000}"/>
    <cellStyle name="40% - Accent6 2 11 2" xfId="53359" xr:uid="{00000000-0005-0000-0000-000094590000}"/>
    <cellStyle name="40% - Accent6 2 11 3" xfId="13500" xr:uid="{00000000-0005-0000-0000-000095590000}"/>
    <cellStyle name="40% - Accent6 2 12" xfId="22219" xr:uid="{00000000-0005-0000-0000-000096590000}"/>
    <cellStyle name="40% - Accent6 2 12 2" xfId="32578" xr:uid="{00000000-0005-0000-0000-000097590000}"/>
    <cellStyle name="40% - Accent6 2 12 2 2" xfId="51766" xr:uid="{00000000-0005-0000-0000-000098590000}"/>
    <cellStyle name="40% - Accent6 2 12 3" xfId="42068" xr:uid="{00000000-0005-0000-0000-000099590000}"/>
    <cellStyle name="40% - Accent6 2 13" xfId="22247" xr:uid="{00000000-0005-0000-0000-00009A590000}"/>
    <cellStyle name="40% - Accent6 2 13 2" xfId="32604" xr:uid="{00000000-0005-0000-0000-00009B590000}"/>
    <cellStyle name="40% - Accent6 2 13 2 2" xfId="51792" xr:uid="{00000000-0005-0000-0000-00009C590000}"/>
    <cellStyle name="40% - Accent6 2 13 3" xfId="42094" xr:uid="{00000000-0005-0000-0000-00009D590000}"/>
    <cellStyle name="40% - Accent6 2 14" xfId="12275" xr:uid="{00000000-0005-0000-0000-00009E590000}"/>
    <cellStyle name="40% - Accent6 2 15" xfId="23261" xr:uid="{00000000-0005-0000-0000-00009F590000}"/>
    <cellStyle name="40% - Accent6 2 15 2" xfId="42827" xr:uid="{00000000-0005-0000-0000-0000A0590000}"/>
    <cellStyle name="40% - Accent6 2 16" xfId="33002" xr:uid="{00000000-0005-0000-0000-0000A1590000}"/>
    <cellStyle name="40% - Accent6 2 16 2" xfId="52188" xr:uid="{00000000-0005-0000-0000-0000A2590000}"/>
    <cellStyle name="40% - Accent6 2 17" xfId="33096" xr:uid="{00000000-0005-0000-0000-0000A3590000}"/>
    <cellStyle name="40% - Accent6 2 18" xfId="52282" xr:uid="{00000000-0005-0000-0000-0000A4590000}"/>
    <cellStyle name="40% - Accent6 2 19" xfId="52339" xr:uid="{00000000-0005-0000-0000-0000A5590000}"/>
    <cellStyle name="40% - Accent6 2 2" xfId="224" xr:uid="{00000000-0005-0000-0000-0000A6590000}"/>
    <cellStyle name="40% - Accent6 2 2 2" xfId="2042" xr:uid="{00000000-0005-0000-0000-0000A7590000}"/>
    <cellStyle name="40% - Accent6 2 2 2 2" xfId="8333" xr:uid="{00000000-0005-0000-0000-0000A8590000}"/>
    <cellStyle name="40% - Accent6 2 2 2 2 2" xfId="11230" xr:uid="{00000000-0005-0000-0000-0000A9590000}"/>
    <cellStyle name="40% - Accent6 2 2 2 2 2 2" xfId="53984" xr:uid="{00000000-0005-0000-0000-0000AA590000}"/>
    <cellStyle name="40% - Accent6 2 2 2 2 3" xfId="53131" xr:uid="{00000000-0005-0000-0000-0000AB590000}"/>
    <cellStyle name="40% - Accent6 2 2 2 3" xfId="9790" xr:uid="{00000000-0005-0000-0000-0000AC590000}"/>
    <cellStyle name="40% - Accent6 2 2 2 3 2" xfId="53588" xr:uid="{00000000-0005-0000-0000-0000AD590000}"/>
    <cellStyle name="40% - Accent6 2 2 2 4" xfId="6854" xr:uid="{00000000-0005-0000-0000-0000AE590000}"/>
    <cellStyle name="40% - Accent6 2 2 2 4 2" xfId="52703" xr:uid="{00000000-0005-0000-0000-0000AF590000}"/>
    <cellStyle name="40% - Accent6 2 2 2 5" xfId="12716" xr:uid="{00000000-0005-0000-0000-0000B0590000}"/>
    <cellStyle name="40% - Accent6 2 2 3" xfId="2043" xr:uid="{00000000-0005-0000-0000-0000B1590000}"/>
    <cellStyle name="40% - Accent6 2 2 3 2" xfId="10572" xr:uid="{00000000-0005-0000-0000-0000B2590000}"/>
    <cellStyle name="40% - Accent6 2 2 3 2 2" xfId="53788" xr:uid="{00000000-0005-0000-0000-0000B3590000}"/>
    <cellStyle name="40% - Accent6 2 2 3 3" xfId="7672" xr:uid="{00000000-0005-0000-0000-0000B4590000}"/>
    <cellStyle name="40% - Accent6 2 2 3 3 2" xfId="52913" xr:uid="{00000000-0005-0000-0000-0000B5590000}"/>
    <cellStyle name="40% - Accent6 2 2 3 4" xfId="12276" xr:uid="{00000000-0005-0000-0000-0000B6590000}"/>
    <cellStyle name="40% - Accent6 2 2 4" xfId="2041" xr:uid="{00000000-0005-0000-0000-0000B7590000}"/>
    <cellStyle name="40% - Accent6 2 2 4 2" xfId="9132" xr:uid="{00000000-0005-0000-0000-0000B8590000}"/>
    <cellStyle name="40% - Accent6 2 2 4 2 2" xfId="51875" xr:uid="{00000000-0005-0000-0000-0000B9590000}"/>
    <cellStyle name="40% - Accent6 2 2 4 2 3" xfId="32688" xr:uid="{00000000-0005-0000-0000-0000BA590000}"/>
    <cellStyle name="40% - Accent6 2 2 4 3" xfId="42177" xr:uid="{00000000-0005-0000-0000-0000BB590000}"/>
    <cellStyle name="40% - Accent6 2 2 4 4" xfId="53392" xr:uid="{00000000-0005-0000-0000-0000BC590000}"/>
    <cellStyle name="40% - Accent6 2 2 4 5" xfId="22592" xr:uid="{00000000-0005-0000-0000-0000BD590000}"/>
    <cellStyle name="40% - Accent6 2 2 5" xfId="6146" xr:uid="{00000000-0005-0000-0000-0000BE590000}"/>
    <cellStyle name="40% - Accent6 2 2 5 2" xfId="23293" xr:uid="{00000000-0005-0000-0000-0000BF590000}"/>
    <cellStyle name="40% - Accent6 2 2 6" xfId="22961" xr:uid="{00000000-0005-0000-0000-0000C0590000}"/>
    <cellStyle name="40% - Accent6 2 2 6 2" xfId="42530" xr:uid="{00000000-0005-0000-0000-0000C1590000}"/>
    <cellStyle name="40% - Accent6 2 2 7" xfId="12150" xr:uid="{00000000-0005-0000-0000-0000C2590000}"/>
    <cellStyle name="40% - Accent6 2 2 8" xfId="52499" xr:uid="{00000000-0005-0000-0000-0000C3590000}"/>
    <cellStyle name="40% - Accent6 2 2 9" xfId="12030" xr:uid="{00000000-0005-0000-0000-0000C4590000}"/>
    <cellStyle name="40% - Accent6 2 20" xfId="52388" xr:uid="{00000000-0005-0000-0000-0000C5590000}"/>
    <cellStyle name="40% - Accent6 2 21" xfId="12111" xr:uid="{00000000-0005-0000-0000-0000C6590000}"/>
    <cellStyle name="40% - Accent6 2 22" xfId="52430" xr:uid="{00000000-0005-0000-0000-0000C7590000}"/>
    <cellStyle name="40% - Accent6 2 23" xfId="52457" xr:uid="{00000000-0005-0000-0000-0000C8590000}"/>
    <cellStyle name="40% - Accent6 2 24" xfId="11968" xr:uid="{00000000-0005-0000-0000-0000C9590000}"/>
    <cellStyle name="40% - Accent6 2 3" xfId="225" xr:uid="{00000000-0005-0000-0000-0000CA590000}"/>
    <cellStyle name="40% - Accent6 2 3 10" xfId="52540" xr:uid="{00000000-0005-0000-0000-0000CB590000}"/>
    <cellStyle name="40% - Accent6 2 3 11" xfId="12031" xr:uid="{00000000-0005-0000-0000-0000CC590000}"/>
    <cellStyle name="40% - Accent6 2 3 2" xfId="2045" xr:uid="{00000000-0005-0000-0000-0000CD590000}"/>
    <cellStyle name="40% - Accent6 2 3 2 10" xfId="18091" xr:uid="{00000000-0005-0000-0000-0000CE590000}"/>
    <cellStyle name="40% - Accent6 2 3 2 10 2" xfId="28459" xr:uid="{00000000-0005-0000-0000-0000CF590000}"/>
    <cellStyle name="40% - Accent6 2 3 2 10 2 2" xfId="47648" xr:uid="{00000000-0005-0000-0000-0000D0590000}"/>
    <cellStyle name="40% - Accent6 2 3 2 10 3" xfId="37950" xr:uid="{00000000-0005-0000-0000-0000D1590000}"/>
    <cellStyle name="40% - Accent6 2 3 2 11" xfId="23954" xr:uid="{00000000-0005-0000-0000-0000D2590000}"/>
    <cellStyle name="40% - Accent6 2 3 2 11 2" xfId="43193" xr:uid="{00000000-0005-0000-0000-0000D3590000}"/>
    <cellStyle name="40% - Accent6 2 3 2 12" xfId="33495" xr:uid="{00000000-0005-0000-0000-0000D4590000}"/>
    <cellStyle name="40% - Accent6 2 3 2 13" xfId="52741" xr:uid="{00000000-0005-0000-0000-0000D5590000}"/>
    <cellStyle name="40% - Accent6 2 3 2 14" xfId="13213" xr:uid="{00000000-0005-0000-0000-0000D6590000}"/>
    <cellStyle name="40% - Accent6 2 3 2 2" xfId="13214" xr:uid="{00000000-0005-0000-0000-0000D7590000}"/>
    <cellStyle name="40% - Accent6 2 3 2 2 10" xfId="23955" xr:uid="{00000000-0005-0000-0000-0000D8590000}"/>
    <cellStyle name="40% - Accent6 2 3 2 2 10 2" xfId="43194" xr:uid="{00000000-0005-0000-0000-0000D9590000}"/>
    <cellStyle name="40% - Accent6 2 3 2 2 11" xfId="33496" xr:uid="{00000000-0005-0000-0000-0000DA590000}"/>
    <cellStyle name="40% - Accent6 2 3 2 2 12" xfId="53169" xr:uid="{00000000-0005-0000-0000-0000DB590000}"/>
    <cellStyle name="40% - Accent6 2 3 2 2 2" xfId="13215" xr:uid="{00000000-0005-0000-0000-0000DC590000}"/>
    <cellStyle name="40% - Accent6 2 3 2 2 2 10" xfId="54022" xr:uid="{00000000-0005-0000-0000-0000DD590000}"/>
    <cellStyle name="40% - Accent6 2 3 2 2 2 2" xfId="14149" xr:uid="{00000000-0005-0000-0000-0000DE590000}"/>
    <cellStyle name="40% - Accent6 2 3 2 2 2 2 2" xfId="16413" xr:uid="{00000000-0005-0000-0000-0000DF590000}"/>
    <cellStyle name="40% - Accent6 2 3 2 2 2 2 2 2" xfId="20877" xr:uid="{00000000-0005-0000-0000-0000E0590000}"/>
    <cellStyle name="40% - Accent6 2 3 2 2 2 2 2 2 2" xfId="31245" xr:uid="{00000000-0005-0000-0000-0000E1590000}"/>
    <cellStyle name="40% - Accent6 2 3 2 2 2 2 2 2 2 2" xfId="50434" xr:uid="{00000000-0005-0000-0000-0000E2590000}"/>
    <cellStyle name="40% - Accent6 2 3 2 2 2 2 2 2 3" xfId="40736" xr:uid="{00000000-0005-0000-0000-0000E3590000}"/>
    <cellStyle name="40% - Accent6 2 3 2 2 2 2 2 3" xfId="26790" xr:uid="{00000000-0005-0000-0000-0000E4590000}"/>
    <cellStyle name="40% - Accent6 2 3 2 2 2 2 2 3 2" xfId="45979" xr:uid="{00000000-0005-0000-0000-0000E5590000}"/>
    <cellStyle name="40% - Accent6 2 3 2 2 2 2 2 4" xfId="36281" xr:uid="{00000000-0005-0000-0000-0000E6590000}"/>
    <cellStyle name="40% - Accent6 2 3 2 2 2 2 3" xfId="18649" xr:uid="{00000000-0005-0000-0000-0000E7590000}"/>
    <cellStyle name="40% - Accent6 2 3 2 2 2 2 3 2" xfId="29017" xr:uid="{00000000-0005-0000-0000-0000E8590000}"/>
    <cellStyle name="40% - Accent6 2 3 2 2 2 2 3 2 2" xfId="48206" xr:uid="{00000000-0005-0000-0000-0000E9590000}"/>
    <cellStyle name="40% - Accent6 2 3 2 2 2 2 3 3" xfId="38508" xr:uid="{00000000-0005-0000-0000-0000EA590000}"/>
    <cellStyle name="40% - Accent6 2 3 2 2 2 2 4" xfId="24557" xr:uid="{00000000-0005-0000-0000-0000EB590000}"/>
    <cellStyle name="40% - Accent6 2 3 2 2 2 2 4 2" xfId="43751" xr:uid="{00000000-0005-0000-0000-0000EC590000}"/>
    <cellStyle name="40% - Accent6 2 3 2 2 2 2 5" xfId="34053" xr:uid="{00000000-0005-0000-0000-0000ED590000}"/>
    <cellStyle name="40% - Accent6 2 3 2 2 2 3" xfId="14728" xr:uid="{00000000-0005-0000-0000-0000EE590000}"/>
    <cellStyle name="40% - Accent6 2 3 2 2 2 3 2" xfId="15857" xr:uid="{00000000-0005-0000-0000-0000EF590000}"/>
    <cellStyle name="40% - Accent6 2 3 2 2 2 3 2 2" xfId="20321" xr:uid="{00000000-0005-0000-0000-0000F0590000}"/>
    <cellStyle name="40% - Accent6 2 3 2 2 2 3 2 2 2" xfId="30689" xr:uid="{00000000-0005-0000-0000-0000F1590000}"/>
    <cellStyle name="40% - Accent6 2 3 2 2 2 3 2 2 2 2" xfId="49878" xr:uid="{00000000-0005-0000-0000-0000F2590000}"/>
    <cellStyle name="40% - Accent6 2 3 2 2 2 3 2 2 3" xfId="40180" xr:uid="{00000000-0005-0000-0000-0000F3590000}"/>
    <cellStyle name="40% - Accent6 2 3 2 2 2 3 2 3" xfId="26234" xr:uid="{00000000-0005-0000-0000-0000F4590000}"/>
    <cellStyle name="40% - Accent6 2 3 2 2 2 3 2 3 2" xfId="45423" xr:uid="{00000000-0005-0000-0000-0000F5590000}"/>
    <cellStyle name="40% - Accent6 2 3 2 2 2 3 2 4" xfId="35725" xr:uid="{00000000-0005-0000-0000-0000F6590000}"/>
    <cellStyle name="40% - Accent6 2 3 2 2 2 3 3" xfId="19206" xr:uid="{00000000-0005-0000-0000-0000F7590000}"/>
    <cellStyle name="40% - Accent6 2 3 2 2 2 3 3 2" xfId="29574" xr:uid="{00000000-0005-0000-0000-0000F8590000}"/>
    <cellStyle name="40% - Accent6 2 3 2 2 2 3 3 2 2" xfId="48763" xr:uid="{00000000-0005-0000-0000-0000F9590000}"/>
    <cellStyle name="40% - Accent6 2 3 2 2 2 3 3 3" xfId="39065" xr:uid="{00000000-0005-0000-0000-0000FA590000}"/>
    <cellStyle name="40% - Accent6 2 3 2 2 2 3 4" xfId="25119" xr:uid="{00000000-0005-0000-0000-0000FB590000}"/>
    <cellStyle name="40% - Accent6 2 3 2 2 2 3 4 2" xfId="44308" xr:uid="{00000000-0005-0000-0000-0000FC590000}"/>
    <cellStyle name="40% - Accent6 2 3 2 2 2 3 5" xfId="34610" xr:uid="{00000000-0005-0000-0000-0000FD590000}"/>
    <cellStyle name="40% - Accent6 2 3 2 2 2 4" xfId="15300" xr:uid="{00000000-0005-0000-0000-0000FE590000}"/>
    <cellStyle name="40% - Accent6 2 3 2 2 2 4 2" xfId="19764" xr:uid="{00000000-0005-0000-0000-0000FF590000}"/>
    <cellStyle name="40% - Accent6 2 3 2 2 2 4 2 2" xfId="30132" xr:uid="{00000000-0005-0000-0000-0000005A0000}"/>
    <cellStyle name="40% - Accent6 2 3 2 2 2 4 2 2 2" xfId="49321" xr:uid="{00000000-0005-0000-0000-0000015A0000}"/>
    <cellStyle name="40% - Accent6 2 3 2 2 2 4 2 3" xfId="39623" xr:uid="{00000000-0005-0000-0000-0000025A0000}"/>
    <cellStyle name="40% - Accent6 2 3 2 2 2 4 3" xfId="25677" xr:uid="{00000000-0005-0000-0000-0000035A0000}"/>
    <cellStyle name="40% - Accent6 2 3 2 2 2 4 3 2" xfId="44866" xr:uid="{00000000-0005-0000-0000-0000045A0000}"/>
    <cellStyle name="40% - Accent6 2 3 2 2 2 4 4" xfId="35168" xr:uid="{00000000-0005-0000-0000-0000055A0000}"/>
    <cellStyle name="40% - Accent6 2 3 2 2 2 5" xfId="16970" xr:uid="{00000000-0005-0000-0000-0000065A0000}"/>
    <cellStyle name="40% - Accent6 2 3 2 2 2 5 2" xfId="21434" xr:uid="{00000000-0005-0000-0000-0000075A0000}"/>
    <cellStyle name="40% - Accent6 2 3 2 2 2 5 2 2" xfId="31802" xr:uid="{00000000-0005-0000-0000-0000085A0000}"/>
    <cellStyle name="40% - Accent6 2 3 2 2 2 5 2 2 2" xfId="50991" xr:uid="{00000000-0005-0000-0000-0000095A0000}"/>
    <cellStyle name="40% - Accent6 2 3 2 2 2 5 2 3" xfId="41293" xr:uid="{00000000-0005-0000-0000-00000A5A0000}"/>
    <cellStyle name="40% - Accent6 2 3 2 2 2 5 3" xfId="27347" xr:uid="{00000000-0005-0000-0000-00000B5A0000}"/>
    <cellStyle name="40% - Accent6 2 3 2 2 2 5 3 2" xfId="46536" xr:uid="{00000000-0005-0000-0000-00000C5A0000}"/>
    <cellStyle name="40% - Accent6 2 3 2 2 2 5 4" xfId="36838" xr:uid="{00000000-0005-0000-0000-00000D5A0000}"/>
    <cellStyle name="40% - Accent6 2 3 2 2 2 6" xfId="17536" xr:uid="{00000000-0005-0000-0000-00000E5A0000}"/>
    <cellStyle name="40% - Accent6 2 3 2 2 2 6 2" xfId="21991" xr:uid="{00000000-0005-0000-0000-00000F5A0000}"/>
    <cellStyle name="40% - Accent6 2 3 2 2 2 6 2 2" xfId="32359" xr:uid="{00000000-0005-0000-0000-0000105A0000}"/>
    <cellStyle name="40% - Accent6 2 3 2 2 2 6 2 2 2" xfId="51548" xr:uid="{00000000-0005-0000-0000-0000115A0000}"/>
    <cellStyle name="40% - Accent6 2 3 2 2 2 6 2 3" xfId="41850" xr:uid="{00000000-0005-0000-0000-0000125A0000}"/>
    <cellStyle name="40% - Accent6 2 3 2 2 2 6 3" xfId="27904" xr:uid="{00000000-0005-0000-0000-0000135A0000}"/>
    <cellStyle name="40% - Accent6 2 3 2 2 2 6 3 2" xfId="47093" xr:uid="{00000000-0005-0000-0000-0000145A0000}"/>
    <cellStyle name="40% - Accent6 2 3 2 2 2 6 4" xfId="37395" xr:uid="{00000000-0005-0000-0000-0000155A0000}"/>
    <cellStyle name="40% - Accent6 2 3 2 2 2 7" xfId="18093" xr:uid="{00000000-0005-0000-0000-0000165A0000}"/>
    <cellStyle name="40% - Accent6 2 3 2 2 2 7 2" xfId="28461" xr:uid="{00000000-0005-0000-0000-0000175A0000}"/>
    <cellStyle name="40% - Accent6 2 3 2 2 2 7 2 2" xfId="47650" xr:uid="{00000000-0005-0000-0000-0000185A0000}"/>
    <cellStyle name="40% - Accent6 2 3 2 2 2 7 3" xfId="37952" xr:uid="{00000000-0005-0000-0000-0000195A0000}"/>
    <cellStyle name="40% - Accent6 2 3 2 2 2 8" xfId="23956" xr:uid="{00000000-0005-0000-0000-00001A5A0000}"/>
    <cellStyle name="40% - Accent6 2 3 2 2 2 8 2" xfId="43195" xr:uid="{00000000-0005-0000-0000-00001B5A0000}"/>
    <cellStyle name="40% - Accent6 2 3 2 2 2 9" xfId="33497" xr:uid="{00000000-0005-0000-0000-00001C5A0000}"/>
    <cellStyle name="40% - Accent6 2 3 2 2 3" xfId="13216" xr:uid="{00000000-0005-0000-0000-00001D5A0000}"/>
    <cellStyle name="40% - Accent6 2 3 2 2 3 2" xfId="14150" xr:uid="{00000000-0005-0000-0000-00001E5A0000}"/>
    <cellStyle name="40% - Accent6 2 3 2 2 3 2 2" xfId="16414" xr:uid="{00000000-0005-0000-0000-00001F5A0000}"/>
    <cellStyle name="40% - Accent6 2 3 2 2 3 2 2 2" xfId="20878" xr:uid="{00000000-0005-0000-0000-0000205A0000}"/>
    <cellStyle name="40% - Accent6 2 3 2 2 3 2 2 2 2" xfId="31246" xr:uid="{00000000-0005-0000-0000-0000215A0000}"/>
    <cellStyle name="40% - Accent6 2 3 2 2 3 2 2 2 2 2" xfId="50435" xr:uid="{00000000-0005-0000-0000-0000225A0000}"/>
    <cellStyle name="40% - Accent6 2 3 2 2 3 2 2 2 3" xfId="40737" xr:uid="{00000000-0005-0000-0000-0000235A0000}"/>
    <cellStyle name="40% - Accent6 2 3 2 2 3 2 2 3" xfId="26791" xr:uid="{00000000-0005-0000-0000-0000245A0000}"/>
    <cellStyle name="40% - Accent6 2 3 2 2 3 2 2 3 2" xfId="45980" xr:uid="{00000000-0005-0000-0000-0000255A0000}"/>
    <cellStyle name="40% - Accent6 2 3 2 2 3 2 2 4" xfId="36282" xr:uid="{00000000-0005-0000-0000-0000265A0000}"/>
    <cellStyle name="40% - Accent6 2 3 2 2 3 2 3" xfId="18650" xr:uid="{00000000-0005-0000-0000-0000275A0000}"/>
    <cellStyle name="40% - Accent6 2 3 2 2 3 2 3 2" xfId="29018" xr:uid="{00000000-0005-0000-0000-0000285A0000}"/>
    <cellStyle name="40% - Accent6 2 3 2 2 3 2 3 2 2" xfId="48207" xr:uid="{00000000-0005-0000-0000-0000295A0000}"/>
    <cellStyle name="40% - Accent6 2 3 2 2 3 2 3 3" xfId="38509" xr:uid="{00000000-0005-0000-0000-00002A5A0000}"/>
    <cellStyle name="40% - Accent6 2 3 2 2 3 2 4" xfId="24558" xr:uid="{00000000-0005-0000-0000-00002B5A0000}"/>
    <cellStyle name="40% - Accent6 2 3 2 2 3 2 4 2" xfId="43752" xr:uid="{00000000-0005-0000-0000-00002C5A0000}"/>
    <cellStyle name="40% - Accent6 2 3 2 2 3 2 5" xfId="34054" xr:uid="{00000000-0005-0000-0000-00002D5A0000}"/>
    <cellStyle name="40% - Accent6 2 3 2 2 3 3" xfId="14729" xr:uid="{00000000-0005-0000-0000-00002E5A0000}"/>
    <cellStyle name="40% - Accent6 2 3 2 2 3 3 2" xfId="15858" xr:uid="{00000000-0005-0000-0000-00002F5A0000}"/>
    <cellStyle name="40% - Accent6 2 3 2 2 3 3 2 2" xfId="20322" xr:uid="{00000000-0005-0000-0000-0000305A0000}"/>
    <cellStyle name="40% - Accent6 2 3 2 2 3 3 2 2 2" xfId="30690" xr:uid="{00000000-0005-0000-0000-0000315A0000}"/>
    <cellStyle name="40% - Accent6 2 3 2 2 3 3 2 2 2 2" xfId="49879" xr:uid="{00000000-0005-0000-0000-0000325A0000}"/>
    <cellStyle name="40% - Accent6 2 3 2 2 3 3 2 2 3" xfId="40181" xr:uid="{00000000-0005-0000-0000-0000335A0000}"/>
    <cellStyle name="40% - Accent6 2 3 2 2 3 3 2 3" xfId="26235" xr:uid="{00000000-0005-0000-0000-0000345A0000}"/>
    <cellStyle name="40% - Accent6 2 3 2 2 3 3 2 3 2" xfId="45424" xr:uid="{00000000-0005-0000-0000-0000355A0000}"/>
    <cellStyle name="40% - Accent6 2 3 2 2 3 3 2 4" xfId="35726" xr:uid="{00000000-0005-0000-0000-0000365A0000}"/>
    <cellStyle name="40% - Accent6 2 3 2 2 3 3 3" xfId="19207" xr:uid="{00000000-0005-0000-0000-0000375A0000}"/>
    <cellStyle name="40% - Accent6 2 3 2 2 3 3 3 2" xfId="29575" xr:uid="{00000000-0005-0000-0000-0000385A0000}"/>
    <cellStyle name="40% - Accent6 2 3 2 2 3 3 3 2 2" xfId="48764" xr:uid="{00000000-0005-0000-0000-0000395A0000}"/>
    <cellStyle name="40% - Accent6 2 3 2 2 3 3 3 3" xfId="39066" xr:uid="{00000000-0005-0000-0000-00003A5A0000}"/>
    <cellStyle name="40% - Accent6 2 3 2 2 3 3 4" xfId="25120" xr:uid="{00000000-0005-0000-0000-00003B5A0000}"/>
    <cellStyle name="40% - Accent6 2 3 2 2 3 3 4 2" xfId="44309" xr:uid="{00000000-0005-0000-0000-00003C5A0000}"/>
    <cellStyle name="40% - Accent6 2 3 2 2 3 3 5" xfId="34611" xr:uid="{00000000-0005-0000-0000-00003D5A0000}"/>
    <cellStyle name="40% - Accent6 2 3 2 2 3 4" xfId="15301" xr:uid="{00000000-0005-0000-0000-00003E5A0000}"/>
    <cellStyle name="40% - Accent6 2 3 2 2 3 4 2" xfId="19765" xr:uid="{00000000-0005-0000-0000-00003F5A0000}"/>
    <cellStyle name="40% - Accent6 2 3 2 2 3 4 2 2" xfId="30133" xr:uid="{00000000-0005-0000-0000-0000405A0000}"/>
    <cellStyle name="40% - Accent6 2 3 2 2 3 4 2 2 2" xfId="49322" xr:uid="{00000000-0005-0000-0000-0000415A0000}"/>
    <cellStyle name="40% - Accent6 2 3 2 2 3 4 2 3" xfId="39624" xr:uid="{00000000-0005-0000-0000-0000425A0000}"/>
    <cellStyle name="40% - Accent6 2 3 2 2 3 4 3" xfId="25678" xr:uid="{00000000-0005-0000-0000-0000435A0000}"/>
    <cellStyle name="40% - Accent6 2 3 2 2 3 4 3 2" xfId="44867" xr:uid="{00000000-0005-0000-0000-0000445A0000}"/>
    <cellStyle name="40% - Accent6 2 3 2 2 3 4 4" xfId="35169" xr:uid="{00000000-0005-0000-0000-0000455A0000}"/>
    <cellStyle name="40% - Accent6 2 3 2 2 3 5" xfId="16971" xr:uid="{00000000-0005-0000-0000-0000465A0000}"/>
    <cellStyle name="40% - Accent6 2 3 2 2 3 5 2" xfId="21435" xr:uid="{00000000-0005-0000-0000-0000475A0000}"/>
    <cellStyle name="40% - Accent6 2 3 2 2 3 5 2 2" xfId="31803" xr:uid="{00000000-0005-0000-0000-0000485A0000}"/>
    <cellStyle name="40% - Accent6 2 3 2 2 3 5 2 2 2" xfId="50992" xr:uid="{00000000-0005-0000-0000-0000495A0000}"/>
    <cellStyle name="40% - Accent6 2 3 2 2 3 5 2 3" xfId="41294" xr:uid="{00000000-0005-0000-0000-00004A5A0000}"/>
    <cellStyle name="40% - Accent6 2 3 2 2 3 5 3" xfId="27348" xr:uid="{00000000-0005-0000-0000-00004B5A0000}"/>
    <cellStyle name="40% - Accent6 2 3 2 2 3 5 3 2" xfId="46537" xr:uid="{00000000-0005-0000-0000-00004C5A0000}"/>
    <cellStyle name="40% - Accent6 2 3 2 2 3 5 4" xfId="36839" xr:uid="{00000000-0005-0000-0000-00004D5A0000}"/>
    <cellStyle name="40% - Accent6 2 3 2 2 3 6" xfId="17537" xr:uid="{00000000-0005-0000-0000-00004E5A0000}"/>
    <cellStyle name="40% - Accent6 2 3 2 2 3 6 2" xfId="21992" xr:uid="{00000000-0005-0000-0000-00004F5A0000}"/>
    <cellStyle name="40% - Accent6 2 3 2 2 3 6 2 2" xfId="32360" xr:uid="{00000000-0005-0000-0000-0000505A0000}"/>
    <cellStyle name="40% - Accent6 2 3 2 2 3 6 2 2 2" xfId="51549" xr:uid="{00000000-0005-0000-0000-0000515A0000}"/>
    <cellStyle name="40% - Accent6 2 3 2 2 3 6 2 3" xfId="41851" xr:uid="{00000000-0005-0000-0000-0000525A0000}"/>
    <cellStyle name="40% - Accent6 2 3 2 2 3 6 3" xfId="27905" xr:uid="{00000000-0005-0000-0000-0000535A0000}"/>
    <cellStyle name="40% - Accent6 2 3 2 2 3 6 3 2" xfId="47094" xr:uid="{00000000-0005-0000-0000-0000545A0000}"/>
    <cellStyle name="40% - Accent6 2 3 2 2 3 6 4" xfId="37396" xr:uid="{00000000-0005-0000-0000-0000555A0000}"/>
    <cellStyle name="40% - Accent6 2 3 2 2 3 7" xfId="18094" xr:uid="{00000000-0005-0000-0000-0000565A0000}"/>
    <cellStyle name="40% - Accent6 2 3 2 2 3 7 2" xfId="28462" xr:uid="{00000000-0005-0000-0000-0000575A0000}"/>
    <cellStyle name="40% - Accent6 2 3 2 2 3 7 2 2" xfId="47651" xr:uid="{00000000-0005-0000-0000-0000585A0000}"/>
    <cellStyle name="40% - Accent6 2 3 2 2 3 7 3" xfId="37953" xr:uid="{00000000-0005-0000-0000-0000595A0000}"/>
    <cellStyle name="40% - Accent6 2 3 2 2 3 8" xfId="23957" xr:uid="{00000000-0005-0000-0000-00005A5A0000}"/>
    <cellStyle name="40% - Accent6 2 3 2 2 3 8 2" xfId="43196" xr:uid="{00000000-0005-0000-0000-00005B5A0000}"/>
    <cellStyle name="40% - Accent6 2 3 2 2 3 9" xfId="33498" xr:uid="{00000000-0005-0000-0000-00005C5A0000}"/>
    <cellStyle name="40% - Accent6 2 3 2 2 4" xfId="14148" xr:uid="{00000000-0005-0000-0000-00005D5A0000}"/>
    <cellStyle name="40% - Accent6 2 3 2 2 4 2" xfId="16412" xr:uid="{00000000-0005-0000-0000-00005E5A0000}"/>
    <cellStyle name="40% - Accent6 2 3 2 2 4 2 2" xfId="20876" xr:uid="{00000000-0005-0000-0000-00005F5A0000}"/>
    <cellStyle name="40% - Accent6 2 3 2 2 4 2 2 2" xfId="31244" xr:uid="{00000000-0005-0000-0000-0000605A0000}"/>
    <cellStyle name="40% - Accent6 2 3 2 2 4 2 2 2 2" xfId="50433" xr:uid="{00000000-0005-0000-0000-0000615A0000}"/>
    <cellStyle name="40% - Accent6 2 3 2 2 4 2 2 3" xfId="40735" xr:uid="{00000000-0005-0000-0000-0000625A0000}"/>
    <cellStyle name="40% - Accent6 2 3 2 2 4 2 3" xfId="26789" xr:uid="{00000000-0005-0000-0000-0000635A0000}"/>
    <cellStyle name="40% - Accent6 2 3 2 2 4 2 3 2" xfId="45978" xr:uid="{00000000-0005-0000-0000-0000645A0000}"/>
    <cellStyle name="40% - Accent6 2 3 2 2 4 2 4" xfId="36280" xr:uid="{00000000-0005-0000-0000-0000655A0000}"/>
    <cellStyle name="40% - Accent6 2 3 2 2 4 3" xfId="18648" xr:uid="{00000000-0005-0000-0000-0000665A0000}"/>
    <cellStyle name="40% - Accent6 2 3 2 2 4 3 2" xfId="29016" xr:uid="{00000000-0005-0000-0000-0000675A0000}"/>
    <cellStyle name="40% - Accent6 2 3 2 2 4 3 2 2" xfId="48205" xr:uid="{00000000-0005-0000-0000-0000685A0000}"/>
    <cellStyle name="40% - Accent6 2 3 2 2 4 3 3" xfId="38507" xr:uid="{00000000-0005-0000-0000-0000695A0000}"/>
    <cellStyle name="40% - Accent6 2 3 2 2 4 4" xfId="24556" xr:uid="{00000000-0005-0000-0000-00006A5A0000}"/>
    <cellStyle name="40% - Accent6 2 3 2 2 4 4 2" xfId="43750" xr:uid="{00000000-0005-0000-0000-00006B5A0000}"/>
    <cellStyle name="40% - Accent6 2 3 2 2 4 5" xfId="34052" xr:uid="{00000000-0005-0000-0000-00006C5A0000}"/>
    <cellStyle name="40% - Accent6 2 3 2 2 5" xfId="14727" xr:uid="{00000000-0005-0000-0000-00006D5A0000}"/>
    <cellStyle name="40% - Accent6 2 3 2 2 5 2" xfId="15856" xr:uid="{00000000-0005-0000-0000-00006E5A0000}"/>
    <cellStyle name="40% - Accent6 2 3 2 2 5 2 2" xfId="20320" xr:uid="{00000000-0005-0000-0000-00006F5A0000}"/>
    <cellStyle name="40% - Accent6 2 3 2 2 5 2 2 2" xfId="30688" xr:uid="{00000000-0005-0000-0000-0000705A0000}"/>
    <cellStyle name="40% - Accent6 2 3 2 2 5 2 2 2 2" xfId="49877" xr:uid="{00000000-0005-0000-0000-0000715A0000}"/>
    <cellStyle name="40% - Accent6 2 3 2 2 5 2 2 3" xfId="40179" xr:uid="{00000000-0005-0000-0000-0000725A0000}"/>
    <cellStyle name="40% - Accent6 2 3 2 2 5 2 3" xfId="26233" xr:uid="{00000000-0005-0000-0000-0000735A0000}"/>
    <cellStyle name="40% - Accent6 2 3 2 2 5 2 3 2" xfId="45422" xr:uid="{00000000-0005-0000-0000-0000745A0000}"/>
    <cellStyle name="40% - Accent6 2 3 2 2 5 2 4" xfId="35724" xr:uid="{00000000-0005-0000-0000-0000755A0000}"/>
    <cellStyle name="40% - Accent6 2 3 2 2 5 3" xfId="19205" xr:uid="{00000000-0005-0000-0000-0000765A0000}"/>
    <cellStyle name="40% - Accent6 2 3 2 2 5 3 2" xfId="29573" xr:uid="{00000000-0005-0000-0000-0000775A0000}"/>
    <cellStyle name="40% - Accent6 2 3 2 2 5 3 2 2" xfId="48762" xr:uid="{00000000-0005-0000-0000-0000785A0000}"/>
    <cellStyle name="40% - Accent6 2 3 2 2 5 3 3" xfId="39064" xr:uid="{00000000-0005-0000-0000-0000795A0000}"/>
    <cellStyle name="40% - Accent6 2 3 2 2 5 4" xfId="25118" xr:uid="{00000000-0005-0000-0000-00007A5A0000}"/>
    <cellStyle name="40% - Accent6 2 3 2 2 5 4 2" xfId="44307" xr:uid="{00000000-0005-0000-0000-00007B5A0000}"/>
    <cellStyle name="40% - Accent6 2 3 2 2 5 5" xfId="34609" xr:uid="{00000000-0005-0000-0000-00007C5A0000}"/>
    <cellStyle name="40% - Accent6 2 3 2 2 6" xfId="15299" xr:uid="{00000000-0005-0000-0000-00007D5A0000}"/>
    <cellStyle name="40% - Accent6 2 3 2 2 6 2" xfId="19763" xr:uid="{00000000-0005-0000-0000-00007E5A0000}"/>
    <cellStyle name="40% - Accent6 2 3 2 2 6 2 2" xfId="30131" xr:uid="{00000000-0005-0000-0000-00007F5A0000}"/>
    <cellStyle name="40% - Accent6 2 3 2 2 6 2 2 2" xfId="49320" xr:uid="{00000000-0005-0000-0000-0000805A0000}"/>
    <cellStyle name="40% - Accent6 2 3 2 2 6 2 3" xfId="39622" xr:uid="{00000000-0005-0000-0000-0000815A0000}"/>
    <cellStyle name="40% - Accent6 2 3 2 2 6 3" xfId="25676" xr:uid="{00000000-0005-0000-0000-0000825A0000}"/>
    <cellStyle name="40% - Accent6 2 3 2 2 6 3 2" xfId="44865" xr:uid="{00000000-0005-0000-0000-0000835A0000}"/>
    <cellStyle name="40% - Accent6 2 3 2 2 6 4" xfId="35167" xr:uid="{00000000-0005-0000-0000-0000845A0000}"/>
    <cellStyle name="40% - Accent6 2 3 2 2 7" xfId="16969" xr:uid="{00000000-0005-0000-0000-0000855A0000}"/>
    <cellStyle name="40% - Accent6 2 3 2 2 7 2" xfId="21433" xr:uid="{00000000-0005-0000-0000-0000865A0000}"/>
    <cellStyle name="40% - Accent6 2 3 2 2 7 2 2" xfId="31801" xr:uid="{00000000-0005-0000-0000-0000875A0000}"/>
    <cellStyle name="40% - Accent6 2 3 2 2 7 2 2 2" xfId="50990" xr:uid="{00000000-0005-0000-0000-0000885A0000}"/>
    <cellStyle name="40% - Accent6 2 3 2 2 7 2 3" xfId="41292" xr:uid="{00000000-0005-0000-0000-0000895A0000}"/>
    <cellStyle name="40% - Accent6 2 3 2 2 7 3" xfId="27346" xr:uid="{00000000-0005-0000-0000-00008A5A0000}"/>
    <cellStyle name="40% - Accent6 2 3 2 2 7 3 2" xfId="46535" xr:uid="{00000000-0005-0000-0000-00008B5A0000}"/>
    <cellStyle name="40% - Accent6 2 3 2 2 7 4" xfId="36837" xr:uid="{00000000-0005-0000-0000-00008C5A0000}"/>
    <cellStyle name="40% - Accent6 2 3 2 2 8" xfId="17535" xr:uid="{00000000-0005-0000-0000-00008D5A0000}"/>
    <cellStyle name="40% - Accent6 2 3 2 2 8 2" xfId="21990" xr:uid="{00000000-0005-0000-0000-00008E5A0000}"/>
    <cellStyle name="40% - Accent6 2 3 2 2 8 2 2" xfId="32358" xr:uid="{00000000-0005-0000-0000-00008F5A0000}"/>
    <cellStyle name="40% - Accent6 2 3 2 2 8 2 2 2" xfId="51547" xr:uid="{00000000-0005-0000-0000-0000905A0000}"/>
    <cellStyle name="40% - Accent6 2 3 2 2 8 2 3" xfId="41849" xr:uid="{00000000-0005-0000-0000-0000915A0000}"/>
    <cellStyle name="40% - Accent6 2 3 2 2 8 3" xfId="27903" xr:uid="{00000000-0005-0000-0000-0000925A0000}"/>
    <cellStyle name="40% - Accent6 2 3 2 2 8 3 2" xfId="47092" xr:uid="{00000000-0005-0000-0000-0000935A0000}"/>
    <cellStyle name="40% - Accent6 2 3 2 2 8 4" xfId="37394" xr:uid="{00000000-0005-0000-0000-0000945A0000}"/>
    <cellStyle name="40% - Accent6 2 3 2 2 9" xfId="18092" xr:uid="{00000000-0005-0000-0000-0000955A0000}"/>
    <cellStyle name="40% - Accent6 2 3 2 2 9 2" xfId="28460" xr:uid="{00000000-0005-0000-0000-0000965A0000}"/>
    <cellStyle name="40% - Accent6 2 3 2 2 9 2 2" xfId="47649" xr:uid="{00000000-0005-0000-0000-0000975A0000}"/>
    <cellStyle name="40% - Accent6 2 3 2 2 9 3" xfId="37951" xr:uid="{00000000-0005-0000-0000-0000985A0000}"/>
    <cellStyle name="40% - Accent6 2 3 2 3" xfId="13217" xr:uid="{00000000-0005-0000-0000-0000995A0000}"/>
    <cellStyle name="40% - Accent6 2 3 2 3 10" xfId="53626" xr:uid="{00000000-0005-0000-0000-00009A5A0000}"/>
    <cellStyle name="40% - Accent6 2 3 2 3 2" xfId="14151" xr:uid="{00000000-0005-0000-0000-00009B5A0000}"/>
    <cellStyle name="40% - Accent6 2 3 2 3 2 2" xfId="16415" xr:uid="{00000000-0005-0000-0000-00009C5A0000}"/>
    <cellStyle name="40% - Accent6 2 3 2 3 2 2 2" xfId="20879" xr:uid="{00000000-0005-0000-0000-00009D5A0000}"/>
    <cellStyle name="40% - Accent6 2 3 2 3 2 2 2 2" xfId="31247" xr:uid="{00000000-0005-0000-0000-00009E5A0000}"/>
    <cellStyle name="40% - Accent6 2 3 2 3 2 2 2 2 2" xfId="50436" xr:uid="{00000000-0005-0000-0000-00009F5A0000}"/>
    <cellStyle name="40% - Accent6 2 3 2 3 2 2 2 3" xfId="40738" xr:uid="{00000000-0005-0000-0000-0000A05A0000}"/>
    <cellStyle name="40% - Accent6 2 3 2 3 2 2 3" xfId="26792" xr:uid="{00000000-0005-0000-0000-0000A15A0000}"/>
    <cellStyle name="40% - Accent6 2 3 2 3 2 2 3 2" xfId="45981" xr:uid="{00000000-0005-0000-0000-0000A25A0000}"/>
    <cellStyle name="40% - Accent6 2 3 2 3 2 2 4" xfId="36283" xr:uid="{00000000-0005-0000-0000-0000A35A0000}"/>
    <cellStyle name="40% - Accent6 2 3 2 3 2 3" xfId="18651" xr:uid="{00000000-0005-0000-0000-0000A45A0000}"/>
    <cellStyle name="40% - Accent6 2 3 2 3 2 3 2" xfId="29019" xr:uid="{00000000-0005-0000-0000-0000A55A0000}"/>
    <cellStyle name="40% - Accent6 2 3 2 3 2 3 2 2" xfId="48208" xr:uid="{00000000-0005-0000-0000-0000A65A0000}"/>
    <cellStyle name="40% - Accent6 2 3 2 3 2 3 3" xfId="38510" xr:uid="{00000000-0005-0000-0000-0000A75A0000}"/>
    <cellStyle name="40% - Accent6 2 3 2 3 2 4" xfId="24559" xr:uid="{00000000-0005-0000-0000-0000A85A0000}"/>
    <cellStyle name="40% - Accent6 2 3 2 3 2 4 2" xfId="43753" xr:uid="{00000000-0005-0000-0000-0000A95A0000}"/>
    <cellStyle name="40% - Accent6 2 3 2 3 2 5" xfId="34055" xr:uid="{00000000-0005-0000-0000-0000AA5A0000}"/>
    <cellStyle name="40% - Accent6 2 3 2 3 3" xfId="14730" xr:uid="{00000000-0005-0000-0000-0000AB5A0000}"/>
    <cellStyle name="40% - Accent6 2 3 2 3 3 2" xfId="15859" xr:uid="{00000000-0005-0000-0000-0000AC5A0000}"/>
    <cellStyle name="40% - Accent6 2 3 2 3 3 2 2" xfId="20323" xr:uid="{00000000-0005-0000-0000-0000AD5A0000}"/>
    <cellStyle name="40% - Accent6 2 3 2 3 3 2 2 2" xfId="30691" xr:uid="{00000000-0005-0000-0000-0000AE5A0000}"/>
    <cellStyle name="40% - Accent6 2 3 2 3 3 2 2 2 2" xfId="49880" xr:uid="{00000000-0005-0000-0000-0000AF5A0000}"/>
    <cellStyle name="40% - Accent6 2 3 2 3 3 2 2 3" xfId="40182" xr:uid="{00000000-0005-0000-0000-0000B05A0000}"/>
    <cellStyle name="40% - Accent6 2 3 2 3 3 2 3" xfId="26236" xr:uid="{00000000-0005-0000-0000-0000B15A0000}"/>
    <cellStyle name="40% - Accent6 2 3 2 3 3 2 3 2" xfId="45425" xr:uid="{00000000-0005-0000-0000-0000B25A0000}"/>
    <cellStyle name="40% - Accent6 2 3 2 3 3 2 4" xfId="35727" xr:uid="{00000000-0005-0000-0000-0000B35A0000}"/>
    <cellStyle name="40% - Accent6 2 3 2 3 3 3" xfId="19208" xr:uid="{00000000-0005-0000-0000-0000B45A0000}"/>
    <cellStyle name="40% - Accent6 2 3 2 3 3 3 2" xfId="29576" xr:uid="{00000000-0005-0000-0000-0000B55A0000}"/>
    <cellStyle name="40% - Accent6 2 3 2 3 3 3 2 2" xfId="48765" xr:uid="{00000000-0005-0000-0000-0000B65A0000}"/>
    <cellStyle name="40% - Accent6 2 3 2 3 3 3 3" xfId="39067" xr:uid="{00000000-0005-0000-0000-0000B75A0000}"/>
    <cellStyle name="40% - Accent6 2 3 2 3 3 4" xfId="25121" xr:uid="{00000000-0005-0000-0000-0000B85A0000}"/>
    <cellStyle name="40% - Accent6 2 3 2 3 3 4 2" xfId="44310" xr:uid="{00000000-0005-0000-0000-0000B95A0000}"/>
    <cellStyle name="40% - Accent6 2 3 2 3 3 5" xfId="34612" xr:uid="{00000000-0005-0000-0000-0000BA5A0000}"/>
    <cellStyle name="40% - Accent6 2 3 2 3 4" xfId="15302" xr:uid="{00000000-0005-0000-0000-0000BB5A0000}"/>
    <cellStyle name="40% - Accent6 2 3 2 3 4 2" xfId="19766" xr:uid="{00000000-0005-0000-0000-0000BC5A0000}"/>
    <cellStyle name="40% - Accent6 2 3 2 3 4 2 2" xfId="30134" xr:uid="{00000000-0005-0000-0000-0000BD5A0000}"/>
    <cellStyle name="40% - Accent6 2 3 2 3 4 2 2 2" xfId="49323" xr:uid="{00000000-0005-0000-0000-0000BE5A0000}"/>
    <cellStyle name="40% - Accent6 2 3 2 3 4 2 3" xfId="39625" xr:uid="{00000000-0005-0000-0000-0000BF5A0000}"/>
    <cellStyle name="40% - Accent6 2 3 2 3 4 3" xfId="25679" xr:uid="{00000000-0005-0000-0000-0000C05A0000}"/>
    <cellStyle name="40% - Accent6 2 3 2 3 4 3 2" xfId="44868" xr:uid="{00000000-0005-0000-0000-0000C15A0000}"/>
    <cellStyle name="40% - Accent6 2 3 2 3 4 4" xfId="35170" xr:uid="{00000000-0005-0000-0000-0000C25A0000}"/>
    <cellStyle name="40% - Accent6 2 3 2 3 5" xfId="16972" xr:uid="{00000000-0005-0000-0000-0000C35A0000}"/>
    <cellStyle name="40% - Accent6 2 3 2 3 5 2" xfId="21436" xr:uid="{00000000-0005-0000-0000-0000C45A0000}"/>
    <cellStyle name="40% - Accent6 2 3 2 3 5 2 2" xfId="31804" xr:uid="{00000000-0005-0000-0000-0000C55A0000}"/>
    <cellStyle name="40% - Accent6 2 3 2 3 5 2 2 2" xfId="50993" xr:uid="{00000000-0005-0000-0000-0000C65A0000}"/>
    <cellStyle name="40% - Accent6 2 3 2 3 5 2 3" xfId="41295" xr:uid="{00000000-0005-0000-0000-0000C75A0000}"/>
    <cellStyle name="40% - Accent6 2 3 2 3 5 3" xfId="27349" xr:uid="{00000000-0005-0000-0000-0000C85A0000}"/>
    <cellStyle name="40% - Accent6 2 3 2 3 5 3 2" xfId="46538" xr:uid="{00000000-0005-0000-0000-0000C95A0000}"/>
    <cellStyle name="40% - Accent6 2 3 2 3 5 4" xfId="36840" xr:uid="{00000000-0005-0000-0000-0000CA5A0000}"/>
    <cellStyle name="40% - Accent6 2 3 2 3 6" xfId="17538" xr:uid="{00000000-0005-0000-0000-0000CB5A0000}"/>
    <cellStyle name="40% - Accent6 2 3 2 3 6 2" xfId="21993" xr:uid="{00000000-0005-0000-0000-0000CC5A0000}"/>
    <cellStyle name="40% - Accent6 2 3 2 3 6 2 2" xfId="32361" xr:uid="{00000000-0005-0000-0000-0000CD5A0000}"/>
    <cellStyle name="40% - Accent6 2 3 2 3 6 2 2 2" xfId="51550" xr:uid="{00000000-0005-0000-0000-0000CE5A0000}"/>
    <cellStyle name="40% - Accent6 2 3 2 3 6 2 3" xfId="41852" xr:uid="{00000000-0005-0000-0000-0000CF5A0000}"/>
    <cellStyle name="40% - Accent6 2 3 2 3 6 3" xfId="27906" xr:uid="{00000000-0005-0000-0000-0000D05A0000}"/>
    <cellStyle name="40% - Accent6 2 3 2 3 6 3 2" xfId="47095" xr:uid="{00000000-0005-0000-0000-0000D15A0000}"/>
    <cellStyle name="40% - Accent6 2 3 2 3 6 4" xfId="37397" xr:uid="{00000000-0005-0000-0000-0000D25A0000}"/>
    <cellStyle name="40% - Accent6 2 3 2 3 7" xfId="18095" xr:uid="{00000000-0005-0000-0000-0000D35A0000}"/>
    <cellStyle name="40% - Accent6 2 3 2 3 7 2" xfId="28463" xr:uid="{00000000-0005-0000-0000-0000D45A0000}"/>
    <cellStyle name="40% - Accent6 2 3 2 3 7 2 2" xfId="47652" xr:uid="{00000000-0005-0000-0000-0000D55A0000}"/>
    <cellStyle name="40% - Accent6 2 3 2 3 7 3" xfId="37954" xr:uid="{00000000-0005-0000-0000-0000D65A0000}"/>
    <cellStyle name="40% - Accent6 2 3 2 3 8" xfId="23958" xr:uid="{00000000-0005-0000-0000-0000D75A0000}"/>
    <cellStyle name="40% - Accent6 2 3 2 3 8 2" xfId="43197" xr:uid="{00000000-0005-0000-0000-0000D85A0000}"/>
    <cellStyle name="40% - Accent6 2 3 2 3 9" xfId="33499" xr:uid="{00000000-0005-0000-0000-0000D95A0000}"/>
    <cellStyle name="40% - Accent6 2 3 2 4" xfId="13218" xr:uid="{00000000-0005-0000-0000-0000DA5A0000}"/>
    <cellStyle name="40% - Accent6 2 3 2 4 2" xfId="14152" xr:uid="{00000000-0005-0000-0000-0000DB5A0000}"/>
    <cellStyle name="40% - Accent6 2 3 2 4 2 2" xfId="16416" xr:uid="{00000000-0005-0000-0000-0000DC5A0000}"/>
    <cellStyle name="40% - Accent6 2 3 2 4 2 2 2" xfId="20880" xr:uid="{00000000-0005-0000-0000-0000DD5A0000}"/>
    <cellStyle name="40% - Accent6 2 3 2 4 2 2 2 2" xfId="31248" xr:uid="{00000000-0005-0000-0000-0000DE5A0000}"/>
    <cellStyle name="40% - Accent6 2 3 2 4 2 2 2 2 2" xfId="50437" xr:uid="{00000000-0005-0000-0000-0000DF5A0000}"/>
    <cellStyle name="40% - Accent6 2 3 2 4 2 2 2 3" xfId="40739" xr:uid="{00000000-0005-0000-0000-0000E05A0000}"/>
    <cellStyle name="40% - Accent6 2 3 2 4 2 2 3" xfId="26793" xr:uid="{00000000-0005-0000-0000-0000E15A0000}"/>
    <cellStyle name="40% - Accent6 2 3 2 4 2 2 3 2" xfId="45982" xr:uid="{00000000-0005-0000-0000-0000E25A0000}"/>
    <cellStyle name="40% - Accent6 2 3 2 4 2 2 4" xfId="36284" xr:uid="{00000000-0005-0000-0000-0000E35A0000}"/>
    <cellStyle name="40% - Accent6 2 3 2 4 2 3" xfId="18652" xr:uid="{00000000-0005-0000-0000-0000E45A0000}"/>
    <cellStyle name="40% - Accent6 2 3 2 4 2 3 2" xfId="29020" xr:uid="{00000000-0005-0000-0000-0000E55A0000}"/>
    <cellStyle name="40% - Accent6 2 3 2 4 2 3 2 2" xfId="48209" xr:uid="{00000000-0005-0000-0000-0000E65A0000}"/>
    <cellStyle name="40% - Accent6 2 3 2 4 2 3 3" xfId="38511" xr:uid="{00000000-0005-0000-0000-0000E75A0000}"/>
    <cellStyle name="40% - Accent6 2 3 2 4 2 4" xfId="24560" xr:uid="{00000000-0005-0000-0000-0000E85A0000}"/>
    <cellStyle name="40% - Accent6 2 3 2 4 2 4 2" xfId="43754" xr:uid="{00000000-0005-0000-0000-0000E95A0000}"/>
    <cellStyle name="40% - Accent6 2 3 2 4 2 5" xfId="34056" xr:uid="{00000000-0005-0000-0000-0000EA5A0000}"/>
    <cellStyle name="40% - Accent6 2 3 2 4 3" xfId="14731" xr:uid="{00000000-0005-0000-0000-0000EB5A0000}"/>
    <cellStyle name="40% - Accent6 2 3 2 4 3 2" xfId="15860" xr:uid="{00000000-0005-0000-0000-0000EC5A0000}"/>
    <cellStyle name="40% - Accent6 2 3 2 4 3 2 2" xfId="20324" xr:uid="{00000000-0005-0000-0000-0000ED5A0000}"/>
    <cellStyle name="40% - Accent6 2 3 2 4 3 2 2 2" xfId="30692" xr:uid="{00000000-0005-0000-0000-0000EE5A0000}"/>
    <cellStyle name="40% - Accent6 2 3 2 4 3 2 2 2 2" xfId="49881" xr:uid="{00000000-0005-0000-0000-0000EF5A0000}"/>
    <cellStyle name="40% - Accent6 2 3 2 4 3 2 2 3" xfId="40183" xr:uid="{00000000-0005-0000-0000-0000F05A0000}"/>
    <cellStyle name="40% - Accent6 2 3 2 4 3 2 3" xfId="26237" xr:uid="{00000000-0005-0000-0000-0000F15A0000}"/>
    <cellStyle name="40% - Accent6 2 3 2 4 3 2 3 2" xfId="45426" xr:uid="{00000000-0005-0000-0000-0000F25A0000}"/>
    <cellStyle name="40% - Accent6 2 3 2 4 3 2 4" xfId="35728" xr:uid="{00000000-0005-0000-0000-0000F35A0000}"/>
    <cellStyle name="40% - Accent6 2 3 2 4 3 3" xfId="19209" xr:uid="{00000000-0005-0000-0000-0000F45A0000}"/>
    <cellStyle name="40% - Accent6 2 3 2 4 3 3 2" xfId="29577" xr:uid="{00000000-0005-0000-0000-0000F55A0000}"/>
    <cellStyle name="40% - Accent6 2 3 2 4 3 3 2 2" xfId="48766" xr:uid="{00000000-0005-0000-0000-0000F65A0000}"/>
    <cellStyle name="40% - Accent6 2 3 2 4 3 3 3" xfId="39068" xr:uid="{00000000-0005-0000-0000-0000F75A0000}"/>
    <cellStyle name="40% - Accent6 2 3 2 4 3 4" xfId="25122" xr:uid="{00000000-0005-0000-0000-0000F85A0000}"/>
    <cellStyle name="40% - Accent6 2 3 2 4 3 4 2" xfId="44311" xr:uid="{00000000-0005-0000-0000-0000F95A0000}"/>
    <cellStyle name="40% - Accent6 2 3 2 4 3 5" xfId="34613" xr:uid="{00000000-0005-0000-0000-0000FA5A0000}"/>
    <cellStyle name="40% - Accent6 2 3 2 4 4" xfId="15303" xr:uid="{00000000-0005-0000-0000-0000FB5A0000}"/>
    <cellStyle name="40% - Accent6 2 3 2 4 4 2" xfId="19767" xr:uid="{00000000-0005-0000-0000-0000FC5A0000}"/>
    <cellStyle name="40% - Accent6 2 3 2 4 4 2 2" xfId="30135" xr:uid="{00000000-0005-0000-0000-0000FD5A0000}"/>
    <cellStyle name="40% - Accent6 2 3 2 4 4 2 2 2" xfId="49324" xr:uid="{00000000-0005-0000-0000-0000FE5A0000}"/>
    <cellStyle name="40% - Accent6 2 3 2 4 4 2 3" xfId="39626" xr:uid="{00000000-0005-0000-0000-0000FF5A0000}"/>
    <cellStyle name="40% - Accent6 2 3 2 4 4 3" xfId="25680" xr:uid="{00000000-0005-0000-0000-0000005B0000}"/>
    <cellStyle name="40% - Accent6 2 3 2 4 4 3 2" xfId="44869" xr:uid="{00000000-0005-0000-0000-0000015B0000}"/>
    <cellStyle name="40% - Accent6 2 3 2 4 4 4" xfId="35171" xr:uid="{00000000-0005-0000-0000-0000025B0000}"/>
    <cellStyle name="40% - Accent6 2 3 2 4 5" xfId="16973" xr:uid="{00000000-0005-0000-0000-0000035B0000}"/>
    <cellStyle name="40% - Accent6 2 3 2 4 5 2" xfId="21437" xr:uid="{00000000-0005-0000-0000-0000045B0000}"/>
    <cellStyle name="40% - Accent6 2 3 2 4 5 2 2" xfId="31805" xr:uid="{00000000-0005-0000-0000-0000055B0000}"/>
    <cellStyle name="40% - Accent6 2 3 2 4 5 2 2 2" xfId="50994" xr:uid="{00000000-0005-0000-0000-0000065B0000}"/>
    <cellStyle name="40% - Accent6 2 3 2 4 5 2 3" xfId="41296" xr:uid="{00000000-0005-0000-0000-0000075B0000}"/>
    <cellStyle name="40% - Accent6 2 3 2 4 5 3" xfId="27350" xr:uid="{00000000-0005-0000-0000-0000085B0000}"/>
    <cellStyle name="40% - Accent6 2 3 2 4 5 3 2" xfId="46539" xr:uid="{00000000-0005-0000-0000-0000095B0000}"/>
    <cellStyle name="40% - Accent6 2 3 2 4 5 4" xfId="36841" xr:uid="{00000000-0005-0000-0000-00000A5B0000}"/>
    <cellStyle name="40% - Accent6 2 3 2 4 6" xfId="17539" xr:uid="{00000000-0005-0000-0000-00000B5B0000}"/>
    <cellStyle name="40% - Accent6 2 3 2 4 6 2" xfId="21994" xr:uid="{00000000-0005-0000-0000-00000C5B0000}"/>
    <cellStyle name="40% - Accent6 2 3 2 4 6 2 2" xfId="32362" xr:uid="{00000000-0005-0000-0000-00000D5B0000}"/>
    <cellStyle name="40% - Accent6 2 3 2 4 6 2 2 2" xfId="51551" xr:uid="{00000000-0005-0000-0000-00000E5B0000}"/>
    <cellStyle name="40% - Accent6 2 3 2 4 6 2 3" xfId="41853" xr:uid="{00000000-0005-0000-0000-00000F5B0000}"/>
    <cellStyle name="40% - Accent6 2 3 2 4 6 3" xfId="27907" xr:uid="{00000000-0005-0000-0000-0000105B0000}"/>
    <cellStyle name="40% - Accent6 2 3 2 4 6 3 2" xfId="47096" xr:uid="{00000000-0005-0000-0000-0000115B0000}"/>
    <cellStyle name="40% - Accent6 2 3 2 4 6 4" xfId="37398" xr:uid="{00000000-0005-0000-0000-0000125B0000}"/>
    <cellStyle name="40% - Accent6 2 3 2 4 7" xfId="18096" xr:uid="{00000000-0005-0000-0000-0000135B0000}"/>
    <cellStyle name="40% - Accent6 2 3 2 4 7 2" xfId="28464" xr:uid="{00000000-0005-0000-0000-0000145B0000}"/>
    <cellStyle name="40% - Accent6 2 3 2 4 7 2 2" xfId="47653" xr:uid="{00000000-0005-0000-0000-0000155B0000}"/>
    <cellStyle name="40% - Accent6 2 3 2 4 7 3" xfId="37955" xr:uid="{00000000-0005-0000-0000-0000165B0000}"/>
    <cellStyle name="40% - Accent6 2 3 2 4 8" xfId="23959" xr:uid="{00000000-0005-0000-0000-0000175B0000}"/>
    <cellStyle name="40% - Accent6 2 3 2 4 8 2" xfId="43198" xr:uid="{00000000-0005-0000-0000-0000185B0000}"/>
    <cellStyle name="40% - Accent6 2 3 2 4 9" xfId="33500" xr:uid="{00000000-0005-0000-0000-0000195B0000}"/>
    <cellStyle name="40% - Accent6 2 3 2 5" xfId="14147" xr:uid="{00000000-0005-0000-0000-00001A5B0000}"/>
    <cellStyle name="40% - Accent6 2 3 2 5 2" xfId="16411" xr:uid="{00000000-0005-0000-0000-00001B5B0000}"/>
    <cellStyle name="40% - Accent6 2 3 2 5 2 2" xfId="20875" xr:uid="{00000000-0005-0000-0000-00001C5B0000}"/>
    <cellStyle name="40% - Accent6 2 3 2 5 2 2 2" xfId="31243" xr:uid="{00000000-0005-0000-0000-00001D5B0000}"/>
    <cellStyle name="40% - Accent6 2 3 2 5 2 2 2 2" xfId="50432" xr:uid="{00000000-0005-0000-0000-00001E5B0000}"/>
    <cellStyle name="40% - Accent6 2 3 2 5 2 2 3" xfId="40734" xr:uid="{00000000-0005-0000-0000-00001F5B0000}"/>
    <cellStyle name="40% - Accent6 2 3 2 5 2 3" xfId="26788" xr:uid="{00000000-0005-0000-0000-0000205B0000}"/>
    <cellStyle name="40% - Accent6 2 3 2 5 2 3 2" xfId="45977" xr:uid="{00000000-0005-0000-0000-0000215B0000}"/>
    <cellStyle name="40% - Accent6 2 3 2 5 2 4" xfId="36279" xr:uid="{00000000-0005-0000-0000-0000225B0000}"/>
    <cellStyle name="40% - Accent6 2 3 2 5 3" xfId="18647" xr:uid="{00000000-0005-0000-0000-0000235B0000}"/>
    <cellStyle name="40% - Accent6 2 3 2 5 3 2" xfId="29015" xr:uid="{00000000-0005-0000-0000-0000245B0000}"/>
    <cellStyle name="40% - Accent6 2 3 2 5 3 2 2" xfId="48204" xr:uid="{00000000-0005-0000-0000-0000255B0000}"/>
    <cellStyle name="40% - Accent6 2 3 2 5 3 3" xfId="38506" xr:uid="{00000000-0005-0000-0000-0000265B0000}"/>
    <cellStyle name="40% - Accent6 2 3 2 5 4" xfId="24555" xr:uid="{00000000-0005-0000-0000-0000275B0000}"/>
    <cellStyle name="40% - Accent6 2 3 2 5 4 2" xfId="43749" xr:uid="{00000000-0005-0000-0000-0000285B0000}"/>
    <cellStyle name="40% - Accent6 2 3 2 5 5" xfId="34051" xr:uid="{00000000-0005-0000-0000-0000295B0000}"/>
    <cellStyle name="40% - Accent6 2 3 2 6" xfId="14726" xr:uid="{00000000-0005-0000-0000-00002A5B0000}"/>
    <cellStyle name="40% - Accent6 2 3 2 6 2" xfId="15855" xr:uid="{00000000-0005-0000-0000-00002B5B0000}"/>
    <cellStyle name="40% - Accent6 2 3 2 6 2 2" xfId="20319" xr:uid="{00000000-0005-0000-0000-00002C5B0000}"/>
    <cellStyle name="40% - Accent6 2 3 2 6 2 2 2" xfId="30687" xr:uid="{00000000-0005-0000-0000-00002D5B0000}"/>
    <cellStyle name="40% - Accent6 2 3 2 6 2 2 2 2" xfId="49876" xr:uid="{00000000-0005-0000-0000-00002E5B0000}"/>
    <cellStyle name="40% - Accent6 2 3 2 6 2 2 3" xfId="40178" xr:uid="{00000000-0005-0000-0000-00002F5B0000}"/>
    <cellStyle name="40% - Accent6 2 3 2 6 2 3" xfId="26232" xr:uid="{00000000-0005-0000-0000-0000305B0000}"/>
    <cellStyle name="40% - Accent6 2 3 2 6 2 3 2" xfId="45421" xr:uid="{00000000-0005-0000-0000-0000315B0000}"/>
    <cellStyle name="40% - Accent6 2 3 2 6 2 4" xfId="35723" xr:uid="{00000000-0005-0000-0000-0000325B0000}"/>
    <cellStyle name="40% - Accent6 2 3 2 6 3" xfId="19204" xr:uid="{00000000-0005-0000-0000-0000335B0000}"/>
    <cellStyle name="40% - Accent6 2 3 2 6 3 2" xfId="29572" xr:uid="{00000000-0005-0000-0000-0000345B0000}"/>
    <cellStyle name="40% - Accent6 2 3 2 6 3 2 2" xfId="48761" xr:uid="{00000000-0005-0000-0000-0000355B0000}"/>
    <cellStyle name="40% - Accent6 2 3 2 6 3 3" xfId="39063" xr:uid="{00000000-0005-0000-0000-0000365B0000}"/>
    <cellStyle name="40% - Accent6 2 3 2 6 4" xfId="25117" xr:uid="{00000000-0005-0000-0000-0000375B0000}"/>
    <cellStyle name="40% - Accent6 2 3 2 6 4 2" xfId="44306" xr:uid="{00000000-0005-0000-0000-0000385B0000}"/>
    <cellStyle name="40% - Accent6 2 3 2 6 5" xfId="34608" xr:uid="{00000000-0005-0000-0000-0000395B0000}"/>
    <cellStyle name="40% - Accent6 2 3 2 7" xfId="15298" xr:uid="{00000000-0005-0000-0000-00003A5B0000}"/>
    <cellStyle name="40% - Accent6 2 3 2 7 2" xfId="19762" xr:uid="{00000000-0005-0000-0000-00003B5B0000}"/>
    <cellStyle name="40% - Accent6 2 3 2 7 2 2" xfId="30130" xr:uid="{00000000-0005-0000-0000-00003C5B0000}"/>
    <cellStyle name="40% - Accent6 2 3 2 7 2 2 2" xfId="49319" xr:uid="{00000000-0005-0000-0000-00003D5B0000}"/>
    <cellStyle name="40% - Accent6 2 3 2 7 2 3" xfId="39621" xr:uid="{00000000-0005-0000-0000-00003E5B0000}"/>
    <cellStyle name="40% - Accent6 2 3 2 7 3" xfId="25675" xr:uid="{00000000-0005-0000-0000-00003F5B0000}"/>
    <cellStyle name="40% - Accent6 2 3 2 7 3 2" xfId="44864" xr:uid="{00000000-0005-0000-0000-0000405B0000}"/>
    <cellStyle name="40% - Accent6 2 3 2 7 4" xfId="35166" xr:uid="{00000000-0005-0000-0000-0000415B0000}"/>
    <cellStyle name="40% - Accent6 2 3 2 8" xfId="16968" xr:uid="{00000000-0005-0000-0000-0000425B0000}"/>
    <cellStyle name="40% - Accent6 2 3 2 8 2" xfId="21432" xr:uid="{00000000-0005-0000-0000-0000435B0000}"/>
    <cellStyle name="40% - Accent6 2 3 2 8 2 2" xfId="31800" xr:uid="{00000000-0005-0000-0000-0000445B0000}"/>
    <cellStyle name="40% - Accent6 2 3 2 8 2 2 2" xfId="50989" xr:uid="{00000000-0005-0000-0000-0000455B0000}"/>
    <cellStyle name="40% - Accent6 2 3 2 8 2 3" xfId="41291" xr:uid="{00000000-0005-0000-0000-0000465B0000}"/>
    <cellStyle name="40% - Accent6 2 3 2 8 3" xfId="27345" xr:uid="{00000000-0005-0000-0000-0000475B0000}"/>
    <cellStyle name="40% - Accent6 2 3 2 8 3 2" xfId="46534" xr:uid="{00000000-0005-0000-0000-0000485B0000}"/>
    <cellStyle name="40% - Accent6 2 3 2 8 4" xfId="36836" xr:uid="{00000000-0005-0000-0000-0000495B0000}"/>
    <cellStyle name="40% - Accent6 2 3 2 9" xfId="17534" xr:uid="{00000000-0005-0000-0000-00004A5B0000}"/>
    <cellStyle name="40% - Accent6 2 3 2 9 2" xfId="21989" xr:uid="{00000000-0005-0000-0000-00004B5B0000}"/>
    <cellStyle name="40% - Accent6 2 3 2 9 2 2" xfId="32357" xr:uid="{00000000-0005-0000-0000-00004C5B0000}"/>
    <cellStyle name="40% - Accent6 2 3 2 9 2 2 2" xfId="51546" xr:uid="{00000000-0005-0000-0000-00004D5B0000}"/>
    <cellStyle name="40% - Accent6 2 3 2 9 2 3" xfId="41848" xr:uid="{00000000-0005-0000-0000-00004E5B0000}"/>
    <cellStyle name="40% - Accent6 2 3 2 9 3" xfId="27902" xr:uid="{00000000-0005-0000-0000-00004F5B0000}"/>
    <cellStyle name="40% - Accent6 2 3 2 9 3 2" xfId="47091" xr:uid="{00000000-0005-0000-0000-0000505B0000}"/>
    <cellStyle name="40% - Accent6 2 3 2 9 4" xfId="37393" xr:uid="{00000000-0005-0000-0000-0000515B0000}"/>
    <cellStyle name="40% - Accent6 2 3 3" xfId="2044" xr:uid="{00000000-0005-0000-0000-0000525B0000}"/>
    <cellStyle name="40% - Accent6 2 3 3 10" xfId="23960" xr:uid="{00000000-0005-0000-0000-0000535B0000}"/>
    <cellStyle name="40% - Accent6 2 3 3 10 2" xfId="43199" xr:uid="{00000000-0005-0000-0000-0000545B0000}"/>
    <cellStyle name="40% - Accent6 2 3 3 11" xfId="33501" xr:uid="{00000000-0005-0000-0000-0000555B0000}"/>
    <cellStyle name="40% - Accent6 2 3 3 12" xfId="52951" xr:uid="{00000000-0005-0000-0000-0000565B0000}"/>
    <cellStyle name="40% - Accent6 2 3 3 13" xfId="13219" xr:uid="{00000000-0005-0000-0000-0000575B0000}"/>
    <cellStyle name="40% - Accent6 2 3 3 2" xfId="13220" xr:uid="{00000000-0005-0000-0000-0000585B0000}"/>
    <cellStyle name="40% - Accent6 2 3 3 2 10" xfId="53826" xr:uid="{00000000-0005-0000-0000-0000595B0000}"/>
    <cellStyle name="40% - Accent6 2 3 3 2 2" xfId="14154" xr:uid="{00000000-0005-0000-0000-00005A5B0000}"/>
    <cellStyle name="40% - Accent6 2 3 3 2 2 2" xfId="16418" xr:uid="{00000000-0005-0000-0000-00005B5B0000}"/>
    <cellStyle name="40% - Accent6 2 3 3 2 2 2 2" xfId="20882" xr:uid="{00000000-0005-0000-0000-00005C5B0000}"/>
    <cellStyle name="40% - Accent6 2 3 3 2 2 2 2 2" xfId="31250" xr:uid="{00000000-0005-0000-0000-00005D5B0000}"/>
    <cellStyle name="40% - Accent6 2 3 3 2 2 2 2 2 2" xfId="50439" xr:uid="{00000000-0005-0000-0000-00005E5B0000}"/>
    <cellStyle name="40% - Accent6 2 3 3 2 2 2 2 3" xfId="40741" xr:uid="{00000000-0005-0000-0000-00005F5B0000}"/>
    <cellStyle name="40% - Accent6 2 3 3 2 2 2 3" xfId="26795" xr:uid="{00000000-0005-0000-0000-0000605B0000}"/>
    <cellStyle name="40% - Accent6 2 3 3 2 2 2 3 2" xfId="45984" xr:uid="{00000000-0005-0000-0000-0000615B0000}"/>
    <cellStyle name="40% - Accent6 2 3 3 2 2 2 4" xfId="36286" xr:uid="{00000000-0005-0000-0000-0000625B0000}"/>
    <cellStyle name="40% - Accent6 2 3 3 2 2 3" xfId="18654" xr:uid="{00000000-0005-0000-0000-0000635B0000}"/>
    <cellStyle name="40% - Accent6 2 3 3 2 2 3 2" xfId="29022" xr:uid="{00000000-0005-0000-0000-0000645B0000}"/>
    <cellStyle name="40% - Accent6 2 3 3 2 2 3 2 2" xfId="48211" xr:uid="{00000000-0005-0000-0000-0000655B0000}"/>
    <cellStyle name="40% - Accent6 2 3 3 2 2 3 3" xfId="38513" xr:uid="{00000000-0005-0000-0000-0000665B0000}"/>
    <cellStyle name="40% - Accent6 2 3 3 2 2 4" xfId="24562" xr:uid="{00000000-0005-0000-0000-0000675B0000}"/>
    <cellStyle name="40% - Accent6 2 3 3 2 2 4 2" xfId="43756" xr:uid="{00000000-0005-0000-0000-0000685B0000}"/>
    <cellStyle name="40% - Accent6 2 3 3 2 2 5" xfId="34058" xr:uid="{00000000-0005-0000-0000-0000695B0000}"/>
    <cellStyle name="40% - Accent6 2 3 3 2 3" xfId="14733" xr:uid="{00000000-0005-0000-0000-00006A5B0000}"/>
    <cellStyle name="40% - Accent6 2 3 3 2 3 2" xfId="15862" xr:uid="{00000000-0005-0000-0000-00006B5B0000}"/>
    <cellStyle name="40% - Accent6 2 3 3 2 3 2 2" xfId="20326" xr:uid="{00000000-0005-0000-0000-00006C5B0000}"/>
    <cellStyle name="40% - Accent6 2 3 3 2 3 2 2 2" xfId="30694" xr:uid="{00000000-0005-0000-0000-00006D5B0000}"/>
    <cellStyle name="40% - Accent6 2 3 3 2 3 2 2 2 2" xfId="49883" xr:uid="{00000000-0005-0000-0000-00006E5B0000}"/>
    <cellStyle name="40% - Accent6 2 3 3 2 3 2 2 3" xfId="40185" xr:uid="{00000000-0005-0000-0000-00006F5B0000}"/>
    <cellStyle name="40% - Accent6 2 3 3 2 3 2 3" xfId="26239" xr:uid="{00000000-0005-0000-0000-0000705B0000}"/>
    <cellStyle name="40% - Accent6 2 3 3 2 3 2 3 2" xfId="45428" xr:uid="{00000000-0005-0000-0000-0000715B0000}"/>
    <cellStyle name="40% - Accent6 2 3 3 2 3 2 4" xfId="35730" xr:uid="{00000000-0005-0000-0000-0000725B0000}"/>
    <cellStyle name="40% - Accent6 2 3 3 2 3 3" xfId="19211" xr:uid="{00000000-0005-0000-0000-0000735B0000}"/>
    <cellStyle name="40% - Accent6 2 3 3 2 3 3 2" xfId="29579" xr:uid="{00000000-0005-0000-0000-0000745B0000}"/>
    <cellStyle name="40% - Accent6 2 3 3 2 3 3 2 2" xfId="48768" xr:uid="{00000000-0005-0000-0000-0000755B0000}"/>
    <cellStyle name="40% - Accent6 2 3 3 2 3 3 3" xfId="39070" xr:uid="{00000000-0005-0000-0000-0000765B0000}"/>
    <cellStyle name="40% - Accent6 2 3 3 2 3 4" xfId="25124" xr:uid="{00000000-0005-0000-0000-0000775B0000}"/>
    <cellStyle name="40% - Accent6 2 3 3 2 3 4 2" xfId="44313" xr:uid="{00000000-0005-0000-0000-0000785B0000}"/>
    <cellStyle name="40% - Accent6 2 3 3 2 3 5" xfId="34615" xr:uid="{00000000-0005-0000-0000-0000795B0000}"/>
    <cellStyle name="40% - Accent6 2 3 3 2 4" xfId="15305" xr:uid="{00000000-0005-0000-0000-00007A5B0000}"/>
    <cellStyle name="40% - Accent6 2 3 3 2 4 2" xfId="19769" xr:uid="{00000000-0005-0000-0000-00007B5B0000}"/>
    <cellStyle name="40% - Accent6 2 3 3 2 4 2 2" xfId="30137" xr:uid="{00000000-0005-0000-0000-00007C5B0000}"/>
    <cellStyle name="40% - Accent6 2 3 3 2 4 2 2 2" xfId="49326" xr:uid="{00000000-0005-0000-0000-00007D5B0000}"/>
    <cellStyle name="40% - Accent6 2 3 3 2 4 2 3" xfId="39628" xr:uid="{00000000-0005-0000-0000-00007E5B0000}"/>
    <cellStyle name="40% - Accent6 2 3 3 2 4 3" xfId="25682" xr:uid="{00000000-0005-0000-0000-00007F5B0000}"/>
    <cellStyle name="40% - Accent6 2 3 3 2 4 3 2" xfId="44871" xr:uid="{00000000-0005-0000-0000-0000805B0000}"/>
    <cellStyle name="40% - Accent6 2 3 3 2 4 4" xfId="35173" xr:uid="{00000000-0005-0000-0000-0000815B0000}"/>
    <cellStyle name="40% - Accent6 2 3 3 2 5" xfId="16975" xr:uid="{00000000-0005-0000-0000-0000825B0000}"/>
    <cellStyle name="40% - Accent6 2 3 3 2 5 2" xfId="21439" xr:uid="{00000000-0005-0000-0000-0000835B0000}"/>
    <cellStyle name="40% - Accent6 2 3 3 2 5 2 2" xfId="31807" xr:uid="{00000000-0005-0000-0000-0000845B0000}"/>
    <cellStyle name="40% - Accent6 2 3 3 2 5 2 2 2" xfId="50996" xr:uid="{00000000-0005-0000-0000-0000855B0000}"/>
    <cellStyle name="40% - Accent6 2 3 3 2 5 2 3" xfId="41298" xr:uid="{00000000-0005-0000-0000-0000865B0000}"/>
    <cellStyle name="40% - Accent6 2 3 3 2 5 3" xfId="27352" xr:uid="{00000000-0005-0000-0000-0000875B0000}"/>
    <cellStyle name="40% - Accent6 2 3 3 2 5 3 2" xfId="46541" xr:uid="{00000000-0005-0000-0000-0000885B0000}"/>
    <cellStyle name="40% - Accent6 2 3 3 2 5 4" xfId="36843" xr:uid="{00000000-0005-0000-0000-0000895B0000}"/>
    <cellStyle name="40% - Accent6 2 3 3 2 6" xfId="17541" xr:uid="{00000000-0005-0000-0000-00008A5B0000}"/>
    <cellStyle name="40% - Accent6 2 3 3 2 6 2" xfId="21996" xr:uid="{00000000-0005-0000-0000-00008B5B0000}"/>
    <cellStyle name="40% - Accent6 2 3 3 2 6 2 2" xfId="32364" xr:uid="{00000000-0005-0000-0000-00008C5B0000}"/>
    <cellStyle name="40% - Accent6 2 3 3 2 6 2 2 2" xfId="51553" xr:uid="{00000000-0005-0000-0000-00008D5B0000}"/>
    <cellStyle name="40% - Accent6 2 3 3 2 6 2 3" xfId="41855" xr:uid="{00000000-0005-0000-0000-00008E5B0000}"/>
    <cellStyle name="40% - Accent6 2 3 3 2 6 3" xfId="27909" xr:uid="{00000000-0005-0000-0000-00008F5B0000}"/>
    <cellStyle name="40% - Accent6 2 3 3 2 6 3 2" xfId="47098" xr:uid="{00000000-0005-0000-0000-0000905B0000}"/>
    <cellStyle name="40% - Accent6 2 3 3 2 6 4" xfId="37400" xr:uid="{00000000-0005-0000-0000-0000915B0000}"/>
    <cellStyle name="40% - Accent6 2 3 3 2 7" xfId="18098" xr:uid="{00000000-0005-0000-0000-0000925B0000}"/>
    <cellStyle name="40% - Accent6 2 3 3 2 7 2" xfId="28466" xr:uid="{00000000-0005-0000-0000-0000935B0000}"/>
    <cellStyle name="40% - Accent6 2 3 3 2 7 2 2" xfId="47655" xr:uid="{00000000-0005-0000-0000-0000945B0000}"/>
    <cellStyle name="40% - Accent6 2 3 3 2 7 3" xfId="37957" xr:uid="{00000000-0005-0000-0000-0000955B0000}"/>
    <cellStyle name="40% - Accent6 2 3 3 2 8" xfId="23961" xr:uid="{00000000-0005-0000-0000-0000965B0000}"/>
    <cellStyle name="40% - Accent6 2 3 3 2 8 2" xfId="43200" xr:uid="{00000000-0005-0000-0000-0000975B0000}"/>
    <cellStyle name="40% - Accent6 2 3 3 2 9" xfId="33502" xr:uid="{00000000-0005-0000-0000-0000985B0000}"/>
    <cellStyle name="40% - Accent6 2 3 3 3" xfId="13221" xr:uid="{00000000-0005-0000-0000-0000995B0000}"/>
    <cellStyle name="40% - Accent6 2 3 3 3 2" xfId="14155" xr:uid="{00000000-0005-0000-0000-00009A5B0000}"/>
    <cellStyle name="40% - Accent6 2 3 3 3 2 2" xfId="16419" xr:uid="{00000000-0005-0000-0000-00009B5B0000}"/>
    <cellStyle name="40% - Accent6 2 3 3 3 2 2 2" xfId="20883" xr:uid="{00000000-0005-0000-0000-00009C5B0000}"/>
    <cellStyle name="40% - Accent6 2 3 3 3 2 2 2 2" xfId="31251" xr:uid="{00000000-0005-0000-0000-00009D5B0000}"/>
    <cellStyle name="40% - Accent6 2 3 3 3 2 2 2 2 2" xfId="50440" xr:uid="{00000000-0005-0000-0000-00009E5B0000}"/>
    <cellStyle name="40% - Accent6 2 3 3 3 2 2 2 3" xfId="40742" xr:uid="{00000000-0005-0000-0000-00009F5B0000}"/>
    <cellStyle name="40% - Accent6 2 3 3 3 2 2 3" xfId="26796" xr:uid="{00000000-0005-0000-0000-0000A05B0000}"/>
    <cellStyle name="40% - Accent6 2 3 3 3 2 2 3 2" xfId="45985" xr:uid="{00000000-0005-0000-0000-0000A15B0000}"/>
    <cellStyle name="40% - Accent6 2 3 3 3 2 2 4" xfId="36287" xr:uid="{00000000-0005-0000-0000-0000A25B0000}"/>
    <cellStyle name="40% - Accent6 2 3 3 3 2 3" xfId="18655" xr:uid="{00000000-0005-0000-0000-0000A35B0000}"/>
    <cellStyle name="40% - Accent6 2 3 3 3 2 3 2" xfId="29023" xr:uid="{00000000-0005-0000-0000-0000A45B0000}"/>
    <cellStyle name="40% - Accent6 2 3 3 3 2 3 2 2" xfId="48212" xr:uid="{00000000-0005-0000-0000-0000A55B0000}"/>
    <cellStyle name="40% - Accent6 2 3 3 3 2 3 3" xfId="38514" xr:uid="{00000000-0005-0000-0000-0000A65B0000}"/>
    <cellStyle name="40% - Accent6 2 3 3 3 2 4" xfId="24563" xr:uid="{00000000-0005-0000-0000-0000A75B0000}"/>
    <cellStyle name="40% - Accent6 2 3 3 3 2 4 2" xfId="43757" xr:uid="{00000000-0005-0000-0000-0000A85B0000}"/>
    <cellStyle name="40% - Accent6 2 3 3 3 2 5" xfId="34059" xr:uid="{00000000-0005-0000-0000-0000A95B0000}"/>
    <cellStyle name="40% - Accent6 2 3 3 3 3" xfId="14734" xr:uid="{00000000-0005-0000-0000-0000AA5B0000}"/>
    <cellStyle name="40% - Accent6 2 3 3 3 3 2" xfId="15863" xr:uid="{00000000-0005-0000-0000-0000AB5B0000}"/>
    <cellStyle name="40% - Accent6 2 3 3 3 3 2 2" xfId="20327" xr:uid="{00000000-0005-0000-0000-0000AC5B0000}"/>
    <cellStyle name="40% - Accent6 2 3 3 3 3 2 2 2" xfId="30695" xr:uid="{00000000-0005-0000-0000-0000AD5B0000}"/>
    <cellStyle name="40% - Accent6 2 3 3 3 3 2 2 2 2" xfId="49884" xr:uid="{00000000-0005-0000-0000-0000AE5B0000}"/>
    <cellStyle name="40% - Accent6 2 3 3 3 3 2 2 3" xfId="40186" xr:uid="{00000000-0005-0000-0000-0000AF5B0000}"/>
    <cellStyle name="40% - Accent6 2 3 3 3 3 2 3" xfId="26240" xr:uid="{00000000-0005-0000-0000-0000B05B0000}"/>
    <cellStyle name="40% - Accent6 2 3 3 3 3 2 3 2" xfId="45429" xr:uid="{00000000-0005-0000-0000-0000B15B0000}"/>
    <cellStyle name="40% - Accent6 2 3 3 3 3 2 4" xfId="35731" xr:uid="{00000000-0005-0000-0000-0000B25B0000}"/>
    <cellStyle name="40% - Accent6 2 3 3 3 3 3" xfId="19212" xr:uid="{00000000-0005-0000-0000-0000B35B0000}"/>
    <cellStyle name="40% - Accent6 2 3 3 3 3 3 2" xfId="29580" xr:uid="{00000000-0005-0000-0000-0000B45B0000}"/>
    <cellStyle name="40% - Accent6 2 3 3 3 3 3 2 2" xfId="48769" xr:uid="{00000000-0005-0000-0000-0000B55B0000}"/>
    <cellStyle name="40% - Accent6 2 3 3 3 3 3 3" xfId="39071" xr:uid="{00000000-0005-0000-0000-0000B65B0000}"/>
    <cellStyle name="40% - Accent6 2 3 3 3 3 4" xfId="25125" xr:uid="{00000000-0005-0000-0000-0000B75B0000}"/>
    <cellStyle name="40% - Accent6 2 3 3 3 3 4 2" xfId="44314" xr:uid="{00000000-0005-0000-0000-0000B85B0000}"/>
    <cellStyle name="40% - Accent6 2 3 3 3 3 5" xfId="34616" xr:uid="{00000000-0005-0000-0000-0000B95B0000}"/>
    <cellStyle name="40% - Accent6 2 3 3 3 4" xfId="15306" xr:uid="{00000000-0005-0000-0000-0000BA5B0000}"/>
    <cellStyle name="40% - Accent6 2 3 3 3 4 2" xfId="19770" xr:uid="{00000000-0005-0000-0000-0000BB5B0000}"/>
    <cellStyle name="40% - Accent6 2 3 3 3 4 2 2" xfId="30138" xr:uid="{00000000-0005-0000-0000-0000BC5B0000}"/>
    <cellStyle name="40% - Accent6 2 3 3 3 4 2 2 2" xfId="49327" xr:uid="{00000000-0005-0000-0000-0000BD5B0000}"/>
    <cellStyle name="40% - Accent6 2 3 3 3 4 2 3" xfId="39629" xr:uid="{00000000-0005-0000-0000-0000BE5B0000}"/>
    <cellStyle name="40% - Accent6 2 3 3 3 4 3" xfId="25683" xr:uid="{00000000-0005-0000-0000-0000BF5B0000}"/>
    <cellStyle name="40% - Accent6 2 3 3 3 4 3 2" xfId="44872" xr:uid="{00000000-0005-0000-0000-0000C05B0000}"/>
    <cellStyle name="40% - Accent6 2 3 3 3 4 4" xfId="35174" xr:uid="{00000000-0005-0000-0000-0000C15B0000}"/>
    <cellStyle name="40% - Accent6 2 3 3 3 5" xfId="16976" xr:uid="{00000000-0005-0000-0000-0000C25B0000}"/>
    <cellStyle name="40% - Accent6 2 3 3 3 5 2" xfId="21440" xr:uid="{00000000-0005-0000-0000-0000C35B0000}"/>
    <cellStyle name="40% - Accent6 2 3 3 3 5 2 2" xfId="31808" xr:uid="{00000000-0005-0000-0000-0000C45B0000}"/>
    <cellStyle name="40% - Accent6 2 3 3 3 5 2 2 2" xfId="50997" xr:uid="{00000000-0005-0000-0000-0000C55B0000}"/>
    <cellStyle name="40% - Accent6 2 3 3 3 5 2 3" xfId="41299" xr:uid="{00000000-0005-0000-0000-0000C65B0000}"/>
    <cellStyle name="40% - Accent6 2 3 3 3 5 3" xfId="27353" xr:uid="{00000000-0005-0000-0000-0000C75B0000}"/>
    <cellStyle name="40% - Accent6 2 3 3 3 5 3 2" xfId="46542" xr:uid="{00000000-0005-0000-0000-0000C85B0000}"/>
    <cellStyle name="40% - Accent6 2 3 3 3 5 4" xfId="36844" xr:uid="{00000000-0005-0000-0000-0000C95B0000}"/>
    <cellStyle name="40% - Accent6 2 3 3 3 6" xfId="17542" xr:uid="{00000000-0005-0000-0000-0000CA5B0000}"/>
    <cellStyle name="40% - Accent6 2 3 3 3 6 2" xfId="21997" xr:uid="{00000000-0005-0000-0000-0000CB5B0000}"/>
    <cellStyle name="40% - Accent6 2 3 3 3 6 2 2" xfId="32365" xr:uid="{00000000-0005-0000-0000-0000CC5B0000}"/>
    <cellStyle name="40% - Accent6 2 3 3 3 6 2 2 2" xfId="51554" xr:uid="{00000000-0005-0000-0000-0000CD5B0000}"/>
    <cellStyle name="40% - Accent6 2 3 3 3 6 2 3" xfId="41856" xr:uid="{00000000-0005-0000-0000-0000CE5B0000}"/>
    <cellStyle name="40% - Accent6 2 3 3 3 6 3" xfId="27910" xr:uid="{00000000-0005-0000-0000-0000CF5B0000}"/>
    <cellStyle name="40% - Accent6 2 3 3 3 6 3 2" xfId="47099" xr:uid="{00000000-0005-0000-0000-0000D05B0000}"/>
    <cellStyle name="40% - Accent6 2 3 3 3 6 4" xfId="37401" xr:uid="{00000000-0005-0000-0000-0000D15B0000}"/>
    <cellStyle name="40% - Accent6 2 3 3 3 7" xfId="18099" xr:uid="{00000000-0005-0000-0000-0000D25B0000}"/>
    <cellStyle name="40% - Accent6 2 3 3 3 7 2" xfId="28467" xr:uid="{00000000-0005-0000-0000-0000D35B0000}"/>
    <cellStyle name="40% - Accent6 2 3 3 3 7 2 2" xfId="47656" xr:uid="{00000000-0005-0000-0000-0000D45B0000}"/>
    <cellStyle name="40% - Accent6 2 3 3 3 7 3" xfId="37958" xr:uid="{00000000-0005-0000-0000-0000D55B0000}"/>
    <cellStyle name="40% - Accent6 2 3 3 3 8" xfId="23962" xr:uid="{00000000-0005-0000-0000-0000D65B0000}"/>
    <cellStyle name="40% - Accent6 2 3 3 3 8 2" xfId="43201" xr:uid="{00000000-0005-0000-0000-0000D75B0000}"/>
    <cellStyle name="40% - Accent6 2 3 3 3 9" xfId="33503" xr:uid="{00000000-0005-0000-0000-0000D85B0000}"/>
    <cellStyle name="40% - Accent6 2 3 3 4" xfId="14153" xr:uid="{00000000-0005-0000-0000-0000D95B0000}"/>
    <cellStyle name="40% - Accent6 2 3 3 4 2" xfId="16417" xr:uid="{00000000-0005-0000-0000-0000DA5B0000}"/>
    <cellStyle name="40% - Accent6 2 3 3 4 2 2" xfId="20881" xr:uid="{00000000-0005-0000-0000-0000DB5B0000}"/>
    <cellStyle name="40% - Accent6 2 3 3 4 2 2 2" xfId="31249" xr:uid="{00000000-0005-0000-0000-0000DC5B0000}"/>
    <cellStyle name="40% - Accent6 2 3 3 4 2 2 2 2" xfId="50438" xr:uid="{00000000-0005-0000-0000-0000DD5B0000}"/>
    <cellStyle name="40% - Accent6 2 3 3 4 2 2 3" xfId="40740" xr:uid="{00000000-0005-0000-0000-0000DE5B0000}"/>
    <cellStyle name="40% - Accent6 2 3 3 4 2 3" xfId="26794" xr:uid="{00000000-0005-0000-0000-0000DF5B0000}"/>
    <cellStyle name="40% - Accent6 2 3 3 4 2 3 2" xfId="45983" xr:uid="{00000000-0005-0000-0000-0000E05B0000}"/>
    <cellStyle name="40% - Accent6 2 3 3 4 2 4" xfId="36285" xr:uid="{00000000-0005-0000-0000-0000E15B0000}"/>
    <cellStyle name="40% - Accent6 2 3 3 4 3" xfId="18653" xr:uid="{00000000-0005-0000-0000-0000E25B0000}"/>
    <cellStyle name="40% - Accent6 2 3 3 4 3 2" xfId="29021" xr:uid="{00000000-0005-0000-0000-0000E35B0000}"/>
    <cellStyle name="40% - Accent6 2 3 3 4 3 2 2" xfId="48210" xr:uid="{00000000-0005-0000-0000-0000E45B0000}"/>
    <cellStyle name="40% - Accent6 2 3 3 4 3 3" xfId="38512" xr:uid="{00000000-0005-0000-0000-0000E55B0000}"/>
    <cellStyle name="40% - Accent6 2 3 3 4 4" xfId="24561" xr:uid="{00000000-0005-0000-0000-0000E65B0000}"/>
    <cellStyle name="40% - Accent6 2 3 3 4 4 2" xfId="43755" xr:uid="{00000000-0005-0000-0000-0000E75B0000}"/>
    <cellStyle name="40% - Accent6 2 3 3 4 5" xfId="34057" xr:uid="{00000000-0005-0000-0000-0000E85B0000}"/>
    <cellStyle name="40% - Accent6 2 3 3 5" xfId="14732" xr:uid="{00000000-0005-0000-0000-0000E95B0000}"/>
    <cellStyle name="40% - Accent6 2 3 3 5 2" xfId="15861" xr:uid="{00000000-0005-0000-0000-0000EA5B0000}"/>
    <cellStyle name="40% - Accent6 2 3 3 5 2 2" xfId="20325" xr:uid="{00000000-0005-0000-0000-0000EB5B0000}"/>
    <cellStyle name="40% - Accent6 2 3 3 5 2 2 2" xfId="30693" xr:uid="{00000000-0005-0000-0000-0000EC5B0000}"/>
    <cellStyle name="40% - Accent6 2 3 3 5 2 2 2 2" xfId="49882" xr:uid="{00000000-0005-0000-0000-0000ED5B0000}"/>
    <cellStyle name="40% - Accent6 2 3 3 5 2 2 3" xfId="40184" xr:uid="{00000000-0005-0000-0000-0000EE5B0000}"/>
    <cellStyle name="40% - Accent6 2 3 3 5 2 3" xfId="26238" xr:uid="{00000000-0005-0000-0000-0000EF5B0000}"/>
    <cellStyle name="40% - Accent6 2 3 3 5 2 3 2" xfId="45427" xr:uid="{00000000-0005-0000-0000-0000F05B0000}"/>
    <cellStyle name="40% - Accent6 2 3 3 5 2 4" xfId="35729" xr:uid="{00000000-0005-0000-0000-0000F15B0000}"/>
    <cellStyle name="40% - Accent6 2 3 3 5 3" xfId="19210" xr:uid="{00000000-0005-0000-0000-0000F25B0000}"/>
    <cellStyle name="40% - Accent6 2 3 3 5 3 2" xfId="29578" xr:uid="{00000000-0005-0000-0000-0000F35B0000}"/>
    <cellStyle name="40% - Accent6 2 3 3 5 3 2 2" xfId="48767" xr:uid="{00000000-0005-0000-0000-0000F45B0000}"/>
    <cellStyle name="40% - Accent6 2 3 3 5 3 3" xfId="39069" xr:uid="{00000000-0005-0000-0000-0000F55B0000}"/>
    <cellStyle name="40% - Accent6 2 3 3 5 4" xfId="25123" xr:uid="{00000000-0005-0000-0000-0000F65B0000}"/>
    <cellStyle name="40% - Accent6 2 3 3 5 4 2" xfId="44312" xr:uid="{00000000-0005-0000-0000-0000F75B0000}"/>
    <cellStyle name="40% - Accent6 2 3 3 5 5" xfId="34614" xr:uid="{00000000-0005-0000-0000-0000F85B0000}"/>
    <cellStyle name="40% - Accent6 2 3 3 6" xfId="15304" xr:uid="{00000000-0005-0000-0000-0000F95B0000}"/>
    <cellStyle name="40% - Accent6 2 3 3 6 2" xfId="19768" xr:uid="{00000000-0005-0000-0000-0000FA5B0000}"/>
    <cellStyle name="40% - Accent6 2 3 3 6 2 2" xfId="30136" xr:uid="{00000000-0005-0000-0000-0000FB5B0000}"/>
    <cellStyle name="40% - Accent6 2 3 3 6 2 2 2" xfId="49325" xr:uid="{00000000-0005-0000-0000-0000FC5B0000}"/>
    <cellStyle name="40% - Accent6 2 3 3 6 2 3" xfId="39627" xr:uid="{00000000-0005-0000-0000-0000FD5B0000}"/>
    <cellStyle name="40% - Accent6 2 3 3 6 3" xfId="25681" xr:uid="{00000000-0005-0000-0000-0000FE5B0000}"/>
    <cellStyle name="40% - Accent6 2 3 3 6 3 2" xfId="44870" xr:uid="{00000000-0005-0000-0000-0000FF5B0000}"/>
    <cellStyle name="40% - Accent6 2 3 3 6 4" xfId="35172" xr:uid="{00000000-0005-0000-0000-0000005C0000}"/>
    <cellStyle name="40% - Accent6 2 3 3 7" xfId="16974" xr:uid="{00000000-0005-0000-0000-0000015C0000}"/>
    <cellStyle name="40% - Accent6 2 3 3 7 2" xfId="21438" xr:uid="{00000000-0005-0000-0000-0000025C0000}"/>
    <cellStyle name="40% - Accent6 2 3 3 7 2 2" xfId="31806" xr:uid="{00000000-0005-0000-0000-0000035C0000}"/>
    <cellStyle name="40% - Accent6 2 3 3 7 2 2 2" xfId="50995" xr:uid="{00000000-0005-0000-0000-0000045C0000}"/>
    <cellStyle name="40% - Accent6 2 3 3 7 2 3" xfId="41297" xr:uid="{00000000-0005-0000-0000-0000055C0000}"/>
    <cellStyle name="40% - Accent6 2 3 3 7 3" xfId="27351" xr:uid="{00000000-0005-0000-0000-0000065C0000}"/>
    <cellStyle name="40% - Accent6 2 3 3 7 3 2" xfId="46540" xr:uid="{00000000-0005-0000-0000-0000075C0000}"/>
    <cellStyle name="40% - Accent6 2 3 3 7 4" xfId="36842" xr:uid="{00000000-0005-0000-0000-0000085C0000}"/>
    <cellStyle name="40% - Accent6 2 3 3 8" xfId="17540" xr:uid="{00000000-0005-0000-0000-0000095C0000}"/>
    <cellStyle name="40% - Accent6 2 3 3 8 2" xfId="21995" xr:uid="{00000000-0005-0000-0000-00000A5C0000}"/>
    <cellStyle name="40% - Accent6 2 3 3 8 2 2" xfId="32363" xr:uid="{00000000-0005-0000-0000-00000B5C0000}"/>
    <cellStyle name="40% - Accent6 2 3 3 8 2 2 2" xfId="51552" xr:uid="{00000000-0005-0000-0000-00000C5C0000}"/>
    <cellStyle name="40% - Accent6 2 3 3 8 2 3" xfId="41854" xr:uid="{00000000-0005-0000-0000-00000D5C0000}"/>
    <cellStyle name="40% - Accent6 2 3 3 8 3" xfId="27908" xr:uid="{00000000-0005-0000-0000-00000E5C0000}"/>
    <cellStyle name="40% - Accent6 2 3 3 8 3 2" xfId="47097" xr:uid="{00000000-0005-0000-0000-00000F5C0000}"/>
    <cellStyle name="40% - Accent6 2 3 3 8 4" xfId="37399" xr:uid="{00000000-0005-0000-0000-0000105C0000}"/>
    <cellStyle name="40% - Accent6 2 3 3 9" xfId="18097" xr:uid="{00000000-0005-0000-0000-0000115C0000}"/>
    <cellStyle name="40% - Accent6 2 3 3 9 2" xfId="28465" xr:uid="{00000000-0005-0000-0000-0000125C0000}"/>
    <cellStyle name="40% - Accent6 2 3 3 9 2 2" xfId="47654" xr:uid="{00000000-0005-0000-0000-0000135C0000}"/>
    <cellStyle name="40% - Accent6 2 3 3 9 3" xfId="37956" xr:uid="{00000000-0005-0000-0000-0000145C0000}"/>
    <cellStyle name="40% - Accent6 2 3 4" xfId="13222" xr:uid="{00000000-0005-0000-0000-0000155C0000}"/>
    <cellStyle name="40% - Accent6 2 3 4 10" xfId="53430" xr:uid="{00000000-0005-0000-0000-0000165C0000}"/>
    <cellStyle name="40% - Accent6 2 3 4 2" xfId="14156" xr:uid="{00000000-0005-0000-0000-0000175C0000}"/>
    <cellStyle name="40% - Accent6 2 3 4 2 2" xfId="16420" xr:uid="{00000000-0005-0000-0000-0000185C0000}"/>
    <cellStyle name="40% - Accent6 2 3 4 2 2 2" xfId="20884" xr:uid="{00000000-0005-0000-0000-0000195C0000}"/>
    <cellStyle name="40% - Accent6 2 3 4 2 2 2 2" xfId="31252" xr:uid="{00000000-0005-0000-0000-00001A5C0000}"/>
    <cellStyle name="40% - Accent6 2 3 4 2 2 2 2 2" xfId="50441" xr:uid="{00000000-0005-0000-0000-00001B5C0000}"/>
    <cellStyle name="40% - Accent6 2 3 4 2 2 2 3" xfId="40743" xr:uid="{00000000-0005-0000-0000-00001C5C0000}"/>
    <cellStyle name="40% - Accent6 2 3 4 2 2 3" xfId="26797" xr:uid="{00000000-0005-0000-0000-00001D5C0000}"/>
    <cellStyle name="40% - Accent6 2 3 4 2 2 3 2" xfId="45986" xr:uid="{00000000-0005-0000-0000-00001E5C0000}"/>
    <cellStyle name="40% - Accent6 2 3 4 2 2 4" xfId="36288" xr:uid="{00000000-0005-0000-0000-00001F5C0000}"/>
    <cellStyle name="40% - Accent6 2 3 4 2 3" xfId="18656" xr:uid="{00000000-0005-0000-0000-0000205C0000}"/>
    <cellStyle name="40% - Accent6 2 3 4 2 3 2" xfId="29024" xr:uid="{00000000-0005-0000-0000-0000215C0000}"/>
    <cellStyle name="40% - Accent6 2 3 4 2 3 2 2" xfId="48213" xr:uid="{00000000-0005-0000-0000-0000225C0000}"/>
    <cellStyle name="40% - Accent6 2 3 4 2 3 3" xfId="38515" xr:uid="{00000000-0005-0000-0000-0000235C0000}"/>
    <cellStyle name="40% - Accent6 2 3 4 2 4" xfId="24564" xr:uid="{00000000-0005-0000-0000-0000245C0000}"/>
    <cellStyle name="40% - Accent6 2 3 4 2 4 2" xfId="43758" xr:uid="{00000000-0005-0000-0000-0000255C0000}"/>
    <cellStyle name="40% - Accent6 2 3 4 2 5" xfId="34060" xr:uid="{00000000-0005-0000-0000-0000265C0000}"/>
    <cellStyle name="40% - Accent6 2 3 4 3" xfId="14735" xr:uid="{00000000-0005-0000-0000-0000275C0000}"/>
    <cellStyle name="40% - Accent6 2 3 4 3 2" xfId="15864" xr:uid="{00000000-0005-0000-0000-0000285C0000}"/>
    <cellStyle name="40% - Accent6 2 3 4 3 2 2" xfId="20328" xr:uid="{00000000-0005-0000-0000-0000295C0000}"/>
    <cellStyle name="40% - Accent6 2 3 4 3 2 2 2" xfId="30696" xr:uid="{00000000-0005-0000-0000-00002A5C0000}"/>
    <cellStyle name="40% - Accent6 2 3 4 3 2 2 2 2" xfId="49885" xr:uid="{00000000-0005-0000-0000-00002B5C0000}"/>
    <cellStyle name="40% - Accent6 2 3 4 3 2 2 3" xfId="40187" xr:uid="{00000000-0005-0000-0000-00002C5C0000}"/>
    <cellStyle name="40% - Accent6 2 3 4 3 2 3" xfId="26241" xr:uid="{00000000-0005-0000-0000-00002D5C0000}"/>
    <cellStyle name="40% - Accent6 2 3 4 3 2 3 2" xfId="45430" xr:uid="{00000000-0005-0000-0000-00002E5C0000}"/>
    <cellStyle name="40% - Accent6 2 3 4 3 2 4" xfId="35732" xr:uid="{00000000-0005-0000-0000-00002F5C0000}"/>
    <cellStyle name="40% - Accent6 2 3 4 3 3" xfId="19213" xr:uid="{00000000-0005-0000-0000-0000305C0000}"/>
    <cellStyle name="40% - Accent6 2 3 4 3 3 2" xfId="29581" xr:uid="{00000000-0005-0000-0000-0000315C0000}"/>
    <cellStyle name="40% - Accent6 2 3 4 3 3 2 2" xfId="48770" xr:uid="{00000000-0005-0000-0000-0000325C0000}"/>
    <cellStyle name="40% - Accent6 2 3 4 3 3 3" xfId="39072" xr:uid="{00000000-0005-0000-0000-0000335C0000}"/>
    <cellStyle name="40% - Accent6 2 3 4 3 4" xfId="25126" xr:uid="{00000000-0005-0000-0000-0000345C0000}"/>
    <cellStyle name="40% - Accent6 2 3 4 3 4 2" xfId="44315" xr:uid="{00000000-0005-0000-0000-0000355C0000}"/>
    <cellStyle name="40% - Accent6 2 3 4 3 5" xfId="34617" xr:uid="{00000000-0005-0000-0000-0000365C0000}"/>
    <cellStyle name="40% - Accent6 2 3 4 4" xfId="15307" xr:uid="{00000000-0005-0000-0000-0000375C0000}"/>
    <cellStyle name="40% - Accent6 2 3 4 4 2" xfId="19771" xr:uid="{00000000-0005-0000-0000-0000385C0000}"/>
    <cellStyle name="40% - Accent6 2 3 4 4 2 2" xfId="30139" xr:uid="{00000000-0005-0000-0000-0000395C0000}"/>
    <cellStyle name="40% - Accent6 2 3 4 4 2 2 2" xfId="49328" xr:uid="{00000000-0005-0000-0000-00003A5C0000}"/>
    <cellStyle name="40% - Accent6 2 3 4 4 2 3" xfId="39630" xr:uid="{00000000-0005-0000-0000-00003B5C0000}"/>
    <cellStyle name="40% - Accent6 2 3 4 4 3" xfId="25684" xr:uid="{00000000-0005-0000-0000-00003C5C0000}"/>
    <cellStyle name="40% - Accent6 2 3 4 4 3 2" xfId="44873" xr:uid="{00000000-0005-0000-0000-00003D5C0000}"/>
    <cellStyle name="40% - Accent6 2 3 4 4 4" xfId="35175" xr:uid="{00000000-0005-0000-0000-00003E5C0000}"/>
    <cellStyle name="40% - Accent6 2 3 4 5" xfId="16977" xr:uid="{00000000-0005-0000-0000-00003F5C0000}"/>
    <cellStyle name="40% - Accent6 2 3 4 5 2" xfId="21441" xr:uid="{00000000-0005-0000-0000-0000405C0000}"/>
    <cellStyle name="40% - Accent6 2 3 4 5 2 2" xfId="31809" xr:uid="{00000000-0005-0000-0000-0000415C0000}"/>
    <cellStyle name="40% - Accent6 2 3 4 5 2 2 2" xfId="50998" xr:uid="{00000000-0005-0000-0000-0000425C0000}"/>
    <cellStyle name="40% - Accent6 2 3 4 5 2 3" xfId="41300" xr:uid="{00000000-0005-0000-0000-0000435C0000}"/>
    <cellStyle name="40% - Accent6 2 3 4 5 3" xfId="27354" xr:uid="{00000000-0005-0000-0000-0000445C0000}"/>
    <cellStyle name="40% - Accent6 2 3 4 5 3 2" xfId="46543" xr:uid="{00000000-0005-0000-0000-0000455C0000}"/>
    <cellStyle name="40% - Accent6 2 3 4 5 4" xfId="36845" xr:uid="{00000000-0005-0000-0000-0000465C0000}"/>
    <cellStyle name="40% - Accent6 2 3 4 6" xfId="17543" xr:uid="{00000000-0005-0000-0000-0000475C0000}"/>
    <cellStyle name="40% - Accent6 2 3 4 6 2" xfId="21998" xr:uid="{00000000-0005-0000-0000-0000485C0000}"/>
    <cellStyle name="40% - Accent6 2 3 4 6 2 2" xfId="32366" xr:uid="{00000000-0005-0000-0000-0000495C0000}"/>
    <cellStyle name="40% - Accent6 2 3 4 6 2 2 2" xfId="51555" xr:uid="{00000000-0005-0000-0000-00004A5C0000}"/>
    <cellStyle name="40% - Accent6 2 3 4 6 2 3" xfId="41857" xr:uid="{00000000-0005-0000-0000-00004B5C0000}"/>
    <cellStyle name="40% - Accent6 2 3 4 6 3" xfId="27911" xr:uid="{00000000-0005-0000-0000-00004C5C0000}"/>
    <cellStyle name="40% - Accent6 2 3 4 6 3 2" xfId="47100" xr:uid="{00000000-0005-0000-0000-00004D5C0000}"/>
    <cellStyle name="40% - Accent6 2 3 4 6 4" xfId="37402" xr:uid="{00000000-0005-0000-0000-00004E5C0000}"/>
    <cellStyle name="40% - Accent6 2 3 4 7" xfId="18100" xr:uid="{00000000-0005-0000-0000-00004F5C0000}"/>
    <cellStyle name="40% - Accent6 2 3 4 7 2" xfId="28468" xr:uid="{00000000-0005-0000-0000-0000505C0000}"/>
    <cellStyle name="40% - Accent6 2 3 4 7 2 2" xfId="47657" xr:uid="{00000000-0005-0000-0000-0000515C0000}"/>
    <cellStyle name="40% - Accent6 2 3 4 7 3" xfId="37959" xr:uid="{00000000-0005-0000-0000-0000525C0000}"/>
    <cellStyle name="40% - Accent6 2 3 4 8" xfId="23963" xr:uid="{00000000-0005-0000-0000-0000535C0000}"/>
    <cellStyle name="40% - Accent6 2 3 4 8 2" xfId="43202" xr:uid="{00000000-0005-0000-0000-0000545C0000}"/>
    <cellStyle name="40% - Accent6 2 3 4 9" xfId="33504" xr:uid="{00000000-0005-0000-0000-0000555C0000}"/>
    <cellStyle name="40% - Accent6 2 3 5" xfId="13223" xr:uid="{00000000-0005-0000-0000-0000565C0000}"/>
    <cellStyle name="40% - Accent6 2 3 5 2" xfId="14157" xr:uid="{00000000-0005-0000-0000-0000575C0000}"/>
    <cellStyle name="40% - Accent6 2 3 5 2 2" xfId="16421" xr:uid="{00000000-0005-0000-0000-0000585C0000}"/>
    <cellStyle name="40% - Accent6 2 3 5 2 2 2" xfId="20885" xr:uid="{00000000-0005-0000-0000-0000595C0000}"/>
    <cellStyle name="40% - Accent6 2 3 5 2 2 2 2" xfId="31253" xr:uid="{00000000-0005-0000-0000-00005A5C0000}"/>
    <cellStyle name="40% - Accent6 2 3 5 2 2 2 2 2" xfId="50442" xr:uid="{00000000-0005-0000-0000-00005B5C0000}"/>
    <cellStyle name="40% - Accent6 2 3 5 2 2 2 3" xfId="40744" xr:uid="{00000000-0005-0000-0000-00005C5C0000}"/>
    <cellStyle name="40% - Accent6 2 3 5 2 2 3" xfId="26798" xr:uid="{00000000-0005-0000-0000-00005D5C0000}"/>
    <cellStyle name="40% - Accent6 2 3 5 2 2 3 2" xfId="45987" xr:uid="{00000000-0005-0000-0000-00005E5C0000}"/>
    <cellStyle name="40% - Accent6 2 3 5 2 2 4" xfId="36289" xr:uid="{00000000-0005-0000-0000-00005F5C0000}"/>
    <cellStyle name="40% - Accent6 2 3 5 2 3" xfId="18657" xr:uid="{00000000-0005-0000-0000-0000605C0000}"/>
    <cellStyle name="40% - Accent6 2 3 5 2 3 2" xfId="29025" xr:uid="{00000000-0005-0000-0000-0000615C0000}"/>
    <cellStyle name="40% - Accent6 2 3 5 2 3 2 2" xfId="48214" xr:uid="{00000000-0005-0000-0000-0000625C0000}"/>
    <cellStyle name="40% - Accent6 2 3 5 2 3 3" xfId="38516" xr:uid="{00000000-0005-0000-0000-0000635C0000}"/>
    <cellStyle name="40% - Accent6 2 3 5 2 4" xfId="24565" xr:uid="{00000000-0005-0000-0000-0000645C0000}"/>
    <cellStyle name="40% - Accent6 2 3 5 2 4 2" xfId="43759" xr:uid="{00000000-0005-0000-0000-0000655C0000}"/>
    <cellStyle name="40% - Accent6 2 3 5 2 5" xfId="34061" xr:uid="{00000000-0005-0000-0000-0000665C0000}"/>
    <cellStyle name="40% - Accent6 2 3 5 3" xfId="14736" xr:uid="{00000000-0005-0000-0000-0000675C0000}"/>
    <cellStyle name="40% - Accent6 2 3 5 3 2" xfId="15865" xr:uid="{00000000-0005-0000-0000-0000685C0000}"/>
    <cellStyle name="40% - Accent6 2 3 5 3 2 2" xfId="20329" xr:uid="{00000000-0005-0000-0000-0000695C0000}"/>
    <cellStyle name="40% - Accent6 2 3 5 3 2 2 2" xfId="30697" xr:uid="{00000000-0005-0000-0000-00006A5C0000}"/>
    <cellStyle name="40% - Accent6 2 3 5 3 2 2 2 2" xfId="49886" xr:uid="{00000000-0005-0000-0000-00006B5C0000}"/>
    <cellStyle name="40% - Accent6 2 3 5 3 2 2 3" xfId="40188" xr:uid="{00000000-0005-0000-0000-00006C5C0000}"/>
    <cellStyle name="40% - Accent6 2 3 5 3 2 3" xfId="26242" xr:uid="{00000000-0005-0000-0000-00006D5C0000}"/>
    <cellStyle name="40% - Accent6 2 3 5 3 2 3 2" xfId="45431" xr:uid="{00000000-0005-0000-0000-00006E5C0000}"/>
    <cellStyle name="40% - Accent6 2 3 5 3 2 4" xfId="35733" xr:uid="{00000000-0005-0000-0000-00006F5C0000}"/>
    <cellStyle name="40% - Accent6 2 3 5 3 3" xfId="19214" xr:uid="{00000000-0005-0000-0000-0000705C0000}"/>
    <cellStyle name="40% - Accent6 2 3 5 3 3 2" xfId="29582" xr:uid="{00000000-0005-0000-0000-0000715C0000}"/>
    <cellStyle name="40% - Accent6 2 3 5 3 3 2 2" xfId="48771" xr:uid="{00000000-0005-0000-0000-0000725C0000}"/>
    <cellStyle name="40% - Accent6 2 3 5 3 3 3" xfId="39073" xr:uid="{00000000-0005-0000-0000-0000735C0000}"/>
    <cellStyle name="40% - Accent6 2 3 5 3 4" xfId="25127" xr:uid="{00000000-0005-0000-0000-0000745C0000}"/>
    <cellStyle name="40% - Accent6 2 3 5 3 4 2" xfId="44316" xr:uid="{00000000-0005-0000-0000-0000755C0000}"/>
    <cellStyle name="40% - Accent6 2 3 5 3 5" xfId="34618" xr:uid="{00000000-0005-0000-0000-0000765C0000}"/>
    <cellStyle name="40% - Accent6 2 3 5 4" xfId="15308" xr:uid="{00000000-0005-0000-0000-0000775C0000}"/>
    <cellStyle name="40% - Accent6 2 3 5 4 2" xfId="19772" xr:uid="{00000000-0005-0000-0000-0000785C0000}"/>
    <cellStyle name="40% - Accent6 2 3 5 4 2 2" xfId="30140" xr:uid="{00000000-0005-0000-0000-0000795C0000}"/>
    <cellStyle name="40% - Accent6 2 3 5 4 2 2 2" xfId="49329" xr:uid="{00000000-0005-0000-0000-00007A5C0000}"/>
    <cellStyle name="40% - Accent6 2 3 5 4 2 3" xfId="39631" xr:uid="{00000000-0005-0000-0000-00007B5C0000}"/>
    <cellStyle name="40% - Accent6 2 3 5 4 3" xfId="25685" xr:uid="{00000000-0005-0000-0000-00007C5C0000}"/>
    <cellStyle name="40% - Accent6 2 3 5 4 3 2" xfId="44874" xr:uid="{00000000-0005-0000-0000-00007D5C0000}"/>
    <cellStyle name="40% - Accent6 2 3 5 4 4" xfId="35176" xr:uid="{00000000-0005-0000-0000-00007E5C0000}"/>
    <cellStyle name="40% - Accent6 2 3 5 5" xfId="16978" xr:uid="{00000000-0005-0000-0000-00007F5C0000}"/>
    <cellStyle name="40% - Accent6 2 3 5 5 2" xfId="21442" xr:uid="{00000000-0005-0000-0000-0000805C0000}"/>
    <cellStyle name="40% - Accent6 2 3 5 5 2 2" xfId="31810" xr:uid="{00000000-0005-0000-0000-0000815C0000}"/>
    <cellStyle name="40% - Accent6 2 3 5 5 2 2 2" xfId="50999" xr:uid="{00000000-0005-0000-0000-0000825C0000}"/>
    <cellStyle name="40% - Accent6 2 3 5 5 2 3" xfId="41301" xr:uid="{00000000-0005-0000-0000-0000835C0000}"/>
    <cellStyle name="40% - Accent6 2 3 5 5 3" xfId="27355" xr:uid="{00000000-0005-0000-0000-0000845C0000}"/>
    <cellStyle name="40% - Accent6 2 3 5 5 3 2" xfId="46544" xr:uid="{00000000-0005-0000-0000-0000855C0000}"/>
    <cellStyle name="40% - Accent6 2 3 5 5 4" xfId="36846" xr:uid="{00000000-0005-0000-0000-0000865C0000}"/>
    <cellStyle name="40% - Accent6 2 3 5 6" xfId="17544" xr:uid="{00000000-0005-0000-0000-0000875C0000}"/>
    <cellStyle name="40% - Accent6 2 3 5 6 2" xfId="21999" xr:uid="{00000000-0005-0000-0000-0000885C0000}"/>
    <cellStyle name="40% - Accent6 2 3 5 6 2 2" xfId="32367" xr:uid="{00000000-0005-0000-0000-0000895C0000}"/>
    <cellStyle name="40% - Accent6 2 3 5 6 2 2 2" xfId="51556" xr:uid="{00000000-0005-0000-0000-00008A5C0000}"/>
    <cellStyle name="40% - Accent6 2 3 5 6 2 3" xfId="41858" xr:uid="{00000000-0005-0000-0000-00008B5C0000}"/>
    <cellStyle name="40% - Accent6 2 3 5 6 3" xfId="27912" xr:uid="{00000000-0005-0000-0000-00008C5C0000}"/>
    <cellStyle name="40% - Accent6 2 3 5 6 3 2" xfId="47101" xr:uid="{00000000-0005-0000-0000-00008D5C0000}"/>
    <cellStyle name="40% - Accent6 2 3 5 6 4" xfId="37403" xr:uid="{00000000-0005-0000-0000-00008E5C0000}"/>
    <cellStyle name="40% - Accent6 2 3 5 7" xfId="18101" xr:uid="{00000000-0005-0000-0000-00008F5C0000}"/>
    <cellStyle name="40% - Accent6 2 3 5 7 2" xfId="28469" xr:uid="{00000000-0005-0000-0000-0000905C0000}"/>
    <cellStyle name="40% - Accent6 2 3 5 7 2 2" xfId="47658" xr:uid="{00000000-0005-0000-0000-0000915C0000}"/>
    <cellStyle name="40% - Accent6 2 3 5 7 3" xfId="37960" xr:uid="{00000000-0005-0000-0000-0000925C0000}"/>
    <cellStyle name="40% - Accent6 2 3 5 8" xfId="23964" xr:uid="{00000000-0005-0000-0000-0000935C0000}"/>
    <cellStyle name="40% - Accent6 2 3 5 8 2" xfId="43203" xr:uid="{00000000-0005-0000-0000-0000945C0000}"/>
    <cellStyle name="40% - Accent6 2 3 5 9" xfId="33505" xr:uid="{00000000-0005-0000-0000-0000955C0000}"/>
    <cellStyle name="40% - Accent6 2 3 6" xfId="22875" xr:uid="{00000000-0005-0000-0000-0000965C0000}"/>
    <cellStyle name="40% - Accent6 2 3 6 2" xfId="32959" xr:uid="{00000000-0005-0000-0000-0000975C0000}"/>
    <cellStyle name="40% - Accent6 2 3 6 2 2" xfId="52145" xr:uid="{00000000-0005-0000-0000-0000985C0000}"/>
    <cellStyle name="40% - Accent6 2 3 6 3" xfId="42447" xr:uid="{00000000-0005-0000-0000-0000995C0000}"/>
    <cellStyle name="40% - Accent6 2 3 7" xfId="23355" xr:uid="{00000000-0005-0000-0000-00009A5C0000}"/>
    <cellStyle name="40% - Accent6 2 3 8" xfId="23232" xr:uid="{00000000-0005-0000-0000-00009B5C0000}"/>
    <cellStyle name="40% - Accent6 2 3 8 2" xfId="42800" xr:uid="{00000000-0005-0000-0000-00009C5C0000}"/>
    <cellStyle name="40% - Accent6 2 3 9" xfId="12277" xr:uid="{00000000-0005-0000-0000-00009D5C0000}"/>
    <cellStyle name="40% - Accent6 2 4" xfId="2046" xr:uid="{00000000-0005-0000-0000-00009E5C0000}"/>
    <cellStyle name="40% - Accent6 2 4 2" xfId="13224" xr:uid="{00000000-0005-0000-0000-00009F5C0000}"/>
    <cellStyle name="40% - Accent6 2 4 2 10" xfId="23965" xr:uid="{00000000-0005-0000-0000-0000A05C0000}"/>
    <cellStyle name="40% - Accent6 2 4 2 10 2" xfId="43204" xr:uid="{00000000-0005-0000-0000-0000A15C0000}"/>
    <cellStyle name="40% - Accent6 2 4 2 11" xfId="33506" xr:uid="{00000000-0005-0000-0000-0000A25C0000}"/>
    <cellStyle name="40% - Accent6 2 4 2 12" xfId="52772" xr:uid="{00000000-0005-0000-0000-0000A35C0000}"/>
    <cellStyle name="40% - Accent6 2 4 2 2" xfId="13225" xr:uid="{00000000-0005-0000-0000-0000A45C0000}"/>
    <cellStyle name="40% - Accent6 2 4 2 2 10" xfId="53200" xr:uid="{00000000-0005-0000-0000-0000A55C0000}"/>
    <cellStyle name="40% - Accent6 2 4 2 2 2" xfId="14159" xr:uid="{00000000-0005-0000-0000-0000A65C0000}"/>
    <cellStyle name="40% - Accent6 2 4 2 2 2 2" xfId="16423" xr:uid="{00000000-0005-0000-0000-0000A75C0000}"/>
    <cellStyle name="40% - Accent6 2 4 2 2 2 2 2" xfId="20887" xr:uid="{00000000-0005-0000-0000-0000A85C0000}"/>
    <cellStyle name="40% - Accent6 2 4 2 2 2 2 2 2" xfId="31255" xr:uid="{00000000-0005-0000-0000-0000A95C0000}"/>
    <cellStyle name="40% - Accent6 2 4 2 2 2 2 2 2 2" xfId="50444" xr:uid="{00000000-0005-0000-0000-0000AA5C0000}"/>
    <cellStyle name="40% - Accent6 2 4 2 2 2 2 2 3" xfId="40746" xr:uid="{00000000-0005-0000-0000-0000AB5C0000}"/>
    <cellStyle name="40% - Accent6 2 4 2 2 2 2 3" xfId="26800" xr:uid="{00000000-0005-0000-0000-0000AC5C0000}"/>
    <cellStyle name="40% - Accent6 2 4 2 2 2 2 3 2" xfId="45989" xr:uid="{00000000-0005-0000-0000-0000AD5C0000}"/>
    <cellStyle name="40% - Accent6 2 4 2 2 2 2 4" xfId="36291" xr:uid="{00000000-0005-0000-0000-0000AE5C0000}"/>
    <cellStyle name="40% - Accent6 2 4 2 2 2 3" xfId="18659" xr:uid="{00000000-0005-0000-0000-0000AF5C0000}"/>
    <cellStyle name="40% - Accent6 2 4 2 2 2 3 2" xfId="29027" xr:uid="{00000000-0005-0000-0000-0000B05C0000}"/>
    <cellStyle name="40% - Accent6 2 4 2 2 2 3 2 2" xfId="48216" xr:uid="{00000000-0005-0000-0000-0000B15C0000}"/>
    <cellStyle name="40% - Accent6 2 4 2 2 2 3 3" xfId="38518" xr:uid="{00000000-0005-0000-0000-0000B25C0000}"/>
    <cellStyle name="40% - Accent6 2 4 2 2 2 4" xfId="24567" xr:uid="{00000000-0005-0000-0000-0000B35C0000}"/>
    <cellStyle name="40% - Accent6 2 4 2 2 2 4 2" xfId="43761" xr:uid="{00000000-0005-0000-0000-0000B45C0000}"/>
    <cellStyle name="40% - Accent6 2 4 2 2 2 5" xfId="34063" xr:uid="{00000000-0005-0000-0000-0000B55C0000}"/>
    <cellStyle name="40% - Accent6 2 4 2 2 2 6" xfId="54053" xr:uid="{00000000-0005-0000-0000-0000B65C0000}"/>
    <cellStyle name="40% - Accent6 2 4 2 2 3" xfId="14738" xr:uid="{00000000-0005-0000-0000-0000B75C0000}"/>
    <cellStyle name="40% - Accent6 2 4 2 2 3 2" xfId="15867" xr:uid="{00000000-0005-0000-0000-0000B85C0000}"/>
    <cellStyle name="40% - Accent6 2 4 2 2 3 2 2" xfId="20331" xr:uid="{00000000-0005-0000-0000-0000B95C0000}"/>
    <cellStyle name="40% - Accent6 2 4 2 2 3 2 2 2" xfId="30699" xr:uid="{00000000-0005-0000-0000-0000BA5C0000}"/>
    <cellStyle name="40% - Accent6 2 4 2 2 3 2 2 2 2" xfId="49888" xr:uid="{00000000-0005-0000-0000-0000BB5C0000}"/>
    <cellStyle name="40% - Accent6 2 4 2 2 3 2 2 3" xfId="40190" xr:uid="{00000000-0005-0000-0000-0000BC5C0000}"/>
    <cellStyle name="40% - Accent6 2 4 2 2 3 2 3" xfId="26244" xr:uid="{00000000-0005-0000-0000-0000BD5C0000}"/>
    <cellStyle name="40% - Accent6 2 4 2 2 3 2 3 2" xfId="45433" xr:uid="{00000000-0005-0000-0000-0000BE5C0000}"/>
    <cellStyle name="40% - Accent6 2 4 2 2 3 2 4" xfId="35735" xr:uid="{00000000-0005-0000-0000-0000BF5C0000}"/>
    <cellStyle name="40% - Accent6 2 4 2 2 3 3" xfId="19216" xr:uid="{00000000-0005-0000-0000-0000C05C0000}"/>
    <cellStyle name="40% - Accent6 2 4 2 2 3 3 2" xfId="29584" xr:uid="{00000000-0005-0000-0000-0000C15C0000}"/>
    <cellStyle name="40% - Accent6 2 4 2 2 3 3 2 2" xfId="48773" xr:uid="{00000000-0005-0000-0000-0000C25C0000}"/>
    <cellStyle name="40% - Accent6 2 4 2 2 3 3 3" xfId="39075" xr:uid="{00000000-0005-0000-0000-0000C35C0000}"/>
    <cellStyle name="40% - Accent6 2 4 2 2 3 4" xfId="25129" xr:uid="{00000000-0005-0000-0000-0000C45C0000}"/>
    <cellStyle name="40% - Accent6 2 4 2 2 3 4 2" xfId="44318" xr:uid="{00000000-0005-0000-0000-0000C55C0000}"/>
    <cellStyle name="40% - Accent6 2 4 2 2 3 5" xfId="34620" xr:uid="{00000000-0005-0000-0000-0000C65C0000}"/>
    <cellStyle name="40% - Accent6 2 4 2 2 4" xfId="15310" xr:uid="{00000000-0005-0000-0000-0000C75C0000}"/>
    <cellStyle name="40% - Accent6 2 4 2 2 4 2" xfId="19774" xr:uid="{00000000-0005-0000-0000-0000C85C0000}"/>
    <cellStyle name="40% - Accent6 2 4 2 2 4 2 2" xfId="30142" xr:uid="{00000000-0005-0000-0000-0000C95C0000}"/>
    <cellStyle name="40% - Accent6 2 4 2 2 4 2 2 2" xfId="49331" xr:uid="{00000000-0005-0000-0000-0000CA5C0000}"/>
    <cellStyle name="40% - Accent6 2 4 2 2 4 2 3" xfId="39633" xr:uid="{00000000-0005-0000-0000-0000CB5C0000}"/>
    <cellStyle name="40% - Accent6 2 4 2 2 4 3" xfId="25687" xr:uid="{00000000-0005-0000-0000-0000CC5C0000}"/>
    <cellStyle name="40% - Accent6 2 4 2 2 4 3 2" xfId="44876" xr:uid="{00000000-0005-0000-0000-0000CD5C0000}"/>
    <cellStyle name="40% - Accent6 2 4 2 2 4 4" xfId="35178" xr:uid="{00000000-0005-0000-0000-0000CE5C0000}"/>
    <cellStyle name="40% - Accent6 2 4 2 2 5" xfId="16980" xr:uid="{00000000-0005-0000-0000-0000CF5C0000}"/>
    <cellStyle name="40% - Accent6 2 4 2 2 5 2" xfId="21444" xr:uid="{00000000-0005-0000-0000-0000D05C0000}"/>
    <cellStyle name="40% - Accent6 2 4 2 2 5 2 2" xfId="31812" xr:uid="{00000000-0005-0000-0000-0000D15C0000}"/>
    <cellStyle name="40% - Accent6 2 4 2 2 5 2 2 2" xfId="51001" xr:uid="{00000000-0005-0000-0000-0000D25C0000}"/>
    <cellStyle name="40% - Accent6 2 4 2 2 5 2 3" xfId="41303" xr:uid="{00000000-0005-0000-0000-0000D35C0000}"/>
    <cellStyle name="40% - Accent6 2 4 2 2 5 3" xfId="27357" xr:uid="{00000000-0005-0000-0000-0000D45C0000}"/>
    <cellStyle name="40% - Accent6 2 4 2 2 5 3 2" xfId="46546" xr:uid="{00000000-0005-0000-0000-0000D55C0000}"/>
    <cellStyle name="40% - Accent6 2 4 2 2 5 4" xfId="36848" xr:uid="{00000000-0005-0000-0000-0000D65C0000}"/>
    <cellStyle name="40% - Accent6 2 4 2 2 6" xfId="17546" xr:uid="{00000000-0005-0000-0000-0000D75C0000}"/>
    <cellStyle name="40% - Accent6 2 4 2 2 6 2" xfId="22001" xr:uid="{00000000-0005-0000-0000-0000D85C0000}"/>
    <cellStyle name="40% - Accent6 2 4 2 2 6 2 2" xfId="32369" xr:uid="{00000000-0005-0000-0000-0000D95C0000}"/>
    <cellStyle name="40% - Accent6 2 4 2 2 6 2 2 2" xfId="51558" xr:uid="{00000000-0005-0000-0000-0000DA5C0000}"/>
    <cellStyle name="40% - Accent6 2 4 2 2 6 2 3" xfId="41860" xr:uid="{00000000-0005-0000-0000-0000DB5C0000}"/>
    <cellStyle name="40% - Accent6 2 4 2 2 6 3" xfId="27914" xr:uid="{00000000-0005-0000-0000-0000DC5C0000}"/>
    <cellStyle name="40% - Accent6 2 4 2 2 6 3 2" xfId="47103" xr:uid="{00000000-0005-0000-0000-0000DD5C0000}"/>
    <cellStyle name="40% - Accent6 2 4 2 2 6 4" xfId="37405" xr:uid="{00000000-0005-0000-0000-0000DE5C0000}"/>
    <cellStyle name="40% - Accent6 2 4 2 2 7" xfId="18103" xr:uid="{00000000-0005-0000-0000-0000DF5C0000}"/>
    <cellStyle name="40% - Accent6 2 4 2 2 7 2" xfId="28471" xr:uid="{00000000-0005-0000-0000-0000E05C0000}"/>
    <cellStyle name="40% - Accent6 2 4 2 2 7 2 2" xfId="47660" xr:uid="{00000000-0005-0000-0000-0000E15C0000}"/>
    <cellStyle name="40% - Accent6 2 4 2 2 7 3" xfId="37962" xr:uid="{00000000-0005-0000-0000-0000E25C0000}"/>
    <cellStyle name="40% - Accent6 2 4 2 2 8" xfId="23966" xr:uid="{00000000-0005-0000-0000-0000E35C0000}"/>
    <cellStyle name="40% - Accent6 2 4 2 2 8 2" xfId="43205" xr:uid="{00000000-0005-0000-0000-0000E45C0000}"/>
    <cellStyle name="40% - Accent6 2 4 2 2 9" xfId="33507" xr:uid="{00000000-0005-0000-0000-0000E55C0000}"/>
    <cellStyle name="40% - Accent6 2 4 2 3" xfId="13226" xr:uid="{00000000-0005-0000-0000-0000E65C0000}"/>
    <cellStyle name="40% - Accent6 2 4 2 3 10" xfId="53657" xr:uid="{00000000-0005-0000-0000-0000E75C0000}"/>
    <cellStyle name="40% - Accent6 2 4 2 3 2" xfId="14160" xr:uid="{00000000-0005-0000-0000-0000E85C0000}"/>
    <cellStyle name="40% - Accent6 2 4 2 3 2 2" xfId="16424" xr:uid="{00000000-0005-0000-0000-0000E95C0000}"/>
    <cellStyle name="40% - Accent6 2 4 2 3 2 2 2" xfId="20888" xr:uid="{00000000-0005-0000-0000-0000EA5C0000}"/>
    <cellStyle name="40% - Accent6 2 4 2 3 2 2 2 2" xfId="31256" xr:uid="{00000000-0005-0000-0000-0000EB5C0000}"/>
    <cellStyle name="40% - Accent6 2 4 2 3 2 2 2 2 2" xfId="50445" xr:uid="{00000000-0005-0000-0000-0000EC5C0000}"/>
    <cellStyle name="40% - Accent6 2 4 2 3 2 2 2 3" xfId="40747" xr:uid="{00000000-0005-0000-0000-0000ED5C0000}"/>
    <cellStyle name="40% - Accent6 2 4 2 3 2 2 3" xfId="26801" xr:uid="{00000000-0005-0000-0000-0000EE5C0000}"/>
    <cellStyle name="40% - Accent6 2 4 2 3 2 2 3 2" xfId="45990" xr:uid="{00000000-0005-0000-0000-0000EF5C0000}"/>
    <cellStyle name="40% - Accent6 2 4 2 3 2 2 4" xfId="36292" xr:uid="{00000000-0005-0000-0000-0000F05C0000}"/>
    <cellStyle name="40% - Accent6 2 4 2 3 2 3" xfId="18660" xr:uid="{00000000-0005-0000-0000-0000F15C0000}"/>
    <cellStyle name="40% - Accent6 2 4 2 3 2 3 2" xfId="29028" xr:uid="{00000000-0005-0000-0000-0000F25C0000}"/>
    <cellStyle name="40% - Accent6 2 4 2 3 2 3 2 2" xfId="48217" xr:uid="{00000000-0005-0000-0000-0000F35C0000}"/>
    <cellStyle name="40% - Accent6 2 4 2 3 2 3 3" xfId="38519" xr:uid="{00000000-0005-0000-0000-0000F45C0000}"/>
    <cellStyle name="40% - Accent6 2 4 2 3 2 4" xfId="24568" xr:uid="{00000000-0005-0000-0000-0000F55C0000}"/>
    <cellStyle name="40% - Accent6 2 4 2 3 2 4 2" xfId="43762" xr:uid="{00000000-0005-0000-0000-0000F65C0000}"/>
    <cellStyle name="40% - Accent6 2 4 2 3 2 5" xfId="34064" xr:uid="{00000000-0005-0000-0000-0000F75C0000}"/>
    <cellStyle name="40% - Accent6 2 4 2 3 3" xfId="14739" xr:uid="{00000000-0005-0000-0000-0000F85C0000}"/>
    <cellStyle name="40% - Accent6 2 4 2 3 3 2" xfId="15868" xr:uid="{00000000-0005-0000-0000-0000F95C0000}"/>
    <cellStyle name="40% - Accent6 2 4 2 3 3 2 2" xfId="20332" xr:uid="{00000000-0005-0000-0000-0000FA5C0000}"/>
    <cellStyle name="40% - Accent6 2 4 2 3 3 2 2 2" xfId="30700" xr:uid="{00000000-0005-0000-0000-0000FB5C0000}"/>
    <cellStyle name="40% - Accent6 2 4 2 3 3 2 2 2 2" xfId="49889" xr:uid="{00000000-0005-0000-0000-0000FC5C0000}"/>
    <cellStyle name="40% - Accent6 2 4 2 3 3 2 2 3" xfId="40191" xr:uid="{00000000-0005-0000-0000-0000FD5C0000}"/>
    <cellStyle name="40% - Accent6 2 4 2 3 3 2 3" xfId="26245" xr:uid="{00000000-0005-0000-0000-0000FE5C0000}"/>
    <cellStyle name="40% - Accent6 2 4 2 3 3 2 3 2" xfId="45434" xr:uid="{00000000-0005-0000-0000-0000FF5C0000}"/>
    <cellStyle name="40% - Accent6 2 4 2 3 3 2 4" xfId="35736" xr:uid="{00000000-0005-0000-0000-0000005D0000}"/>
    <cellStyle name="40% - Accent6 2 4 2 3 3 3" xfId="19217" xr:uid="{00000000-0005-0000-0000-0000015D0000}"/>
    <cellStyle name="40% - Accent6 2 4 2 3 3 3 2" xfId="29585" xr:uid="{00000000-0005-0000-0000-0000025D0000}"/>
    <cellStyle name="40% - Accent6 2 4 2 3 3 3 2 2" xfId="48774" xr:uid="{00000000-0005-0000-0000-0000035D0000}"/>
    <cellStyle name="40% - Accent6 2 4 2 3 3 3 3" xfId="39076" xr:uid="{00000000-0005-0000-0000-0000045D0000}"/>
    <cellStyle name="40% - Accent6 2 4 2 3 3 4" xfId="25130" xr:uid="{00000000-0005-0000-0000-0000055D0000}"/>
    <cellStyle name="40% - Accent6 2 4 2 3 3 4 2" xfId="44319" xr:uid="{00000000-0005-0000-0000-0000065D0000}"/>
    <cellStyle name="40% - Accent6 2 4 2 3 3 5" xfId="34621" xr:uid="{00000000-0005-0000-0000-0000075D0000}"/>
    <cellStyle name="40% - Accent6 2 4 2 3 4" xfId="15311" xr:uid="{00000000-0005-0000-0000-0000085D0000}"/>
    <cellStyle name="40% - Accent6 2 4 2 3 4 2" xfId="19775" xr:uid="{00000000-0005-0000-0000-0000095D0000}"/>
    <cellStyle name="40% - Accent6 2 4 2 3 4 2 2" xfId="30143" xr:uid="{00000000-0005-0000-0000-00000A5D0000}"/>
    <cellStyle name="40% - Accent6 2 4 2 3 4 2 2 2" xfId="49332" xr:uid="{00000000-0005-0000-0000-00000B5D0000}"/>
    <cellStyle name="40% - Accent6 2 4 2 3 4 2 3" xfId="39634" xr:uid="{00000000-0005-0000-0000-00000C5D0000}"/>
    <cellStyle name="40% - Accent6 2 4 2 3 4 3" xfId="25688" xr:uid="{00000000-0005-0000-0000-00000D5D0000}"/>
    <cellStyle name="40% - Accent6 2 4 2 3 4 3 2" xfId="44877" xr:uid="{00000000-0005-0000-0000-00000E5D0000}"/>
    <cellStyle name="40% - Accent6 2 4 2 3 4 4" xfId="35179" xr:uid="{00000000-0005-0000-0000-00000F5D0000}"/>
    <cellStyle name="40% - Accent6 2 4 2 3 5" xfId="16981" xr:uid="{00000000-0005-0000-0000-0000105D0000}"/>
    <cellStyle name="40% - Accent6 2 4 2 3 5 2" xfId="21445" xr:uid="{00000000-0005-0000-0000-0000115D0000}"/>
    <cellStyle name="40% - Accent6 2 4 2 3 5 2 2" xfId="31813" xr:uid="{00000000-0005-0000-0000-0000125D0000}"/>
    <cellStyle name="40% - Accent6 2 4 2 3 5 2 2 2" xfId="51002" xr:uid="{00000000-0005-0000-0000-0000135D0000}"/>
    <cellStyle name="40% - Accent6 2 4 2 3 5 2 3" xfId="41304" xr:uid="{00000000-0005-0000-0000-0000145D0000}"/>
    <cellStyle name="40% - Accent6 2 4 2 3 5 3" xfId="27358" xr:uid="{00000000-0005-0000-0000-0000155D0000}"/>
    <cellStyle name="40% - Accent6 2 4 2 3 5 3 2" xfId="46547" xr:uid="{00000000-0005-0000-0000-0000165D0000}"/>
    <cellStyle name="40% - Accent6 2 4 2 3 5 4" xfId="36849" xr:uid="{00000000-0005-0000-0000-0000175D0000}"/>
    <cellStyle name="40% - Accent6 2 4 2 3 6" xfId="17547" xr:uid="{00000000-0005-0000-0000-0000185D0000}"/>
    <cellStyle name="40% - Accent6 2 4 2 3 6 2" xfId="22002" xr:uid="{00000000-0005-0000-0000-0000195D0000}"/>
    <cellStyle name="40% - Accent6 2 4 2 3 6 2 2" xfId="32370" xr:uid="{00000000-0005-0000-0000-00001A5D0000}"/>
    <cellStyle name="40% - Accent6 2 4 2 3 6 2 2 2" xfId="51559" xr:uid="{00000000-0005-0000-0000-00001B5D0000}"/>
    <cellStyle name="40% - Accent6 2 4 2 3 6 2 3" xfId="41861" xr:uid="{00000000-0005-0000-0000-00001C5D0000}"/>
    <cellStyle name="40% - Accent6 2 4 2 3 6 3" xfId="27915" xr:uid="{00000000-0005-0000-0000-00001D5D0000}"/>
    <cellStyle name="40% - Accent6 2 4 2 3 6 3 2" xfId="47104" xr:uid="{00000000-0005-0000-0000-00001E5D0000}"/>
    <cellStyle name="40% - Accent6 2 4 2 3 6 4" xfId="37406" xr:uid="{00000000-0005-0000-0000-00001F5D0000}"/>
    <cellStyle name="40% - Accent6 2 4 2 3 7" xfId="18104" xr:uid="{00000000-0005-0000-0000-0000205D0000}"/>
    <cellStyle name="40% - Accent6 2 4 2 3 7 2" xfId="28472" xr:uid="{00000000-0005-0000-0000-0000215D0000}"/>
    <cellStyle name="40% - Accent6 2 4 2 3 7 2 2" xfId="47661" xr:uid="{00000000-0005-0000-0000-0000225D0000}"/>
    <cellStyle name="40% - Accent6 2 4 2 3 7 3" xfId="37963" xr:uid="{00000000-0005-0000-0000-0000235D0000}"/>
    <cellStyle name="40% - Accent6 2 4 2 3 8" xfId="23967" xr:uid="{00000000-0005-0000-0000-0000245D0000}"/>
    <cellStyle name="40% - Accent6 2 4 2 3 8 2" xfId="43206" xr:uid="{00000000-0005-0000-0000-0000255D0000}"/>
    <cellStyle name="40% - Accent6 2 4 2 3 9" xfId="33508" xr:uid="{00000000-0005-0000-0000-0000265D0000}"/>
    <cellStyle name="40% - Accent6 2 4 2 4" xfId="14158" xr:uid="{00000000-0005-0000-0000-0000275D0000}"/>
    <cellStyle name="40% - Accent6 2 4 2 4 2" xfId="16422" xr:uid="{00000000-0005-0000-0000-0000285D0000}"/>
    <cellStyle name="40% - Accent6 2 4 2 4 2 2" xfId="20886" xr:uid="{00000000-0005-0000-0000-0000295D0000}"/>
    <cellStyle name="40% - Accent6 2 4 2 4 2 2 2" xfId="31254" xr:uid="{00000000-0005-0000-0000-00002A5D0000}"/>
    <cellStyle name="40% - Accent6 2 4 2 4 2 2 2 2" xfId="50443" xr:uid="{00000000-0005-0000-0000-00002B5D0000}"/>
    <cellStyle name="40% - Accent6 2 4 2 4 2 2 3" xfId="40745" xr:uid="{00000000-0005-0000-0000-00002C5D0000}"/>
    <cellStyle name="40% - Accent6 2 4 2 4 2 3" xfId="26799" xr:uid="{00000000-0005-0000-0000-00002D5D0000}"/>
    <cellStyle name="40% - Accent6 2 4 2 4 2 3 2" xfId="45988" xr:uid="{00000000-0005-0000-0000-00002E5D0000}"/>
    <cellStyle name="40% - Accent6 2 4 2 4 2 4" xfId="36290" xr:uid="{00000000-0005-0000-0000-00002F5D0000}"/>
    <cellStyle name="40% - Accent6 2 4 2 4 3" xfId="18658" xr:uid="{00000000-0005-0000-0000-0000305D0000}"/>
    <cellStyle name="40% - Accent6 2 4 2 4 3 2" xfId="29026" xr:uid="{00000000-0005-0000-0000-0000315D0000}"/>
    <cellStyle name="40% - Accent6 2 4 2 4 3 2 2" xfId="48215" xr:uid="{00000000-0005-0000-0000-0000325D0000}"/>
    <cellStyle name="40% - Accent6 2 4 2 4 3 3" xfId="38517" xr:uid="{00000000-0005-0000-0000-0000335D0000}"/>
    <cellStyle name="40% - Accent6 2 4 2 4 4" xfId="24566" xr:uid="{00000000-0005-0000-0000-0000345D0000}"/>
    <cellStyle name="40% - Accent6 2 4 2 4 4 2" xfId="43760" xr:uid="{00000000-0005-0000-0000-0000355D0000}"/>
    <cellStyle name="40% - Accent6 2 4 2 4 5" xfId="34062" xr:uid="{00000000-0005-0000-0000-0000365D0000}"/>
    <cellStyle name="40% - Accent6 2 4 2 5" xfId="14737" xr:uid="{00000000-0005-0000-0000-0000375D0000}"/>
    <cellStyle name="40% - Accent6 2 4 2 5 2" xfId="15866" xr:uid="{00000000-0005-0000-0000-0000385D0000}"/>
    <cellStyle name="40% - Accent6 2 4 2 5 2 2" xfId="20330" xr:uid="{00000000-0005-0000-0000-0000395D0000}"/>
    <cellStyle name="40% - Accent6 2 4 2 5 2 2 2" xfId="30698" xr:uid="{00000000-0005-0000-0000-00003A5D0000}"/>
    <cellStyle name="40% - Accent6 2 4 2 5 2 2 2 2" xfId="49887" xr:uid="{00000000-0005-0000-0000-00003B5D0000}"/>
    <cellStyle name="40% - Accent6 2 4 2 5 2 2 3" xfId="40189" xr:uid="{00000000-0005-0000-0000-00003C5D0000}"/>
    <cellStyle name="40% - Accent6 2 4 2 5 2 3" xfId="26243" xr:uid="{00000000-0005-0000-0000-00003D5D0000}"/>
    <cellStyle name="40% - Accent6 2 4 2 5 2 3 2" xfId="45432" xr:uid="{00000000-0005-0000-0000-00003E5D0000}"/>
    <cellStyle name="40% - Accent6 2 4 2 5 2 4" xfId="35734" xr:uid="{00000000-0005-0000-0000-00003F5D0000}"/>
    <cellStyle name="40% - Accent6 2 4 2 5 3" xfId="19215" xr:uid="{00000000-0005-0000-0000-0000405D0000}"/>
    <cellStyle name="40% - Accent6 2 4 2 5 3 2" xfId="29583" xr:uid="{00000000-0005-0000-0000-0000415D0000}"/>
    <cellStyle name="40% - Accent6 2 4 2 5 3 2 2" xfId="48772" xr:uid="{00000000-0005-0000-0000-0000425D0000}"/>
    <cellStyle name="40% - Accent6 2 4 2 5 3 3" xfId="39074" xr:uid="{00000000-0005-0000-0000-0000435D0000}"/>
    <cellStyle name="40% - Accent6 2 4 2 5 4" xfId="25128" xr:uid="{00000000-0005-0000-0000-0000445D0000}"/>
    <cellStyle name="40% - Accent6 2 4 2 5 4 2" xfId="44317" xr:uid="{00000000-0005-0000-0000-0000455D0000}"/>
    <cellStyle name="40% - Accent6 2 4 2 5 5" xfId="34619" xr:uid="{00000000-0005-0000-0000-0000465D0000}"/>
    <cellStyle name="40% - Accent6 2 4 2 6" xfId="15309" xr:uid="{00000000-0005-0000-0000-0000475D0000}"/>
    <cellStyle name="40% - Accent6 2 4 2 6 2" xfId="19773" xr:uid="{00000000-0005-0000-0000-0000485D0000}"/>
    <cellStyle name="40% - Accent6 2 4 2 6 2 2" xfId="30141" xr:uid="{00000000-0005-0000-0000-0000495D0000}"/>
    <cellStyle name="40% - Accent6 2 4 2 6 2 2 2" xfId="49330" xr:uid="{00000000-0005-0000-0000-00004A5D0000}"/>
    <cellStyle name="40% - Accent6 2 4 2 6 2 3" xfId="39632" xr:uid="{00000000-0005-0000-0000-00004B5D0000}"/>
    <cellStyle name="40% - Accent6 2 4 2 6 3" xfId="25686" xr:uid="{00000000-0005-0000-0000-00004C5D0000}"/>
    <cellStyle name="40% - Accent6 2 4 2 6 3 2" xfId="44875" xr:uid="{00000000-0005-0000-0000-00004D5D0000}"/>
    <cellStyle name="40% - Accent6 2 4 2 6 4" xfId="35177" xr:uid="{00000000-0005-0000-0000-00004E5D0000}"/>
    <cellStyle name="40% - Accent6 2 4 2 7" xfId="16979" xr:uid="{00000000-0005-0000-0000-00004F5D0000}"/>
    <cellStyle name="40% - Accent6 2 4 2 7 2" xfId="21443" xr:uid="{00000000-0005-0000-0000-0000505D0000}"/>
    <cellStyle name="40% - Accent6 2 4 2 7 2 2" xfId="31811" xr:uid="{00000000-0005-0000-0000-0000515D0000}"/>
    <cellStyle name="40% - Accent6 2 4 2 7 2 2 2" xfId="51000" xr:uid="{00000000-0005-0000-0000-0000525D0000}"/>
    <cellStyle name="40% - Accent6 2 4 2 7 2 3" xfId="41302" xr:uid="{00000000-0005-0000-0000-0000535D0000}"/>
    <cellStyle name="40% - Accent6 2 4 2 7 3" xfId="27356" xr:uid="{00000000-0005-0000-0000-0000545D0000}"/>
    <cellStyle name="40% - Accent6 2 4 2 7 3 2" xfId="46545" xr:uid="{00000000-0005-0000-0000-0000555D0000}"/>
    <cellStyle name="40% - Accent6 2 4 2 7 4" xfId="36847" xr:uid="{00000000-0005-0000-0000-0000565D0000}"/>
    <cellStyle name="40% - Accent6 2 4 2 8" xfId="17545" xr:uid="{00000000-0005-0000-0000-0000575D0000}"/>
    <cellStyle name="40% - Accent6 2 4 2 8 2" xfId="22000" xr:uid="{00000000-0005-0000-0000-0000585D0000}"/>
    <cellStyle name="40% - Accent6 2 4 2 8 2 2" xfId="32368" xr:uid="{00000000-0005-0000-0000-0000595D0000}"/>
    <cellStyle name="40% - Accent6 2 4 2 8 2 2 2" xfId="51557" xr:uid="{00000000-0005-0000-0000-00005A5D0000}"/>
    <cellStyle name="40% - Accent6 2 4 2 8 2 3" xfId="41859" xr:uid="{00000000-0005-0000-0000-00005B5D0000}"/>
    <cellStyle name="40% - Accent6 2 4 2 8 3" xfId="27913" xr:uid="{00000000-0005-0000-0000-00005C5D0000}"/>
    <cellStyle name="40% - Accent6 2 4 2 8 3 2" xfId="47102" xr:uid="{00000000-0005-0000-0000-00005D5D0000}"/>
    <cellStyle name="40% - Accent6 2 4 2 8 4" xfId="37404" xr:uid="{00000000-0005-0000-0000-00005E5D0000}"/>
    <cellStyle name="40% - Accent6 2 4 2 9" xfId="18102" xr:uid="{00000000-0005-0000-0000-00005F5D0000}"/>
    <cellStyle name="40% - Accent6 2 4 2 9 2" xfId="28470" xr:uid="{00000000-0005-0000-0000-0000605D0000}"/>
    <cellStyle name="40% - Accent6 2 4 2 9 2 2" xfId="47659" xr:uid="{00000000-0005-0000-0000-0000615D0000}"/>
    <cellStyle name="40% - Accent6 2 4 2 9 3" xfId="37961" xr:uid="{00000000-0005-0000-0000-0000625D0000}"/>
    <cellStyle name="40% - Accent6 2 4 3" xfId="13227" xr:uid="{00000000-0005-0000-0000-0000635D0000}"/>
    <cellStyle name="40% - Accent6 2 4 3 10" xfId="23968" xr:uid="{00000000-0005-0000-0000-0000645D0000}"/>
    <cellStyle name="40% - Accent6 2 4 3 10 2" xfId="43207" xr:uid="{00000000-0005-0000-0000-0000655D0000}"/>
    <cellStyle name="40% - Accent6 2 4 3 11" xfId="33509" xr:uid="{00000000-0005-0000-0000-0000665D0000}"/>
    <cellStyle name="40% - Accent6 2 4 3 12" xfId="52982" xr:uid="{00000000-0005-0000-0000-0000675D0000}"/>
    <cellStyle name="40% - Accent6 2 4 3 2" xfId="13228" xr:uid="{00000000-0005-0000-0000-0000685D0000}"/>
    <cellStyle name="40% - Accent6 2 4 3 2 10" xfId="53857" xr:uid="{00000000-0005-0000-0000-0000695D0000}"/>
    <cellStyle name="40% - Accent6 2 4 3 2 2" xfId="14162" xr:uid="{00000000-0005-0000-0000-00006A5D0000}"/>
    <cellStyle name="40% - Accent6 2 4 3 2 2 2" xfId="16426" xr:uid="{00000000-0005-0000-0000-00006B5D0000}"/>
    <cellStyle name="40% - Accent6 2 4 3 2 2 2 2" xfId="20890" xr:uid="{00000000-0005-0000-0000-00006C5D0000}"/>
    <cellStyle name="40% - Accent6 2 4 3 2 2 2 2 2" xfId="31258" xr:uid="{00000000-0005-0000-0000-00006D5D0000}"/>
    <cellStyle name="40% - Accent6 2 4 3 2 2 2 2 2 2" xfId="50447" xr:uid="{00000000-0005-0000-0000-00006E5D0000}"/>
    <cellStyle name="40% - Accent6 2 4 3 2 2 2 2 3" xfId="40749" xr:uid="{00000000-0005-0000-0000-00006F5D0000}"/>
    <cellStyle name="40% - Accent6 2 4 3 2 2 2 3" xfId="26803" xr:uid="{00000000-0005-0000-0000-0000705D0000}"/>
    <cellStyle name="40% - Accent6 2 4 3 2 2 2 3 2" xfId="45992" xr:uid="{00000000-0005-0000-0000-0000715D0000}"/>
    <cellStyle name="40% - Accent6 2 4 3 2 2 2 4" xfId="36294" xr:uid="{00000000-0005-0000-0000-0000725D0000}"/>
    <cellStyle name="40% - Accent6 2 4 3 2 2 3" xfId="18662" xr:uid="{00000000-0005-0000-0000-0000735D0000}"/>
    <cellStyle name="40% - Accent6 2 4 3 2 2 3 2" xfId="29030" xr:uid="{00000000-0005-0000-0000-0000745D0000}"/>
    <cellStyle name="40% - Accent6 2 4 3 2 2 3 2 2" xfId="48219" xr:uid="{00000000-0005-0000-0000-0000755D0000}"/>
    <cellStyle name="40% - Accent6 2 4 3 2 2 3 3" xfId="38521" xr:uid="{00000000-0005-0000-0000-0000765D0000}"/>
    <cellStyle name="40% - Accent6 2 4 3 2 2 4" xfId="24570" xr:uid="{00000000-0005-0000-0000-0000775D0000}"/>
    <cellStyle name="40% - Accent6 2 4 3 2 2 4 2" xfId="43764" xr:uid="{00000000-0005-0000-0000-0000785D0000}"/>
    <cellStyle name="40% - Accent6 2 4 3 2 2 5" xfId="34066" xr:uid="{00000000-0005-0000-0000-0000795D0000}"/>
    <cellStyle name="40% - Accent6 2 4 3 2 3" xfId="14741" xr:uid="{00000000-0005-0000-0000-00007A5D0000}"/>
    <cellStyle name="40% - Accent6 2 4 3 2 3 2" xfId="15870" xr:uid="{00000000-0005-0000-0000-00007B5D0000}"/>
    <cellStyle name="40% - Accent6 2 4 3 2 3 2 2" xfId="20334" xr:uid="{00000000-0005-0000-0000-00007C5D0000}"/>
    <cellStyle name="40% - Accent6 2 4 3 2 3 2 2 2" xfId="30702" xr:uid="{00000000-0005-0000-0000-00007D5D0000}"/>
    <cellStyle name="40% - Accent6 2 4 3 2 3 2 2 2 2" xfId="49891" xr:uid="{00000000-0005-0000-0000-00007E5D0000}"/>
    <cellStyle name="40% - Accent6 2 4 3 2 3 2 2 3" xfId="40193" xr:uid="{00000000-0005-0000-0000-00007F5D0000}"/>
    <cellStyle name="40% - Accent6 2 4 3 2 3 2 3" xfId="26247" xr:uid="{00000000-0005-0000-0000-0000805D0000}"/>
    <cellStyle name="40% - Accent6 2 4 3 2 3 2 3 2" xfId="45436" xr:uid="{00000000-0005-0000-0000-0000815D0000}"/>
    <cellStyle name="40% - Accent6 2 4 3 2 3 2 4" xfId="35738" xr:uid="{00000000-0005-0000-0000-0000825D0000}"/>
    <cellStyle name="40% - Accent6 2 4 3 2 3 3" xfId="19219" xr:uid="{00000000-0005-0000-0000-0000835D0000}"/>
    <cellStyle name="40% - Accent6 2 4 3 2 3 3 2" xfId="29587" xr:uid="{00000000-0005-0000-0000-0000845D0000}"/>
    <cellStyle name="40% - Accent6 2 4 3 2 3 3 2 2" xfId="48776" xr:uid="{00000000-0005-0000-0000-0000855D0000}"/>
    <cellStyle name="40% - Accent6 2 4 3 2 3 3 3" xfId="39078" xr:uid="{00000000-0005-0000-0000-0000865D0000}"/>
    <cellStyle name="40% - Accent6 2 4 3 2 3 4" xfId="25132" xr:uid="{00000000-0005-0000-0000-0000875D0000}"/>
    <cellStyle name="40% - Accent6 2 4 3 2 3 4 2" xfId="44321" xr:uid="{00000000-0005-0000-0000-0000885D0000}"/>
    <cellStyle name="40% - Accent6 2 4 3 2 3 5" xfId="34623" xr:uid="{00000000-0005-0000-0000-0000895D0000}"/>
    <cellStyle name="40% - Accent6 2 4 3 2 4" xfId="15313" xr:uid="{00000000-0005-0000-0000-00008A5D0000}"/>
    <cellStyle name="40% - Accent6 2 4 3 2 4 2" xfId="19777" xr:uid="{00000000-0005-0000-0000-00008B5D0000}"/>
    <cellStyle name="40% - Accent6 2 4 3 2 4 2 2" xfId="30145" xr:uid="{00000000-0005-0000-0000-00008C5D0000}"/>
    <cellStyle name="40% - Accent6 2 4 3 2 4 2 2 2" xfId="49334" xr:uid="{00000000-0005-0000-0000-00008D5D0000}"/>
    <cellStyle name="40% - Accent6 2 4 3 2 4 2 3" xfId="39636" xr:uid="{00000000-0005-0000-0000-00008E5D0000}"/>
    <cellStyle name="40% - Accent6 2 4 3 2 4 3" xfId="25690" xr:uid="{00000000-0005-0000-0000-00008F5D0000}"/>
    <cellStyle name="40% - Accent6 2 4 3 2 4 3 2" xfId="44879" xr:uid="{00000000-0005-0000-0000-0000905D0000}"/>
    <cellStyle name="40% - Accent6 2 4 3 2 4 4" xfId="35181" xr:uid="{00000000-0005-0000-0000-0000915D0000}"/>
    <cellStyle name="40% - Accent6 2 4 3 2 5" xfId="16983" xr:uid="{00000000-0005-0000-0000-0000925D0000}"/>
    <cellStyle name="40% - Accent6 2 4 3 2 5 2" xfId="21447" xr:uid="{00000000-0005-0000-0000-0000935D0000}"/>
    <cellStyle name="40% - Accent6 2 4 3 2 5 2 2" xfId="31815" xr:uid="{00000000-0005-0000-0000-0000945D0000}"/>
    <cellStyle name="40% - Accent6 2 4 3 2 5 2 2 2" xfId="51004" xr:uid="{00000000-0005-0000-0000-0000955D0000}"/>
    <cellStyle name="40% - Accent6 2 4 3 2 5 2 3" xfId="41306" xr:uid="{00000000-0005-0000-0000-0000965D0000}"/>
    <cellStyle name="40% - Accent6 2 4 3 2 5 3" xfId="27360" xr:uid="{00000000-0005-0000-0000-0000975D0000}"/>
    <cellStyle name="40% - Accent6 2 4 3 2 5 3 2" xfId="46549" xr:uid="{00000000-0005-0000-0000-0000985D0000}"/>
    <cellStyle name="40% - Accent6 2 4 3 2 5 4" xfId="36851" xr:uid="{00000000-0005-0000-0000-0000995D0000}"/>
    <cellStyle name="40% - Accent6 2 4 3 2 6" xfId="17549" xr:uid="{00000000-0005-0000-0000-00009A5D0000}"/>
    <cellStyle name="40% - Accent6 2 4 3 2 6 2" xfId="22004" xr:uid="{00000000-0005-0000-0000-00009B5D0000}"/>
    <cellStyle name="40% - Accent6 2 4 3 2 6 2 2" xfId="32372" xr:uid="{00000000-0005-0000-0000-00009C5D0000}"/>
    <cellStyle name="40% - Accent6 2 4 3 2 6 2 2 2" xfId="51561" xr:uid="{00000000-0005-0000-0000-00009D5D0000}"/>
    <cellStyle name="40% - Accent6 2 4 3 2 6 2 3" xfId="41863" xr:uid="{00000000-0005-0000-0000-00009E5D0000}"/>
    <cellStyle name="40% - Accent6 2 4 3 2 6 3" xfId="27917" xr:uid="{00000000-0005-0000-0000-00009F5D0000}"/>
    <cellStyle name="40% - Accent6 2 4 3 2 6 3 2" xfId="47106" xr:uid="{00000000-0005-0000-0000-0000A05D0000}"/>
    <cellStyle name="40% - Accent6 2 4 3 2 6 4" xfId="37408" xr:uid="{00000000-0005-0000-0000-0000A15D0000}"/>
    <cellStyle name="40% - Accent6 2 4 3 2 7" xfId="18106" xr:uid="{00000000-0005-0000-0000-0000A25D0000}"/>
    <cellStyle name="40% - Accent6 2 4 3 2 7 2" xfId="28474" xr:uid="{00000000-0005-0000-0000-0000A35D0000}"/>
    <cellStyle name="40% - Accent6 2 4 3 2 7 2 2" xfId="47663" xr:uid="{00000000-0005-0000-0000-0000A45D0000}"/>
    <cellStyle name="40% - Accent6 2 4 3 2 7 3" xfId="37965" xr:uid="{00000000-0005-0000-0000-0000A55D0000}"/>
    <cellStyle name="40% - Accent6 2 4 3 2 8" xfId="23969" xr:uid="{00000000-0005-0000-0000-0000A65D0000}"/>
    <cellStyle name="40% - Accent6 2 4 3 2 8 2" xfId="43208" xr:uid="{00000000-0005-0000-0000-0000A75D0000}"/>
    <cellStyle name="40% - Accent6 2 4 3 2 9" xfId="33510" xr:uid="{00000000-0005-0000-0000-0000A85D0000}"/>
    <cellStyle name="40% - Accent6 2 4 3 3" xfId="13229" xr:uid="{00000000-0005-0000-0000-0000A95D0000}"/>
    <cellStyle name="40% - Accent6 2 4 3 3 2" xfId="14163" xr:uid="{00000000-0005-0000-0000-0000AA5D0000}"/>
    <cellStyle name="40% - Accent6 2 4 3 3 2 2" xfId="16427" xr:uid="{00000000-0005-0000-0000-0000AB5D0000}"/>
    <cellStyle name="40% - Accent6 2 4 3 3 2 2 2" xfId="20891" xr:uid="{00000000-0005-0000-0000-0000AC5D0000}"/>
    <cellStyle name="40% - Accent6 2 4 3 3 2 2 2 2" xfId="31259" xr:uid="{00000000-0005-0000-0000-0000AD5D0000}"/>
    <cellStyle name="40% - Accent6 2 4 3 3 2 2 2 2 2" xfId="50448" xr:uid="{00000000-0005-0000-0000-0000AE5D0000}"/>
    <cellStyle name="40% - Accent6 2 4 3 3 2 2 2 3" xfId="40750" xr:uid="{00000000-0005-0000-0000-0000AF5D0000}"/>
    <cellStyle name="40% - Accent6 2 4 3 3 2 2 3" xfId="26804" xr:uid="{00000000-0005-0000-0000-0000B05D0000}"/>
    <cellStyle name="40% - Accent6 2 4 3 3 2 2 3 2" xfId="45993" xr:uid="{00000000-0005-0000-0000-0000B15D0000}"/>
    <cellStyle name="40% - Accent6 2 4 3 3 2 2 4" xfId="36295" xr:uid="{00000000-0005-0000-0000-0000B25D0000}"/>
    <cellStyle name="40% - Accent6 2 4 3 3 2 3" xfId="18663" xr:uid="{00000000-0005-0000-0000-0000B35D0000}"/>
    <cellStyle name="40% - Accent6 2 4 3 3 2 3 2" xfId="29031" xr:uid="{00000000-0005-0000-0000-0000B45D0000}"/>
    <cellStyle name="40% - Accent6 2 4 3 3 2 3 2 2" xfId="48220" xr:uid="{00000000-0005-0000-0000-0000B55D0000}"/>
    <cellStyle name="40% - Accent6 2 4 3 3 2 3 3" xfId="38522" xr:uid="{00000000-0005-0000-0000-0000B65D0000}"/>
    <cellStyle name="40% - Accent6 2 4 3 3 2 4" xfId="24571" xr:uid="{00000000-0005-0000-0000-0000B75D0000}"/>
    <cellStyle name="40% - Accent6 2 4 3 3 2 4 2" xfId="43765" xr:uid="{00000000-0005-0000-0000-0000B85D0000}"/>
    <cellStyle name="40% - Accent6 2 4 3 3 2 5" xfId="34067" xr:uid="{00000000-0005-0000-0000-0000B95D0000}"/>
    <cellStyle name="40% - Accent6 2 4 3 3 3" xfId="14742" xr:uid="{00000000-0005-0000-0000-0000BA5D0000}"/>
    <cellStyle name="40% - Accent6 2 4 3 3 3 2" xfId="15871" xr:uid="{00000000-0005-0000-0000-0000BB5D0000}"/>
    <cellStyle name="40% - Accent6 2 4 3 3 3 2 2" xfId="20335" xr:uid="{00000000-0005-0000-0000-0000BC5D0000}"/>
    <cellStyle name="40% - Accent6 2 4 3 3 3 2 2 2" xfId="30703" xr:uid="{00000000-0005-0000-0000-0000BD5D0000}"/>
    <cellStyle name="40% - Accent6 2 4 3 3 3 2 2 2 2" xfId="49892" xr:uid="{00000000-0005-0000-0000-0000BE5D0000}"/>
    <cellStyle name="40% - Accent6 2 4 3 3 3 2 2 3" xfId="40194" xr:uid="{00000000-0005-0000-0000-0000BF5D0000}"/>
    <cellStyle name="40% - Accent6 2 4 3 3 3 2 3" xfId="26248" xr:uid="{00000000-0005-0000-0000-0000C05D0000}"/>
    <cellStyle name="40% - Accent6 2 4 3 3 3 2 3 2" xfId="45437" xr:uid="{00000000-0005-0000-0000-0000C15D0000}"/>
    <cellStyle name="40% - Accent6 2 4 3 3 3 2 4" xfId="35739" xr:uid="{00000000-0005-0000-0000-0000C25D0000}"/>
    <cellStyle name="40% - Accent6 2 4 3 3 3 3" xfId="19220" xr:uid="{00000000-0005-0000-0000-0000C35D0000}"/>
    <cellStyle name="40% - Accent6 2 4 3 3 3 3 2" xfId="29588" xr:uid="{00000000-0005-0000-0000-0000C45D0000}"/>
    <cellStyle name="40% - Accent6 2 4 3 3 3 3 2 2" xfId="48777" xr:uid="{00000000-0005-0000-0000-0000C55D0000}"/>
    <cellStyle name="40% - Accent6 2 4 3 3 3 3 3" xfId="39079" xr:uid="{00000000-0005-0000-0000-0000C65D0000}"/>
    <cellStyle name="40% - Accent6 2 4 3 3 3 4" xfId="25133" xr:uid="{00000000-0005-0000-0000-0000C75D0000}"/>
    <cellStyle name="40% - Accent6 2 4 3 3 3 4 2" xfId="44322" xr:uid="{00000000-0005-0000-0000-0000C85D0000}"/>
    <cellStyle name="40% - Accent6 2 4 3 3 3 5" xfId="34624" xr:uid="{00000000-0005-0000-0000-0000C95D0000}"/>
    <cellStyle name="40% - Accent6 2 4 3 3 4" xfId="15314" xr:uid="{00000000-0005-0000-0000-0000CA5D0000}"/>
    <cellStyle name="40% - Accent6 2 4 3 3 4 2" xfId="19778" xr:uid="{00000000-0005-0000-0000-0000CB5D0000}"/>
    <cellStyle name="40% - Accent6 2 4 3 3 4 2 2" xfId="30146" xr:uid="{00000000-0005-0000-0000-0000CC5D0000}"/>
    <cellStyle name="40% - Accent6 2 4 3 3 4 2 2 2" xfId="49335" xr:uid="{00000000-0005-0000-0000-0000CD5D0000}"/>
    <cellStyle name="40% - Accent6 2 4 3 3 4 2 3" xfId="39637" xr:uid="{00000000-0005-0000-0000-0000CE5D0000}"/>
    <cellStyle name="40% - Accent6 2 4 3 3 4 3" xfId="25691" xr:uid="{00000000-0005-0000-0000-0000CF5D0000}"/>
    <cellStyle name="40% - Accent6 2 4 3 3 4 3 2" xfId="44880" xr:uid="{00000000-0005-0000-0000-0000D05D0000}"/>
    <cellStyle name="40% - Accent6 2 4 3 3 4 4" xfId="35182" xr:uid="{00000000-0005-0000-0000-0000D15D0000}"/>
    <cellStyle name="40% - Accent6 2 4 3 3 5" xfId="16984" xr:uid="{00000000-0005-0000-0000-0000D25D0000}"/>
    <cellStyle name="40% - Accent6 2 4 3 3 5 2" xfId="21448" xr:uid="{00000000-0005-0000-0000-0000D35D0000}"/>
    <cellStyle name="40% - Accent6 2 4 3 3 5 2 2" xfId="31816" xr:uid="{00000000-0005-0000-0000-0000D45D0000}"/>
    <cellStyle name="40% - Accent6 2 4 3 3 5 2 2 2" xfId="51005" xr:uid="{00000000-0005-0000-0000-0000D55D0000}"/>
    <cellStyle name="40% - Accent6 2 4 3 3 5 2 3" xfId="41307" xr:uid="{00000000-0005-0000-0000-0000D65D0000}"/>
    <cellStyle name="40% - Accent6 2 4 3 3 5 3" xfId="27361" xr:uid="{00000000-0005-0000-0000-0000D75D0000}"/>
    <cellStyle name="40% - Accent6 2 4 3 3 5 3 2" xfId="46550" xr:uid="{00000000-0005-0000-0000-0000D85D0000}"/>
    <cellStyle name="40% - Accent6 2 4 3 3 5 4" xfId="36852" xr:uid="{00000000-0005-0000-0000-0000D95D0000}"/>
    <cellStyle name="40% - Accent6 2 4 3 3 6" xfId="17550" xr:uid="{00000000-0005-0000-0000-0000DA5D0000}"/>
    <cellStyle name="40% - Accent6 2 4 3 3 6 2" xfId="22005" xr:uid="{00000000-0005-0000-0000-0000DB5D0000}"/>
    <cellStyle name="40% - Accent6 2 4 3 3 6 2 2" xfId="32373" xr:uid="{00000000-0005-0000-0000-0000DC5D0000}"/>
    <cellStyle name="40% - Accent6 2 4 3 3 6 2 2 2" xfId="51562" xr:uid="{00000000-0005-0000-0000-0000DD5D0000}"/>
    <cellStyle name="40% - Accent6 2 4 3 3 6 2 3" xfId="41864" xr:uid="{00000000-0005-0000-0000-0000DE5D0000}"/>
    <cellStyle name="40% - Accent6 2 4 3 3 6 3" xfId="27918" xr:uid="{00000000-0005-0000-0000-0000DF5D0000}"/>
    <cellStyle name="40% - Accent6 2 4 3 3 6 3 2" xfId="47107" xr:uid="{00000000-0005-0000-0000-0000E05D0000}"/>
    <cellStyle name="40% - Accent6 2 4 3 3 6 4" xfId="37409" xr:uid="{00000000-0005-0000-0000-0000E15D0000}"/>
    <cellStyle name="40% - Accent6 2 4 3 3 7" xfId="18107" xr:uid="{00000000-0005-0000-0000-0000E25D0000}"/>
    <cellStyle name="40% - Accent6 2 4 3 3 7 2" xfId="28475" xr:uid="{00000000-0005-0000-0000-0000E35D0000}"/>
    <cellStyle name="40% - Accent6 2 4 3 3 7 2 2" xfId="47664" xr:uid="{00000000-0005-0000-0000-0000E45D0000}"/>
    <cellStyle name="40% - Accent6 2 4 3 3 7 3" xfId="37966" xr:uid="{00000000-0005-0000-0000-0000E55D0000}"/>
    <cellStyle name="40% - Accent6 2 4 3 3 8" xfId="23970" xr:uid="{00000000-0005-0000-0000-0000E65D0000}"/>
    <cellStyle name="40% - Accent6 2 4 3 3 8 2" xfId="43209" xr:uid="{00000000-0005-0000-0000-0000E75D0000}"/>
    <cellStyle name="40% - Accent6 2 4 3 3 9" xfId="33511" xr:uid="{00000000-0005-0000-0000-0000E85D0000}"/>
    <cellStyle name="40% - Accent6 2 4 3 4" xfId="14161" xr:uid="{00000000-0005-0000-0000-0000E95D0000}"/>
    <cellStyle name="40% - Accent6 2 4 3 4 2" xfId="16425" xr:uid="{00000000-0005-0000-0000-0000EA5D0000}"/>
    <cellStyle name="40% - Accent6 2 4 3 4 2 2" xfId="20889" xr:uid="{00000000-0005-0000-0000-0000EB5D0000}"/>
    <cellStyle name="40% - Accent6 2 4 3 4 2 2 2" xfId="31257" xr:uid="{00000000-0005-0000-0000-0000EC5D0000}"/>
    <cellStyle name="40% - Accent6 2 4 3 4 2 2 2 2" xfId="50446" xr:uid="{00000000-0005-0000-0000-0000ED5D0000}"/>
    <cellStyle name="40% - Accent6 2 4 3 4 2 2 3" xfId="40748" xr:uid="{00000000-0005-0000-0000-0000EE5D0000}"/>
    <cellStyle name="40% - Accent6 2 4 3 4 2 3" xfId="26802" xr:uid="{00000000-0005-0000-0000-0000EF5D0000}"/>
    <cellStyle name="40% - Accent6 2 4 3 4 2 3 2" xfId="45991" xr:uid="{00000000-0005-0000-0000-0000F05D0000}"/>
    <cellStyle name="40% - Accent6 2 4 3 4 2 4" xfId="36293" xr:uid="{00000000-0005-0000-0000-0000F15D0000}"/>
    <cellStyle name="40% - Accent6 2 4 3 4 3" xfId="18661" xr:uid="{00000000-0005-0000-0000-0000F25D0000}"/>
    <cellStyle name="40% - Accent6 2 4 3 4 3 2" xfId="29029" xr:uid="{00000000-0005-0000-0000-0000F35D0000}"/>
    <cellStyle name="40% - Accent6 2 4 3 4 3 2 2" xfId="48218" xr:uid="{00000000-0005-0000-0000-0000F45D0000}"/>
    <cellStyle name="40% - Accent6 2 4 3 4 3 3" xfId="38520" xr:uid="{00000000-0005-0000-0000-0000F55D0000}"/>
    <cellStyle name="40% - Accent6 2 4 3 4 4" xfId="24569" xr:uid="{00000000-0005-0000-0000-0000F65D0000}"/>
    <cellStyle name="40% - Accent6 2 4 3 4 4 2" xfId="43763" xr:uid="{00000000-0005-0000-0000-0000F75D0000}"/>
    <cellStyle name="40% - Accent6 2 4 3 4 5" xfId="34065" xr:uid="{00000000-0005-0000-0000-0000F85D0000}"/>
    <cellStyle name="40% - Accent6 2 4 3 5" xfId="14740" xr:uid="{00000000-0005-0000-0000-0000F95D0000}"/>
    <cellStyle name="40% - Accent6 2 4 3 5 2" xfId="15869" xr:uid="{00000000-0005-0000-0000-0000FA5D0000}"/>
    <cellStyle name="40% - Accent6 2 4 3 5 2 2" xfId="20333" xr:uid="{00000000-0005-0000-0000-0000FB5D0000}"/>
    <cellStyle name="40% - Accent6 2 4 3 5 2 2 2" xfId="30701" xr:uid="{00000000-0005-0000-0000-0000FC5D0000}"/>
    <cellStyle name="40% - Accent6 2 4 3 5 2 2 2 2" xfId="49890" xr:uid="{00000000-0005-0000-0000-0000FD5D0000}"/>
    <cellStyle name="40% - Accent6 2 4 3 5 2 2 3" xfId="40192" xr:uid="{00000000-0005-0000-0000-0000FE5D0000}"/>
    <cellStyle name="40% - Accent6 2 4 3 5 2 3" xfId="26246" xr:uid="{00000000-0005-0000-0000-0000FF5D0000}"/>
    <cellStyle name="40% - Accent6 2 4 3 5 2 3 2" xfId="45435" xr:uid="{00000000-0005-0000-0000-0000005E0000}"/>
    <cellStyle name="40% - Accent6 2 4 3 5 2 4" xfId="35737" xr:uid="{00000000-0005-0000-0000-0000015E0000}"/>
    <cellStyle name="40% - Accent6 2 4 3 5 3" xfId="19218" xr:uid="{00000000-0005-0000-0000-0000025E0000}"/>
    <cellStyle name="40% - Accent6 2 4 3 5 3 2" xfId="29586" xr:uid="{00000000-0005-0000-0000-0000035E0000}"/>
    <cellStyle name="40% - Accent6 2 4 3 5 3 2 2" xfId="48775" xr:uid="{00000000-0005-0000-0000-0000045E0000}"/>
    <cellStyle name="40% - Accent6 2 4 3 5 3 3" xfId="39077" xr:uid="{00000000-0005-0000-0000-0000055E0000}"/>
    <cellStyle name="40% - Accent6 2 4 3 5 4" xfId="25131" xr:uid="{00000000-0005-0000-0000-0000065E0000}"/>
    <cellStyle name="40% - Accent6 2 4 3 5 4 2" xfId="44320" xr:uid="{00000000-0005-0000-0000-0000075E0000}"/>
    <cellStyle name="40% - Accent6 2 4 3 5 5" xfId="34622" xr:uid="{00000000-0005-0000-0000-0000085E0000}"/>
    <cellStyle name="40% - Accent6 2 4 3 6" xfId="15312" xr:uid="{00000000-0005-0000-0000-0000095E0000}"/>
    <cellStyle name="40% - Accent6 2 4 3 6 2" xfId="19776" xr:uid="{00000000-0005-0000-0000-00000A5E0000}"/>
    <cellStyle name="40% - Accent6 2 4 3 6 2 2" xfId="30144" xr:uid="{00000000-0005-0000-0000-00000B5E0000}"/>
    <cellStyle name="40% - Accent6 2 4 3 6 2 2 2" xfId="49333" xr:uid="{00000000-0005-0000-0000-00000C5E0000}"/>
    <cellStyle name="40% - Accent6 2 4 3 6 2 3" xfId="39635" xr:uid="{00000000-0005-0000-0000-00000D5E0000}"/>
    <cellStyle name="40% - Accent6 2 4 3 6 3" xfId="25689" xr:uid="{00000000-0005-0000-0000-00000E5E0000}"/>
    <cellStyle name="40% - Accent6 2 4 3 6 3 2" xfId="44878" xr:uid="{00000000-0005-0000-0000-00000F5E0000}"/>
    <cellStyle name="40% - Accent6 2 4 3 6 4" xfId="35180" xr:uid="{00000000-0005-0000-0000-0000105E0000}"/>
    <cellStyle name="40% - Accent6 2 4 3 7" xfId="16982" xr:uid="{00000000-0005-0000-0000-0000115E0000}"/>
    <cellStyle name="40% - Accent6 2 4 3 7 2" xfId="21446" xr:uid="{00000000-0005-0000-0000-0000125E0000}"/>
    <cellStyle name="40% - Accent6 2 4 3 7 2 2" xfId="31814" xr:uid="{00000000-0005-0000-0000-0000135E0000}"/>
    <cellStyle name="40% - Accent6 2 4 3 7 2 2 2" xfId="51003" xr:uid="{00000000-0005-0000-0000-0000145E0000}"/>
    <cellStyle name="40% - Accent6 2 4 3 7 2 3" xfId="41305" xr:uid="{00000000-0005-0000-0000-0000155E0000}"/>
    <cellStyle name="40% - Accent6 2 4 3 7 3" xfId="27359" xr:uid="{00000000-0005-0000-0000-0000165E0000}"/>
    <cellStyle name="40% - Accent6 2 4 3 7 3 2" xfId="46548" xr:uid="{00000000-0005-0000-0000-0000175E0000}"/>
    <cellStyle name="40% - Accent6 2 4 3 7 4" xfId="36850" xr:uid="{00000000-0005-0000-0000-0000185E0000}"/>
    <cellStyle name="40% - Accent6 2 4 3 8" xfId="17548" xr:uid="{00000000-0005-0000-0000-0000195E0000}"/>
    <cellStyle name="40% - Accent6 2 4 3 8 2" xfId="22003" xr:uid="{00000000-0005-0000-0000-00001A5E0000}"/>
    <cellStyle name="40% - Accent6 2 4 3 8 2 2" xfId="32371" xr:uid="{00000000-0005-0000-0000-00001B5E0000}"/>
    <cellStyle name="40% - Accent6 2 4 3 8 2 2 2" xfId="51560" xr:uid="{00000000-0005-0000-0000-00001C5E0000}"/>
    <cellStyle name="40% - Accent6 2 4 3 8 2 3" xfId="41862" xr:uid="{00000000-0005-0000-0000-00001D5E0000}"/>
    <cellStyle name="40% - Accent6 2 4 3 8 3" xfId="27916" xr:uid="{00000000-0005-0000-0000-00001E5E0000}"/>
    <cellStyle name="40% - Accent6 2 4 3 8 3 2" xfId="47105" xr:uid="{00000000-0005-0000-0000-00001F5E0000}"/>
    <cellStyle name="40% - Accent6 2 4 3 8 4" xfId="37407" xr:uid="{00000000-0005-0000-0000-0000205E0000}"/>
    <cellStyle name="40% - Accent6 2 4 3 9" xfId="18105" xr:uid="{00000000-0005-0000-0000-0000215E0000}"/>
    <cellStyle name="40% - Accent6 2 4 3 9 2" xfId="28473" xr:uid="{00000000-0005-0000-0000-0000225E0000}"/>
    <cellStyle name="40% - Accent6 2 4 3 9 2 2" xfId="47662" xr:uid="{00000000-0005-0000-0000-0000235E0000}"/>
    <cellStyle name="40% - Accent6 2 4 3 9 3" xfId="37964" xr:uid="{00000000-0005-0000-0000-0000245E0000}"/>
    <cellStyle name="40% - Accent6 2 4 4" xfId="13230" xr:uid="{00000000-0005-0000-0000-0000255E0000}"/>
    <cellStyle name="40% - Accent6 2 4 4 10" xfId="53461" xr:uid="{00000000-0005-0000-0000-0000265E0000}"/>
    <cellStyle name="40% - Accent6 2 4 4 2" xfId="14164" xr:uid="{00000000-0005-0000-0000-0000275E0000}"/>
    <cellStyle name="40% - Accent6 2 4 4 2 2" xfId="16428" xr:uid="{00000000-0005-0000-0000-0000285E0000}"/>
    <cellStyle name="40% - Accent6 2 4 4 2 2 2" xfId="20892" xr:uid="{00000000-0005-0000-0000-0000295E0000}"/>
    <cellStyle name="40% - Accent6 2 4 4 2 2 2 2" xfId="31260" xr:uid="{00000000-0005-0000-0000-00002A5E0000}"/>
    <cellStyle name="40% - Accent6 2 4 4 2 2 2 2 2" xfId="50449" xr:uid="{00000000-0005-0000-0000-00002B5E0000}"/>
    <cellStyle name="40% - Accent6 2 4 4 2 2 2 3" xfId="40751" xr:uid="{00000000-0005-0000-0000-00002C5E0000}"/>
    <cellStyle name="40% - Accent6 2 4 4 2 2 3" xfId="26805" xr:uid="{00000000-0005-0000-0000-00002D5E0000}"/>
    <cellStyle name="40% - Accent6 2 4 4 2 2 3 2" xfId="45994" xr:uid="{00000000-0005-0000-0000-00002E5E0000}"/>
    <cellStyle name="40% - Accent6 2 4 4 2 2 4" xfId="36296" xr:uid="{00000000-0005-0000-0000-00002F5E0000}"/>
    <cellStyle name="40% - Accent6 2 4 4 2 3" xfId="18664" xr:uid="{00000000-0005-0000-0000-0000305E0000}"/>
    <cellStyle name="40% - Accent6 2 4 4 2 3 2" xfId="29032" xr:uid="{00000000-0005-0000-0000-0000315E0000}"/>
    <cellStyle name="40% - Accent6 2 4 4 2 3 2 2" xfId="48221" xr:uid="{00000000-0005-0000-0000-0000325E0000}"/>
    <cellStyle name="40% - Accent6 2 4 4 2 3 3" xfId="38523" xr:uid="{00000000-0005-0000-0000-0000335E0000}"/>
    <cellStyle name="40% - Accent6 2 4 4 2 4" xfId="24572" xr:uid="{00000000-0005-0000-0000-0000345E0000}"/>
    <cellStyle name="40% - Accent6 2 4 4 2 4 2" xfId="43766" xr:uid="{00000000-0005-0000-0000-0000355E0000}"/>
    <cellStyle name="40% - Accent6 2 4 4 2 5" xfId="34068" xr:uid="{00000000-0005-0000-0000-0000365E0000}"/>
    <cellStyle name="40% - Accent6 2 4 4 3" xfId="14743" xr:uid="{00000000-0005-0000-0000-0000375E0000}"/>
    <cellStyle name="40% - Accent6 2 4 4 3 2" xfId="15872" xr:uid="{00000000-0005-0000-0000-0000385E0000}"/>
    <cellStyle name="40% - Accent6 2 4 4 3 2 2" xfId="20336" xr:uid="{00000000-0005-0000-0000-0000395E0000}"/>
    <cellStyle name="40% - Accent6 2 4 4 3 2 2 2" xfId="30704" xr:uid="{00000000-0005-0000-0000-00003A5E0000}"/>
    <cellStyle name="40% - Accent6 2 4 4 3 2 2 2 2" xfId="49893" xr:uid="{00000000-0005-0000-0000-00003B5E0000}"/>
    <cellStyle name="40% - Accent6 2 4 4 3 2 2 3" xfId="40195" xr:uid="{00000000-0005-0000-0000-00003C5E0000}"/>
    <cellStyle name="40% - Accent6 2 4 4 3 2 3" xfId="26249" xr:uid="{00000000-0005-0000-0000-00003D5E0000}"/>
    <cellStyle name="40% - Accent6 2 4 4 3 2 3 2" xfId="45438" xr:uid="{00000000-0005-0000-0000-00003E5E0000}"/>
    <cellStyle name="40% - Accent6 2 4 4 3 2 4" xfId="35740" xr:uid="{00000000-0005-0000-0000-00003F5E0000}"/>
    <cellStyle name="40% - Accent6 2 4 4 3 3" xfId="19221" xr:uid="{00000000-0005-0000-0000-0000405E0000}"/>
    <cellStyle name="40% - Accent6 2 4 4 3 3 2" xfId="29589" xr:uid="{00000000-0005-0000-0000-0000415E0000}"/>
    <cellStyle name="40% - Accent6 2 4 4 3 3 2 2" xfId="48778" xr:uid="{00000000-0005-0000-0000-0000425E0000}"/>
    <cellStyle name="40% - Accent6 2 4 4 3 3 3" xfId="39080" xr:uid="{00000000-0005-0000-0000-0000435E0000}"/>
    <cellStyle name="40% - Accent6 2 4 4 3 4" xfId="25134" xr:uid="{00000000-0005-0000-0000-0000445E0000}"/>
    <cellStyle name="40% - Accent6 2 4 4 3 4 2" xfId="44323" xr:uid="{00000000-0005-0000-0000-0000455E0000}"/>
    <cellStyle name="40% - Accent6 2 4 4 3 5" xfId="34625" xr:uid="{00000000-0005-0000-0000-0000465E0000}"/>
    <cellStyle name="40% - Accent6 2 4 4 4" xfId="15315" xr:uid="{00000000-0005-0000-0000-0000475E0000}"/>
    <cellStyle name="40% - Accent6 2 4 4 4 2" xfId="19779" xr:uid="{00000000-0005-0000-0000-0000485E0000}"/>
    <cellStyle name="40% - Accent6 2 4 4 4 2 2" xfId="30147" xr:uid="{00000000-0005-0000-0000-0000495E0000}"/>
    <cellStyle name="40% - Accent6 2 4 4 4 2 2 2" xfId="49336" xr:uid="{00000000-0005-0000-0000-00004A5E0000}"/>
    <cellStyle name="40% - Accent6 2 4 4 4 2 3" xfId="39638" xr:uid="{00000000-0005-0000-0000-00004B5E0000}"/>
    <cellStyle name="40% - Accent6 2 4 4 4 3" xfId="25692" xr:uid="{00000000-0005-0000-0000-00004C5E0000}"/>
    <cellStyle name="40% - Accent6 2 4 4 4 3 2" xfId="44881" xr:uid="{00000000-0005-0000-0000-00004D5E0000}"/>
    <cellStyle name="40% - Accent6 2 4 4 4 4" xfId="35183" xr:uid="{00000000-0005-0000-0000-00004E5E0000}"/>
    <cellStyle name="40% - Accent6 2 4 4 5" xfId="16985" xr:uid="{00000000-0005-0000-0000-00004F5E0000}"/>
    <cellStyle name="40% - Accent6 2 4 4 5 2" xfId="21449" xr:uid="{00000000-0005-0000-0000-0000505E0000}"/>
    <cellStyle name="40% - Accent6 2 4 4 5 2 2" xfId="31817" xr:uid="{00000000-0005-0000-0000-0000515E0000}"/>
    <cellStyle name="40% - Accent6 2 4 4 5 2 2 2" xfId="51006" xr:uid="{00000000-0005-0000-0000-0000525E0000}"/>
    <cellStyle name="40% - Accent6 2 4 4 5 2 3" xfId="41308" xr:uid="{00000000-0005-0000-0000-0000535E0000}"/>
    <cellStyle name="40% - Accent6 2 4 4 5 3" xfId="27362" xr:uid="{00000000-0005-0000-0000-0000545E0000}"/>
    <cellStyle name="40% - Accent6 2 4 4 5 3 2" xfId="46551" xr:uid="{00000000-0005-0000-0000-0000555E0000}"/>
    <cellStyle name="40% - Accent6 2 4 4 5 4" xfId="36853" xr:uid="{00000000-0005-0000-0000-0000565E0000}"/>
    <cellStyle name="40% - Accent6 2 4 4 6" xfId="17551" xr:uid="{00000000-0005-0000-0000-0000575E0000}"/>
    <cellStyle name="40% - Accent6 2 4 4 6 2" xfId="22006" xr:uid="{00000000-0005-0000-0000-0000585E0000}"/>
    <cellStyle name="40% - Accent6 2 4 4 6 2 2" xfId="32374" xr:uid="{00000000-0005-0000-0000-0000595E0000}"/>
    <cellStyle name="40% - Accent6 2 4 4 6 2 2 2" xfId="51563" xr:uid="{00000000-0005-0000-0000-00005A5E0000}"/>
    <cellStyle name="40% - Accent6 2 4 4 6 2 3" xfId="41865" xr:uid="{00000000-0005-0000-0000-00005B5E0000}"/>
    <cellStyle name="40% - Accent6 2 4 4 6 3" xfId="27919" xr:uid="{00000000-0005-0000-0000-00005C5E0000}"/>
    <cellStyle name="40% - Accent6 2 4 4 6 3 2" xfId="47108" xr:uid="{00000000-0005-0000-0000-00005D5E0000}"/>
    <cellStyle name="40% - Accent6 2 4 4 6 4" xfId="37410" xr:uid="{00000000-0005-0000-0000-00005E5E0000}"/>
    <cellStyle name="40% - Accent6 2 4 4 7" xfId="18108" xr:uid="{00000000-0005-0000-0000-00005F5E0000}"/>
    <cellStyle name="40% - Accent6 2 4 4 7 2" xfId="28476" xr:uid="{00000000-0005-0000-0000-0000605E0000}"/>
    <cellStyle name="40% - Accent6 2 4 4 7 2 2" xfId="47665" xr:uid="{00000000-0005-0000-0000-0000615E0000}"/>
    <cellStyle name="40% - Accent6 2 4 4 7 3" xfId="37967" xr:uid="{00000000-0005-0000-0000-0000625E0000}"/>
    <cellStyle name="40% - Accent6 2 4 4 8" xfId="23971" xr:uid="{00000000-0005-0000-0000-0000635E0000}"/>
    <cellStyle name="40% - Accent6 2 4 4 8 2" xfId="43210" xr:uid="{00000000-0005-0000-0000-0000645E0000}"/>
    <cellStyle name="40% - Accent6 2 4 4 9" xfId="33512" xr:uid="{00000000-0005-0000-0000-0000655E0000}"/>
    <cellStyle name="40% - Accent6 2 4 5" xfId="13231" xr:uid="{00000000-0005-0000-0000-0000665E0000}"/>
    <cellStyle name="40% - Accent6 2 4 5 2" xfId="14165" xr:uid="{00000000-0005-0000-0000-0000675E0000}"/>
    <cellStyle name="40% - Accent6 2 4 5 2 2" xfId="16429" xr:uid="{00000000-0005-0000-0000-0000685E0000}"/>
    <cellStyle name="40% - Accent6 2 4 5 2 2 2" xfId="20893" xr:uid="{00000000-0005-0000-0000-0000695E0000}"/>
    <cellStyle name="40% - Accent6 2 4 5 2 2 2 2" xfId="31261" xr:uid="{00000000-0005-0000-0000-00006A5E0000}"/>
    <cellStyle name="40% - Accent6 2 4 5 2 2 2 2 2" xfId="50450" xr:uid="{00000000-0005-0000-0000-00006B5E0000}"/>
    <cellStyle name="40% - Accent6 2 4 5 2 2 2 3" xfId="40752" xr:uid="{00000000-0005-0000-0000-00006C5E0000}"/>
    <cellStyle name="40% - Accent6 2 4 5 2 2 3" xfId="26806" xr:uid="{00000000-0005-0000-0000-00006D5E0000}"/>
    <cellStyle name="40% - Accent6 2 4 5 2 2 3 2" xfId="45995" xr:uid="{00000000-0005-0000-0000-00006E5E0000}"/>
    <cellStyle name="40% - Accent6 2 4 5 2 2 4" xfId="36297" xr:uid="{00000000-0005-0000-0000-00006F5E0000}"/>
    <cellStyle name="40% - Accent6 2 4 5 2 3" xfId="18665" xr:uid="{00000000-0005-0000-0000-0000705E0000}"/>
    <cellStyle name="40% - Accent6 2 4 5 2 3 2" xfId="29033" xr:uid="{00000000-0005-0000-0000-0000715E0000}"/>
    <cellStyle name="40% - Accent6 2 4 5 2 3 2 2" xfId="48222" xr:uid="{00000000-0005-0000-0000-0000725E0000}"/>
    <cellStyle name="40% - Accent6 2 4 5 2 3 3" xfId="38524" xr:uid="{00000000-0005-0000-0000-0000735E0000}"/>
    <cellStyle name="40% - Accent6 2 4 5 2 4" xfId="24573" xr:uid="{00000000-0005-0000-0000-0000745E0000}"/>
    <cellStyle name="40% - Accent6 2 4 5 2 4 2" xfId="43767" xr:uid="{00000000-0005-0000-0000-0000755E0000}"/>
    <cellStyle name="40% - Accent6 2 4 5 2 5" xfId="34069" xr:uid="{00000000-0005-0000-0000-0000765E0000}"/>
    <cellStyle name="40% - Accent6 2 4 5 3" xfId="14744" xr:uid="{00000000-0005-0000-0000-0000775E0000}"/>
    <cellStyle name="40% - Accent6 2 4 5 3 2" xfId="15873" xr:uid="{00000000-0005-0000-0000-0000785E0000}"/>
    <cellStyle name="40% - Accent6 2 4 5 3 2 2" xfId="20337" xr:uid="{00000000-0005-0000-0000-0000795E0000}"/>
    <cellStyle name="40% - Accent6 2 4 5 3 2 2 2" xfId="30705" xr:uid="{00000000-0005-0000-0000-00007A5E0000}"/>
    <cellStyle name="40% - Accent6 2 4 5 3 2 2 2 2" xfId="49894" xr:uid="{00000000-0005-0000-0000-00007B5E0000}"/>
    <cellStyle name="40% - Accent6 2 4 5 3 2 2 3" xfId="40196" xr:uid="{00000000-0005-0000-0000-00007C5E0000}"/>
    <cellStyle name="40% - Accent6 2 4 5 3 2 3" xfId="26250" xr:uid="{00000000-0005-0000-0000-00007D5E0000}"/>
    <cellStyle name="40% - Accent6 2 4 5 3 2 3 2" xfId="45439" xr:uid="{00000000-0005-0000-0000-00007E5E0000}"/>
    <cellStyle name="40% - Accent6 2 4 5 3 2 4" xfId="35741" xr:uid="{00000000-0005-0000-0000-00007F5E0000}"/>
    <cellStyle name="40% - Accent6 2 4 5 3 3" xfId="19222" xr:uid="{00000000-0005-0000-0000-0000805E0000}"/>
    <cellStyle name="40% - Accent6 2 4 5 3 3 2" xfId="29590" xr:uid="{00000000-0005-0000-0000-0000815E0000}"/>
    <cellStyle name="40% - Accent6 2 4 5 3 3 2 2" xfId="48779" xr:uid="{00000000-0005-0000-0000-0000825E0000}"/>
    <cellStyle name="40% - Accent6 2 4 5 3 3 3" xfId="39081" xr:uid="{00000000-0005-0000-0000-0000835E0000}"/>
    <cellStyle name="40% - Accent6 2 4 5 3 4" xfId="25135" xr:uid="{00000000-0005-0000-0000-0000845E0000}"/>
    <cellStyle name="40% - Accent6 2 4 5 3 4 2" xfId="44324" xr:uid="{00000000-0005-0000-0000-0000855E0000}"/>
    <cellStyle name="40% - Accent6 2 4 5 3 5" xfId="34626" xr:uid="{00000000-0005-0000-0000-0000865E0000}"/>
    <cellStyle name="40% - Accent6 2 4 5 4" xfId="15316" xr:uid="{00000000-0005-0000-0000-0000875E0000}"/>
    <cellStyle name="40% - Accent6 2 4 5 4 2" xfId="19780" xr:uid="{00000000-0005-0000-0000-0000885E0000}"/>
    <cellStyle name="40% - Accent6 2 4 5 4 2 2" xfId="30148" xr:uid="{00000000-0005-0000-0000-0000895E0000}"/>
    <cellStyle name="40% - Accent6 2 4 5 4 2 2 2" xfId="49337" xr:uid="{00000000-0005-0000-0000-00008A5E0000}"/>
    <cellStyle name="40% - Accent6 2 4 5 4 2 3" xfId="39639" xr:uid="{00000000-0005-0000-0000-00008B5E0000}"/>
    <cellStyle name="40% - Accent6 2 4 5 4 3" xfId="25693" xr:uid="{00000000-0005-0000-0000-00008C5E0000}"/>
    <cellStyle name="40% - Accent6 2 4 5 4 3 2" xfId="44882" xr:uid="{00000000-0005-0000-0000-00008D5E0000}"/>
    <cellStyle name="40% - Accent6 2 4 5 4 4" xfId="35184" xr:uid="{00000000-0005-0000-0000-00008E5E0000}"/>
    <cellStyle name="40% - Accent6 2 4 5 5" xfId="16986" xr:uid="{00000000-0005-0000-0000-00008F5E0000}"/>
    <cellStyle name="40% - Accent6 2 4 5 5 2" xfId="21450" xr:uid="{00000000-0005-0000-0000-0000905E0000}"/>
    <cellStyle name="40% - Accent6 2 4 5 5 2 2" xfId="31818" xr:uid="{00000000-0005-0000-0000-0000915E0000}"/>
    <cellStyle name="40% - Accent6 2 4 5 5 2 2 2" xfId="51007" xr:uid="{00000000-0005-0000-0000-0000925E0000}"/>
    <cellStyle name="40% - Accent6 2 4 5 5 2 3" xfId="41309" xr:uid="{00000000-0005-0000-0000-0000935E0000}"/>
    <cellStyle name="40% - Accent6 2 4 5 5 3" xfId="27363" xr:uid="{00000000-0005-0000-0000-0000945E0000}"/>
    <cellStyle name="40% - Accent6 2 4 5 5 3 2" xfId="46552" xr:uid="{00000000-0005-0000-0000-0000955E0000}"/>
    <cellStyle name="40% - Accent6 2 4 5 5 4" xfId="36854" xr:uid="{00000000-0005-0000-0000-0000965E0000}"/>
    <cellStyle name="40% - Accent6 2 4 5 6" xfId="17552" xr:uid="{00000000-0005-0000-0000-0000975E0000}"/>
    <cellStyle name="40% - Accent6 2 4 5 6 2" xfId="22007" xr:uid="{00000000-0005-0000-0000-0000985E0000}"/>
    <cellStyle name="40% - Accent6 2 4 5 6 2 2" xfId="32375" xr:uid="{00000000-0005-0000-0000-0000995E0000}"/>
    <cellStyle name="40% - Accent6 2 4 5 6 2 2 2" xfId="51564" xr:uid="{00000000-0005-0000-0000-00009A5E0000}"/>
    <cellStyle name="40% - Accent6 2 4 5 6 2 3" xfId="41866" xr:uid="{00000000-0005-0000-0000-00009B5E0000}"/>
    <cellStyle name="40% - Accent6 2 4 5 6 3" xfId="27920" xr:uid="{00000000-0005-0000-0000-00009C5E0000}"/>
    <cellStyle name="40% - Accent6 2 4 5 6 3 2" xfId="47109" xr:uid="{00000000-0005-0000-0000-00009D5E0000}"/>
    <cellStyle name="40% - Accent6 2 4 5 6 4" xfId="37411" xr:uid="{00000000-0005-0000-0000-00009E5E0000}"/>
    <cellStyle name="40% - Accent6 2 4 5 7" xfId="18109" xr:uid="{00000000-0005-0000-0000-00009F5E0000}"/>
    <cellStyle name="40% - Accent6 2 4 5 7 2" xfId="28477" xr:uid="{00000000-0005-0000-0000-0000A05E0000}"/>
    <cellStyle name="40% - Accent6 2 4 5 7 2 2" xfId="47666" xr:uid="{00000000-0005-0000-0000-0000A15E0000}"/>
    <cellStyle name="40% - Accent6 2 4 5 7 3" xfId="37968" xr:uid="{00000000-0005-0000-0000-0000A25E0000}"/>
    <cellStyle name="40% - Accent6 2 4 5 8" xfId="23972" xr:uid="{00000000-0005-0000-0000-0000A35E0000}"/>
    <cellStyle name="40% - Accent6 2 4 5 8 2" xfId="43211" xr:uid="{00000000-0005-0000-0000-0000A45E0000}"/>
    <cellStyle name="40% - Accent6 2 4 5 9" xfId="33513" xr:uid="{00000000-0005-0000-0000-0000A55E0000}"/>
    <cellStyle name="40% - Accent6 2 4 6" xfId="12278" xr:uid="{00000000-0005-0000-0000-0000A65E0000}"/>
    <cellStyle name="40% - Accent6 2 4 7" xfId="52572" xr:uid="{00000000-0005-0000-0000-0000A75E0000}"/>
    <cellStyle name="40% - Accent6 2 4 8" xfId="12032" xr:uid="{00000000-0005-0000-0000-0000A85E0000}"/>
    <cellStyle name="40% - Accent6 2 5" xfId="2047" xr:uid="{00000000-0005-0000-0000-0000A95E0000}"/>
    <cellStyle name="40% - Accent6 2 5 2" xfId="13232" xr:uid="{00000000-0005-0000-0000-0000AA5E0000}"/>
    <cellStyle name="40% - Accent6 2 5 2 10" xfId="23973" xr:uid="{00000000-0005-0000-0000-0000AB5E0000}"/>
    <cellStyle name="40% - Accent6 2 5 2 10 2" xfId="43212" xr:uid="{00000000-0005-0000-0000-0000AC5E0000}"/>
    <cellStyle name="40% - Accent6 2 5 2 11" xfId="33514" xr:uid="{00000000-0005-0000-0000-0000AD5E0000}"/>
    <cellStyle name="40% - Accent6 2 5 2 12" xfId="52806" xr:uid="{00000000-0005-0000-0000-0000AE5E0000}"/>
    <cellStyle name="40% - Accent6 2 5 2 2" xfId="13233" xr:uid="{00000000-0005-0000-0000-0000AF5E0000}"/>
    <cellStyle name="40% - Accent6 2 5 2 2 10" xfId="53234" xr:uid="{00000000-0005-0000-0000-0000B05E0000}"/>
    <cellStyle name="40% - Accent6 2 5 2 2 2" xfId="14167" xr:uid="{00000000-0005-0000-0000-0000B15E0000}"/>
    <cellStyle name="40% - Accent6 2 5 2 2 2 2" xfId="16431" xr:uid="{00000000-0005-0000-0000-0000B25E0000}"/>
    <cellStyle name="40% - Accent6 2 5 2 2 2 2 2" xfId="20895" xr:uid="{00000000-0005-0000-0000-0000B35E0000}"/>
    <cellStyle name="40% - Accent6 2 5 2 2 2 2 2 2" xfId="31263" xr:uid="{00000000-0005-0000-0000-0000B45E0000}"/>
    <cellStyle name="40% - Accent6 2 5 2 2 2 2 2 2 2" xfId="50452" xr:uid="{00000000-0005-0000-0000-0000B55E0000}"/>
    <cellStyle name="40% - Accent6 2 5 2 2 2 2 2 3" xfId="40754" xr:uid="{00000000-0005-0000-0000-0000B65E0000}"/>
    <cellStyle name="40% - Accent6 2 5 2 2 2 2 3" xfId="26808" xr:uid="{00000000-0005-0000-0000-0000B75E0000}"/>
    <cellStyle name="40% - Accent6 2 5 2 2 2 2 3 2" xfId="45997" xr:uid="{00000000-0005-0000-0000-0000B85E0000}"/>
    <cellStyle name="40% - Accent6 2 5 2 2 2 2 4" xfId="36299" xr:uid="{00000000-0005-0000-0000-0000B95E0000}"/>
    <cellStyle name="40% - Accent6 2 5 2 2 2 3" xfId="18667" xr:uid="{00000000-0005-0000-0000-0000BA5E0000}"/>
    <cellStyle name="40% - Accent6 2 5 2 2 2 3 2" xfId="29035" xr:uid="{00000000-0005-0000-0000-0000BB5E0000}"/>
    <cellStyle name="40% - Accent6 2 5 2 2 2 3 2 2" xfId="48224" xr:uid="{00000000-0005-0000-0000-0000BC5E0000}"/>
    <cellStyle name="40% - Accent6 2 5 2 2 2 3 3" xfId="38526" xr:uid="{00000000-0005-0000-0000-0000BD5E0000}"/>
    <cellStyle name="40% - Accent6 2 5 2 2 2 4" xfId="24575" xr:uid="{00000000-0005-0000-0000-0000BE5E0000}"/>
    <cellStyle name="40% - Accent6 2 5 2 2 2 4 2" xfId="43769" xr:uid="{00000000-0005-0000-0000-0000BF5E0000}"/>
    <cellStyle name="40% - Accent6 2 5 2 2 2 5" xfId="34071" xr:uid="{00000000-0005-0000-0000-0000C05E0000}"/>
    <cellStyle name="40% - Accent6 2 5 2 2 2 6" xfId="54087" xr:uid="{00000000-0005-0000-0000-0000C15E0000}"/>
    <cellStyle name="40% - Accent6 2 5 2 2 3" xfId="14746" xr:uid="{00000000-0005-0000-0000-0000C25E0000}"/>
    <cellStyle name="40% - Accent6 2 5 2 2 3 2" xfId="15875" xr:uid="{00000000-0005-0000-0000-0000C35E0000}"/>
    <cellStyle name="40% - Accent6 2 5 2 2 3 2 2" xfId="20339" xr:uid="{00000000-0005-0000-0000-0000C45E0000}"/>
    <cellStyle name="40% - Accent6 2 5 2 2 3 2 2 2" xfId="30707" xr:uid="{00000000-0005-0000-0000-0000C55E0000}"/>
    <cellStyle name="40% - Accent6 2 5 2 2 3 2 2 2 2" xfId="49896" xr:uid="{00000000-0005-0000-0000-0000C65E0000}"/>
    <cellStyle name="40% - Accent6 2 5 2 2 3 2 2 3" xfId="40198" xr:uid="{00000000-0005-0000-0000-0000C75E0000}"/>
    <cellStyle name="40% - Accent6 2 5 2 2 3 2 3" xfId="26252" xr:uid="{00000000-0005-0000-0000-0000C85E0000}"/>
    <cellStyle name="40% - Accent6 2 5 2 2 3 2 3 2" xfId="45441" xr:uid="{00000000-0005-0000-0000-0000C95E0000}"/>
    <cellStyle name="40% - Accent6 2 5 2 2 3 2 4" xfId="35743" xr:uid="{00000000-0005-0000-0000-0000CA5E0000}"/>
    <cellStyle name="40% - Accent6 2 5 2 2 3 3" xfId="19224" xr:uid="{00000000-0005-0000-0000-0000CB5E0000}"/>
    <cellStyle name="40% - Accent6 2 5 2 2 3 3 2" xfId="29592" xr:uid="{00000000-0005-0000-0000-0000CC5E0000}"/>
    <cellStyle name="40% - Accent6 2 5 2 2 3 3 2 2" xfId="48781" xr:uid="{00000000-0005-0000-0000-0000CD5E0000}"/>
    <cellStyle name="40% - Accent6 2 5 2 2 3 3 3" xfId="39083" xr:uid="{00000000-0005-0000-0000-0000CE5E0000}"/>
    <cellStyle name="40% - Accent6 2 5 2 2 3 4" xfId="25137" xr:uid="{00000000-0005-0000-0000-0000CF5E0000}"/>
    <cellStyle name="40% - Accent6 2 5 2 2 3 4 2" xfId="44326" xr:uid="{00000000-0005-0000-0000-0000D05E0000}"/>
    <cellStyle name="40% - Accent6 2 5 2 2 3 5" xfId="34628" xr:uid="{00000000-0005-0000-0000-0000D15E0000}"/>
    <cellStyle name="40% - Accent6 2 5 2 2 4" xfId="15318" xr:uid="{00000000-0005-0000-0000-0000D25E0000}"/>
    <cellStyle name="40% - Accent6 2 5 2 2 4 2" xfId="19782" xr:uid="{00000000-0005-0000-0000-0000D35E0000}"/>
    <cellStyle name="40% - Accent6 2 5 2 2 4 2 2" xfId="30150" xr:uid="{00000000-0005-0000-0000-0000D45E0000}"/>
    <cellStyle name="40% - Accent6 2 5 2 2 4 2 2 2" xfId="49339" xr:uid="{00000000-0005-0000-0000-0000D55E0000}"/>
    <cellStyle name="40% - Accent6 2 5 2 2 4 2 3" xfId="39641" xr:uid="{00000000-0005-0000-0000-0000D65E0000}"/>
    <cellStyle name="40% - Accent6 2 5 2 2 4 3" xfId="25695" xr:uid="{00000000-0005-0000-0000-0000D75E0000}"/>
    <cellStyle name="40% - Accent6 2 5 2 2 4 3 2" xfId="44884" xr:uid="{00000000-0005-0000-0000-0000D85E0000}"/>
    <cellStyle name="40% - Accent6 2 5 2 2 4 4" xfId="35186" xr:uid="{00000000-0005-0000-0000-0000D95E0000}"/>
    <cellStyle name="40% - Accent6 2 5 2 2 5" xfId="16988" xr:uid="{00000000-0005-0000-0000-0000DA5E0000}"/>
    <cellStyle name="40% - Accent6 2 5 2 2 5 2" xfId="21452" xr:uid="{00000000-0005-0000-0000-0000DB5E0000}"/>
    <cellStyle name="40% - Accent6 2 5 2 2 5 2 2" xfId="31820" xr:uid="{00000000-0005-0000-0000-0000DC5E0000}"/>
    <cellStyle name="40% - Accent6 2 5 2 2 5 2 2 2" xfId="51009" xr:uid="{00000000-0005-0000-0000-0000DD5E0000}"/>
    <cellStyle name="40% - Accent6 2 5 2 2 5 2 3" xfId="41311" xr:uid="{00000000-0005-0000-0000-0000DE5E0000}"/>
    <cellStyle name="40% - Accent6 2 5 2 2 5 3" xfId="27365" xr:uid="{00000000-0005-0000-0000-0000DF5E0000}"/>
    <cellStyle name="40% - Accent6 2 5 2 2 5 3 2" xfId="46554" xr:uid="{00000000-0005-0000-0000-0000E05E0000}"/>
    <cellStyle name="40% - Accent6 2 5 2 2 5 4" xfId="36856" xr:uid="{00000000-0005-0000-0000-0000E15E0000}"/>
    <cellStyle name="40% - Accent6 2 5 2 2 6" xfId="17554" xr:uid="{00000000-0005-0000-0000-0000E25E0000}"/>
    <cellStyle name="40% - Accent6 2 5 2 2 6 2" xfId="22009" xr:uid="{00000000-0005-0000-0000-0000E35E0000}"/>
    <cellStyle name="40% - Accent6 2 5 2 2 6 2 2" xfId="32377" xr:uid="{00000000-0005-0000-0000-0000E45E0000}"/>
    <cellStyle name="40% - Accent6 2 5 2 2 6 2 2 2" xfId="51566" xr:uid="{00000000-0005-0000-0000-0000E55E0000}"/>
    <cellStyle name="40% - Accent6 2 5 2 2 6 2 3" xfId="41868" xr:uid="{00000000-0005-0000-0000-0000E65E0000}"/>
    <cellStyle name="40% - Accent6 2 5 2 2 6 3" xfId="27922" xr:uid="{00000000-0005-0000-0000-0000E75E0000}"/>
    <cellStyle name="40% - Accent6 2 5 2 2 6 3 2" xfId="47111" xr:uid="{00000000-0005-0000-0000-0000E85E0000}"/>
    <cellStyle name="40% - Accent6 2 5 2 2 6 4" xfId="37413" xr:uid="{00000000-0005-0000-0000-0000E95E0000}"/>
    <cellStyle name="40% - Accent6 2 5 2 2 7" xfId="18111" xr:uid="{00000000-0005-0000-0000-0000EA5E0000}"/>
    <cellStyle name="40% - Accent6 2 5 2 2 7 2" xfId="28479" xr:uid="{00000000-0005-0000-0000-0000EB5E0000}"/>
    <cellStyle name="40% - Accent6 2 5 2 2 7 2 2" xfId="47668" xr:uid="{00000000-0005-0000-0000-0000EC5E0000}"/>
    <cellStyle name="40% - Accent6 2 5 2 2 7 3" xfId="37970" xr:uid="{00000000-0005-0000-0000-0000ED5E0000}"/>
    <cellStyle name="40% - Accent6 2 5 2 2 8" xfId="23974" xr:uid="{00000000-0005-0000-0000-0000EE5E0000}"/>
    <cellStyle name="40% - Accent6 2 5 2 2 8 2" xfId="43213" xr:uid="{00000000-0005-0000-0000-0000EF5E0000}"/>
    <cellStyle name="40% - Accent6 2 5 2 2 9" xfId="33515" xr:uid="{00000000-0005-0000-0000-0000F05E0000}"/>
    <cellStyle name="40% - Accent6 2 5 2 3" xfId="13234" xr:uid="{00000000-0005-0000-0000-0000F15E0000}"/>
    <cellStyle name="40% - Accent6 2 5 2 3 10" xfId="53691" xr:uid="{00000000-0005-0000-0000-0000F25E0000}"/>
    <cellStyle name="40% - Accent6 2 5 2 3 2" xfId="14168" xr:uid="{00000000-0005-0000-0000-0000F35E0000}"/>
    <cellStyle name="40% - Accent6 2 5 2 3 2 2" xfId="16432" xr:uid="{00000000-0005-0000-0000-0000F45E0000}"/>
    <cellStyle name="40% - Accent6 2 5 2 3 2 2 2" xfId="20896" xr:uid="{00000000-0005-0000-0000-0000F55E0000}"/>
    <cellStyle name="40% - Accent6 2 5 2 3 2 2 2 2" xfId="31264" xr:uid="{00000000-0005-0000-0000-0000F65E0000}"/>
    <cellStyle name="40% - Accent6 2 5 2 3 2 2 2 2 2" xfId="50453" xr:uid="{00000000-0005-0000-0000-0000F75E0000}"/>
    <cellStyle name="40% - Accent6 2 5 2 3 2 2 2 3" xfId="40755" xr:uid="{00000000-0005-0000-0000-0000F85E0000}"/>
    <cellStyle name="40% - Accent6 2 5 2 3 2 2 3" xfId="26809" xr:uid="{00000000-0005-0000-0000-0000F95E0000}"/>
    <cellStyle name="40% - Accent6 2 5 2 3 2 2 3 2" xfId="45998" xr:uid="{00000000-0005-0000-0000-0000FA5E0000}"/>
    <cellStyle name="40% - Accent6 2 5 2 3 2 2 4" xfId="36300" xr:uid="{00000000-0005-0000-0000-0000FB5E0000}"/>
    <cellStyle name="40% - Accent6 2 5 2 3 2 3" xfId="18668" xr:uid="{00000000-0005-0000-0000-0000FC5E0000}"/>
    <cellStyle name="40% - Accent6 2 5 2 3 2 3 2" xfId="29036" xr:uid="{00000000-0005-0000-0000-0000FD5E0000}"/>
    <cellStyle name="40% - Accent6 2 5 2 3 2 3 2 2" xfId="48225" xr:uid="{00000000-0005-0000-0000-0000FE5E0000}"/>
    <cellStyle name="40% - Accent6 2 5 2 3 2 3 3" xfId="38527" xr:uid="{00000000-0005-0000-0000-0000FF5E0000}"/>
    <cellStyle name="40% - Accent6 2 5 2 3 2 4" xfId="24576" xr:uid="{00000000-0005-0000-0000-0000005F0000}"/>
    <cellStyle name="40% - Accent6 2 5 2 3 2 4 2" xfId="43770" xr:uid="{00000000-0005-0000-0000-0000015F0000}"/>
    <cellStyle name="40% - Accent6 2 5 2 3 2 5" xfId="34072" xr:uid="{00000000-0005-0000-0000-0000025F0000}"/>
    <cellStyle name="40% - Accent6 2 5 2 3 3" xfId="14747" xr:uid="{00000000-0005-0000-0000-0000035F0000}"/>
    <cellStyle name="40% - Accent6 2 5 2 3 3 2" xfId="15876" xr:uid="{00000000-0005-0000-0000-0000045F0000}"/>
    <cellStyle name="40% - Accent6 2 5 2 3 3 2 2" xfId="20340" xr:uid="{00000000-0005-0000-0000-0000055F0000}"/>
    <cellStyle name="40% - Accent6 2 5 2 3 3 2 2 2" xfId="30708" xr:uid="{00000000-0005-0000-0000-0000065F0000}"/>
    <cellStyle name="40% - Accent6 2 5 2 3 3 2 2 2 2" xfId="49897" xr:uid="{00000000-0005-0000-0000-0000075F0000}"/>
    <cellStyle name="40% - Accent6 2 5 2 3 3 2 2 3" xfId="40199" xr:uid="{00000000-0005-0000-0000-0000085F0000}"/>
    <cellStyle name="40% - Accent6 2 5 2 3 3 2 3" xfId="26253" xr:uid="{00000000-0005-0000-0000-0000095F0000}"/>
    <cellStyle name="40% - Accent6 2 5 2 3 3 2 3 2" xfId="45442" xr:uid="{00000000-0005-0000-0000-00000A5F0000}"/>
    <cellStyle name="40% - Accent6 2 5 2 3 3 2 4" xfId="35744" xr:uid="{00000000-0005-0000-0000-00000B5F0000}"/>
    <cellStyle name="40% - Accent6 2 5 2 3 3 3" xfId="19225" xr:uid="{00000000-0005-0000-0000-00000C5F0000}"/>
    <cellStyle name="40% - Accent6 2 5 2 3 3 3 2" xfId="29593" xr:uid="{00000000-0005-0000-0000-00000D5F0000}"/>
    <cellStyle name="40% - Accent6 2 5 2 3 3 3 2 2" xfId="48782" xr:uid="{00000000-0005-0000-0000-00000E5F0000}"/>
    <cellStyle name="40% - Accent6 2 5 2 3 3 3 3" xfId="39084" xr:uid="{00000000-0005-0000-0000-00000F5F0000}"/>
    <cellStyle name="40% - Accent6 2 5 2 3 3 4" xfId="25138" xr:uid="{00000000-0005-0000-0000-0000105F0000}"/>
    <cellStyle name="40% - Accent6 2 5 2 3 3 4 2" xfId="44327" xr:uid="{00000000-0005-0000-0000-0000115F0000}"/>
    <cellStyle name="40% - Accent6 2 5 2 3 3 5" xfId="34629" xr:uid="{00000000-0005-0000-0000-0000125F0000}"/>
    <cellStyle name="40% - Accent6 2 5 2 3 4" xfId="15319" xr:uid="{00000000-0005-0000-0000-0000135F0000}"/>
    <cellStyle name="40% - Accent6 2 5 2 3 4 2" xfId="19783" xr:uid="{00000000-0005-0000-0000-0000145F0000}"/>
    <cellStyle name="40% - Accent6 2 5 2 3 4 2 2" xfId="30151" xr:uid="{00000000-0005-0000-0000-0000155F0000}"/>
    <cellStyle name="40% - Accent6 2 5 2 3 4 2 2 2" xfId="49340" xr:uid="{00000000-0005-0000-0000-0000165F0000}"/>
    <cellStyle name="40% - Accent6 2 5 2 3 4 2 3" xfId="39642" xr:uid="{00000000-0005-0000-0000-0000175F0000}"/>
    <cellStyle name="40% - Accent6 2 5 2 3 4 3" xfId="25696" xr:uid="{00000000-0005-0000-0000-0000185F0000}"/>
    <cellStyle name="40% - Accent6 2 5 2 3 4 3 2" xfId="44885" xr:uid="{00000000-0005-0000-0000-0000195F0000}"/>
    <cellStyle name="40% - Accent6 2 5 2 3 4 4" xfId="35187" xr:uid="{00000000-0005-0000-0000-00001A5F0000}"/>
    <cellStyle name="40% - Accent6 2 5 2 3 5" xfId="16989" xr:uid="{00000000-0005-0000-0000-00001B5F0000}"/>
    <cellStyle name="40% - Accent6 2 5 2 3 5 2" xfId="21453" xr:uid="{00000000-0005-0000-0000-00001C5F0000}"/>
    <cellStyle name="40% - Accent6 2 5 2 3 5 2 2" xfId="31821" xr:uid="{00000000-0005-0000-0000-00001D5F0000}"/>
    <cellStyle name="40% - Accent6 2 5 2 3 5 2 2 2" xfId="51010" xr:uid="{00000000-0005-0000-0000-00001E5F0000}"/>
    <cellStyle name="40% - Accent6 2 5 2 3 5 2 3" xfId="41312" xr:uid="{00000000-0005-0000-0000-00001F5F0000}"/>
    <cellStyle name="40% - Accent6 2 5 2 3 5 3" xfId="27366" xr:uid="{00000000-0005-0000-0000-0000205F0000}"/>
    <cellStyle name="40% - Accent6 2 5 2 3 5 3 2" xfId="46555" xr:uid="{00000000-0005-0000-0000-0000215F0000}"/>
    <cellStyle name="40% - Accent6 2 5 2 3 5 4" xfId="36857" xr:uid="{00000000-0005-0000-0000-0000225F0000}"/>
    <cellStyle name="40% - Accent6 2 5 2 3 6" xfId="17555" xr:uid="{00000000-0005-0000-0000-0000235F0000}"/>
    <cellStyle name="40% - Accent6 2 5 2 3 6 2" xfId="22010" xr:uid="{00000000-0005-0000-0000-0000245F0000}"/>
    <cellStyle name="40% - Accent6 2 5 2 3 6 2 2" xfId="32378" xr:uid="{00000000-0005-0000-0000-0000255F0000}"/>
    <cellStyle name="40% - Accent6 2 5 2 3 6 2 2 2" xfId="51567" xr:uid="{00000000-0005-0000-0000-0000265F0000}"/>
    <cellStyle name="40% - Accent6 2 5 2 3 6 2 3" xfId="41869" xr:uid="{00000000-0005-0000-0000-0000275F0000}"/>
    <cellStyle name="40% - Accent6 2 5 2 3 6 3" xfId="27923" xr:uid="{00000000-0005-0000-0000-0000285F0000}"/>
    <cellStyle name="40% - Accent6 2 5 2 3 6 3 2" xfId="47112" xr:uid="{00000000-0005-0000-0000-0000295F0000}"/>
    <cellStyle name="40% - Accent6 2 5 2 3 6 4" xfId="37414" xr:uid="{00000000-0005-0000-0000-00002A5F0000}"/>
    <cellStyle name="40% - Accent6 2 5 2 3 7" xfId="18112" xr:uid="{00000000-0005-0000-0000-00002B5F0000}"/>
    <cellStyle name="40% - Accent6 2 5 2 3 7 2" xfId="28480" xr:uid="{00000000-0005-0000-0000-00002C5F0000}"/>
    <cellStyle name="40% - Accent6 2 5 2 3 7 2 2" xfId="47669" xr:uid="{00000000-0005-0000-0000-00002D5F0000}"/>
    <cellStyle name="40% - Accent6 2 5 2 3 7 3" xfId="37971" xr:uid="{00000000-0005-0000-0000-00002E5F0000}"/>
    <cellStyle name="40% - Accent6 2 5 2 3 8" xfId="23975" xr:uid="{00000000-0005-0000-0000-00002F5F0000}"/>
    <cellStyle name="40% - Accent6 2 5 2 3 8 2" xfId="43214" xr:uid="{00000000-0005-0000-0000-0000305F0000}"/>
    <cellStyle name="40% - Accent6 2 5 2 3 9" xfId="33516" xr:uid="{00000000-0005-0000-0000-0000315F0000}"/>
    <cellStyle name="40% - Accent6 2 5 2 4" xfId="14166" xr:uid="{00000000-0005-0000-0000-0000325F0000}"/>
    <cellStyle name="40% - Accent6 2 5 2 4 2" xfId="16430" xr:uid="{00000000-0005-0000-0000-0000335F0000}"/>
    <cellStyle name="40% - Accent6 2 5 2 4 2 2" xfId="20894" xr:uid="{00000000-0005-0000-0000-0000345F0000}"/>
    <cellStyle name="40% - Accent6 2 5 2 4 2 2 2" xfId="31262" xr:uid="{00000000-0005-0000-0000-0000355F0000}"/>
    <cellStyle name="40% - Accent6 2 5 2 4 2 2 2 2" xfId="50451" xr:uid="{00000000-0005-0000-0000-0000365F0000}"/>
    <cellStyle name="40% - Accent6 2 5 2 4 2 2 3" xfId="40753" xr:uid="{00000000-0005-0000-0000-0000375F0000}"/>
    <cellStyle name="40% - Accent6 2 5 2 4 2 3" xfId="26807" xr:uid="{00000000-0005-0000-0000-0000385F0000}"/>
    <cellStyle name="40% - Accent6 2 5 2 4 2 3 2" xfId="45996" xr:uid="{00000000-0005-0000-0000-0000395F0000}"/>
    <cellStyle name="40% - Accent6 2 5 2 4 2 4" xfId="36298" xr:uid="{00000000-0005-0000-0000-00003A5F0000}"/>
    <cellStyle name="40% - Accent6 2 5 2 4 3" xfId="18666" xr:uid="{00000000-0005-0000-0000-00003B5F0000}"/>
    <cellStyle name="40% - Accent6 2 5 2 4 3 2" xfId="29034" xr:uid="{00000000-0005-0000-0000-00003C5F0000}"/>
    <cellStyle name="40% - Accent6 2 5 2 4 3 2 2" xfId="48223" xr:uid="{00000000-0005-0000-0000-00003D5F0000}"/>
    <cellStyle name="40% - Accent6 2 5 2 4 3 3" xfId="38525" xr:uid="{00000000-0005-0000-0000-00003E5F0000}"/>
    <cellStyle name="40% - Accent6 2 5 2 4 4" xfId="24574" xr:uid="{00000000-0005-0000-0000-00003F5F0000}"/>
    <cellStyle name="40% - Accent6 2 5 2 4 4 2" xfId="43768" xr:uid="{00000000-0005-0000-0000-0000405F0000}"/>
    <cellStyle name="40% - Accent6 2 5 2 4 5" xfId="34070" xr:uid="{00000000-0005-0000-0000-0000415F0000}"/>
    <cellStyle name="40% - Accent6 2 5 2 5" xfId="14745" xr:uid="{00000000-0005-0000-0000-0000425F0000}"/>
    <cellStyle name="40% - Accent6 2 5 2 5 2" xfId="15874" xr:uid="{00000000-0005-0000-0000-0000435F0000}"/>
    <cellStyle name="40% - Accent6 2 5 2 5 2 2" xfId="20338" xr:uid="{00000000-0005-0000-0000-0000445F0000}"/>
    <cellStyle name="40% - Accent6 2 5 2 5 2 2 2" xfId="30706" xr:uid="{00000000-0005-0000-0000-0000455F0000}"/>
    <cellStyle name="40% - Accent6 2 5 2 5 2 2 2 2" xfId="49895" xr:uid="{00000000-0005-0000-0000-0000465F0000}"/>
    <cellStyle name="40% - Accent6 2 5 2 5 2 2 3" xfId="40197" xr:uid="{00000000-0005-0000-0000-0000475F0000}"/>
    <cellStyle name="40% - Accent6 2 5 2 5 2 3" xfId="26251" xr:uid="{00000000-0005-0000-0000-0000485F0000}"/>
    <cellStyle name="40% - Accent6 2 5 2 5 2 3 2" xfId="45440" xr:uid="{00000000-0005-0000-0000-0000495F0000}"/>
    <cellStyle name="40% - Accent6 2 5 2 5 2 4" xfId="35742" xr:uid="{00000000-0005-0000-0000-00004A5F0000}"/>
    <cellStyle name="40% - Accent6 2 5 2 5 3" xfId="19223" xr:uid="{00000000-0005-0000-0000-00004B5F0000}"/>
    <cellStyle name="40% - Accent6 2 5 2 5 3 2" xfId="29591" xr:uid="{00000000-0005-0000-0000-00004C5F0000}"/>
    <cellStyle name="40% - Accent6 2 5 2 5 3 2 2" xfId="48780" xr:uid="{00000000-0005-0000-0000-00004D5F0000}"/>
    <cellStyle name="40% - Accent6 2 5 2 5 3 3" xfId="39082" xr:uid="{00000000-0005-0000-0000-00004E5F0000}"/>
    <cellStyle name="40% - Accent6 2 5 2 5 4" xfId="25136" xr:uid="{00000000-0005-0000-0000-00004F5F0000}"/>
    <cellStyle name="40% - Accent6 2 5 2 5 4 2" xfId="44325" xr:uid="{00000000-0005-0000-0000-0000505F0000}"/>
    <cellStyle name="40% - Accent6 2 5 2 5 5" xfId="34627" xr:uid="{00000000-0005-0000-0000-0000515F0000}"/>
    <cellStyle name="40% - Accent6 2 5 2 6" xfId="15317" xr:uid="{00000000-0005-0000-0000-0000525F0000}"/>
    <cellStyle name="40% - Accent6 2 5 2 6 2" xfId="19781" xr:uid="{00000000-0005-0000-0000-0000535F0000}"/>
    <cellStyle name="40% - Accent6 2 5 2 6 2 2" xfId="30149" xr:uid="{00000000-0005-0000-0000-0000545F0000}"/>
    <cellStyle name="40% - Accent6 2 5 2 6 2 2 2" xfId="49338" xr:uid="{00000000-0005-0000-0000-0000555F0000}"/>
    <cellStyle name="40% - Accent6 2 5 2 6 2 3" xfId="39640" xr:uid="{00000000-0005-0000-0000-0000565F0000}"/>
    <cellStyle name="40% - Accent6 2 5 2 6 3" xfId="25694" xr:uid="{00000000-0005-0000-0000-0000575F0000}"/>
    <cellStyle name="40% - Accent6 2 5 2 6 3 2" xfId="44883" xr:uid="{00000000-0005-0000-0000-0000585F0000}"/>
    <cellStyle name="40% - Accent6 2 5 2 6 4" xfId="35185" xr:uid="{00000000-0005-0000-0000-0000595F0000}"/>
    <cellStyle name="40% - Accent6 2 5 2 7" xfId="16987" xr:uid="{00000000-0005-0000-0000-00005A5F0000}"/>
    <cellStyle name="40% - Accent6 2 5 2 7 2" xfId="21451" xr:uid="{00000000-0005-0000-0000-00005B5F0000}"/>
    <cellStyle name="40% - Accent6 2 5 2 7 2 2" xfId="31819" xr:uid="{00000000-0005-0000-0000-00005C5F0000}"/>
    <cellStyle name="40% - Accent6 2 5 2 7 2 2 2" xfId="51008" xr:uid="{00000000-0005-0000-0000-00005D5F0000}"/>
    <cellStyle name="40% - Accent6 2 5 2 7 2 3" xfId="41310" xr:uid="{00000000-0005-0000-0000-00005E5F0000}"/>
    <cellStyle name="40% - Accent6 2 5 2 7 3" xfId="27364" xr:uid="{00000000-0005-0000-0000-00005F5F0000}"/>
    <cellStyle name="40% - Accent6 2 5 2 7 3 2" xfId="46553" xr:uid="{00000000-0005-0000-0000-0000605F0000}"/>
    <cellStyle name="40% - Accent6 2 5 2 7 4" xfId="36855" xr:uid="{00000000-0005-0000-0000-0000615F0000}"/>
    <cellStyle name="40% - Accent6 2 5 2 8" xfId="17553" xr:uid="{00000000-0005-0000-0000-0000625F0000}"/>
    <cellStyle name="40% - Accent6 2 5 2 8 2" xfId="22008" xr:uid="{00000000-0005-0000-0000-0000635F0000}"/>
    <cellStyle name="40% - Accent6 2 5 2 8 2 2" xfId="32376" xr:uid="{00000000-0005-0000-0000-0000645F0000}"/>
    <cellStyle name="40% - Accent6 2 5 2 8 2 2 2" xfId="51565" xr:uid="{00000000-0005-0000-0000-0000655F0000}"/>
    <cellStyle name="40% - Accent6 2 5 2 8 2 3" xfId="41867" xr:uid="{00000000-0005-0000-0000-0000665F0000}"/>
    <cellStyle name="40% - Accent6 2 5 2 8 3" xfId="27921" xr:uid="{00000000-0005-0000-0000-0000675F0000}"/>
    <cellStyle name="40% - Accent6 2 5 2 8 3 2" xfId="47110" xr:uid="{00000000-0005-0000-0000-0000685F0000}"/>
    <cellStyle name="40% - Accent6 2 5 2 8 4" xfId="37412" xr:uid="{00000000-0005-0000-0000-0000695F0000}"/>
    <cellStyle name="40% - Accent6 2 5 2 9" xfId="18110" xr:uid="{00000000-0005-0000-0000-00006A5F0000}"/>
    <cellStyle name="40% - Accent6 2 5 2 9 2" xfId="28478" xr:uid="{00000000-0005-0000-0000-00006B5F0000}"/>
    <cellStyle name="40% - Accent6 2 5 2 9 2 2" xfId="47667" xr:uid="{00000000-0005-0000-0000-00006C5F0000}"/>
    <cellStyle name="40% - Accent6 2 5 2 9 3" xfId="37969" xr:uid="{00000000-0005-0000-0000-00006D5F0000}"/>
    <cellStyle name="40% - Accent6 2 5 3" xfId="13235" xr:uid="{00000000-0005-0000-0000-00006E5F0000}"/>
    <cellStyle name="40% - Accent6 2 5 3 10" xfId="53016" xr:uid="{00000000-0005-0000-0000-00006F5F0000}"/>
    <cellStyle name="40% - Accent6 2 5 3 2" xfId="14169" xr:uid="{00000000-0005-0000-0000-0000705F0000}"/>
    <cellStyle name="40% - Accent6 2 5 3 2 2" xfId="16433" xr:uid="{00000000-0005-0000-0000-0000715F0000}"/>
    <cellStyle name="40% - Accent6 2 5 3 2 2 2" xfId="20897" xr:uid="{00000000-0005-0000-0000-0000725F0000}"/>
    <cellStyle name="40% - Accent6 2 5 3 2 2 2 2" xfId="31265" xr:uid="{00000000-0005-0000-0000-0000735F0000}"/>
    <cellStyle name="40% - Accent6 2 5 3 2 2 2 2 2" xfId="50454" xr:uid="{00000000-0005-0000-0000-0000745F0000}"/>
    <cellStyle name="40% - Accent6 2 5 3 2 2 2 3" xfId="40756" xr:uid="{00000000-0005-0000-0000-0000755F0000}"/>
    <cellStyle name="40% - Accent6 2 5 3 2 2 3" xfId="26810" xr:uid="{00000000-0005-0000-0000-0000765F0000}"/>
    <cellStyle name="40% - Accent6 2 5 3 2 2 3 2" xfId="45999" xr:uid="{00000000-0005-0000-0000-0000775F0000}"/>
    <cellStyle name="40% - Accent6 2 5 3 2 2 4" xfId="36301" xr:uid="{00000000-0005-0000-0000-0000785F0000}"/>
    <cellStyle name="40% - Accent6 2 5 3 2 3" xfId="18669" xr:uid="{00000000-0005-0000-0000-0000795F0000}"/>
    <cellStyle name="40% - Accent6 2 5 3 2 3 2" xfId="29037" xr:uid="{00000000-0005-0000-0000-00007A5F0000}"/>
    <cellStyle name="40% - Accent6 2 5 3 2 3 2 2" xfId="48226" xr:uid="{00000000-0005-0000-0000-00007B5F0000}"/>
    <cellStyle name="40% - Accent6 2 5 3 2 3 3" xfId="38528" xr:uid="{00000000-0005-0000-0000-00007C5F0000}"/>
    <cellStyle name="40% - Accent6 2 5 3 2 4" xfId="24577" xr:uid="{00000000-0005-0000-0000-00007D5F0000}"/>
    <cellStyle name="40% - Accent6 2 5 3 2 4 2" xfId="43771" xr:uid="{00000000-0005-0000-0000-00007E5F0000}"/>
    <cellStyle name="40% - Accent6 2 5 3 2 5" xfId="34073" xr:uid="{00000000-0005-0000-0000-00007F5F0000}"/>
    <cellStyle name="40% - Accent6 2 5 3 2 6" xfId="53891" xr:uid="{00000000-0005-0000-0000-0000805F0000}"/>
    <cellStyle name="40% - Accent6 2 5 3 3" xfId="14748" xr:uid="{00000000-0005-0000-0000-0000815F0000}"/>
    <cellStyle name="40% - Accent6 2 5 3 3 2" xfId="15877" xr:uid="{00000000-0005-0000-0000-0000825F0000}"/>
    <cellStyle name="40% - Accent6 2 5 3 3 2 2" xfId="20341" xr:uid="{00000000-0005-0000-0000-0000835F0000}"/>
    <cellStyle name="40% - Accent6 2 5 3 3 2 2 2" xfId="30709" xr:uid="{00000000-0005-0000-0000-0000845F0000}"/>
    <cellStyle name="40% - Accent6 2 5 3 3 2 2 2 2" xfId="49898" xr:uid="{00000000-0005-0000-0000-0000855F0000}"/>
    <cellStyle name="40% - Accent6 2 5 3 3 2 2 3" xfId="40200" xr:uid="{00000000-0005-0000-0000-0000865F0000}"/>
    <cellStyle name="40% - Accent6 2 5 3 3 2 3" xfId="26254" xr:uid="{00000000-0005-0000-0000-0000875F0000}"/>
    <cellStyle name="40% - Accent6 2 5 3 3 2 3 2" xfId="45443" xr:uid="{00000000-0005-0000-0000-0000885F0000}"/>
    <cellStyle name="40% - Accent6 2 5 3 3 2 4" xfId="35745" xr:uid="{00000000-0005-0000-0000-0000895F0000}"/>
    <cellStyle name="40% - Accent6 2 5 3 3 3" xfId="19226" xr:uid="{00000000-0005-0000-0000-00008A5F0000}"/>
    <cellStyle name="40% - Accent6 2 5 3 3 3 2" xfId="29594" xr:uid="{00000000-0005-0000-0000-00008B5F0000}"/>
    <cellStyle name="40% - Accent6 2 5 3 3 3 2 2" xfId="48783" xr:uid="{00000000-0005-0000-0000-00008C5F0000}"/>
    <cellStyle name="40% - Accent6 2 5 3 3 3 3" xfId="39085" xr:uid="{00000000-0005-0000-0000-00008D5F0000}"/>
    <cellStyle name="40% - Accent6 2 5 3 3 4" xfId="25139" xr:uid="{00000000-0005-0000-0000-00008E5F0000}"/>
    <cellStyle name="40% - Accent6 2 5 3 3 4 2" xfId="44328" xr:uid="{00000000-0005-0000-0000-00008F5F0000}"/>
    <cellStyle name="40% - Accent6 2 5 3 3 5" xfId="34630" xr:uid="{00000000-0005-0000-0000-0000905F0000}"/>
    <cellStyle name="40% - Accent6 2 5 3 4" xfId="15320" xr:uid="{00000000-0005-0000-0000-0000915F0000}"/>
    <cellStyle name="40% - Accent6 2 5 3 4 2" xfId="19784" xr:uid="{00000000-0005-0000-0000-0000925F0000}"/>
    <cellStyle name="40% - Accent6 2 5 3 4 2 2" xfId="30152" xr:uid="{00000000-0005-0000-0000-0000935F0000}"/>
    <cellStyle name="40% - Accent6 2 5 3 4 2 2 2" xfId="49341" xr:uid="{00000000-0005-0000-0000-0000945F0000}"/>
    <cellStyle name="40% - Accent6 2 5 3 4 2 3" xfId="39643" xr:uid="{00000000-0005-0000-0000-0000955F0000}"/>
    <cellStyle name="40% - Accent6 2 5 3 4 3" xfId="25697" xr:uid="{00000000-0005-0000-0000-0000965F0000}"/>
    <cellStyle name="40% - Accent6 2 5 3 4 3 2" xfId="44886" xr:uid="{00000000-0005-0000-0000-0000975F0000}"/>
    <cellStyle name="40% - Accent6 2 5 3 4 4" xfId="35188" xr:uid="{00000000-0005-0000-0000-0000985F0000}"/>
    <cellStyle name="40% - Accent6 2 5 3 5" xfId="16990" xr:uid="{00000000-0005-0000-0000-0000995F0000}"/>
    <cellStyle name="40% - Accent6 2 5 3 5 2" xfId="21454" xr:uid="{00000000-0005-0000-0000-00009A5F0000}"/>
    <cellStyle name="40% - Accent6 2 5 3 5 2 2" xfId="31822" xr:uid="{00000000-0005-0000-0000-00009B5F0000}"/>
    <cellStyle name="40% - Accent6 2 5 3 5 2 2 2" xfId="51011" xr:uid="{00000000-0005-0000-0000-00009C5F0000}"/>
    <cellStyle name="40% - Accent6 2 5 3 5 2 3" xfId="41313" xr:uid="{00000000-0005-0000-0000-00009D5F0000}"/>
    <cellStyle name="40% - Accent6 2 5 3 5 3" xfId="27367" xr:uid="{00000000-0005-0000-0000-00009E5F0000}"/>
    <cellStyle name="40% - Accent6 2 5 3 5 3 2" xfId="46556" xr:uid="{00000000-0005-0000-0000-00009F5F0000}"/>
    <cellStyle name="40% - Accent6 2 5 3 5 4" xfId="36858" xr:uid="{00000000-0005-0000-0000-0000A05F0000}"/>
    <cellStyle name="40% - Accent6 2 5 3 6" xfId="17556" xr:uid="{00000000-0005-0000-0000-0000A15F0000}"/>
    <cellStyle name="40% - Accent6 2 5 3 6 2" xfId="22011" xr:uid="{00000000-0005-0000-0000-0000A25F0000}"/>
    <cellStyle name="40% - Accent6 2 5 3 6 2 2" xfId="32379" xr:uid="{00000000-0005-0000-0000-0000A35F0000}"/>
    <cellStyle name="40% - Accent6 2 5 3 6 2 2 2" xfId="51568" xr:uid="{00000000-0005-0000-0000-0000A45F0000}"/>
    <cellStyle name="40% - Accent6 2 5 3 6 2 3" xfId="41870" xr:uid="{00000000-0005-0000-0000-0000A55F0000}"/>
    <cellStyle name="40% - Accent6 2 5 3 6 3" xfId="27924" xr:uid="{00000000-0005-0000-0000-0000A65F0000}"/>
    <cellStyle name="40% - Accent6 2 5 3 6 3 2" xfId="47113" xr:uid="{00000000-0005-0000-0000-0000A75F0000}"/>
    <cellStyle name="40% - Accent6 2 5 3 6 4" xfId="37415" xr:uid="{00000000-0005-0000-0000-0000A85F0000}"/>
    <cellStyle name="40% - Accent6 2 5 3 7" xfId="18113" xr:uid="{00000000-0005-0000-0000-0000A95F0000}"/>
    <cellStyle name="40% - Accent6 2 5 3 7 2" xfId="28481" xr:uid="{00000000-0005-0000-0000-0000AA5F0000}"/>
    <cellStyle name="40% - Accent6 2 5 3 7 2 2" xfId="47670" xr:uid="{00000000-0005-0000-0000-0000AB5F0000}"/>
    <cellStyle name="40% - Accent6 2 5 3 7 3" xfId="37972" xr:uid="{00000000-0005-0000-0000-0000AC5F0000}"/>
    <cellStyle name="40% - Accent6 2 5 3 8" xfId="23976" xr:uid="{00000000-0005-0000-0000-0000AD5F0000}"/>
    <cellStyle name="40% - Accent6 2 5 3 8 2" xfId="43215" xr:uid="{00000000-0005-0000-0000-0000AE5F0000}"/>
    <cellStyle name="40% - Accent6 2 5 3 9" xfId="33517" xr:uid="{00000000-0005-0000-0000-0000AF5F0000}"/>
    <cellStyle name="40% - Accent6 2 5 4" xfId="13236" xr:uid="{00000000-0005-0000-0000-0000B05F0000}"/>
    <cellStyle name="40% - Accent6 2 5 4 10" xfId="53495" xr:uid="{00000000-0005-0000-0000-0000B15F0000}"/>
    <cellStyle name="40% - Accent6 2 5 4 2" xfId="14170" xr:uid="{00000000-0005-0000-0000-0000B25F0000}"/>
    <cellStyle name="40% - Accent6 2 5 4 2 2" xfId="16434" xr:uid="{00000000-0005-0000-0000-0000B35F0000}"/>
    <cellStyle name="40% - Accent6 2 5 4 2 2 2" xfId="20898" xr:uid="{00000000-0005-0000-0000-0000B45F0000}"/>
    <cellStyle name="40% - Accent6 2 5 4 2 2 2 2" xfId="31266" xr:uid="{00000000-0005-0000-0000-0000B55F0000}"/>
    <cellStyle name="40% - Accent6 2 5 4 2 2 2 2 2" xfId="50455" xr:uid="{00000000-0005-0000-0000-0000B65F0000}"/>
    <cellStyle name="40% - Accent6 2 5 4 2 2 2 3" xfId="40757" xr:uid="{00000000-0005-0000-0000-0000B75F0000}"/>
    <cellStyle name="40% - Accent6 2 5 4 2 2 3" xfId="26811" xr:uid="{00000000-0005-0000-0000-0000B85F0000}"/>
    <cellStyle name="40% - Accent6 2 5 4 2 2 3 2" xfId="46000" xr:uid="{00000000-0005-0000-0000-0000B95F0000}"/>
    <cellStyle name="40% - Accent6 2 5 4 2 2 4" xfId="36302" xr:uid="{00000000-0005-0000-0000-0000BA5F0000}"/>
    <cellStyle name="40% - Accent6 2 5 4 2 3" xfId="18670" xr:uid="{00000000-0005-0000-0000-0000BB5F0000}"/>
    <cellStyle name="40% - Accent6 2 5 4 2 3 2" xfId="29038" xr:uid="{00000000-0005-0000-0000-0000BC5F0000}"/>
    <cellStyle name="40% - Accent6 2 5 4 2 3 2 2" xfId="48227" xr:uid="{00000000-0005-0000-0000-0000BD5F0000}"/>
    <cellStyle name="40% - Accent6 2 5 4 2 3 3" xfId="38529" xr:uid="{00000000-0005-0000-0000-0000BE5F0000}"/>
    <cellStyle name="40% - Accent6 2 5 4 2 4" xfId="24578" xr:uid="{00000000-0005-0000-0000-0000BF5F0000}"/>
    <cellStyle name="40% - Accent6 2 5 4 2 4 2" xfId="43772" xr:uid="{00000000-0005-0000-0000-0000C05F0000}"/>
    <cellStyle name="40% - Accent6 2 5 4 2 5" xfId="34074" xr:uid="{00000000-0005-0000-0000-0000C15F0000}"/>
    <cellStyle name="40% - Accent6 2 5 4 3" xfId="14749" xr:uid="{00000000-0005-0000-0000-0000C25F0000}"/>
    <cellStyle name="40% - Accent6 2 5 4 3 2" xfId="15878" xr:uid="{00000000-0005-0000-0000-0000C35F0000}"/>
    <cellStyle name="40% - Accent6 2 5 4 3 2 2" xfId="20342" xr:uid="{00000000-0005-0000-0000-0000C45F0000}"/>
    <cellStyle name="40% - Accent6 2 5 4 3 2 2 2" xfId="30710" xr:uid="{00000000-0005-0000-0000-0000C55F0000}"/>
    <cellStyle name="40% - Accent6 2 5 4 3 2 2 2 2" xfId="49899" xr:uid="{00000000-0005-0000-0000-0000C65F0000}"/>
    <cellStyle name="40% - Accent6 2 5 4 3 2 2 3" xfId="40201" xr:uid="{00000000-0005-0000-0000-0000C75F0000}"/>
    <cellStyle name="40% - Accent6 2 5 4 3 2 3" xfId="26255" xr:uid="{00000000-0005-0000-0000-0000C85F0000}"/>
    <cellStyle name="40% - Accent6 2 5 4 3 2 3 2" xfId="45444" xr:uid="{00000000-0005-0000-0000-0000C95F0000}"/>
    <cellStyle name="40% - Accent6 2 5 4 3 2 4" xfId="35746" xr:uid="{00000000-0005-0000-0000-0000CA5F0000}"/>
    <cellStyle name="40% - Accent6 2 5 4 3 3" xfId="19227" xr:uid="{00000000-0005-0000-0000-0000CB5F0000}"/>
    <cellStyle name="40% - Accent6 2 5 4 3 3 2" xfId="29595" xr:uid="{00000000-0005-0000-0000-0000CC5F0000}"/>
    <cellStyle name="40% - Accent6 2 5 4 3 3 2 2" xfId="48784" xr:uid="{00000000-0005-0000-0000-0000CD5F0000}"/>
    <cellStyle name="40% - Accent6 2 5 4 3 3 3" xfId="39086" xr:uid="{00000000-0005-0000-0000-0000CE5F0000}"/>
    <cellStyle name="40% - Accent6 2 5 4 3 4" xfId="25140" xr:uid="{00000000-0005-0000-0000-0000CF5F0000}"/>
    <cellStyle name="40% - Accent6 2 5 4 3 4 2" xfId="44329" xr:uid="{00000000-0005-0000-0000-0000D05F0000}"/>
    <cellStyle name="40% - Accent6 2 5 4 3 5" xfId="34631" xr:uid="{00000000-0005-0000-0000-0000D15F0000}"/>
    <cellStyle name="40% - Accent6 2 5 4 4" xfId="15321" xr:uid="{00000000-0005-0000-0000-0000D25F0000}"/>
    <cellStyle name="40% - Accent6 2 5 4 4 2" xfId="19785" xr:uid="{00000000-0005-0000-0000-0000D35F0000}"/>
    <cellStyle name="40% - Accent6 2 5 4 4 2 2" xfId="30153" xr:uid="{00000000-0005-0000-0000-0000D45F0000}"/>
    <cellStyle name="40% - Accent6 2 5 4 4 2 2 2" xfId="49342" xr:uid="{00000000-0005-0000-0000-0000D55F0000}"/>
    <cellStyle name="40% - Accent6 2 5 4 4 2 3" xfId="39644" xr:uid="{00000000-0005-0000-0000-0000D65F0000}"/>
    <cellStyle name="40% - Accent6 2 5 4 4 3" xfId="25698" xr:uid="{00000000-0005-0000-0000-0000D75F0000}"/>
    <cellStyle name="40% - Accent6 2 5 4 4 3 2" xfId="44887" xr:uid="{00000000-0005-0000-0000-0000D85F0000}"/>
    <cellStyle name="40% - Accent6 2 5 4 4 4" xfId="35189" xr:uid="{00000000-0005-0000-0000-0000D95F0000}"/>
    <cellStyle name="40% - Accent6 2 5 4 5" xfId="16991" xr:uid="{00000000-0005-0000-0000-0000DA5F0000}"/>
    <cellStyle name="40% - Accent6 2 5 4 5 2" xfId="21455" xr:uid="{00000000-0005-0000-0000-0000DB5F0000}"/>
    <cellStyle name="40% - Accent6 2 5 4 5 2 2" xfId="31823" xr:uid="{00000000-0005-0000-0000-0000DC5F0000}"/>
    <cellStyle name="40% - Accent6 2 5 4 5 2 2 2" xfId="51012" xr:uid="{00000000-0005-0000-0000-0000DD5F0000}"/>
    <cellStyle name="40% - Accent6 2 5 4 5 2 3" xfId="41314" xr:uid="{00000000-0005-0000-0000-0000DE5F0000}"/>
    <cellStyle name="40% - Accent6 2 5 4 5 3" xfId="27368" xr:uid="{00000000-0005-0000-0000-0000DF5F0000}"/>
    <cellStyle name="40% - Accent6 2 5 4 5 3 2" xfId="46557" xr:uid="{00000000-0005-0000-0000-0000E05F0000}"/>
    <cellStyle name="40% - Accent6 2 5 4 5 4" xfId="36859" xr:uid="{00000000-0005-0000-0000-0000E15F0000}"/>
    <cellStyle name="40% - Accent6 2 5 4 6" xfId="17557" xr:uid="{00000000-0005-0000-0000-0000E25F0000}"/>
    <cellStyle name="40% - Accent6 2 5 4 6 2" xfId="22012" xr:uid="{00000000-0005-0000-0000-0000E35F0000}"/>
    <cellStyle name="40% - Accent6 2 5 4 6 2 2" xfId="32380" xr:uid="{00000000-0005-0000-0000-0000E45F0000}"/>
    <cellStyle name="40% - Accent6 2 5 4 6 2 2 2" xfId="51569" xr:uid="{00000000-0005-0000-0000-0000E55F0000}"/>
    <cellStyle name="40% - Accent6 2 5 4 6 2 3" xfId="41871" xr:uid="{00000000-0005-0000-0000-0000E65F0000}"/>
    <cellStyle name="40% - Accent6 2 5 4 6 3" xfId="27925" xr:uid="{00000000-0005-0000-0000-0000E75F0000}"/>
    <cellStyle name="40% - Accent6 2 5 4 6 3 2" xfId="47114" xr:uid="{00000000-0005-0000-0000-0000E85F0000}"/>
    <cellStyle name="40% - Accent6 2 5 4 6 4" xfId="37416" xr:uid="{00000000-0005-0000-0000-0000E95F0000}"/>
    <cellStyle name="40% - Accent6 2 5 4 7" xfId="18114" xr:uid="{00000000-0005-0000-0000-0000EA5F0000}"/>
    <cellStyle name="40% - Accent6 2 5 4 7 2" xfId="28482" xr:uid="{00000000-0005-0000-0000-0000EB5F0000}"/>
    <cellStyle name="40% - Accent6 2 5 4 7 2 2" xfId="47671" xr:uid="{00000000-0005-0000-0000-0000EC5F0000}"/>
    <cellStyle name="40% - Accent6 2 5 4 7 3" xfId="37973" xr:uid="{00000000-0005-0000-0000-0000ED5F0000}"/>
    <cellStyle name="40% - Accent6 2 5 4 8" xfId="23977" xr:uid="{00000000-0005-0000-0000-0000EE5F0000}"/>
    <cellStyle name="40% - Accent6 2 5 4 8 2" xfId="43216" xr:uid="{00000000-0005-0000-0000-0000EF5F0000}"/>
    <cellStyle name="40% - Accent6 2 5 4 9" xfId="33518" xr:uid="{00000000-0005-0000-0000-0000F05F0000}"/>
    <cellStyle name="40% - Accent6 2 5 5" xfId="12279" xr:uid="{00000000-0005-0000-0000-0000F15F0000}"/>
    <cellStyle name="40% - Accent6 2 5 6" xfId="52606" xr:uid="{00000000-0005-0000-0000-0000F25F0000}"/>
    <cellStyle name="40% - Accent6 2 5 7" xfId="12029" xr:uid="{00000000-0005-0000-0000-0000F35F0000}"/>
    <cellStyle name="40% - Accent6 2 6" xfId="2048" xr:uid="{00000000-0005-0000-0000-0000F45F0000}"/>
    <cellStyle name="40% - Accent6 2 6 2" xfId="13237" xr:uid="{00000000-0005-0000-0000-0000F55F0000}"/>
    <cellStyle name="40% - Accent6 2 6 2 10" xfId="52839" xr:uid="{00000000-0005-0000-0000-0000F65F0000}"/>
    <cellStyle name="40% - Accent6 2 6 2 2" xfId="14171" xr:uid="{00000000-0005-0000-0000-0000F75F0000}"/>
    <cellStyle name="40% - Accent6 2 6 2 2 2" xfId="16435" xr:uid="{00000000-0005-0000-0000-0000F85F0000}"/>
    <cellStyle name="40% - Accent6 2 6 2 2 2 2" xfId="20899" xr:uid="{00000000-0005-0000-0000-0000F95F0000}"/>
    <cellStyle name="40% - Accent6 2 6 2 2 2 2 2" xfId="31267" xr:uid="{00000000-0005-0000-0000-0000FA5F0000}"/>
    <cellStyle name="40% - Accent6 2 6 2 2 2 2 2 2" xfId="50456" xr:uid="{00000000-0005-0000-0000-0000FB5F0000}"/>
    <cellStyle name="40% - Accent6 2 6 2 2 2 2 3" xfId="40758" xr:uid="{00000000-0005-0000-0000-0000FC5F0000}"/>
    <cellStyle name="40% - Accent6 2 6 2 2 2 3" xfId="26812" xr:uid="{00000000-0005-0000-0000-0000FD5F0000}"/>
    <cellStyle name="40% - Accent6 2 6 2 2 2 3 2" xfId="46001" xr:uid="{00000000-0005-0000-0000-0000FE5F0000}"/>
    <cellStyle name="40% - Accent6 2 6 2 2 2 4" xfId="36303" xr:uid="{00000000-0005-0000-0000-0000FF5F0000}"/>
    <cellStyle name="40% - Accent6 2 6 2 2 2 5" xfId="54120" xr:uid="{00000000-0005-0000-0000-000000600000}"/>
    <cellStyle name="40% - Accent6 2 6 2 2 3" xfId="18671" xr:uid="{00000000-0005-0000-0000-000001600000}"/>
    <cellStyle name="40% - Accent6 2 6 2 2 3 2" xfId="29039" xr:uid="{00000000-0005-0000-0000-000002600000}"/>
    <cellStyle name="40% - Accent6 2 6 2 2 3 2 2" xfId="48228" xr:uid="{00000000-0005-0000-0000-000003600000}"/>
    <cellStyle name="40% - Accent6 2 6 2 2 3 3" xfId="38530" xr:uid="{00000000-0005-0000-0000-000004600000}"/>
    <cellStyle name="40% - Accent6 2 6 2 2 4" xfId="24579" xr:uid="{00000000-0005-0000-0000-000005600000}"/>
    <cellStyle name="40% - Accent6 2 6 2 2 4 2" xfId="43773" xr:uid="{00000000-0005-0000-0000-000006600000}"/>
    <cellStyle name="40% - Accent6 2 6 2 2 5" xfId="34075" xr:uid="{00000000-0005-0000-0000-000007600000}"/>
    <cellStyle name="40% - Accent6 2 6 2 2 6" xfId="53267" xr:uid="{00000000-0005-0000-0000-000008600000}"/>
    <cellStyle name="40% - Accent6 2 6 2 3" xfId="14750" xr:uid="{00000000-0005-0000-0000-000009600000}"/>
    <cellStyle name="40% - Accent6 2 6 2 3 2" xfId="15879" xr:uid="{00000000-0005-0000-0000-00000A600000}"/>
    <cellStyle name="40% - Accent6 2 6 2 3 2 2" xfId="20343" xr:uid="{00000000-0005-0000-0000-00000B600000}"/>
    <cellStyle name="40% - Accent6 2 6 2 3 2 2 2" xfId="30711" xr:uid="{00000000-0005-0000-0000-00000C600000}"/>
    <cellStyle name="40% - Accent6 2 6 2 3 2 2 2 2" xfId="49900" xr:uid="{00000000-0005-0000-0000-00000D600000}"/>
    <cellStyle name="40% - Accent6 2 6 2 3 2 2 3" xfId="40202" xr:uid="{00000000-0005-0000-0000-00000E600000}"/>
    <cellStyle name="40% - Accent6 2 6 2 3 2 3" xfId="26256" xr:uid="{00000000-0005-0000-0000-00000F600000}"/>
    <cellStyle name="40% - Accent6 2 6 2 3 2 3 2" xfId="45445" xr:uid="{00000000-0005-0000-0000-000010600000}"/>
    <cellStyle name="40% - Accent6 2 6 2 3 2 4" xfId="35747" xr:uid="{00000000-0005-0000-0000-000011600000}"/>
    <cellStyle name="40% - Accent6 2 6 2 3 3" xfId="19228" xr:uid="{00000000-0005-0000-0000-000012600000}"/>
    <cellStyle name="40% - Accent6 2 6 2 3 3 2" xfId="29596" xr:uid="{00000000-0005-0000-0000-000013600000}"/>
    <cellStyle name="40% - Accent6 2 6 2 3 3 2 2" xfId="48785" xr:uid="{00000000-0005-0000-0000-000014600000}"/>
    <cellStyle name="40% - Accent6 2 6 2 3 3 3" xfId="39087" xr:uid="{00000000-0005-0000-0000-000015600000}"/>
    <cellStyle name="40% - Accent6 2 6 2 3 4" xfId="25141" xr:uid="{00000000-0005-0000-0000-000016600000}"/>
    <cellStyle name="40% - Accent6 2 6 2 3 4 2" xfId="44330" xr:uid="{00000000-0005-0000-0000-000017600000}"/>
    <cellStyle name="40% - Accent6 2 6 2 3 5" xfId="34632" xr:uid="{00000000-0005-0000-0000-000018600000}"/>
    <cellStyle name="40% - Accent6 2 6 2 3 6" xfId="53724" xr:uid="{00000000-0005-0000-0000-000019600000}"/>
    <cellStyle name="40% - Accent6 2 6 2 4" xfId="15322" xr:uid="{00000000-0005-0000-0000-00001A600000}"/>
    <cellStyle name="40% - Accent6 2 6 2 4 2" xfId="19786" xr:uid="{00000000-0005-0000-0000-00001B600000}"/>
    <cellStyle name="40% - Accent6 2 6 2 4 2 2" xfId="30154" xr:uid="{00000000-0005-0000-0000-00001C600000}"/>
    <cellStyle name="40% - Accent6 2 6 2 4 2 2 2" xfId="49343" xr:uid="{00000000-0005-0000-0000-00001D600000}"/>
    <cellStyle name="40% - Accent6 2 6 2 4 2 3" xfId="39645" xr:uid="{00000000-0005-0000-0000-00001E600000}"/>
    <cellStyle name="40% - Accent6 2 6 2 4 3" xfId="25699" xr:uid="{00000000-0005-0000-0000-00001F600000}"/>
    <cellStyle name="40% - Accent6 2 6 2 4 3 2" xfId="44888" xr:uid="{00000000-0005-0000-0000-000020600000}"/>
    <cellStyle name="40% - Accent6 2 6 2 4 4" xfId="35190" xr:uid="{00000000-0005-0000-0000-000021600000}"/>
    <cellStyle name="40% - Accent6 2 6 2 5" xfId="16992" xr:uid="{00000000-0005-0000-0000-000022600000}"/>
    <cellStyle name="40% - Accent6 2 6 2 5 2" xfId="21456" xr:uid="{00000000-0005-0000-0000-000023600000}"/>
    <cellStyle name="40% - Accent6 2 6 2 5 2 2" xfId="31824" xr:uid="{00000000-0005-0000-0000-000024600000}"/>
    <cellStyle name="40% - Accent6 2 6 2 5 2 2 2" xfId="51013" xr:uid="{00000000-0005-0000-0000-000025600000}"/>
    <cellStyle name="40% - Accent6 2 6 2 5 2 3" xfId="41315" xr:uid="{00000000-0005-0000-0000-000026600000}"/>
    <cellStyle name="40% - Accent6 2 6 2 5 3" xfId="27369" xr:uid="{00000000-0005-0000-0000-000027600000}"/>
    <cellStyle name="40% - Accent6 2 6 2 5 3 2" xfId="46558" xr:uid="{00000000-0005-0000-0000-000028600000}"/>
    <cellStyle name="40% - Accent6 2 6 2 5 4" xfId="36860" xr:uid="{00000000-0005-0000-0000-000029600000}"/>
    <cellStyle name="40% - Accent6 2 6 2 6" xfId="17558" xr:uid="{00000000-0005-0000-0000-00002A600000}"/>
    <cellStyle name="40% - Accent6 2 6 2 6 2" xfId="22013" xr:uid="{00000000-0005-0000-0000-00002B600000}"/>
    <cellStyle name="40% - Accent6 2 6 2 6 2 2" xfId="32381" xr:uid="{00000000-0005-0000-0000-00002C600000}"/>
    <cellStyle name="40% - Accent6 2 6 2 6 2 2 2" xfId="51570" xr:uid="{00000000-0005-0000-0000-00002D600000}"/>
    <cellStyle name="40% - Accent6 2 6 2 6 2 3" xfId="41872" xr:uid="{00000000-0005-0000-0000-00002E600000}"/>
    <cellStyle name="40% - Accent6 2 6 2 6 3" xfId="27926" xr:uid="{00000000-0005-0000-0000-00002F600000}"/>
    <cellStyle name="40% - Accent6 2 6 2 6 3 2" xfId="47115" xr:uid="{00000000-0005-0000-0000-000030600000}"/>
    <cellStyle name="40% - Accent6 2 6 2 6 4" xfId="37417" xr:uid="{00000000-0005-0000-0000-000031600000}"/>
    <cellStyle name="40% - Accent6 2 6 2 7" xfId="18115" xr:uid="{00000000-0005-0000-0000-000032600000}"/>
    <cellStyle name="40% - Accent6 2 6 2 7 2" xfId="28483" xr:uid="{00000000-0005-0000-0000-000033600000}"/>
    <cellStyle name="40% - Accent6 2 6 2 7 2 2" xfId="47672" xr:uid="{00000000-0005-0000-0000-000034600000}"/>
    <cellStyle name="40% - Accent6 2 6 2 7 3" xfId="37974" xr:uid="{00000000-0005-0000-0000-000035600000}"/>
    <cellStyle name="40% - Accent6 2 6 2 8" xfId="23978" xr:uid="{00000000-0005-0000-0000-000036600000}"/>
    <cellStyle name="40% - Accent6 2 6 2 8 2" xfId="43217" xr:uid="{00000000-0005-0000-0000-000037600000}"/>
    <cellStyle name="40% - Accent6 2 6 2 9" xfId="33519" xr:uid="{00000000-0005-0000-0000-000038600000}"/>
    <cellStyle name="40% - Accent6 2 6 3" xfId="13238" xr:uid="{00000000-0005-0000-0000-000039600000}"/>
    <cellStyle name="40% - Accent6 2 6 3 10" xfId="53049" xr:uid="{00000000-0005-0000-0000-00003A600000}"/>
    <cellStyle name="40% - Accent6 2 6 3 2" xfId="14172" xr:uid="{00000000-0005-0000-0000-00003B600000}"/>
    <cellStyle name="40% - Accent6 2 6 3 2 2" xfId="16436" xr:uid="{00000000-0005-0000-0000-00003C600000}"/>
    <cellStyle name="40% - Accent6 2 6 3 2 2 2" xfId="20900" xr:uid="{00000000-0005-0000-0000-00003D600000}"/>
    <cellStyle name="40% - Accent6 2 6 3 2 2 2 2" xfId="31268" xr:uid="{00000000-0005-0000-0000-00003E600000}"/>
    <cellStyle name="40% - Accent6 2 6 3 2 2 2 2 2" xfId="50457" xr:uid="{00000000-0005-0000-0000-00003F600000}"/>
    <cellStyle name="40% - Accent6 2 6 3 2 2 2 3" xfId="40759" xr:uid="{00000000-0005-0000-0000-000040600000}"/>
    <cellStyle name="40% - Accent6 2 6 3 2 2 3" xfId="26813" xr:uid="{00000000-0005-0000-0000-000041600000}"/>
    <cellStyle name="40% - Accent6 2 6 3 2 2 3 2" xfId="46002" xr:uid="{00000000-0005-0000-0000-000042600000}"/>
    <cellStyle name="40% - Accent6 2 6 3 2 2 4" xfId="36304" xr:uid="{00000000-0005-0000-0000-000043600000}"/>
    <cellStyle name="40% - Accent6 2 6 3 2 3" xfId="18672" xr:uid="{00000000-0005-0000-0000-000044600000}"/>
    <cellStyle name="40% - Accent6 2 6 3 2 3 2" xfId="29040" xr:uid="{00000000-0005-0000-0000-000045600000}"/>
    <cellStyle name="40% - Accent6 2 6 3 2 3 2 2" xfId="48229" xr:uid="{00000000-0005-0000-0000-000046600000}"/>
    <cellStyle name="40% - Accent6 2 6 3 2 3 3" xfId="38531" xr:uid="{00000000-0005-0000-0000-000047600000}"/>
    <cellStyle name="40% - Accent6 2 6 3 2 4" xfId="24580" xr:uid="{00000000-0005-0000-0000-000048600000}"/>
    <cellStyle name="40% - Accent6 2 6 3 2 4 2" xfId="43774" xr:uid="{00000000-0005-0000-0000-000049600000}"/>
    <cellStyle name="40% - Accent6 2 6 3 2 5" xfId="34076" xr:uid="{00000000-0005-0000-0000-00004A600000}"/>
    <cellStyle name="40% - Accent6 2 6 3 2 6" xfId="53924" xr:uid="{00000000-0005-0000-0000-00004B600000}"/>
    <cellStyle name="40% - Accent6 2 6 3 3" xfId="14751" xr:uid="{00000000-0005-0000-0000-00004C600000}"/>
    <cellStyle name="40% - Accent6 2 6 3 3 2" xfId="15880" xr:uid="{00000000-0005-0000-0000-00004D600000}"/>
    <cellStyle name="40% - Accent6 2 6 3 3 2 2" xfId="20344" xr:uid="{00000000-0005-0000-0000-00004E600000}"/>
    <cellStyle name="40% - Accent6 2 6 3 3 2 2 2" xfId="30712" xr:uid="{00000000-0005-0000-0000-00004F600000}"/>
    <cellStyle name="40% - Accent6 2 6 3 3 2 2 2 2" xfId="49901" xr:uid="{00000000-0005-0000-0000-000050600000}"/>
    <cellStyle name="40% - Accent6 2 6 3 3 2 2 3" xfId="40203" xr:uid="{00000000-0005-0000-0000-000051600000}"/>
    <cellStyle name="40% - Accent6 2 6 3 3 2 3" xfId="26257" xr:uid="{00000000-0005-0000-0000-000052600000}"/>
    <cellStyle name="40% - Accent6 2 6 3 3 2 3 2" xfId="45446" xr:uid="{00000000-0005-0000-0000-000053600000}"/>
    <cellStyle name="40% - Accent6 2 6 3 3 2 4" xfId="35748" xr:uid="{00000000-0005-0000-0000-000054600000}"/>
    <cellStyle name="40% - Accent6 2 6 3 3 3" xfId="19229" xr:uid="{00000000-0005-0000-0000-000055600000}"/>
    <cellStyle name="40% - Accent6 2 6 3 3 3 2" xfId="29597" xr:uid="{00000000-0005-0000-0000-000056600000}"/>
    <cellStyle name="40% - Accent6 2 6 3 3 3 2 2" xfId="48786" xr:uid="{00000000-0005-0000-0000-000057600000}"/>
    <cellStyle name="40% - Accent6 2 6 3 3 3 3" xfId="39088" xr:uid="{00000000-0005-0000-0000-000058600000}"/>
    <cellStyle name="40% - Accent6 2 6 3 3 4" xfId="25142" xr:uid="{00000000-0005-0000-0000-000059600000}"/>
    <cellStyle name="40% - Accent6 2 6 3 3 4 2" xfId="44331" xr:uid="{00000000-0005-0000-0000-00005A600000}"/>
    <cellStyle name="40% - Accent6 2 6 3 3 5" xfId="34633" xr:uid="{00000000-0005-0000-0000-00005B600000}"/>
    <cellStyle name="40% - Accent6 2 6 3 4" xfId="15323" xr:uid="{00000000-0005-0000-0000-00005C600000}"/>
    <cellStyle name="40% - Accent6 2 6 3 4 2" xfId="19787" xr:uid="{00000000-0005-0000-0000-00005D600000}"/>
    <cellStyle name="40% - Accent6 2 6 3 4 2 2" xfId="30155" xr:uid="{00000000-0005-0000-0000-00005E600000}"/>
    <cellStyle name="40% - Accent6 2 6 3 4 2 2 2" xfId="49344" xr:uid="{00000000-0005-0000-0000-00005F600000}"/>
    <cellStyle name="40% - Accent6 2 6 3 4 2 3" xfId="39646" xr:uid="{00000000-0005-0000-0000-000060600000}"/>
    <cellStyle name="40% - Accent6 2 6 3 4 3" xfId="25700" xr:uid="{00000000-0005-0000-0000-000061600000}"/>
    <cellStyle name="40% - Accent6 2 6 3 4 3 2" xfId="44889" xr:uid="{00000000-0005-0000-0000-000062600000}"/>
    <cellStyle name="40% - Accent6 2 6 3 4 4" xfId="35191" xr:uid="{00000000-0005-0000-0000-000063600000}"/>
    <cellStyle name="40% - Accent6 2 6 3 5" xfId="16993" xr:uid="{00000000-0005-0000-0000-000064600000}"/>
    <cellStyle name="40% - Accent6 2 6 3 5 2" xfId="21457" xr:uid="{00000000-0005-0000-0000-000065600000}"/>
    <cellStyle name="40% - Accent6 2 6 3 5 2 2" xfId="31825" xr:uid="{00000000-0005-0000-0000-000066600000}"/>
    <cellStyle name="40% - Accent6 2 6 3 5 2 2 2" xfId="51014" xr:uid="{00000000-0005-0000-0000-000067600000}"/>
    <cellStyle name="40% - Accent6 2 6 3 5 2 3" xfId="41316" xr:uid="{00000000-0005-0000-0000-000068600000}"/>
    <cellStyle name="40% - Accent6 2 6 3 5 3" xfId="27370" xr:uid="{00000000-0005-0000-0000-000069600000}"/>
    <cellStyle name="40% - Accent6 2 6 3 5 3 2" xfId="46559" xr:uid="{00000000-0005-0000-0000-00006A600000}"/>
    <cellStyle name="40% - Accent6 2 6 3 5 4" xfId="36861" xr:uid="{00000000-0005-0000-0000-00006B600000}"/>
    <cellStyle name="40% - Accent6 2 6 3 6" xfId="17559" xr:uid="{00000000-0005-0000-0000-00006C600000}"/>
    <cellStyle name="40% - Accent6 2 6 3 6 2" xfId="22014" xr:uid="{00000000-0005-0000-0000-00006D600000}"/>
    <cellStyle name="40% - Accent6 2 6 3 6 2 2" xfId="32382" xr:uid="{00000000-0005-0000-0000-00006E600000}"/>
    <cellStyle name="40% - Accent6 2 6 3 6 2 2 2" xfId="51571" xr:uid="{00000000-0005-0000-0000-00006F600000}"/>
    <cellStyle name="40% - Accent6 2 6 3 6 2 3" xfId="41873" xr:uid="{00000000-0005-0000-0000-000070600000}"/>
    <cellStyle name="40% - Accent6 2 6 3 6 3" xfId="27927" xr:uid="{00000000-0005-0000-0000-000071600000}"/>
    <cellStyle name="40% - Accent6 2 6 3 6 3 2" xfId="47116" xr:uid="{00000000-0005-0000-0000-000072600000}"/>
    <cellStyle name="40% - Accent6 2 6 3 6 4" xfId="37418" xr:uid="{00000000-0005-0000-0000-000073600000}"/>
    <cellStyle name="40% - Accent6 2 6 3 7" xfId="18116" xr:uid="{00000000-0005-0000-0000-000074600000}"/>
    <cellStyle name="40% - Accent6 2 6 3 7 2" xfId="28484" xr:uid="{00000000-0005-0000-0000-000075600000}"/>
    <cellStyle name="40% - Accent6 2 6 3 7 2 2" xfId="47673" xr:uid="{00000000-0005-0000-0000-000076600000}"/>
    <cellStyle name="40% - Accent6 2 6 3 7 3" xfId="37975" xr:uid="{00000000-0005-0000-0000-000077600000}"/>
    <cellStyle name="40% - Accent6 2 6 3 8" xfId="23979" xr:uid="{00000000-0005-0000-0000-000078600000}"/>
    <cellStyle name="40% - Accent6 2 6 3 8 2" xfId="43218" xr:uid="{00000000-0005-0000-0000-000079600000}"/>
    <cellStyle name="40% - Accent6 2 6 3 9" xfId="33520" xr:uid="{00000000-0005-0000-0000-00007A600000}"/>
    <cellStyle name="40% - Accent6 2 6 4" xfId="53528" xr:uid="{00000000-0005-0000-0000-00007B600000}"/>
    <cellStyle name="40% - Accent6 2 6 5" xfId="52643" xr:uid="{00000000-0005-0000-0000-00007C600000}"/>
    <cellStyle name="40% - Accent6 2 6 6" xfId="12280" xr:uid="{00000000-0005-0000-0000-00007D600000}"/>
    <cellStyle name="40% - Accent6 2 7" xfId="2049" xr:uid="{00000000-0005-0000-0000-00007E600000}"/>
    <cellStyle name="40% - Accent6 2 7 10" xfId="52670" xr:uid="{00000000-0005-0000-0000-00007F600000}"/>
    <cellStyle name="40% - Accent6 2 7 11" xfId="12703" xr:uid="{00000000-0005-0000-0000-000080600000}"/>
    <cellStyle name="40% - Accent6 2 7 2" xfId="13814" xr:uid="{00000000-0005-0000-0000-000081600000}"/>
    <cellStyle name="40% - Accent6 2 7 2 2" xfId="16078" xr:uid="{00000000-0005-0000-0000-000082600000}"/>
    <cellStyle name="40% - Accent6 2 7 2 2 2" xfId="20542" xr:uid="{00000000-0005-0000-0000-000083600000}"/>
    <cellStyle name="40% - Accent6 2 7 2 2 2 2" xfId="30910" xr:uid="{00000000-0005-0000-0000-000084600000}"/>
    <cellStyle name="40% - Accent6 2 7 2 2 2 2 2" xfId="50099" xr:uid="{00000000-0005-0000-0000-000085600000}"/>
    <cellStyle name="40% - Accent6 2 7 2 2 2 3" xfId="40401" xr:uid="{00000000-0005-0000-0000-000086600000}"/>
    <cellStyle name="40% - Accent6 2 7 2 2 3" xfId="26455" xr:uid="{00000000-0005-0000-0000-000087600000}"/>
    <cellStyle name="40% - Accent6 2 7 2 2 3 2" xfId="45644" xr:uid="{00000000-0005-0000-0000-000088600000}"/>
    <cellStyle name="40% - Accent6 2 7 2 2 4" xfId="35946" xr:uid="{00000000-0005-0000-0000-000089600000}"/>
    <cellStyle name="40% - Accent6 2 7 2 2 5" xfId="53951" xr:uid="{00000000-0005-0000-0000-00008A600000}"/>
    <cellStyle name="40% - Accent6 2 7 2 3" xfId="18314" xr:uid="{00000000-0005-0000-0000-00008B600000}"/>
    <cellStyle name="40% - Accent6 2 7 2 3 2" xfId="28682" xr:uid="{00000000-0005-0000-0000-00008C600000}"/>
    <cellStyle name="40% - Accent6 2 7 2 3 2 2" xfId="47871" xr:uid="{00000000-0005-0000-0000-00008D600000}"/>
    <cellStyle name="40% - Accent6 2 7 2 3 3" xfId="38173" xr:uid="{00000000-0005-0000-0000-00008E600000}"/>
    <cellStyle name="40% - Accent6 2 7 2 4" xfId="24222" xr:uid="{00000000-0005-0000-0000-00008F600000}"/>
    <cellStyle name="40% - Accent6 2 7 2 4 2" xfId="43416" xr:uid="{00000000-0005-0000-0000-000090600000}"/>
    <cellStyle name="40% - Accent6 2 7 2 5" xfId="33718" xr:uid="{00000000-0005-0000-0000-000091600000}"/>
    <cellStyle name="40% - Accent6 2 7 2 6" xfId="53098" xr:uid="{00000000-0005-0000-0000-000092600000}"/>
    <cellStyle name="40% - Accent6 2 7 3" xfId="14393" xr:uid="{00000000-0005-0000-0000-000093600000}"/>
    <cellStyle name="40% - Accent6 2 7 3 2" xfId="15522" xr:uid="{00000000-0005-0000-0000-000094600000}"/>
    <cellStyle name="40% - Accent6 2 7 3 2 2" xfId="19986" xr:uid="{00000000-0005-0000-0000-000095600000}"/>
    <cellStyle name="40% - Accent6 2 7 3 2 2 2" xfId="30354" xr:uid="{00000000-0005-0000-0000-000096600000}"/>
    <cellStyle name="40% - Accent6 2 7 3 2 2 2 2" xfId="49543" xr:uid="{00000000-0005-0000-0000-000097600000}"/>
    <cellStyle name="40% - Accent6 2 7 3 2 2 3" xfId="39845" xr:uid="{00000000-0005-0000-0000-000098600000}"/>
    <cellStyle name="40% - Accent6 2 7 3 2 3" xfId="25899" xr:uid="{00000000-0005-0000-0000-000099600000}"/>
    <cellStyle name="40% - Accent6 2 7 3 2 3 2" xfId="45088" xr:uid="{00000000-0005-0000-0000-00009A600000}"/>
    <cellStyle name="40% - Accent6 2 7 3 2 4" xfId="35390" xr:uid="{00000000-0005-0000-0000-00009B600000}"/>
    <cellStyle name="40% - Accent6 2 7 3 3" xfId="18871" xr:uid="{00000000-0005-0000-0000-00009C600000}"/>
    <cellStyle name="40% - Accent6 2 7 3 3 2" xfId="29239" xr:uid="{00000000-0005-0000-0000-00009D600000}"/>
    <cellStyle name="40% - Accent6 2 7 3 3 2 2" xfId="48428" xr:uid="{00000000-0005-0000-0000-00009E600000}"/>
    <cellStyle name="40% - Accent6 2 7 3 3 3" xfId="38730" xr:uid="{00000000-0005-0000-0000-00009F600000}"/>
    <cellStyle name="40% - Accent6 2 7 3 4" xfId="24784" xr:uid="{00000000-0005-0000-0000-0000A0600000}"/>
    <cellStyle name="40% - Accent6 2 7 3 4 2" xfId="43973" xr:uid="{00000000-0005-0000-0000-0000A1600000}"/>
    <cellStyle name="40% - Accent6 2 7 3 5" xfId="34275" xr:uid="{00000000-0005-0000-0000-0000A2600000}"/>
    <cellStyle name="40% - Accent6 2 7 3 6" xfId="53555" xr:uid="{00000000-0005-0000-0000-0000A3600000}"/>
    <cellStyle name="40% - Accent6 2 7 4" xfId="14965" xr:uid="{00000000-0005-0000-0000-0000A4600000}"/>
    <cellStyle name="40% - Accent6 2 7 4 2" xfId="19429" xr:uid="{00000000-0005-0000-0000-0000A5600000}"/>
    <cellStyle name="40% - Accent6 2 7 4 2 2" xfId="29797" xr:uid="{00000000-0005-0000-0000-0000A6600000}"/>
    <cellStyle name="40% - Accent6 2 7 4 2 2 2" xfId="48986" xr:uid="{00000000-0005-0000-0000-0000A7600000}"/>
    <cellStyle name="40% - Accent6 2 7 4 2 3" xfId="39288" xr:uid="{00000000-0005-0000-0000-0000A8600000}"/>
    <cellStyle name="40% - Accent6 2 7 4 3" xfId="25342" xr:uid="{00000000-0005-0000-0000-0000A9600000}"/>
    <cellStyle name="40% - Accent6 2 7 4 3 2" xfId="44531" xr:uid="{00000000-0005-0000-0000-0000AA600000}"/>
    <cellStyle name="40% - Accent6 2 7 4 4" xfId="34833" xr:uid="{00000000-0005-0000-0000-0000AB600000}"/>
    <cellStyle name="40% - Accent6 2 7 5" xfId="16635" xr:uid="{00000000-0005-0000-0000-0000AC600000}"/>
    <cellStyle name="40% - Accent6 2 7 5 2" xfId="21099" xr:uid="{00000000-0005-0000-0000-0000AD600000}"/>
    <cellStyle name="40% - Accent6 2 7 5 2 2" xfId="31467" xr:uid="{00000000-0005-0000-0000-0000AE600000}"/>
    <cellStyle name="40% - Accent6 2 7 5 2 2 2" xfId="50656" xr:uid="{00000000-0005-0000-0000-0000AF600000}"/>
    <cellStyle name="40% - Accent6 2 7 5 2 3" xfId="40958" xr:uid="{00000000-0005-0000-0000-0000B0600000}"/>
    <cellStyle name="40% - Accent6 2 7 5 3" xfId="27012" xr:uid="{00000000-0005-0000-0000-0000B1600000}"/>
    <cellStyle name="40% - Accent6 2 7 5 3 2" xfId="46201" xr:uid="{00000000-0005-0000-0000-0000B2600000}"/>
    <cellStyle name="40% - Accent6 2 7 5 4" xfId="36503" xr:uid="{00000000-0005-0000-0000-0000B3600000}"/>
    <cellStyle name="40% - Accent6 2 7 6" xfId="17201" xr:uid="{00000000-0005-0000-0000-0000B4600000}"/>
    <cellStyle name="40% - Accent6 2 7 6 2" xfId="21656" xr:uid="{00000000-0005-0000-0000-0000B5600000}"/>
    <cellStyle name="40% - Accent6 2 7 6 2 2" xfId="32024" xr:uid="{00000000-0005-0000-0000-0000B6600000}"/>
    <cellStyle name="40% - Accent6 2 7 6 2 2 2" xfId="51213" xr:uid="{00000000-0005-0000-0000-0000B7600000}"/>
    <cellStyle name="40% - Accent6 2 7 6 2 3" xfId="41515" xr:uid="{00000000-0005-0000-0000-0000B8600000}"/>
    <cellStyle name="40% - Accent6 2 7 6 3" xfId="27569" xr:uid="{00000000-0005-0000-0000-0000B9600000}"/>
    <cellStyle name="40% - Accent6 2 7 6 3 2" xfId="46758" xr:uid="{00000000-0005-0000-0000-0000BA600000}"/>
    <cellStyle name="40% - Accent6 2 7 6 4" xfId="37060" xr:uid="{00000000-0005-0000-0000-0000BB600000}"/>
    <cellStyle name="40% - Accent6 2 7 7" xfId="17758" xr:uid="{00000000-0005-0000-0000-0000BC600000}"/>
    <cellStyle name="40% - Accent6 2 7 7 2" xfId="28126" xr:uid="{00000000-0005-0000-0000-0000BD600000}"/>
    <cellStyle name="40% - Accent6 2 7 7 2 2" xfId="47315" xr:uid="{00000000-0005-0000-0000-0000BE600000}"/>
    <cellStyle name="40% - Accent6 2 7 7 3" xfId="37617" xr:uid="{00000000-0005-0000-0000-0000BF600000}"/>
    <cellStyle name="40% - Accent6 2 7 8" xfId="23573" xr:uid="{00000000-0005-0000-0000-0000C0600000}"/>
    <cellStyle name="40% - Accent6 2 7 8 2" xfId="42860" xr:uid="{00000000-0005-0000-0000-0000C1600000}"/>
    <cellStyle name="40% - Accent6 2 7 9" xfId="33162" xr:uid="{00000000-0005-0000-0000-0000C2600000}"/>
    <cellStyle name="40% - Accent6 2 8" xfId="2050" xr:uid="{00000000-0005-0000-0000-0000C3600000}"/>
    <cellStyle name="40% - Accent6 2 8 10" xfId="52870" xr:uid="{00000000-0005-0000-0000-0000C4600000}"/>
    <cellStyle name="40% - Accent6 2 8 11" xfId="12804" xr:uid="{00000000-0005-0000-0000-0000C5600000}"/>
    <cellStyle name="40% - Accent6 2 8 2" xfId="13828" xr:uid="{00000000-0005-0000-0000-0000C6600000}"/>
    <cellStyle name="40% - Accent6 2 8 2 2" xfId="16092" xr:uid="{00000000-0005-0000-0000-0000C7600000}"/>
    <cellStyle name="40% - Accent6 2 8 2 2 2" xfId="20556" xr:uid="{00000000-0005-0000-0000-0000C8600000}"/>
    <cellStyle name="40% - Accent6 2 8 2 2 2 2" xfId="30924" xr:uid="{00000000-0005-0000-0000-0000C9600000}"/>
    <cellStyle name="40% - Accent6 2 8 2 2 2 2 2" xfId="50113" xr:uid="{00000000-0005-0000-0000-0000CA600000}"/>
    <cellStyle name="40% - Accent6 2 8 2 2 2 3" xfId="40415" xr:uid="{00000000-0005-0000-0000-0000CB600000}"/>
    <cellStyle name="40% - Accent6 2 8 2 2 3" xfId="26469" xr:uid="{00000000-0005-0000-0000-0000CC600000}"/>
    <cellStyle name="40% - Accent6 2 8 2 2 3 2" xfId="45658" xr:uid="{00000000-0005-0000-0000-0000CD600000}"/>
    <cellStyle name="40% - Accent6 2 8 2 2 4" xfId="35960" xr:uid="{00000000-0005-0000-0000-0000CE600000}"/>
    <cellStyle name="40% - Accent6 2 8 2 3" xfId="18328" xr:uid="{00000000-0005-0000-0000-0000CF600000}"/>
    <cellStyle name="40% - Accent6 2 8 2 3 2" xfId="28696" xr:uid="{00000000-0005-0000-0000-0000D0600000}"/>
    <cellStyle name="40% - Accent6 2 8 2 3 2 2" xfId="47885" xr:uid="{00000000-0005-0000-0000-0000D1600000}"/>
    <cellStyle name="40% - Accent6 2 8 2 3 3" xfId="38187" xr:uid="{00000000-0005-0000-0000-0000D2600000}"/>
    <cellStyle name="40% - Accent6 2 8 2 4" xfId="24236" xr:uid="{00000000-0005-0000-0000-0000D3600000}"/>
    <cellStyle name="40% - Accent6 2 8 2 4 2" xfId="43430" xr:uid="{00000000-0005-0000-0000-0000D4600000}"/>
    <cellStyle name="40% - Accent6 2 8 2 5" xfId="33732" xr:uid="{00000000-0005-0000-0000-0000D5600000}"/>
    <cellStyle name="40% - Accent6 2 8 2 6" xfId="53754" xr:uid="{00000000-0005-0000-0000-0000D6600000}"/>
    <cellStyle name="40% - Accent6 2 8 3" xfId="14407" xr:uid="{00000000-0005-0000-0000-0000D7600000}"/>
    <cellStyle name="40% - Accent6 2 8 3 2" xfId="15536" xr:uid="{00000000-0005-0000-0000-0000D8600000}"/>
    <cellStyle name="40% - Accent6 2 8 3 2 2" xfId="20000" xr:uid="{00000000-0005-0000-0000-0000D9600000}"/>
    <cellStyle name="40% - Accent6 2 8 3 2 2 2" xfId="30368" xr:uid="{00000000-0005-0000-0000-0000DA600000}"/>
    <cellStyle name="40% - Accent6 2 8 3 2 2 2 2" xfId="49557" xr:uid="{00000000-0005-0000-0000-0000DB600000}"/>
    <cellStyle name="40% - Accent6 2 8 3 2 2 3" xfId="39859" xr:uid="{00000000-0005-0000-0000-0000DC600000}"/>
    <cellStyle name="40% - Accent6 2 8 3 2 3" xfId="25913" xr:uid="{00000000-0005-0000-0000-0000DD600000}"/>
    <cellStyle name="40% - Accent6 2 8 3 2 3 2" xfId="45102" xr:uid="{00000000-0005-0000-0000-0000DE600000}"/>
    <cellStyle name="40% - Accent6 2 8 3 2 4" xfId="35404" xr:uid="{00000000-0005-0000-0000-0000DF600000}"/>
    <cellStyle name="40% - Accent6 2 8 3 3" xfId="18885" xr:uid="{00000000-0005-0000-0000-0000E0600000}"/>
    <cellStyle name="40% - Accent6 2 8 3 3 2" xfId="29253" xr:uid="{00000000-0005-0000-0000-0000E1600000}"/>
    <cellStyle name="40% - Accent6 2 8 3 3 2 2" xfId="48442" xr:uid="{00000000-0005-0000-0000-0000E2600000}"/>
    <cellStyle name="40% - Accent6 2 8 3 3 3" xfId="38744" xr:uid="{00000000-0005-0000-0000-0000E3600000}"/>
    <cellStyle name="40% - Accent6 2 8 3 4" xfId="24798" xr:uid="{00000000-0005-0000-0000-0000E4600000}"/>
    <cellStyle name="40% - Accent6 2 8 3 4 2" xfId="43987" xr:uid="{00000000-0005-0000-0000-0000E5600000}"/>
    <cellStyle name="40% - Accent6 2 8 3 5" xfId="34289" xr:uid="{00000000-0005-0000-0000-0000E6600000}"/>
    <cellStyle name="40% - Accent6 2 8 4" xfId="14979" xr:uid="{00000000-0005-0000-0000-0000E7600000}"/>
    <cellStyle name="40% - Accent6 2 8 4 2" xfId="19443" xr:uid="{00000000-0005-0000-0000-0000E8600000}"/>
    <cellStyle name="40% - Accent6 2 8 4 2 2" xfId="29811" xr:uid="{00000000-0005-0000-0000-0000E9600000}"/>
    <cellStyle name="40% - Accent6 2 8 4 2 2 2" xfId="49000" xr:uid="{00000000-0005-0000-0000-0000EA600000}"/>
    <cellStyle name="40% - Accent6 2 8 4 2 3" xfId="39302" xr:uid="{00000000-0005-0000-0000-0000EB600000}"/>
    <cellStyle name="40% - Accent6 2 8 4 3" xfId="25356" xr:uid="{00000000-0005-0000-0000-0000EC600000}"/>
    <cellStyle name="40% - Accent6 2 8 4 3 2" xfId="44545" xr:uid="{00000000-0005-0000-0000-0000ED600000}"/>
    <cellStyle name="40% - Accent6 2 8 4 4" xfId="34847" xr:uid="{00000000-0005-0000-0000-0000EE600000}"/>
    <cellStyle name="40% - Accent6 2 8 5" xfId="16649" xr:uid="{00000000-0005-0000-0000-0000EF600000}"/>
    <cellStyle name="40% - Accent6 2 8 5 2" xfId="21113" xr:uid="{00000000-0005-0000-0000-0000F0600000}"/>
    <cellStyle name="40% - Accent6 2 8 5 2 2" xfId="31481" xr:uid="{00000000-0005-0000-0000-0000F1600000}"/>
    <cellStyle name="40% - Accent6 2 8 5 2 2 2" xfId="50670" xr:uid="{00000000-0005-0000-0000-0000F2600000}"/>
    <cellStyle name="40% - Accent6 2 8 5 2 3" xfId="40972" xr:uid="{00000000-0005-0000-0000-0000F3600000}"/>
    <cellStyle name="40% - Accent6 2 8 5 3" xfId="27026" xr:uid="{00000000-0005-0000-0000-0000F4600000}"/>
    <cellStyle name="40% - Accent6 2 8 5 3 2" xfId="46215" xr:uid="{00000000-0005-0000-0000-0000F5600000}"/>
    <cellStyle name="40% - Accent6 2 8 5 4" xfId="36517" xr:uid="{00000000-0005-0000-0000-0000F6600000}"/>
    <cellStyle name="40% - Accent6 2 8 6" xfId="17215" xr:uid="{00000000-0005-0000-0000-0000F7600000}"/>
    <cellStyle name="40% - Accent6 2 8 6 2" xfId="21670" xr:uid="{00000000-0005-0000-0000-0000F8600000}"/>
    <cellStyle name="40% - Accent6 2 8 6 2 2" xfId="32038" xr:uid="{00000000-0005-0000-0000-0000F9600000}"/>
    <cellStyle name="40% - Accent6 2 8 6 2 2 2" xfId="51227" xr:uid="{00000000-0005-0000-0000-0000FA600000}"/>
    <cellStyle name="40% - Accent6 2 8 6 2 3" xfId="41529" xr:uid="{00000000-0005-0000-0000-0000FB600000}"/>
    <cellStyle name="40% - Accent6 2 8 6 3" xfId="27583" xr:uid="{00000000-0005-0000-0000-0000FC600000}"/>
    <cellStyle name="40% - Accent6 2 8 6 3 2" xfId="46772" xr:uid="{00000000-0005-0000-0000-0000FD600000}"/>
    <cellStyle name="40% - Accent6 2 8 6 4" xfId="37074" xr:uid="{00000000-0005-0000-0000-0000FE600000}"/>
    <cellStyle name="40% - Accent6 2 8 7" xfId="17772" xr:uid="{00000000-0005-0000-0000-0000FF600000}"/>
    <cellStyle name="40% - Accent6 2 8 7 2" xfId="28140" xr:uid="{00000000-0005-0000-0000-000000610000}"/>
    <cellStyle name="40% - Accent6 2 8 7 2 2" xfId="47329" xr:uid="{00000000-0005-0000-0000-000001610000}"/>
    <cellStyle name="40% - Accent6 2 8 7 3" xfId="37631" xr:uid="{00000000-0005-0000-0000-000002610000}"/>
    <cellStyle name="40% - Accent6 2 8 8" xfId="23607" xr:uid="{00000000-0005-0000-0000-000003610000}"/>
    <cellStyle name="40% - Accent6 2 8 8 2" xfId="42874" xr:uid="{00000000-0005-0000-0000-000004610000}"/>
    <cellStyle name="40% - Accent6 2 8 9" xfId="33176" xr:uid="{00000000-0005-0000-0000-000005610000}"/>
    <cellStyle name="40% - Accent6 2 9" xfId="2051" xr:uid="{00000000-0005-0000-0000-000006610000}"/>
    <cellStyle name="40% - Accent6 2 9 2" xfId="54151" xr:uid="{00000000-0005-0000-0000-000007610000}"/>
    <cellStyle name="40% - Accent6 2 9 3" xfId="53299" xr:uid="{00000000-0005-0000-0000-000008610000}"/>
    <cellStyle name="40% - Accent6 2 9 4" xfId="13239" xr:uid="{00000000-0005-0000-0000-000009610000}"/>
    <cellStyle name="40% - Accent6 20" xfId="22861" xr:uid="{00000000-0005-0000-0000-00000A610000}"/>
    <cellStyle name="40% - Accent6 20 2" xfId="32945" xr:uid="{00000000-0005-0000-0000-00000B610000}"/>
    <cellStyle name="40% - Accent6 20 2 2" xfId="52131" xr:uid="{00000000-0005-0000-0000-00000C610000}"/>
    <cellStyle name="40% - Accent6 20 3" xfId="23218" xr:uid="{00000000-0005-0000-0000-00000D610000}"/>
    <cellStyle name="40% - Accent6 20 3 2" xfId="42786" xr:uid="{00000000-0005-0000-0000-00000E610000}"/>
    <cellStyle name="40% - Accent6 20 4" xfId="42433" xr:uid="{00000000-0005-0000-0000-00000F610000}"/>
    <cellStyle name="40% - Accent6 21" xfId="22744" xr:uid="{00000000-0005-0000-0000-000010610000}"/>
    <cellStyle name="40% - Accent6 21 2" xfId="32828" xr:uid="{00000000-0005-0000-0000-000011610000}"/>
    <cellStyle name="40% - Accent6 21 2 2" xfId="52014" xr:uid="{00000000-0005-0000-0000-000012610000}"/>
    <cellStyle name="40% - Accent6 21 3" xfId="42316" xr:uid="{00000000-0005-0000-0000-000013610000}"/>
    <cellStyle name="40% - Accent6 22" xfId="23101" xr:uid="{00000000-0005-0000-0000-000014610000}"/>
    <cellStyle name="40% - Accent6 22 2" xfId="42669" xr:uid="{00000000-0005-0000-0000-000015610000}"/>
    <cellStyle name="40% - Accent6 23" xfId="33125" xr:uid="{00000000-0005-0000-0000-000016610000}"/>
    <cellStyle name="40% - Accent6 3" xfId="226" xr:uid="{00000000-0005-0000-0000-000017610000}"/>
    <cellStyle name="40% - Accent6 3 2" xfId="2053" xr:uid="{00000000-0005-0000-0000-000018610000}"/>
    <cellStyle name="40% - Accent6 3 2 2" xfId="2054" xr:uid="{00000000-0005-0000-0000-000019610000}"/>
    <cellStyle name="40% - Accent6 3 2 2 2" xfId="2055" xr:uid="{00000000-0005-0000-0000-00001A610000}"/>
    <cellStyle name="40% - Accent6 3 2 2 2 2" xfId="2056" xr:uid="{00000000-0005-0000-0000-00001B610000}"/>
    <cellStyle name="40% - Accent6 3 2 2 3" xfId="2057" xr:uid="{00000000-0005-0000-0000-00001C610000}"/>
    <cellStyle name="40% - Accent6 3 2 3" xfId="2058" xr:uid="{00000000-0005-0000-0000-00001D610000}"/>
    <cellStyle name="40% - Accent6 3 2 3 2" xfId="2059" xr:uid="{00000000-0005-0000-0000-00001E610000}"/>
    <cellStyle name="40% - Accent6 3 2 4" xfId="2060" xr:uid="{00000000-0005-0000-0000-00001F610000}"/>
    <cellStyle name="40% - Accent6 3 2 5" xfId="13240" xr:uid="{00000000-0005-0000-0000-000020610000}"/>
    <cellStyle name="40% - Accent6 3 3" xfId="2061" xr:uid="{00000000-0005-0000-0000-000021610000}"/>
    <cellStyle name="40% - Accent6 3 3 2" xfId="2062" xr:uid="{00000000-0005-0000-0000-000022610000}"/>
    <cellStyle name="40% - Accent6 3 3 2 2" xfId="2063" xr:uid="{00000000-0005-0000-0000-000023610000}"/>
    <cellStyle name="40% - Accent6 3 3 2 2 2" xfId="2064" xr:uid="{00000000-0005-0000-0000-000024610000}"/>
    <cellStyle name="40% - Accent6 3 3 2 3" xfId="2065" xr:uid="{00000000-0005-0000-0000-000025610000}"/>
    <cellStyle name="40% - Accent6 3 3 3" xfId="2066" xr:uid="{00000000-0005-0000-0000-000026610000}"/>
    <cellStyle name="40% - Accent6 3 3 3 2" xfId="2067" xr:uid="{00000000-0005-0000-0000-000027610000}"/>
    <cellStyle name="40% - Accent6 3 3 4" xfId="2068" xr:uid="{00000000-0005-0000-0000-000028610000}"/>
    <cellStyle name="40% - Accent6 3 3 5" xfId="13533" xr:uid="{00000000-0005-0000-0000-000029610000}"/>
    <cellStyle name="40% - Accent6 3 4" xfId="2069" xr:uid="{00000000-0005-0000-0000-00002A610000}"/>
    <cellStyle name="40% - Accent6 3 4 2" xfId="2070" xr:uid="{00000000-0005-0000-0000-00002B610000}"/>
    <cellStyle name="40% - Accent6 3 4 2 2" xfId="2071" xr:uid="{00000000-0005-0000-0000-00002C610000}"/>
    <cellStyle name="40% - Accent6 3 4 3" xfId="2072" xr:uid="{00000000-0005-0000-0000-00002D610000}"/>
    <cellStyle name="40% - Accent6 3 4 4" xfId="22312" xr:uid="{00000000-0005-0000-0000-00002E610000}"/>
    <cellStyle name="40% - Accent6 3 5" xfId="2073" xr:uid="{00000000-0005-0000-0000-00002F610000}"/>
    <cellStyle name="40% - Accent6 3 5 2" xfId="2074" xr:uid="{00000000-0005-0000-0000-000030610000}"/>
    <cellStyle name="40% - Accent6 3 5 3" xfId="23356" xr:uid="{00000000-0005-0000-0000-000031610000}"/>
    <cellStyle name="40% - Accent6 3 6" xfId="2075" xr:uid="{00000000-0005-0000-0000-000032610000}"/>
    <cellStyle name="40% - Accent6 3 7" xfId="2052" xr:uid="{00000000-0005-0000-0000-000033610000}"/>
    <cellStyle name="40% - Accent6 3 8" xfId="12281" xr:uid="{00000000-0005-0000-0000-000034610000}"/>
    <cellStyle name="40% - Accent6 4" xfId="227" xr:uid="{00000000-0005-0000-0000-000035610000}"/>
    <cellStyle name="40% - Accent6 4 2" xfId="2076" xr:uid="{00000000-0005-0000-0000-000036610000}"/>
    <cellStyle name="40% - Accent6 4 2 2" xfId="13696" xr:uid="{00000000-0005-0000-0000-000037610000}"/>
    <cellStyle name="40% - Accent6 4 3" xfId="22313" xr:uid="{00000000-0005-0000-0000-000038610000}"/>
    <cellStyle name="40% - Accent6 4 4" xfId="23357" xr:uid="{00000000-0005-0000-0000-000039610000}"/>
    <cellStyle name="40% - Accent6 4 5" xfId="12282" xr:uid="{00000000-0005-0000-0000-00003A610000}"/>
    <cellStyle name="40% - Accent6 5" xfId="228" xr:uid="{00000000-0005-0000-0000-00003B610000}"/>
    <cellStyle name="40% - Accent6 5 2" xfId="2077" xr:uid="{00000000-0005-0000-0000-00003C610000}"/>
    <cellStyle name="40% - Accent6 5 2 2" xfId="22314" xr:uid="{00000000-0005-0000-0000-00003D610000}"/>
    <cellStyle name="40% - Accent6 5 3" xfId="23533" xr:uid="{00000000-0005-0000-0000-00003E610000}"/>
    <cellStyle name="40% - Accent6 5 4" xfId="12635" xr:uid="{00000000-0005-0000-0000-00003F610000}"/>
    <cellStyle name="40% - Accent6 6" xfId="229" xr:uid="{00000000-0005-0000-0000-000040610000}"/>
    <cellStyle name="40% - Accent6 6 2" xfId="2078" xr:uid="{00000000-0005-0000-0000-000041610000}"/>
    <cellStyle name="40% - Accent6 6 2 2" xfId="22315" xr:uid="{00000000-0005-0000-0000-000042610000}"/>
    <cellStyle name="40% - Accent6 6 3" xfId="23606" xr:uid="{00000000-0005-0000-0000-000043610000}"/>
    <cellStyle name="40% - Accent6 6 4" xfId="12803" xr:uid="{00000000-0005-0000-0000-000044610000}"/>
    <cellStyle name="40% - Accent6 7" xfId="230" xr:uid="{00000000-0005-0000-0000-000045610000}"/>
    <cellStyle name="40% - Accent6 7 2" xfId="2079" xr:uid="{00000000-0005-0000-0000-000046610000}"/>
    <cellStyle name="40% - Accent6 8" xfId="231" xr:uid="{00000000-0005-0000-0000-000047610000}"/>
    <cellStyle name="40% - Accent6 8 2" xfId="2080" xr:uid="{00000000-0005-0000-0000-000048610000}"/>
    <cellStyle name="40% - Accent6 9" xfId="232" xr:uid="{00000000-0005-0000-0000-000049610000}"/>
    <cellStyle name="60% - Accent1 10" xfId="233" xr:uid="{00000000-0005-0000-0000-00004A610000}"/>
    <cellStyle name="60% - Accent1 11" xfId="234" xr:uid="{00000000-0005-0000-0000-00004B610000}"/>
    <cellStyle name="60% - Accent1 12" xfId="235" xr:uid="{00000000-0005-0000-0000-00004C610000}"/>
    <cellStyle name="60% - Accent1 13" xfId="236" xr:uid="{00000000-0005-0000-0000-00004D610000}"/>
    <cellStyle name="60% - Accent1 14" xfId="237" xr:uid="{00000000-0005-0000-0000-00004E610000}"/>
    <cellStyle name="60% - Accent1 15" xfId="238" xr:uid="{00000000-0005-0000-0000-00004F610000}"/>
    <cellStyle name="60% - Accent1 16" xfId="239" xr:uid="{00000000-0005-0000-0000-000050610000}"/>
    <cellStyle name="60% - Accent1 17" xfId="33097" xr:uid="{00000000-0005-0000-0000-000051610000}"/>
    <cellStyle name="60% - Accent1 2" xfId="240" xr:uid="{00000000-0005-0000-0000-000052610000}"/>
    <cellStyle name="60% - Accent1 2 10" xfId="2081" xr:uid="{00000000-0005-0000-0000-000053610000}"/>
    <cellStyle name="60% - Accent1 2 2" xfId="241" xr:uid="{00000000-0005-0000-0000-000054610000}"/>
    <cellStyle name="60% - Accent1 2 2 2" xfId="2082" xr:uid="{00000000-0005-0000-0000-000055610000}"/>
    <cellStyle name="60% - Accent1 2 2 2 2" xfId="12717" xr:uid="{00000000-0005-0000-0000-000056610000}"/>
    <cellStyle name="60% - Accent1 2 2 3" xfId="12284" xr:uid="{00000000-0005-0000-0000-000057610000}"/>
    <cellStyle name="60% - Accent1 2 2 4" xfId="22573" xr:uid="{00000000-0005-0000-0000-000058610000}"/>
    <cellStyle name="60% - Accent1 2 2 5" xfId="23294" xr:uid="{00000000-0005-0000-0000-000059610000}"/>
    <cellStyle name="60% - Accent1 2 2 6" xfId="12152" xr:uid="{00000000-0005-0000-0000-00005A610000}"/>
    <cellStyle name="60% - Accent1 2 3" xfId="2083" xr:uid="{00000000-0005-0000-0000-00005B610000}"/>
    <cellStyle name="60% - Accent1 2 3 2" xfId="13583" xr:uid="{00000000-0005-0000-0000-00005C610000}"/>
    <cellStyle name="60% - Accent1 2 3 3" xfId="12285" xr:uid="{00000000-0005-0000-0000-00005D610000}"/>
    <cellStyle name="60% - Accent1 2 4" xfId="2084" xr:uid="{00000000-0005-0000-0000-00005E610000}"/>
    <cellStyle name="60% - Accent1 2 4 2" xfId="12684" xr:uid="{00000000-0005-0000-0000-00005F610000}"/>
    <cellStyle name="60% - Accent1 2 5" xfId="2085" xr:uid="{00000000-0005-0000-0000-000060610000}"/>
    <cellStyle name="60% - Accent1 2 5 2" xfId="12806" xr:uid="{00000000-0005-0000-0000-000061610000}"/>
    <cellStyle name="60% - Accent1 2 6" xfId="2086" xr:uid="{00000000-0005-0000-0000-000062610000}"/>
    <cellStyle name="60% - Accent1 2 6 2" xfId="13776" xr:uid="{00000000-0005-0000-0000-000063610000}"/>
    <cellStyle name="60% - Accent1 2 7" xfId="2087" xr:uid="{00000000-0005-0000-0000-000064610000}"/>
    <cellStyle name="60% - Accent1 2 7 2" xfId="12283" xr:uid="{00000000-0005-0000-0000-000065610000}"/>
    <cellStyle name="60% - Accent1 2 8" xfId="2088" xr:uid="{00000000-0005-0000-0000-000066610000}"/>
    <cellStyle name="60% - Accent1 2 8 2" xfId="22316" xr:uid="{00000000-0005-0000-0000-000067610000}"/>
    <cellStyle name="60% - Accent1 2 9" xfId="2089" xr:uid="{00000000-0005-0000-0000-000068610000}"/>
    <cellStyle name="60% - Accent1 3" xfId="242" xr:uid="{00000000-0005-0000-0000-000069610000}"/>
    <cellStyle name="60% - Accent1 3 2" xfId="13241" xr:uid="{00000000-0005-0000-0000-00006A610000}"/>
    <cellStyle name="60% - Accent1 3 3" xfId="13534" xr:uid="{00000000-0005-0000-0000-00006B610000}"/>
    <cellStyle name="60% - Accent1 3 4" xfId="22317" xr:uid="{00000000-0005-0000-0000-00006C610000}"/>
    <cellStyle name="60% - Accent1 3 5" xfId="23358" xr:uid="{00000000-0005-0000-0000-00006D610000}"/>
    <cellStyle name="60% - Accent1 3 6" xfId="12286" xr:uid="{00000000-0005-0000-0000-00006E610000}"/>
    <cellStyle name="60% - Accent1 4" xfId="243" xr:uid="{00000000-0005-0000-0000-00006F610000}"/>
    <cellStyle name="60% - Accent1 4 2" xfId="13697" xr:uid="{00000000-0005-0000-0000-000070610000}"/>
    <cellStyle name="60% - Accent1 4 3" xfId="22318" xr:uid="{00000000-0005-0000-0000-000071610000}"/>
    <cellStyle name="60% - Accent1 4 4" xfId="23359" xr:uid="{00000000-0005-0000-0000-000072610000}"/>
    <cellStyle name="60% - Accent1 4 5" xfId="12287" xr:uid="{00000000-0005-0000-0000-000073610000}"/>
    <cellStyle name="60% - Accent1 5" xfId="244" xr:uid="{00000000-0005-0000-0000-000074610000}"/>
    <cellStyle name="60% - Accent1 5 2" xfId="22319" xr:uid="{00000000-0005-0000-0000-000075610000}"/>
    <cellStyle name="60% - Accent1 5 3" xfId="23534" xr:uid="{00000000-0005-0000-0000-000076610000}"/>
    <cellStyle name="60% - Accent1 5 4" xfId="12636" xr:uid="{00000000-0005-0000-0000-000077610000}"/>
    <cellStyle name="60% - Accent1 6" xfId="245" xr:uid="{00000000-0005-0000-0000-000078610000}"/>
    <cellStyle name="60% - Accent1 6 2" xfId="22320" xr:uid="{00000000-0005-0000-0000-000079610000}"/>
    <cellStyle name="60% - Accent1 6 3" xfId="23608" xr:uid="{00000000-0005-0000-0000-00007A610000}"/>
    <cellStyle name="60% - Accent1 6 4" xfId="12805" xr:uid="{00000000-0005-0000-0000-00007B610000}"/>
    <cellStyle name="60% - Accent1 7" xfId="246" xr:uid="{00000000-0005-0000-0000-00007C610000}"/>
    <cellStyle name="60% - Accent1 8" xfId="247" xr:uid="{00000000-0005-0000-0000-00007D610000}"/>
    <cellStyle name="60% - Accent1 9" xfId="248" xr:uid="{00000000-0005-0000-0000-00007E610000}"/>
    <cellStyle name="60% - Accent2 10" xfId="249" xr:uid="{00000000-0005-0000-0000-00007F610000}"/>
    <cellStyle name="60% - Accent2 11" xfId="250" xr:uid="{00000000-0005-0000-0000-000080610000}"/>
    <cellStyle name="60% - Accent2 12" xfId="251" xr:uid="{00000000-0005-0000-0000-000081610000}"/>
    <cellStyle name="60% - Accent2 13" xfId="252" xr:uid="{00000000-0005-0000-0000-000082610000}"/>
    <cellStyle name="60% - Accent2 14" xfId="253" xr:uid="{00000000-0005-0000-0000-000083610000}"/>
    <cellStyle name="60% - Accent2 15" xfId="254" xr:uid="{00000000-0005-0000-0000-000084610000}"/>
    <cellStyle name="60% - Accent2 16" xfId="255" xr:uid="{00000000-0005-0000-0000-000085610000}"/>
    <cellStyle name="60% - Accent2 17" xfId="33126" xr:uid="{00000000-0005-0000-0000-000086610000}"/>
    <cellStyle name="60% - Accent2 2" xfId="256" xr:uid="{00000000-0005-0000-0000-000087610000}"/>
    <cellStyle name="60% - Accent2 2 10" xfId="2090" xr:uid="{00000000-0005-0000-0000-000088610000}"/>
    <cellStyle name="60% - Accent2 2 2" xfId="257" xr:uid="{00000000-0005-0000-0000-000089610000}"/>
    <cellStyle name="60% - Accent2 2 2 2" xfId="2091" xr:uid="{00000000-0005-0000-0000-00008A610000}"/>
    <cellStyle name="60% - Accent2 2 2 2 2" xfId="12718" xr:uid="{00000000-0005-0000-0000-00008B610000}"/>
    <cellStyle name="60% - Accent2 2 2 3" xfId="12289" xr:uid="{00000000-0005-0000-0000-00008C610000}"/>
    <cellStyle name="60% - Accent2 2 2 4" xfId="22577" xr:uid="{00000000-0005-0000-0000-00008D610000}"/>
    <cellStyle name="60% - Accent2 2 2 5" xfId="23295" xr:uid="{00000000-0005-0000-0000-00008E610000}"/>
    <cellStyle name="60% - Accent2 2 2 6" xfId="12154" xr:uid="{00000000-0005-0000-0000-00008F610000}"/>
    <cellStyle name="60% - Accent2 2 3" xfId="2092" xr:uid="{00000000-0005-0000-0000-000090610000}"/>
    <cellStyle name="60% - Accent2 2 3 2" xfId="13585" xr:uid="{00000000-0005-0000-0000-000091610000}"/>
    <cellStyle name="60% - Accent2 2 3 3" xfId="12290" xr:uid="{00000000-0005-0000-0000-000092610000}"/>
    <cellStyle name="60% - Accent2 2 4" xfId="2093" xr:uid="{00000000-0005-0000-0000-000093610000}"/>
    <cellStyle name="60% - Accent2 2 4 2" xfId="12688" xr:uid="{00000000-0005-0000-0000-000094610000}"/>
    <cellStyle name="60% - Accent2 2 5" xfId="2094" xr:uid="{00000000-0005-0000-0000-000095610000}"/>
    <cellStyle name="60% - Accent2 2 5 2" xfId="12808" xr:uid="{00000000-0005-0000-0000-000096610000}"/>
    <cellStyle name="60% - Accent2 2 6" xfId="2095" xr:uid="{00000000-0005-0000-0000-000097610000}"/>
    <cellStyle name="60% - Accent2 2 6 2" xfId="13777" xr:uid="{00000000-0005-0000-0000-000098610000}"/>
    <cellStyle name="60% - Accent2 2 7" xfId="2096" xr:uid="{00000000-0005-0000-0000-000099610000}"/>
    <cellStyle name="60% - Accent2 2 7 2" xfId="12288" xr:uid="{00000000-0005-0000-0000-00009A610000}"/>
    <cellStyle name="60% - Accent2 2 8" xfId="2097" xr:uid="{00000000-0005-0000-0000-00009B610000}"/>
    <cellStyle name="60% - Accent2 2 8 2" xfId="22321" xr:uid="{00000000-0005-0000-0000-00009C610000}"/>
    <cellStyle name="60% - Accent2 2 9" xfId="2098" xr:uid="{00000000-0005-0000-0000-00009D610000}"/>
    <cellStyle name="60% - Accent2 3" xfId="258" xr:uid="{00000000-0005-0000-0000-00009E610000}"/>
    <cellStyle name="60% - Accent2 3 2" xfId="13242" xr:uid="{00000000-0005-0000-0000-00009F610000}"/>
    <cellStyle name="60% - Accent2 3 3" xfId="13535" xr:uid="{00000000-0005-0000-0000-0000A0610000}"/>
    <cellStyle name="60% - Accent2 3 4" xfId="22322" xr:uid="{00000000-0005-0000-0000-0000A1610000}"/>
    <cellStyle name="60% - Accent2 3 5" xfId="23360" xr:uid="{00000000-0005-0000-0000-0000A2610000}"/>
    <cellStyle name="60% - Accent2 3 6" xfId="12291" xr:uid="{00000000-0005-0000-0000-0000A3610000}"/>
    <cellStyle name="60% - Accent2 4" xfId="259" xr:uid="{00000000-0005-0000-0000-0000A4610000}"/>
    <cellStyle name="60% - Accent2 4 2" xfId="13698" xr:uid="{00000000-0005-0000-0000-0000A5610000}"/>
    <cellStyle name="60% - Accent2 4 3" xfId="22323" xr:uid="{00000000-0005-0000-0000-0000A6610000}"/>
    <cellStyle name="60% - Accent2 4 4" xfId="23361" xr:uid="{00000000-0005-0000-0000-0000A7610000}"/>
    <cellStyle name="60% - Accent2 4 5" xfId="12292" xr:uid="{00000000-0005-0000-0000-0000A8610000}"/>
    <cellStyle name="60% - Accent2 5" xfId="260" xr:uid="{00000000-0005-0000-0000-0000A9610000}"/>
    <cellStyle name="60% - Accent2 5 2" xfId="22324" xr:uid="{00000000-0005-0000-0000-0000AA610000}"/>
    <cellStyle name="60% - Accent2 5 3" xfId="23535" xr:uid="{00000000-0005-0000-0000-0000AB610000}"/>
    <cellStyle name="60% - Accent2 5 4" xfId="12637" xr:uid="{00000000-0005-0000-0000-0000AC610000}"/>
    <cellStyle name="60% - Accent2 6" xfId="261" xr:uid="{00000000-0005-0000-0000-0000AD610000}"/>
    <cellStyle name="60% - Accent2 6 2" xfId="22325" xr:uid="{00000000-0005-0000-0000-0000AE610000}"/>
    <cellStyle name="60% - Accent2 6 3" xfId="23609" xr:uid="{00000000-0005-0000-0000-0000AF610000}"/>
    <cellStyle name="60% - Accent2 6 4" xfId="12807" xr:uid="{00000000-0005-0000-0000-0000B0610000}"/>
    <cellStyle name="60% - Accent2 7" xfId="262" xr:uid="{00000000-0005-0000-0000-0000B1610000}"/>
    <cellStyle name="60% - Accent2 8" xfId="263" xr:uid="{00000000-0005-0000-0000-0000B2610000}"/>
    <cellStyle name="60% - Accent2 9" xfId="264" xr:uid="{00000000-0005-0000-0000-0000B3610000}"/>
    <cellStyle name="60% - Accent3 10" xfId="265" xr:uid="{00000000-0005-0000-0000-0000B4610000}"/>
    <cellStyle name="60% - Accent3 11" xfId="266" xr:uid="{00000000-0005-0000-0000-0000B5610000}"/>
    <cellStyle name="60% - Accent3 12" xfId="267" xr:uid="{00000000-0005-0000-0000-0000B6610000}"/>
    <cellStyle name="60% - Accent3 13" xfId="268" xr:uid="{00000000-0005-0000-0000-0000B7610000}"/>
    <cellStyle name="60% - Accent3 14" xfId="269" xr:uid="{00000000-0005-0000-0000-0000B8610000}"/>
    <cellStyle name="60% - Accent3 15" xfId="270" xr:uid="{00000000-0005-0000-0000-0000B9610000}"/>
    <cellStyle name="60% - Accent3 16" xfId="271" xr:uid="{00000000-0005-0000-0000-0000BA610000}"/>
    <cellStyle name="60% - Accent3 17" xfId="33072" xr:uid="{00000000-0005-0000-0000-0000BB610000}"/>
    <cellStyle name="60% - Accent3 2" xfId="272" xr:uid="{00000000-0005-0000-0000-0000BC610000}"/>
    <cellStyle name="60% - Accent3 2 10" xfId="2099" xr:uid="{00000000-0005-0000-0000-0000BD610000}"/>
    <cellStyle name="60% - Accent3 2 2" xfId="273" xr:uid="{00000000-0005-0000-0000-0000BE610000}"/>
    <cellStyle name="60% - Accent3 2 2 2" xfId="2100" xr:uid="{00000000-0005-0000-0000-0000BF610000}"/>
    <cellStyle name="60% - Accent3 2 2 2 2" xfId="12719" xr:uid="{00000000-0005-0000-0000-0000C0610000}"/>
    <cellStyle name="60% - Accent3 2 2 3" xfId="12294" xr:uid="{00000000-0005-0000-0000-0000C1610000}"/>
    <cellStyle name="60% - Accent3 2 2 4" xfId="22581" xr:uid="{00000000-0005-0000-0000-0000C2610000}"/>
    <cellStyle name="60% - Accent3 2 2 5" xfId="23296" xr:uid="{00000000-0005-0000-0000-0000C3610000}"/>
    <cellStyle name="60% - Accent3 2 2 6" xfId="12156" xr:uid="{00000000-0005-0000-0000-0000C4610000}"/>
    <cellStyle name="60% - Accent3 2 3" xfId="2101" xr:uid="{00000000-0005-0000-0000-0000C5610000}"/>
    <cellStyle name="60% - Accent3 2 3 2" xfId="13587" xr:uid="{00000000-0005-0000-0000-0000C6610000}"/>
    <cellStyle name="60% - Accent3 2 3 3" xfId="12295" xr:uid="{00000000-0005-0000-0000-0000C7610000}"/>
    <cellStyle name="60% - Accent3 2 4" xfId="2102" xr:uid="{00000000-0005-0000-0000-0000C8610000}"/>
    <cellStyle name="60% - Accent3 2 4 2" xfId="12692" xr:uid="{00000000-0005-0000-0000-0000C9610000}"/>
    <cellStyle name="60% - Accent3 2 5" xfId="2103" xr:uid="{00000000-0005-0000-0000-0000CA610000}"/>
    <cellStyle name="60% - Accent3 2 5 2" xfId="12810" xr:uid="{00000000-0005-0000-0000-0000CB610000}"/>
    <cellStyle name="60% - Accent3 2 6" xfId="2104" xr:uid="{00000000-0005-0000-0000-0000CC610000}"/>
    <cellStyle name="60% - Accent3 2 6 2" xfId="13501" xr:uid="{00000000-0005-0000-0000-0000CD610000}"/>
    <cellStyle name="60% - Accent3 2 7" xfId="2105" xr:uid="{00000000-0005-0000-0000-0000CE610000}"/>
    <cellStyle name="60% - Accent3 2 7 2" xfId="13778" xr:uid="{00000000-0005-0000-0000-0000CF610000}"/>
    <cellStyle name="60% - Accent3 2 8" xfId="2106" xr:uid="{00000000-0005-0000-0000-0000D0610000}"/>
    <cellStyle name="60% - Accent3 2 8 2" xfId="12293" xr:uid="{00000000-0005-0000-0000-0000D1610000}"/>
    <cellStyle name="60% - Accent3 2 9" xfId="2107" xr:uid="{00000000-0005-0000-0000-0000D2610000}"/>
    <cellStyle name="60% - Accent3 2 9 2" xfId="22326" xr:uid="{00000000-0005-0000-0000-0000D3610000}"/>
    <cellStyle name="60% - Accent3 3" xfId="274" xr:uid="{00000000-0005-0000-0000-0000D4610000}"/>
    <cellStyle name="60% - Accent3 3 2" xfId="13243" xr:uid="{00000000-0005-0000-0000-0000D5610000}"/>
    <cellStyle name="60% - Accent3 3 3" xfId="13536" xr:uid="{00000000-0005-0000-0000-0000D6610000}"/>
    <cellStyle name="60% - Accent3 3 4" xfId="22327" xr:uid="{00000000-0005-0000-0000-0000D7610000}"/>
    <cellStyle name="60% - Accent3 3 5" xfId="23362" xr:uid="{00000000-0005-0000-0000-0000D8610000}"/>
    <cellStyle name="60% - Accent3 3 6" xfId="12296" xr:uid="{00000000-0005-0000-0000-0000D9610000}"/>
    <cellStyle name="60% - Accent3 4" xfId="275" xr:uid="{00000000-0005-0000-0000-0000DA610000}"/>
    <cellStyle name="60% - Accent3 4 2" xfId="13699" xr:uid="{00000000-0005-0000-0000-0000DB610000}"/>
    <cellStyle name="60% - Accent3 4 3" xfId="22328" xr:uid="{00000000-0005-0000-0000-0000DC610000}"/>
    <cellStyle name="60% - Accent3 4 4" xfId="23363" xr:uid="{00000000-0005-0000-0000-0000DD610000}"/>
    <cellStyle name="60% - Accent3 4 5" xfId="12297" xr:uid="{00000000-0005-0000-0000-0000DE610000}"/>
    <cellStyle name="60% - Accent3 5" xfId="276" xr:uid="{00000000-0005-0000-0000-0000DF610000}"/>
    <cellStyle name="60% - Accent3 5 2" xfId="22329" xr:uid="{00000000-0005-0000-0000-0000E0610000}"/>
    <cellStyle name="60% - Accent3 5 3" xfId="23536" xr:uid="{00000000-0005-0000-0000-0000E1610000}"/>
    <cellStyle name="60% - Accent3 5 4" xfId="12638" xr:uid="{00000000-0005-0000-0000-0000E2610000}"/>
    <cellStyle name="60% - Accent3 6" xfId="277" xr:uid="{00000000-0005-0000-0000-0000E3610000}"/>
    <cellStyle name="60% - Accent3 6 2" xfId="22330" xr:uid="{00000000-0005-0000-0000-0000E4610000}"/>
    <cellStyle name="60% - Accent3 6 3" xfId="23610" xr:uid="{00000000-0005-0000-0000-0000E5610000}"/>
    <cellStyle name="60% - Accent3 6 4" xfId="12809" xr:uid="{00000000-0005-0000-0000-0000E6610000}"/>
    <cellStyle name="60% - Accent3 7" xfId="278" xr:uid="{00000000-0005-0000-0000-0000E7610000}"/>
    <cellStyle name="60% - Accent3 8" xfId="279" xr:uid="{00000000-0005-0000-0000-0000E8610000}"/>
    <cellStyle name="60% - Accent3 9" xfId="280" xr:uid="{00000000-0005-0000-0000-0000E9610000}"/>
    <cellStyle name="60% - Accent4 10" xfId="281" xr:uid="{00000000-0005-0000-0000-0000EA610000}"/>
    <cellStyle name="60% - Accent4 11" xfId="282" xr:uid="{00000000-0005-0000-0000-0000EB610000}"/>
    <cellStyle name="60% - Accent4 12" xfId="283" xr:uid="{00000000-0005-0000-0000-0000EC610000}"/>
    <cellStyle name="60% - Accent4 13" xfId="284" xr:uid="{00000000-0005-0000-0000-0000ED610000}"/>
    <cellStyle name="60% - Accent4 14" xfId="285" xr:uid="{00000000-0005-0000-0000-0000EE610000}"/>
    <cellStyle name="60% - Accent4 15" xfId="286" xr:uid="{00000000-0005-0000-0000-0000EF610000}"/>
    <cellStyle name="60% - Accent4 16" xfId="287" xr:uid="{00000000-0005-0000-0000-0000F0610000}"/>
    <cellStyle name="60% - Accent4 17" xfId="33069" xr:uid="{00000000-0005-0000-0000-0000F1610000}"/>
    <cellStyle name="60% - Accent4 2" xfId="288" xr:uid="{00000000-0005-0000-0000-0000F2610000}"/>
    <cellStyle name="60% - Accent4 2 10" xfId="2108" xr:uid="{00000000-0005-0000-0000-0000F3610000}"/>
    <cellStyle name="60% - Accent4 2 2" xfId="289" xr:uid="{00000000-0005-0000-0000-0000F4610000}"/>
    <cellStyle name="60% - Accent4 2 2 2" xfId="2109" xr:uid="{00000000-0005-0000-0000-0000F5610000}"/>
    <cellStyle name="60% - Accent4 2 2 2 2" xfId="12720" xr:uid="{00000000-0005-0000-0000-0000F6610000}"/>
    <cellStyle name="60% - Accent4 2 2 3" xfId="12299" xr:uid="{00000000-0005-0000-0000-0000F7610000}"/>
    <cellStyle name="60% - Accent4 2 2 4" xfId="22585" xr:uid="{00000000-0005-0000-0000-0000F8610000}"/>
    <cellStyle name="60% - Accent4 2 2 5" xfId="23298" xr:uid="{00000000-0005-0000-0000-0000F9610000}"/>
    <cellStyle name="60% - Accent4 2 2 6" xfId="12158" xr:uid="{00000000-0005-0000-0000-0000FA610000}"/>
    <cellStyle name="60% - Accent4 2 3" xfId="2110" xr:uid="{00000000-0005-0000-0000-0000FB610000}"/>
    <cellStyle name="60% - Accent4 2 3 2" xfId="13589" xr:uid="{00000000-0005-0000-0000-0000FC610000}"/>
    <cellStyle name="60% - Accent4 2 3 3" xfId="12300" xr:uid="{00000000-0005-0000-0000-0000FD610000}"/>
    <cellStyle name="60% - Accent4 2 4" xfId="2111" xr:uid="{00000000-0005-0000-0000-0000FE610000}"/>
    <cellStyle name="60% - Accent4 2 4 2" xfId="12696" xr:uid="{00000000-0005-0000-0000-0000FF610000}"/>
    <cellStyle name="60% - Accent4 2 5" xfId="2112" xr:uid="{00000000-0005-0000-0000-000000620000}"/>
    <cellStyle name="60% - Accent4 2 5 2" xfId="12812" xr:uid="{00000000-0005-0000-0000-000001620000}"/>
    <cellStyle name="60% - Accent4 2 6" xfId="2113" xr:uid="{00000000-0005-0000-0000-000002620000}"/>
    <cellStyle name="60% - Accent4 2 6 2" xfId="13502" xr:uid="{00000000-0005-0000-0000-000003620000}"/>
    <cellStyle name="60% - Accent4 2 7" xfId="2114" xr:uid="{00000000-0005-0000-0000-000004620000}"/>
    <cellStyle name="60% - Accent4 2 7 2" xfId="13779" xr:uid="{00000000-0005-0000-0000-000005620000}"/>
    <cellStyle name="60% - Accent4 2 8" xfId="2115" xr:uid="{00000000-0005-0000-0000-000006620000}"/>
    <cellStyle name="60% - Accent4 2 8 2" xfId="12298" xr:uid="{00000000-0005-0000-0000-000007620000}"/>
    <cellStyle name="60% - Accent4 2 9" xfId="2116" xr:uid="{00000000-0005-0000-0000-000008620000}"/>
    <cellStyle name="60% - Accent4 2 9 2" xfId="22331" xr:uid="{00000000-0005-0000-0000-000009620000}"/>
    <cellStyle name="60% - Accent4 3" xfId="290" xr:uid="{00000000-0005-0000-0000-00000A620000}"/>
    <cellStyle name="60% - Accent4 3 2" xfId="13244" xr:uid="{00000000-0005-0000-0000-00000B620000}"/>
    <cellStyle name="60% - Accent4 3 3" xfId="13537" xr:uid="{00000000-0005-0000-0000-00000C620000}"/>
    <cellStyle name="60% - Accent4 3 4" xfId="22332" xr:uid="{00000000-0005-0000-0000-00000D620000}"/>
    <cellStyle name="60% - Accent4 3 5" xfId="23364" xr:uid="{00000000-0005-0000-0000-00000E620000}"/>
    <cellStyle name="60% - Accent4 3 6" xfId="12301" xr:uid="{00000000-0005-0000-0000-00000F620000}"/>
    <cellStyle name="60% - Accent4 4" xfId="291" xr:uid="{00000000-0005-0000-0000-000010620000}"/>
    <cellStyle name="60% - Accent4 4 2" xfId="13700" xr:uid="{00000000-0005-0000-0000-000011620000}"/>
    <cellStyle name="60% - Accent4 4 3" xfId="22333" xr:uid="{00000000-0005-0000-0000-000012620000}"/>
    <cellStyle name="60% - Accent4 4 4" xfId="23365" xr:uid="{00000000-0005-0000-0000-000013620000}"/>
    <cellStyle name="60% - Accent4 4 5" xfId="12302" xr:uid="{00000000-0005-0000-0000-000014620000}"/>
    <cellStyle name="60% - Accent4 5" xfId="292" xr:uid="{00000000-0005-0000-0000-000015620000}"/>
    <cellStyle name="60% - Accent4 5 2" xfId="22334" xr:uid="{00000000-0005-0000-0000-000016620000}"/>
    <cellStyle name="60% - Accent4 5 3" xfId="23537" xr:uid="{00000000-0005-0000-0000-000017620000}"/>
    <cellStyle name="60% - Accent4 5 4" xfId="12639" xr:uid="{00000000-0005-0000-0000-000018620000}"/>
    <cellStyle name="60% - Accent4 6" xfId="293" xr:uid="{00000000-0005-0000-0000-000019620000}"/>
    <cellStyle name="60% - Accent4 6 2" xfId="22335" xr:uid="{00000000-0005-0000-0000-00001A620000}"/>
    <cellStyle name="60% - Accent4 6 3" xfId="23611" xr:uid="{00000000-0005-0000-0000-00001B620000}"/>
    <cellStyle name="60% - Accent4 6 4" xfId="12811" xr:uid="{00000000-0005-0000-0000-00001C620000}"/>
    <cellStyle name="60% - Accent4 7" xfId="294" xr:uid="{00000000-0005-0000-0000-00001D620000}"/>
    <cellStyle name="60% - Accent4 8" xfId="295" xr:uid="{00000000-0005-0000-0000-00001E620000}"/>
    <cellStyle name="60% - Accent4 9" xfId="296" xr:uid="{00000000-0005-0000-0000-00001F620000}"/>
    <cellStyle name="60% - Accent5 10" xfId="297" xr:uid="{00000000-0005-0000-0000-000020620000}"/>
    <cellStyle name="60% - Accent5 11" xfId="298" xr:uid="{00000000-0005-0000-0000-000021620000}"/>
    <cellStyle name="60% - Accent5 12" xfId="299" xr:uid="{00000000-0005-0000-0000-000022620000}"/>
    <cellStyle name="60% - Accent5 13" xfId="300" xr:uid="{00000000-0005-0000-0000-000023620000}"/>
    <cellStyle name="60% - Accent5 14" xfId="301" xr:uid="{00000000-0005-0000-0000-000024620000}"/>
    <cellStyle name="60% - Accent5 15" xfId="302" xr:uid="{00000000-0005-0000-0000-000025620000}"/>
    <cellStyle name="60% - Accent5 16" xfId="303" xr:uid="{00000000-0005-0000-0000-000026620000}"/>
    <cellStyle name="60% - Accent5 17" xfId="33142" xr:uid="{00000000-0005-0000-0000-000027620000}"/>
    <cellStyle name="60% - Accent5 2" xfId="304" xr:uid="{00000000-0005-0000-0000-000028620000}"/>
    <cellStyle name="60% - Accent5 2 10" xfId="2117" xr:uid="{00000000-0005-0000-0000-000029620000}"/>
    <cellStyle name="60% - Accent5 2 2" xfId="305" xr:uid="{00000000-0005-0000-0000-00002A620000}"/>
    <cellStyle name="60% - Accent5 2 2 2" xfId="2118" xr:uid="{00000000-0005-0000-0000-00002B620000}"/>
    <cellStyle name="60% - Accent5 2 2 2 2" xfId="12721" xr:uid="{00000000-0005-0000-0000-00002C620000}"/>
    <cellStyle name="60% - Accent5 2 2 3" xfId="12304" xr:uid="{00000000-0005-0000-0000-00002D620000}"/>
    <cellStyle name="60% - Accent5 2 2 4" xfId="22589" xr:uid="{00000000-0005-0000-0000-00002E620000}"/>
    <cellStyle name="60% - Accent5 2 2 5" xfId="23300" xr:uid="{00000000-0005-0000-0000-00002F620000}"/>
    <cellStyle name="60% - Accent5 2 2 6" xfId="12160" xr:uid="{00000000-0005-0000-0000-000030620000}"/>
    <cellStyle name="60% - Accent5 2 3" xfId="2119" xr:uid="{00000000-0005-0000-0000-000031620000}"/>
    <cellStyle name="60% - Accent5 2 3 2" xfId="13591" xr:uid="{00000000-0005-0000-0000-000032620000}"/>
    <cellStyle name="60% - Accent5 2 3 3" xfId="12305" xr:uid="{00000000-0005-0000-0000-000033620000}"/>
    <cellStyle name="60% - Accent5 2 4" xfId="2120" xr:uid="{00000000-0005-0000-0000-000034620000}"/>
    <cellStyle name="60% - Accent5 2 4 2" xfId="12700" xr:uid="{00000000-0005-0000-0000-000035620000}"/>
    <cellStyle name="60% - Accent5 2 5" xfId="2121" xr:uid="{00000000-0005-0000-0000-000036620000}"/>
    <cellStyle name="60% - Accent5 2 5 2" xfId="12814" xr:uid="{00000000-0005-0000-0000-000037620000}"/>
    <cellStyle name="60% - Accent5 2 6" xfId="2122" xr:uid="{00000000-0005-0000-0000-000038620000}"/>
    <cellStyle name="60% - Accent5 2 6 2" xfId="13780" xr:uid="{00000000-0005-0000-0000-000039620000}"/>
    <cellStyle name="60% - Accent5 2 7" xfId="2123" xr:uid="{00000000-0005-0000-0000-00003A620000}"/>
    <cellStyle name="60% - Accent5 2 7 2" xfId="12303" xr:uid="{00000000-0005-0000-0000-00003B620000}"/>
    <cellStyle name="60% - Accent5 2 8" xfId="2124" xr:uid="{00000000-0005-0000-0000-00003C620000}"/>
    <cellStyle name="60% - Accent5 2 8 2" xfId="22336" xr:uid="{00000000-0005-0000-0000-00003D620000}"/>
    <cellStyle name="60% - Accent5 2 9" xfId="2125" xr:uid="{00000000-0005-0000-0000-00003E620000}"/>
    <cellStyle name="60% - Accent5 3" xfId="306" xr:uid="{00000000-0005-0000-0000-00003F620000}"/>
    <cellStyle name="60% - Accent5 3 2" xfId="13245" xr:uid="{00000000-0005-0000-0000-000040620000}"/>
    <cellStyle name="60% - Accent5 3 3" xfId="13538" xr:uid="{00000000-0005-0000-0000-000041620000}"/>
    <cellStyle name="60% - Accent5 3 4" xfId="22337" xr:uid="{00000000-0005-0000-0000-000042620000}"/>
    <cellStyle name="60% - Accent5 3 5" xfId="23366" xr:uid="{00000000-0005-0000-0000-000043620000}"/>
    <cellStyle name="60% - Accent5 3 6" xfId="12306" xr:uid="{00000000-0005-0000-0000-000044620000}"/>
    <cellStyle name="60% - Accent5 4" xfId="307" xr:uid="{00000000-0005-0000-0000-000045620000}"/>
    <cellStyle name="60% - Accent5 4 2" xfId="13701" xr:uid="{00000000-0005-0000-0000-000046620000}"/>
    <cellStyle name="60% - Accent5 4 3" xfId="22338" xr:uid="{00000000-0005-0000-0000-000047620000}"/>
    <cellStyle name="60% - Accent5 4 4" xfId="23367" xr:uid="{00000000-0005-0000-0000-000048620000}"/>
    <cellStyle name="60% - Accent5 4 5" xfId="12307" xr:uid="{00000000-0005-0000-0000-000049620000}"/>
    <cellStyle name="60% - Accent5 5" xfId="308" xr:uid="{00000000-0005-0000-0000-00004A620000}"/>
    <cellStyle name="60% - Accent5 5 2" xfId="22339" xr:uid="{00000000-0005-0000-0000-00004B620000}"/>
    <cellStyle name="60% - Accent5 5 3" xfId="23538" xr:uid="{00000000-0005-0000-0000-00004C620000}"/>
    <cellStyle name="60% - Accent5 5 4" xfId="12640" xr:uid="{00000000-0005-0000-0000-00004D620000}"/>
    <cellStyle name="60% - Accent5 6" xfId="309" xr:uid="{00000000-0005-0000-0000-00004E620000}"/>
    <cellStyle name="60% - Accent5 6 2" xfId="22340" xr:uid="{00000000-0005-0000-0000-00004F620000}"/>
    <cellStyle name="60% - Accent5 6 3" xfId="23612" xr:uid="{00000000-0005-0000-0000-000050620000}"/>
    <cellStyle name="60% - Accent5 6 4" xfId="12813" xr:uid="{00000000-0005-0000-0000-000051620000}"/>
    <cellStyle name="60% - Accent5 7" xfId="310" xr:uid="{00000000-0005-0000-0000-000052620000}"/>
    <cellStyle name="60% - Accent5 8" xfId="311" xr:uid="{00000000-0005-0000-0000-000053620000}"/>
    <cellStyle name="60% - Accent5 9" xfId="312" xr:uid="{00000000-0005-0000-0000-000054620000}"/>
    <cellStyle name="60% - Accent6 10" xfId="313" xr:uid="{00000000-0005-0000-0000-000055620000}"/>
    <cellStyle name="60% - Accent6 11" xfId="314" xr:uid="{00000000-0005-0000-0000-000056620000}"/>
    <cellStyle name="60% - Accent6 12" xfId="315" xr:uid="{00000000-0005-0000-0000-000057620000}"/>
    <cellStyle name="60% - Accent6 13" xfId="316" xr:uid="{00000000-0005-0000-0000-000058620000}"/>
    <cellStyle name="60% - Accent6 14" xfId="317" xr:uid="{00000000-0005-0000-0000-000059620000}"/>
    <cellStyle name="60% - Accent6 15" xfId="318" xr:uid="{00000000-0005-0000-0000-00005A620000}"/>
    <cellStyle name="60% - Accent6 16" xfId="319" xr:uid="{00000000-0005-0000-0000-00005B620000}"/>
    <cellStyle name="60% - Accent6 17" xfId="33098" xr:uid="{00000000-0005-0000-0000-00005C620000}"/>
    <cellStyle name="60% - Accent6 2" xfId="320" xr:uid="{00000000-0005-0000-0000-00005D620000}"/>
    <cellStyle name="60% - Accent6 2 10" xfId="2126" xr:uid="{00000000-0005-0000-0000-00005E620000}"/>
    <cellStyle name="60% - Accent6 2 2" xfId="321" xr:uid="{00000000-0005-0000-0000-00005F620000}"/>
    <cellStyle name="60% - Accent6 2 2 2" xfId="2127" xr:uid="{00000000-0005-0000-0000-000060620000}"/>
    <cellStyle name="60% - Accent6 2 2 2 2" xfId="12722" xr:uid="{00000000-0005-0000-0000-000061620000}"/>
    <cellStyle name="60% - Accent6 2 2 3" xfId="12309" xr:uid="{00000000-0005-0000-0000-000062620000}"/>
    <cellStyle name="60% - Accent6 2 2 4" xfId="22593" xr:uid="{00000000-0005-0000-0000-000063620000}"/>
    <cellStyle name="60% - Accent6 2 2 5" xfId="23301" xr:uid="{00000000-0005-0000-0000-000064620000}"/>
    <cellStyle name="60% - Accent6 2 2 6" xfId="12162" xr:uid="{00000000-0005-0000-0000-000065620000}"/>
    <cellStyle name="60% - Accent6 2 3" xfId="2128" xr:uid="{00000000-0005-0000-0000-000066620000}"/>
    <cellStyle name="60% - Accent6 2 3 2" xfId="13593" xr:uid="{00000000-0005-0000-0000-000067620000}"/>
    <cellStyle name="60% - Accent6 2 3 3" xfId="12310" xr:uid="{00000000-0005-0000-0000-000068620000}"/>
    <cellStyle name="60% - Accent6 2 4" xfId="2129" xr:uid="{00000000-0005-0000-0000-000069620000}"/>
    <cellStyle name="60% - Accent6 2 4 2" xfId="12704" xr:uid="{00000000-0005-0000-0000-00006A620000}"/>
    <cellStyle name="60% - Accent6 2 5" xfId="2130" xr:uid="{00000000-0005-0000-0000-00006B620000}"/>
    <cellStyle name="60% - Accent6 2 5 2" xfId="12816" xr:uid="{00000000-0005-0000-0000-00006C620000}"/>
    <cellStyle name="60% - Accent6 2 6" xfId="2131" xr:uid="{00000000-0005-0000-0000-00006D620000}"/>
    <cellStyle name="60% - Accent6 2 6 2" xfId="13781" xr:uid="{00000000-0005-0000-0000-00006E620000}"/>
    <cellStyle name="60% - Accent6 2 7" xfId="2132" xr:uid="{00000000-0005-0000-0000-00006F620000}"/>
    <cellStyle name="60% - Accent6 2 7 2" xfId="12308" xr:uid="{00000000-0005-0000-0000-000070620000}"/>
    <cellStyle name="60% - Accent6 2 8" xfId="2133" xr:uid="{00000000-0005-0000-0000-000071620000}"/>
    <cellStyle name="60% - Accent6 2 8 2" xfId="22341" xr:uid="{00000000-0005-0000-0000-000072620000}"/>
    <cellStyle name="60% - Accent6 2 9" xfId="2134" xr:uid="{00000000-0005-0000-0000-000073620000}"/>
    <cellStyle name="60% - Accent6 3" xfId="322" xr:uid="{00000000-0005-0000-0000-000074620000}"/>
    <cellStyle name="60% - Accent6 3 2" xfId="13246" xr:uid="{00000000-0005-0000-0000-000075620000}"/>
    <cellStyle name="60% - Accent6 3 3" xfId="13539" xr:uid="{00000000-0005-0000-0000-000076620000}"/>
    <cellStyle name="60% - Accent6 3 4" xfId="22342" xr:uid="{00000000-0005-0000-0000-000077620000}"/>
    <cellStyle name="60% - Accent6 3 5" xfId="23368" xr:uid="{00000000-0005-0000-0000-000078620000}"/>
    <cellStyle name="60% - Accent6 3 6" xfId="12311" xr:uid="{00000000-0005-0000-0000-000079620000}"/>
    <cellStyle name="60% - Accent6 4" xfId="323" xr:uid="{00000000-0005-0000-0000-00007A620000}"/>
    <cellStyle name="60% - Accent6 4 2" xfId="13702" xr:uid="{00000000-0005-0000-0000-00007B620000}"/>
    <cellStyle name="60% - Accent6 4 3" xfId="22343" xr:uid="{00000000-0005-0000-0000-00007C620000}"/>
    <cellStyle name="60% - Accent6 4 4" xfId="23369" xr:uid="{00000000-0005-0000-0000-00007D620000}"/>
    <cellStyle name="60% - Accent6 4 5" xfId="12312" xr:uid="{00000000-0005-0000-0000-00007E620000}"/>
    <cellStyle name="60% - Accent6 5" xfId="324" xr:uid="{00000000-0005-0000-0000-00007F620000}"/>
    <cellStyle name="60% - Accent6 5 2" xfId="22344" xr:uid="{00000000-0005-0000-0000-000080620000}"/>
    <cellStyle name="60% - Accent6 5 3" xfId="23539" xr:uid="{00000000-0005-0000-0000-000081620000}"/>
    <cellStyle name="60% - Accent6 5 4" xfId="12641" xr:uid="{00000000-0005-0000-0000-000082620000}"/>
    <cellStyle name="60% - Accent6 6" xfId="325" xr:uid="{00000000-0005-0000-0000-000083620000}"/>
    <cellStyle name="60% - Accent6 6 2" xfId="22345" xr:uid="{00000000-0005-0000-0000-000084620000}"/>
    <cellStyle name="60% - Accent6 6 3" xfId="23613" xr:uid="{00000000-0005-0000-0000-000085620000}"/>
    <cellStyle name="60% - Accent6 6 4" xfId="12815" xr:uid="{00000000-0005-0000-0000-000086620000}"/>
    <cellStyle name="60% - Accent6 7" xfId="326" xr:uid="{00000000-0005-0000-0000-000087620000}"/>
    <cellStyle name="60% - Accent6 8" xfId="327" xr:uid="{00000000-0005-0000-0000-000088620000}"/>
    <cellStyle name="60% - Accent6 9" xfId="328" xr:uid="{00000000-0005-0000-0000-000089620000}"/>
    <cellStyle name="A%" xfId="2135" xr:uid="{00000000-0005-0000-0000-00008A620000}"/>
    <cellStyle name="Accent1 10" xfId="329" xr:uid="{00000000-0005-0000-0000-00008B620000}"/>
    <cellStyle name="Accent1 11" xfId="330" xr:uid="{00000000-0005-0000-0000-00008C620000}"/>
    <cellStyle name="Accent1 12" xfId="331" xr:uid="{00000000-0005-0000-0000-00008D620000}"/>
    <cellStyle name="Accent1 13" xfId="332" xr:uid="{00000000-0005-0000-0000-00008E620000}"/>
    <cellStyle name="Accent1 14" xfId="333" xr:uid="{00000000-0005-0000-0000-00008F620000}"/>
    <cellStyle name="Accent1 15" xfId="334" xr:uid="{00000000-0005-0000-0000-000090620000}"/>
    <cellStyle name="Accent1 16" xfId="335" xr:uid="{00000000-0005-0000-0000-000091620000}"/>
    <cellStyle name="Accent1 17" xfId="33119" xr:uid="{00000000-0005-0000-0000-000092620000}"/>
    <cellStyle name="Accent1 2" xfId="336" xr:uid="{00000000-0005-0000-0000-000093620000}"/>
    <cellStyle name="Accent1 2 10" xfId="2136" xr:uid="{00000000-0005-0000-0000-000094620000}"/>
    <cellStyle name="Accent1 2 2" xfId="337" xr:uid="{00000000-0005-0000-0000-000095620000}"/>
    <cellStyle name="Accent1 2 2 2" xfId="2137" xr:uid="{00000000-0005-0000-0000-000096620000}"/>
    <cellStyle name="Accent1 2 2 2 2" xfId="12723" xr:uid="{00000000-0005-0000-0000-000097620000}"/>
    <cellStyle name="Accent1 2 2 3" xfId="12314" xr:uid="{00000000-0005-0000-0000-000098620000}"/>
    <cellStyle name="Accent1 2 2 4" xfId="22570" xr:uid="{00000000-0005-0000-0000-000099620000}"/>
    <cellStyle name="Accent1 2 2 5" xfId="23302" xr:uid="{00000000-0005-0000-0000-00009A620000}"/>
    <cellStyle name="Accent1 2 2 6" xfId="12164" xr:uid="{00000000-0005-0000-0000-00009B620000}"/>
    <cellStyle name="Accent1 2 3" xfId="2138" xr:uid="{00000000-0005-0000-0000-00009C620000}"/>
    <cellStyle name="Accent1 2 3 2" xfId="13582" xr:uid="{00000000-0005-0000-0000-00009D620000}"/>
    <cellStyle name="Accent1 2 3 3" xfId="12315" xr:uid="{00000000-0005-0000-0000-00009E620000}"/>
    <cellStyle name="Accent1 2 4" xfId="2139" xr:uid="{00000000-0005-0000-0000-00009F620000}"/>
    <cellStyle name="Accent1 2 4 2" xfId="12681" xr:uid="{00000000-0005-0000-0000-0000A0620000}"/>
    <cellStyle name="Accent1 2 5" xfId="2140" xr:uid="{00000000-0005-0000-0000-0000A1620000}"/>
    <cellStyle name="Accent1 2 5 2" xfId="12818" xr:uid="{00000000-0005-0000-0000-0000A2620000}"/>
    <cellStyle name="Accent1 2 6" xfId="2141" xr:uid="{00000000-0005-0000-0000-0000A3620000}"/>
    <cellStyle name="Accent1 2 6 2" xfId="13503" xr:uid="{00000000-0005-0000-0000-0000A4620000}"/>
    <cellStyle name="Accent1 2 7" xfId="2142" xr:uid="{00000000-0005-0000-0000-0000A5620000}"/>
    <cellStyle name="Accent1 2 7 2" xfId="13782" xr:uid="{00000000-0005-0000-0000-0000A6620000}"/>
    <cellStyle name="Accent1 2 8" xfId="2143" xr:uid="{00000000-0005-0000-0000-0000A7620000}"/>
    <cellStyle name="Accent1 2 8 2" xfId="12313" xr:uid="{00000000-0005-0000-0000-0000A8620000}"/>
    <cellStyle name="Accent1 2 9" xfId="2144" xr:uid="{00000000-0005-0000-0000-0000A9620000}"/>
    <cellStyle name="Accent1 2 9 2" xfId="22346" xr:uid="{00000000-0005-0000-0000-0000AA620000}"/>
    <cellStyle name="Accent1 3" xfId="338" xr:uid="{00000000-0005-0000-0000-0000AB620000}"/>
    <cellStyle name="Accent1 3 2" xfId="13247" xr:uid="{00000000-0005-0000-0000-0000AC620000}"/>
    <cellStyle name="Accent1 3 3" xfId="13540" xr:uid="{00000000-0005-0000-0000-0000AD620000}"/>
    <cellStyle name="Accent1 3 4" xfId="22347" xr:uid="{00000000-0005-0000-0000-0000AE620000}"/>
    <cellStyle name="Accent1 3 5" xfId="23370" xr:uid="{00000000-0005-0000-0000-0000AF620000}"/>
    <cellStyle name="Accent1 3 6" xfId="12316" xr:uid="{00000000-0005-0000-0000-0000B0620000}"/>
    <cellStyle name="Accent1 4" xfId="339" xr:uid="{00000000-0005-0000-0000-0000B1620000}"/>
    <cellStyle name="Accent1 4 2" xfId="13703" xr:uid="{00000000-0005-0000-0000-0000B2620000}"/>
    <cellStyle name="Accent1 4 3" xfId="22348" xr:uid="{00000000-0005-0000-0000-0000B3620000}"/>
    <cellStyle name="Accent1 4 4" xfId="23371" xr:uid="{00000000-0005-0000-0000-0000B4620000}"/>
    <cellStyle name="Accent1 4 5" xfId="12317" xr:uid="{00000000-0005-0000-0000-0000B5620000}"/>
    <cellStyle name="Accent1 5" xfId="340" xr:uid="{00000000-0005-0000-0000-0000B6620000}"/>
    <cellStyle name="Accent1 5 2" xfId="22349" xr:uid="{00000000-0005-0000-0000-0000B7620000}"/>
    <cellStyle name="Accent1 5 3" xfId="23540" xr:uid="{00000000-0005-0000-0000-0000B8620000}"/>
    <cellStyle name="Accent1 5 4" xfId="12642" xr:uid="{00000000-0005-0000-0000-0000B9620000}"/>
    <cellStyle name="Accent1 6" xfId="341" xr:uid="{00000000-0005-0000-0000-0000BA620000}"/>
    <cellStyle name="Accent1 6 2" xfId="22350" xr:uid="{00000000-0005-0000-0000-0000BB620000}"/>
    <cellStyle name="Accent1 6 3" xfId="23614" xr:uid="{00000000-0005-0000-0000-0000BC620000}"/>
    <cellStyle name="Accent1 6 4" xfId="12817" xr:uid="{00000000-0005-0000-0000-0000BD620000}"/>
    <cellStyle name="Accent1 7" xfId="342" xr:uid="{00000000-0005-0000-0000-0000BE620000}"/>
    <cellStyle name="Accent1 8" xfId="343" xr:uid="{00000000-0005-0000-0000-0000BF620000}"/>
    <cellStyle name="Accent1 9" xfId="344" xr:uid="{00000000-0005-0000-0000-0000C0620000}"/>
    <cellStyle name="Accent2 10" xfId="345" xr:uid="{00000000-0005-0000-0000-0000C1620000}"/>
    <cellStyle name="Accent2 11" xfId="346" xr:uid="{00000000-0005-0000-0000-0000C2620000}"/>
    <cellStyle name="Accent2 12" xfId="347" xr:uid="{00000000-0005-0000-0000-0000C3620000}"/>
    <cellStyle name="Accent2 13" xfId="348" xr:uid="{00000000-0005-0000-0000-0000C4620000}"/>
    <cellStyle name="Accent2 14" xfId="349" xr:uid="{00000000-0005-0000-0000-0000C5620000}"/>
    <cellStyle name="Accent2 15" xfId="350" xr:uid="{00000000-0005-0000-0000-0000C6620000}"/>
    <cellStyle name="Accent2 16" xfId="351" xr:uid="{00000000-0005-0000-0000-0000C7620000}"/>
    <cellStyle name="Accent2 17" xfId="33067" xr:uid="{00000000-0005-0000-0000-0000C8620000}"/>
    <cellStyle name="Accent2 2" xfId="352" xr:uid="{00000000-0005-0000-0000-0000C9620000}"/>
    <cellStyle name="Accent2 2 10" xfId="2145" xr:uid="{00000000-0005-0000-0000-0000CA620000}"/>
    <cellStyle name="Accent2 2 2" xfId="353" xr:uid="{00000000-0005-0000-0000-0000CB620000}"/>
    <cellStyle name="Accent2 2 2 2" xfId="2146" xr:uid="{00000000-0005-0000-0000-0000CC620000}"/>
    <cellStyle name="Accent2 2 2 2 2" xfId="12724" xr:uid="{00000000-0005-0000-0000-0000CD620000}"/>
    <cellStyle name="Accent2 2 2 3" xfId="12319" xr:uid="{00000000-0005-0000-0000-0000CE620000}"/>
    <cellStyle name="Accent2 2 2 4" xfId="22574" xr:uid="{00000000-0005-0000-0000-0000CF620000}"/>
    <cellStyle name="Accent2 2 2 5" xfId="23304" xr:uid="{00000000-0005-0000-0000-0000D0620000}"/>
    <cellStyle name="Accent2 2 2 6" xfId="12166" xr:uid="{00000000-0005-0000-0000-0000D1620000}"/>
    <cellStyle name="Accent2 2 3" xfId="2147" xr:uid="{00000000-0005-0000-0000-0000D2620000}"/>
    <cellStyle name="Accent2 2 3 2" xfId="13584" xr:uid="{00000000-0005-0000-0000-0000D3620000}"/>
    <cellStyle name="Accent2 2 3 3" xfId="12320" xr:uid="{00000000-0005-0000-0000-0000D4620000}"/>
    <cellStyle name="Accent2 2 4" xfId="2148" xr:uid="{00000000-0005-0000-0000-0000D5620000}"/>
    <cellStyle name="Accent2 2 4 2" xfId="12685" xr:uid="{00000000-0005-0000-0000-0000D6620000}"/>
    <cellStyle name="Accent2 2 5" xfId="2149" xr:uid="{00000000-0005-0000-0000-0000D7620000}"/>
    <cellStyle name="Accent2 2 5 2" xfId="12820" xr:uid="{00000000-0005-0000-0000-0000D8620000}"/>
    <cellStyle name="Accent2 2 6" xfId="2150" xr:uid="{00000000-0005-0000-0000-0000D9620000}"/>
    <cellStyle name="Accent2 2 6 2" xfId="13504" xr:uid="{00000000-0005-0000-0000-0000DA620000}"/>
    <cellStyle name="Accent2 2 7" xfId="2151" xr:uid="{00000000-0005-0000-0000-0000DB620000}"/>
    <cellStyle name="Accent2 2 7 2" xfId="13783" xr:uid="{00000000-0005-0000-0000-0000DC620000}"/>
    <cellStyle name="Accent2 2 8" xfId="2152" xr:uid="{00000000-0005-0000-0000-0000DD620000}"/>
    <cellStyle name="Accent2 2 8 2" xfId="12318" xr:uid="{00000000-0005-0000-0000-0000DE620000}"/>
    <cellStyle name="Accent2 2 9" xfId="2153" xr:uid="{00000000-0005-0000-0000-0000DF620000}"/>
    <cellStyle name="Accent2 2 9 2" xfId="22351" xr:uid="{00000000-0005-0000-0000-0000E0620000}"/>
    <cellStyle name="Accent2 3" xfId="354" xr:uid="{00000000-0005-0000-0000-0000E1620000}"/>
    <cellStyle name="Accent2 3 2" xfId="13248" xr:uid="{00000000-0005-0000-0000-0000E2620000}"/>
    <cellStyle name="Accent2 3 3" xfId="13541" xr:uid="{00000000-0005-0000-0000-0000E3620000}"/>
    <cellStyle name="Accent2 3 4" xfId="22352" xr:uid="{00000000-0005-0000-0000-0000E4620000}"/>
    <cellStyle name="Accent2 3 5" xfId="23372" xr:uid="{00000000-0005-0000-0000-0000E5620000}"/>
    <cellStyle name="Accent2 3 6" xfId="12321" xr:uid="{00000000-0005-0000-0000-0000E6620000}"/>
    <cellStyle name="Accent2 4" xfId="355" xr:uid="{00000000-0005-0000-0000-0000E7620000}"/>
    <cellStyle name="Accent2 4 2" xfId="13704" xr:uid="{00000000-0005-0000-0000-0000E8620000}"/>
    <cellStyle name="Accent2 4 3" xfId="22353" xr:uid="{00000000-0005-0000-0000-0000E9620000}"/>
    <cellStyle name="Accent2 4 4" xfId="23373" xr:uid="{00000000-0005-0000-0000-0000EA620000}"/>
    <cellStyle name="Accent2 4 5" xfId="12322" xr:uid="{00000000-0005-0000-0000-0000EB620000}"/>
    <cellStyle name="Accent2 5" xfId="356" xr:uid="{00000000-0005-0000-0000-0000EC620000}"/>
    <cellStyle name="Accent2 5 2" xfId="22354" xr:uid="{00000000-0005-0000-0000-0000ED620000}"/>
    <cellStyle name="Accent2 5 3" xfId="23541" xr:uid="{00000000-0005-0000-0000-0000EE620000}"/>
    <cellStyle name="Accent2 5 4" xfId="12643" xr:uid="{00000000-0005-0000-0000-0000EF620000}"/>
    <cellStyle name="Accent2 6" xfId="357" xr:uid="{00000000-0005-0000-0000-0000F0620000}"/>
    <cellStyle name="Accent2 6 2" xfId="22355" xr:uid="{00000000-0005-0000-0000-0000F1620000}"/>
    <cellStyle name="Accent2 6 3" xfId="23615" xr:uid="{00000000-0005-0000-0000-0000F2620000}"/>
    <cellStyle name="Accent2 6 4" xfId="12819" xr:uid="{00000000-0005-0000-0000-0000F3620000}"/>
    <cellStyle name="Accent2 7" xfId="358" xr:uid="{00000000-0005-0000-0000-0000F4620000}"/>
    <cellStyle name="Accent2 8" xfId="359" xr:uid="{00000000-0005-0000-0000-0000F5620000}"/>
    <cellStyle name="Accent2 9" xfId="360" xr:uid="{00000000-0005-0000-0000-0000F6620000}"/>
    <cellStyle name="Accent3 10" xfId="361" xr:uid="{00000000-0005-0000-0000-0000F7620000}"/>
    <cellStyle name="Accent3 11" xfId="362" xr:uid="{00000000-0005-0000-0000-0000F8620000}"/>
    <cellStyle name="Accent3 12" xfId="363" xr:uid="{00000000-0005-0000-0000-0000F9620000}"/>
    <cellStyle name="Accent3 13" xfId="364" xr:uid="{00000000-0005-0000-0000-0000FA620000}"/>
    <cellStyle name="Accent3 14" xfId="365" xr:uid="{00000000-0005-0000-0000-0000FB620000}"/>
    <cellStyle name="Accent3 15" xfId="366" xr:uid="{00000000-0005-0000-0000-0000FC620000}"/>
    <cellStyle name="Accent3 16" xfId="367" xr:uid="{00000000-0005-0000-0000-0000FD620000}"/>
    <cellStyle name="Accent3 17" xfId="33114" xr:uid="{00000000-0005-0000-0000-0000FE620000}"/>
    <cellStyle name="Accent3 2" xfId="368" xr:uid="{00000000-0005-0000-0000-0000FF620000}"/>
    <cellStyle name="Accent3 2 10" xfId="2154" xr:uid="{00000000-0005-0000-0000-000000630000}"/>
    <cellStyle name="Accent3 2 2" xfId="369" xr:uid="{00000000-0005-0000-0000-000001630000}"/>
    <cellStyle name="Accent3 2 2 2" xfId="2155" xr:uid="{00000000-0005-0000-0000-000002630000}"/>
    <cellStyle name="Accent3 2 2 2 2" xfId="12725" xr:uid="{00000000-0005-0000-0000-000003630000}"/>
    <cellStyle name="Accent3 2 2 3" xfId="12324" xr:uid="{00000000-0005-0000-0000-000004630000}"/>
    <cellStyle name="Accent3 2 2 4" xfId="22578" xr:uid="{00000000-0005-0000-0000-000005630000}"/>
    <cellStyle name="Accent3 2 2 5" xfId="23305" xr:uid="{00000000-0005-0000-0000-000006630000}"/>
    <cellStyle name="Accent3 2 2 6" xfId="12168" xr:uid="{00000000-0005-0000-0000-000007630000}"/>
    <cellStyle name="Accent3 2 3" xfId="2156" xr:uid="{00000000-0005-0000-0000-000008630000}"/>
    <cellStyle name="Accent3 2 3 2" xfId="13586" xr:uid="{00000000-0005-0000-0000-000009630000}"/>
    <cellStyle name="Accent3 2 3 3" xfId="12325" xr:uid="{00000000-0005-0000-0000-00000A630000}"/>
    <cellStyle name="Accent3 2 4" xfId="2157" xr:uid="{00000000-0005-0000-0000-00000B630000}"/>
    <cellStyle name="Accent3 2 4 2" xfId="12689" xr:uid="{00000000-0005-0000-0000-00000C630000}"/>
    <cellStyle name="Accent3 2 5" xfId="2158" xr:uid="{00000000-0005-0000-0000-00000D630000}"/>
    <cellStyle name="Accent3 2 5 2" xfId="12822" xr:uid="{00000000-0005-0000-0000-00000E630000}"/>
    <cellStyle name="Accent3 2 6" xfId="2159" xr:uid="{00000000-0005-0000-0000-00000F630000}"/>
    <cellStyle name="Accent3 2 6 2" xfId="13505" xr:uid="{00000000-0005-0000-0000-000010630000}"/>
    <cellStyle name="Accent3 2 7" xfId="2160" xr:uid="{00000000-0005-0000-0000-000011630000}"/>
    <cellStyle name="Accent3 2 7 2" xfId="13784" xr:uid="{00000000-0005-0000-0000-000012630000}"/>
    <cellStyle name="Accent3 2 8" xfId="2161" xr:uid="{00000000-0005-0000-0000-000013630000}"/>
    <cellStyle name="Accent3 2 8 2" xfId="12323" xr:uid="{00000000-0005-0000-0000-000014630000}"/>
    <cellStyle name="Accent3 2 9" xfId="2162" xr:uid="{00000000-0005-0000-0000-000015630000}"/>
    <cellStyle name="Accent3 2 9 2" xfId="22356" xr:uid="{00000000-0005-0000-0000-000016630000}"/>
    <cellStyle name="Accent3 3" xfId="370" xr:uid="{00000000-0005-0000-0000-000017630000}"/>
    <cellStyle name="Accent3 3 2" xfId="13249" xr:uid="{00000000-0005-0000-0000-000018630000}"/>
    <cellStyle name="Accent3 3 3" xfId="13542" xr:uid="{00000000-0005-0000-0000-000019630000}"/>
    <cellStyle name="Accent3 3 4" xfId="22357" xr:uid="{00000000-0005-0000-0000-00001A630000}"/>
    <cellStyle name="Accent3 3 5" xfId="23374" xr:uid="{00000000-0005-0000-0000-00001B630000}"/>
    <cellStyle name="Accent3 3 6" xfId="12326" xr:uid="{00000000-0005-0000-0000-00001C630000}"/>
    <cellStyle name="Accent3 4" xfId="371" xr:uid="{00000000-0005-0000-0000-00001D630000}"/>
    <cellStyle name="Accent3 4 2" xfId="13705" xr:uid="{00000000-0005-0000-0000-00001E630000}"/>
    <cellStyle name="Accent3 4 3" xfId="22358" xr:uid="{00000000-0005-0000-0000-00001F630000}"/>
    <cellStyle name="Accent3 4 4" xfId="23375" xr:uid="{00000000-0005-0000-0000-000020630000}"/>
    <cellStyle name="Accent3 4 5" xfId="12327" xr:uid="{00000000-0005-0000-0000-000021630000}"/>
    <cellStyle name="Accent3 5" xfId="372" xr:uid="{00000000-0005-0000-0000-000022630000}"/>
    <cellStyle name="Accent3 5 2" xfId="22359" xr:uid="{00000000-0005-0000-0000-000023630000}"/>
    <cellStyle name="Accent3 5 3" xfId="23542" xr:uid="{00000000-0005-0000-0000-000024630000}"/>
    <cellStyle name="Accent3 5 4" xfId="12644" xr:uid="{00000000-0005-0000-0000-000025630000}"/>
    <cellStyle name="Accent3 6" xfId="373" xr:uid="{00000000-0005-0000-0000-000026630000}"/>
    <cellStyle name="Accent3 6 2" xfId="22360" xr:uid="{00000000-0005-0000-0000-000027630000}"/>
    <cellStyle name="Accent3 6 3" xfId="23616" xr:uid="{00000000-0005-0000-0000-000028630000}"/>
    <cellStyle name="Accent3 6 4" xfId="12821" xr:uid="{00000000-0005-0000-0000-000029630000}"/>
    <cellStyle name="Accent3 7" xfId="374" xr:uid="{00000000-0005-0000-0000-00002A630000}"/>
    <cellStyle name="Accent3 8" xfId="375" xr:uid="{00000000-0005-0000-0000-00002B630000}"/>
    <cellStyle name="Accent3 9" xfId="376" xr:uid="{00000000-0005-0000-0000-00002C630000}"/>
    <cellStyle name="Accent4 10" xfId="377" xr:uid="{00000000-0005-0000-0000-00002D630000}"/>
    <cellStyle name="Accent4 11" xfId="378" xr:uid="{00000000-0005-0000-0000-00002E630000}"/>
    <cellStyle name="Accent4 12" xfId="379" xr:uid="{00000000-0005-0000-0000-00002F630000}"/>
    <cellStyle name="Accent4 13" xfId="380" xr:uid="{00000000-0005-0000-0000-000030630000}"/>
    <cellStyle name="Accent4 14" xfId="381" xr:uid="{00000000-0005-0000-0000-000031630000}"/>
    <cellStyle name="Accent4 15" xfId="382" xr:uid="{00000000-0005-0000-0000-000032630000}"/>
    <cellStyle name="Accent4 16" xfId="383" xr:uid="{00000000-0005-0000-0000-000033630000}"/>
    <cellStyle name="Accent4 17" xfId="33122" xr:uid="{00000000-0005-0000-0000-000034630000}"/>
    <cellStyle name="Accent4 2" xfId="384" xr:uid="{00000000-0005-0000-0000-000035630000}"/>
    <cellStyle name="Accent4 2 10" xfId="2163" xr:uid="{00000000-0005-0000-0000-000036630000}"/>
    <cellStyle name="Accent4 2 2" xfId="385" xr:uid="{00000000-0005-0000-0000-000037630000}"/>
    <cellStyle name="Accent4 2 2 2" xfId="2164" xr:uid="{00000000-0005-0000-0000-000038630000}"/>
    <cellStyle name="Accent4 2 2 2 2" xfId="12726" xr:uid="{00000000-0005-0000-0000-000039630000}"/>
    <cellStyle name="Accent4 2 2 3" xfId="12329" xr:uid="{00000000-0005-0000-0000-00003A630000}"/>
    <cellStyle name="Accent4 2 2 4" xfId="22582" xr:uid="{00000000-0005-0000-0000-00003B630000}"/>
    <cellStyle name="Accent4 2 2 5" xfId="23306" xr:uid="{00000000-0005-0000-0000-00003C630000}"/>
    <cellStyle name="Accent4 2 2 6" xfId="12170" xr:uid="{00000000-0005-0000-0000-00003D630000}"/>
    <cellStyle name="Accent4 2 3" xfId="2165" xr:uid="{00000000-0005-0000-0000-00003E630000}"/>
    <cellStyle name="Accent4 2 3 2" xfId="13588" xr:uid="{00000000-0005-0000-0000-00003F630000}"/>
    <cellStyle name="Accent4 2 3 3" xfId="12330" xr:uid="{00000000-0005-0000-0000-000040630000}"/>
    <cellStyle name="Accent4 2 4" xfId="2166" xr:uid="{00000000-0005-0000-0000-000041630000}"/>
    <cellStyle name="Accent4 2 4 2" xfId="12693" xr:uid="{00000000-0005-0000-0000-000042630000}"/>
    <cellStyle name="Accent4 2 5" xfId="2167" xr:uid="{00000000-0005-0000-0000-000043630000}"/>
    <cellStyle name="Accent4 2 5 2" xfId="12824" xr:uid="{00000000-0005-0000-0000-000044630000}"/>
    <cellStyle name="Accent4 2 6" xfId="2168" xr:uid="{00000000-0005-0000-0000-000045630000}"/>
    <cellStyle name="Accent4 2 6 2" xfId="13506" xr:uid="{00000000-0005-0000-0000-000046630000}"/>
    <cellStyle name="Accent4 2 7" xfId="2169" xr:uid="{00000000-0005-0000-0000-000047630000}"/>
    <cellStyle name="Accent4 2 7 2" xfId="13785" xr:uid="{00000000-0005-0000-0000-000048630000}"/>
    <cellStyle name="Accent4 2 8" xfId="2170" xr:uid="{00000000-0005-0000-0000-000049630000}"/>
    <cellStyle name="Accent4 2 8 2" xfId="12328" xr:uid="{00000000-0005-0000-0000-00004A630000}"/>
    <cellStyle name="Accent4 2 9" xfId="2171" xr:uid="{00000000-0005-0000-0000-00004B630000}"/>
    <cellStyle name="Accent4 2 9 2" xfId="22361" xr:uid="{00000000-0005-0000-0000-00004C630000}"/>
    <cellStyle name="Accent4 3" xfId="386" xr:uid="{00000000-0005-0000-0000-00004D630000}"/>
    <cellStyle name="Accent4 3 2" xfId="13250" xr:uid="{00000000-0005-0000-0000-00004E630000}"/>
    <cellStyle name="Accent4 3 3" xfId="13543" xr:uid="{00000000-0005-0000-0000-00004F630000}"/>
    <cellStyle name="Accent4 3 4" xfId="22362" xr:uid="{00000000-0005-0000-0000-000050630000}"/>
    <cellStyle name="Accent4 3 5" xfId="23376" xr:uid="{00000000-0005-0000-0000-000051630000}"/>
    <cellStyle name="Accent4 3 6" xfId="12331" xr:uid="{00000000-0005-0000-0000-000052630000}"/>
    <cellStyle name="Accent4 4" xfId="387" xr:uid="{00000000-0005-0000-0000-000053630000}"/>
    <cellStyle name="Accent4 4 2" xfId="13706" xr:uid="{00000000-0005-0000-0000-000054630000}"/>
    <cellStyle name="Accent4 4 3" xfId="22363" xr:uid="{00000000-0005-0000-0000-000055630000}"/>
    <cellStyle name="Accent4 4 4" xfId="23377" xr:uid="{00000000-0005-0000-0000-000056630000}"/>
    <cellStyle name="Accent4 4 5" xfId="12332" xr:uid="{00000000-0005-0000-0000-000057630000}"/>
    <cellStyle name="Accent4 5" xfId="388" xr:uid="{00000000-0005-0000-0000-000058630000}"/>
    <cellStyle name="Accent4 5 2" xfId="22364" xr:uid="{00000000-0005-0000-0000-000059630000}"/>
    <cellStyle name="Accent4 5 3" xfId="23543" xr:uid="{00000000-0005-0000-0000-00005A630000}"/>
    <cellStyle name="Accent4 5 4" xfId="12645" xr:uid="{00000000-0005-0000-0000-00005B630000}"/>
    <cellStyle name="Accent4 6" xfId="389" xr:uid="{00000000-0005-0000-0000-00005C630000}"/>
    <cellStyle name="Accent4 6 2" xfId="22365" xr:uid="{00000000-0005-0000-0000-00005D630000}"/>
    <cellStyle name="Accent4 6 3" xfId="23617" xr:uid="{00000000-0005-0000-0000-00005E630000}"/>
    <cellStyle name="Accent4 6 4" xfId="12823" xr:uid="{00000000-0005-0000-0000-00005F630000}"/>
    <cellStyle name="Accent4 7" xfId="390" xr:uid="{00000000-0005-0000-0000-000060630000}"/>
    <cellStyle name="Accent4 8" xfId="391" xr:uid="{00000000-0005-0000-0000-000061630000}"/>
    <cellStyle name="Accent4 9" xfId="392" xr:uid="{00000000-0005-0000-0000-000062630000}"/>
    <cellStyle name="Accent5 10" xfId="393" xr:uid="{00000000-0005-0000-0000-000063630000}"/>
    <cellStyle name="Accent5 11" xfId="394" xr:uid="{00000000-0005-0000-0000-000064630000}"/>
    <cellStyle name="Accent5 12" xfId="395" xr:uid="{00000000-0005-0000-0000-000065630000}"/>
    <cellStyle name="Accent5 13" xfId="396" xr:uid="{00000000-0005-0000-0000-000066630000}"/>
    <cellStyle name="Accent5 14" xfId="397" xr:uid="{00000000-0005-0000-0000-000067630000}"/>
    <cellStyle name="Accent5 15" xfId="398" xr:uid="{00000000-0005-0000-0000-000068630000}"/>
    <cellStyle name="Accent5 16" xfId="399" xr:uid="{00000000-0005-0000-0000-000069630000}"/>
    <cellStyle name="Accent5 17" xfId="33070" xr:uid="{00000000-0005-0000-0000-00006A630000}"/>
    <cellStyle name="Accent5 2" xfId="400" xr:uid="{00000000-0005-0000-0000-00006B630000}"/>
    <cellStyle name="Accent5 2 10" xfId="2172" xr:uid="{00000000-0005-0000-0000-00006C630000}"/>
    <cellStyle name="Accent5 2 2" xfId="401" xr:uid="{00000000-0005-0000-0000-00006D630000}"/>
    <cellStyle name="Accent5 2 2 2" xfId="2173" xr:uid="{00000000-0005-0000-0000-00006E630000}"/>
    <cellStyle name="Accent5 2 2 2 2" xfId="12727" xr:uid="{00000000-0005-0000-0000-00006F630000}"/>
    <cellStyle name="Accent5 2 2 3" xfId="12334" xr:uid="{00000000-0005-0000-0000-000070630000}"/>
    <cellStyle name="Accent5 2 2 4" xfId="22586" xr:uid="{00000000-0005-0000-0000-000071630000}"/>
    <cellStyle name="Accent5 2 2 5" xfId="23307" xr:uid="{00000000-0005-0000-0000-000072630000}"/>
    <cellStyle name="Accent5 2 2 6" xfId="12172" xr:uid="{00000000-0005-0000-0000-000073630000}"/>
    <cellStyle name="Accent5 2 3" xfId="2174" xr:uid="{00000000-0005-0000-0000-000074630000}"/>
    <cellStyle name="Accent5 2 3 2" xfId="13590" xr:uid="{00000000-0005-0000-0000-000075630000}"/>
    <cellStyle name="Accent5 2 3 3" xfId="12335" xr:uid="{00000000-0005-0000-0000-000076630000}"/>
    <cellStyle name="Accent5 2 4" xfId="2175" xr:uid="{00000000-0005-0000-0000-000077630000}"/>
    <cellStyle name="Accent5 2 4 2" xfId="12697" xr:uid="{00000000-0005-0000-0000-000078630000}"/>
    <cellStyle name="Accent5 2 5" xfId="2176" xr:uid="{00000000-0005-0000-0000-000079630000}"/>
    <cellStyle name="Accent5 2 5 2" xfId="12826" xr:uid="{00000000-0005-0000-0000-00007A630000}"/>
    <cellStyle name="Accent5 2 6" xfId="2177" xr:uid="{00000000-0005-0000-0000-00007B630000}"/>
    <cellStyle name="Accent5 2 6 2" xfId="13786" xr:uid="{00000000-0005-0000-0000-00007C630000}"/>
    <cellStyle name="Accent5 2 7" xfId="2178" xr:uid="{00000000-0005-0000-0000-00007D630000}"/>
    <cellStyle name="Accent5 2 7 2" xfId="12333" xr:uid="{00000000-0005-0000-0000-00007E630000}"/>
    <cellStyle name="Accent5 2 8" xfId="2179" xr:uid="{00000000-0005-0000-0000-00007F630000}"/>
    <cellStyle name="Accent5 2 8 2" xfId="22366" xr:uid="{00000000-0005-0000-0000-000080630000}"/>
    <cellStyle name="Accent5 2 9" xfId="2180" xr:uid="{00000000-0005-0000-0000-000081630000}"/>
    <cellStyle name="Accent5 3" xfId="402" xr:uid="{00000000-0005-0000-0000-000082630000}"/>
    <cellStyle name="Accent5 3 2" xfId="13251" xr:uid="{00000000-0005-0000-0000-000083630000}"/>
    <cellStyle name="Accent5 3 3" xfId="13544" xr:uid="{00000000-0005-0000-0000-000084630000}"/>
    <cellStyle name="Accent5 3 4" xfId="22367" xr:uid="{00000000-0005-0000-0000-000085630000}"/>
    <cellStyle name="Accent5 3 5" xfId="23378" xr:uid="{00000000-0005-0000-0000-000086630000}"/>
    <cellStyle name="Accent5 3 6" xfId="12336" xr:uid="{00000000-0005-0000-0000-000087630000}"/>
    <cellStyle name="Accent5 4" xfId="403" xr:uid="{00000000-0005-0000-0000-000088630000}"/>
    <cellStyle name="Accent5 4 2" xfId="13707" xr:uid="{00000000-0005-0000-0000-000089630000}"/>
    <cellStyle name="Accent5 4 3" xfId="22368" xr:uid="{00000000-0005-0000-0000-00008A630000}"/>
    <cellStyle name="Accent5 4 4" xfId="23379" xr:uid="{00000000-0005-0000-0000-00008B630000}"/>
    <cellStyle name="Accent5 4 5" xfId="12337" xr:uid="{00000000-0005-0000-0000-00008C630000}"/>
    <cellStyle name="Accent5 5" xfId="404" xr:uid="{00000000-0005-0000-0000-00008D630000}"/>
    <cellStyle name="Accent5 5 2" xfId="22369" xr:uid="{00000000-0005-0000-0000-00008E630000}"/>
    <cellStyle name="Accent5 5 3" xfId="23544" xr:uid="{00000000-0005-0000-0000-00008F630000}"/>
    <cellStyle name="Accent5 5 4" xfId="12646" xr:uid="{00000000-0005-0000-0000-000090630000}"/>
    <cellStyle name="Accent5 6" xfId="405" xr:uid="{00000000-0005-0000-0000-000091630000}"/>
    <cellStyle name="Accent5 6 2" xfId="22370" xr:uid="{00000000-0005-0000-0000-000092630000}"/>
    <cellStyle name="Accent5 6 3" xfId="23618" xr:uid="{00000000-0005-0000-0000-000093630000}"/>
    <cellStyle name="Accent5 6 4" xfId="12825" xr:uid="{00000000-0005-0000-0000-000094630000}"/>
    <cellStyle name="Accent5 7" xfId="406" xr:uid="{00000000-0005-0000-0000-000095630000}"/>
    <cellStyle name="Accent5 8" xfId="407" xr:uid="{00000000-0005-0000-0000-000096630000}"/>
    <cellStyle name="Accent5 9" xfId="408" xr:uid="{00000000-0005-0000-0000-000097630000}"/>
    <cellStyle name="Accent6 10" xfId="409" xr:uid="{00000000-0005-0000-0000-000098630000}"/>
    <cellStyle name="Accent6 11" xfId="410" xr:uid="{00000000-0005-0000-0000-000099630000}"/>
    <cellStyle name="Accent6 12" xfId="411" xr:uid="{00000000-0005-0000-0000-00009A630000}"/>
    <cellStyle name="Accent6 13" xfId="412" xr:uid="{00000000-0005-0000-0000-00009B630000}"/>
    <cellStyle name="Accent6 14" xfId="413" xr:uid="{00000000-0005-0000-0000-00009C630000}"/>
    <cellStyle name="Accent6 15" xfId="414" xr:uid="{00000000-0005-0000-0000-00009D630000}"/>
    <cellStyle name="Accent6 16" xfId="415" xr:uid="{00000000-0005-0000-0000-00009E630000}"/>
    <cellStyle name="Accent6 17" xfId="33120" xr:uid="{00000000-0005-0000-0000-00009F630000}"/>
    <cellStyle name="Accent6 2" xfId="416" xr:uid="{00000000-0005-0000-0000-0000A0630000}"/>
    <cellStyle name="Accent6 2 10" xfId="2181" xr:uid="{00000000-0005-0000-0000-0000A1630000}"/>
    <cellStyle name="Accent6 2 2" xfId="417" xr:uid="{00000000-0005-0000-0000-0000A2630000}"/>
    <cellStyle name="Accent6 2 2 2" xfId="2182" xr:uid="{00000000-0005-0000-0000-0000A3630000}"/>
    <cellStyle name="Accent6 2 2 2 2" xfId="12728" xr:uid="{00000000-0005-0000-0000-0000A4630000}"/>
    <cellStyle name="Accent6 2 2 3" xfId="12339" xr:uid="{00000000-0005-0000-0000-0000A5630000}"/>
    <cellStyle name="Accent6 2 2 4" xfId="22590" xr:uid="{00000000-0005-0000-0000-0000A6630000}"/>
    <cellStyle name="Accent6 2 2 5" xfId="23309" xr:uid="{00000000-0005-0000-0000-0000A7630000}"/>
    <cellStyle name="Accent6 2 2 6" xfId="12174" xr:uid="{00000000-0005-0000-0000-0000A8630000}"/>
    <cellStyle name="Accent6 2 3" xfId="2183" xr:uid="{00000000-0005-0000-0000-0000A9630000}"/>
    <cellStyle name="Accent6 2 3 2" xfId="13592" xr:uid="{00000000-0005-0000-0000-0000AA630000}"/>
    <cellStyle name="Accent6 2 3 3" xfId="12340" xr:uid="{00000000-0005-0000-0000-0000AB630000}"/>
    <cellStyle name="Accent6 2 4" xfId="2184" xr:uid="{00000000-0005-0000-0000-0000AC630000}"/>
    <cellStyle name="Accent6 2 4 2" xfId="12701" xr:uid="{00000000-0005-0000-0000-0000AD630000}"/>
    <cellStyle name="Accent6 2 5" xfId="2185" xr:uid="{00000000-0005-0000-0000-0000AE630000}"/>
    <cellStyle name="Accent6 2 5 2" xfId="12828" xr:uid="{00000000-0005-0000-0000-0000AF630000}"/>
    <cellStyle name="Accent6 2 6" xfId="2186" xr:uid="{00000000-0005-0000-0000-0000B0630000}"/>
    <cellStyle name="Accent6 2 6 2" xfId="13507" xr:uid="{00000000-0005-0000-0000-0000B1630000}"/>
    <cellStyle name="Accent6 2 7" xfId="2187" xr:uid="{00000000-0005-0000-0000-0000B2630000}"/>
    <cellStyle name="Accent6 2 7 2" xfId="13787" xr:uid="{00000000-0005-0000-0000-0000B3630000}"/>
    <cellStyle name="Accent6 2 8" xfId="2188" xr:uid="{00000000-0005-0000-0000-0000B4630000}"/>
    <cellStyle name="Accent6 2 8 2" xfId="12338" xr:uid="{00000000-0005-0000-0000-0000B5630000}"/>
    <cellStyle name="Accent6 2 9" xfId="2189" xr:uid="{00000000-0005-0000-0000-0000B6630000}"/>
    <cellStyle name="Accent6 2 9 2" xfId="22371" xr:uid="{00000000-0005-0000-0000-0000B7630000}"/>
    <cellStyle name="Accent6 3" xfId="418" xr:uid="{00000000-0005-0000-0000-0000B8630000}"/>
    <cellStyle name="Accent6 3 2" xfId="13252" xr:uid="{00000000-0005-0000-0000-0000B9630000}"/>
    <cellStyle name="Accent6 3 3" xfId="13545" xr:uid="{00000000-0005-0000-0000-0000BA630000}"/>
    <cellStyle name="Accent6 3 4" xfId="22372" xr:uid="{00000000-0005-0000-0000-0000BB630000}"/>
    <cellStyle name="Accent6 3 5" xfId="23380" xr:uid="{00000000-0005-0000-0000-0000BC630000}"/>
    <cellStyle name="Accent6 3 6" xfId="12341" xr:uid="{00000000-0005-0000-0000-0000BD630000}"/>
    <cellStyle name="Accent6 4" xfId="419" xr:uid="{00000000-0005-0000-0000-0000BE630000}"/>
    <cellStyle name="Accent6 4 2" xfId="13708" xr:uid="{00000000-0005-0000-0000-0000BF630000}"/>
    <cellStyle name="Accent6 4 3" xfId="22373" xr:uid="{00000000-0005-0000-0000-0000C0630000}"/>
    <cellStyle name="Accent6 4 4" xfId="23381" xr:uid="{00000000-0005-0000-0000-0000C1630000}"/>
    <cellStyle name="Accent6 4 5" xfId="12342" xr:uid="{00000000-0005-0000-0000-0000C2630000}"/>
    <cellStyle name="Accent6 5" xfId="420" xr:uid="{00000000-0005-0000-0000-0000C3630000}"/>
    <cellStyle name="Accent6 5 2" xfId="22374" xr:uid="{00000000-0005-0000-0000-0000C4630000}"/>
    <cellStyle name="Accent6 5 3" xfId="23545" xr:uid="{00000000-0005-0000-0000-0000C5630000}"/>
    <cellStyle name="Accent6 5 4" xfId="12647" xr:uid="{00000000-0005-0000-0000-0000C6630000}"/>
    <cellStyle name="Accent6 6" xfId="421" xr:uid="{00000000-0005-0000-0000-0000C7630000}"/>
    <cellStyle name="Accent6 6 2" xfId="22375" xr:uid="{00000000-0005-0000-0000-0000C8630000}"/>
    <cellStyle name="Accent6 6 3" xfId="23619" xr:uid="{00000000-0005-0000-0000-0000C9630000}"/>
    <cellStyle name="Accent6 6 4" xfId="12827" xr:uid="{00000000-0005-0000-0000-0000CA630000}"/>
    <cellStyle name="Accent6 7" xfId="422" xr:uid="{00000000-0005-0000-0000-0000CB630000}"/>
    <cellStyle name="Accent6 8" xfId="423" xr:uid="{00000000-0005-0000-0000-0000CC630000}"/>
    <cellStyle name="Accent6 9" xfId="424" xr:uid="{00000000-0005-0000-0000-0000CD630000}"/>
    <cellStyle name="Accounting w/$" xfId="2190" xr:uid="{00000000-0005-0000-0000-0000CE630000}"/>
    <cellStyle name="Accounting w/$ Total" xfId="2191" xr:uid="{00000000-0005-0000-0000-0000CF630000}"/>
    <cellStyle name="Accounting w/o $" xfId="2192" xr:uid="{00000000-0005-0000-0000-0000D0630000}"/>
    <cellStyle name="Acinput" xfId="2193" xr:uid="{00000000-0005-0000-0000-0000D1630000}"/>
    <cellStyle name="Acinput,," xfId="2194" xr:uid="{00000000-0005-0000-0000-0000D2630000}"/>
    <cellStyle name="Acinput_Merger Model_KN&amp;Fzio_v2.30 - Street" xfId="2195" xr:uid="{00000000-0005-0000-0000-0000D3630000}"/>
    <cellStyle name="Acoutput" xfId="2196" xr:uid="{00000000-0005-0000-0000-0000D4630000}"/>
    <cellStyle name="Acoutput,," xfId="2197" xr:uid="{00000000-0005-0000-0000-0000D5630000}"/>
    <cellStyle name="Acoutput_CAScomps02" xfId="2198" xr:uid="{00000000-0005-0000-0000-0000D6630000}"/>
    <cellStyle name="Actual Date" xfId="2199" xr:uid="{00000000-0005-0000-0000-0000D7630000}"/>
    <cellStyle name="AFE" xfId="2200" xr:uid="{00000000-0005-0000-0000-0000D8630000}"/>
    <cellStyle name="al" xfId="2201" xr:uid="{00000000-0005-0000-0000-0000D9630000}"/>
    <cellStyle name="Amount_EQU_RIGH.XLS_Equity market_Preferred Securities " xfId="2202" xr:uid="{00000000-0005-0000-0000-0000DA630000}"/>
    <cellStyle name="Apershare" xfId="2203" xr:uid="{00000000-0005-0000-0000-0000DB630000}"/>
    <cellStyle name="Aprice" xfId="2204" xr:uid="{00000000-0005-0000-0000-0000DC630000}"/>
    <cellStyle name="ar" xfId="2205" xr:uid="{00000000-0005-0000-0000-0000DD630000}"/>
    <cellStyle name="ar 2" xfId="6018" xr:uid="{00000000-0005-0000-0000-0000DE630000}"/>
    <cellStyle name="Arial 10" xfId="2206" xr:uid="{00000000-0005-0000-0000-0000DF630000}"/>
    <cellStyle name="Arial 12" xfId="2207" xr:uid="{00000000-0005-0000-0000-0000E0630000}"/>
    <cellStyle name="Availability" xfId="2208" xr:uid="{00000000-0005-0000-0000-0000E1630000}"/>
    <cellStyle name="Bad 10" xfId="425" xr:uid="{00000000-0005-0000-0000-0000E2630000}"/>
    <cellStyle name="Bad 11" xfId="426" xr:uid="{00000000-0005-0000-0000-0000E3630000}"/>
    <cellStyle name="Bad 12" xfId="427" xr:uid="{00000000-0005-0000-0000-0000E4630000}"/>
    <cellStyle name="Bad 13" xfId="428" xr:uid="{00000000-0005-0000-0000-0000E5630000}"/>
    <cellStyle name="Bad 14" xfId="429" xr:uid="{00000000-0005-0000-0000-0000E6630000}"/>
    <cellStyle name="Bad 15" xfId="430" xr:uid="{00000000-0005-0000-0000-0000E7630000}"/>
    <cellStyle name="Bad 16" xfId="431" xr:uid="{00000000-0005-0000-0000-0000E8630000}"/>
    <cellStyle name="Bad 17" xfId="33105" xr:uid="{00000000-0005-0000-0000-0000E9630000}"/>
    <cellStyle name="Bad 2" xfId="432" xr:uid="{00000000-0005-0000-0000-0000EA630000}"/>
    <cellStyle name="Bad 2 10" xfId="2209" xr:uid="{00000000-0005-0000-0000-0000EB630000}"/>
    <cellStyle name="Bad 2 2" xfId="433" xr:uid="{00000000-0005-0000-0000-0000EC630000}"/>
    <cellStyle name="Bad 2 2 2" xfId="2210" xr:uid="{00000000-0005-0000-0000-0000ED630000}"/>
    <cellStyle name="Bad 2 2 2 2" xfId="12729" xr:uid="{00000000-0005-0000-0000-0000EE630000}"/>
    <cellStyle name="Bad 2 2 3" xfId="12344" xr:uid="{00000000-0005-0000-0000-0000EF630000}"/>
    <cellStyle name="Bad 2 2 4" xfId="22559" xr:uid="{00000000-0005-0000-0000-0000F0630000}"/>
    <cellStyle name="Bad 2 2 5" xfId="23311" xr:uid="{00000000-0005-0000-0000-0000F1630000}"/>
    <cellStyle name="Bad 2 2 6" xfId="12176" xr:uid="{00000000-0005-0000-0000-0000F2630000}"/>
    <cellStyle name="Bad 2 3" xfId="2211" xr:uid="{00000000-0005-0000-0000-0000F3630000}"/>
    <cellStyle name="Bad 2 3 2" xfId="13572" xr:uid="{00000000-0005-0000-0000-0000F4630000}"/>
    <cellStyle name="Bad 2 3 3" xfId="12345" xr:uid="{00000000-0005-0000-0000-0000F5630000}"/>
    <cellStyle name="Bad 2 4" xfId="2212" xr:uid="{00000000-0005-0000-0000-0000F6630000}"/>
    <cellStyle name="Bad 2 4 2" xfId="12670" xr:uid="{00000000-0005-0000-0000-0000F7630000}"/>
    <cellStyle name="Bad 2 5" xfId="2213" xr:uid="{00000000-0005-0000-0000-0000F8630000}"/>
    <cellStyle name="Bad 2 5 2" xfId="12830" xr:uid="{00000000-0005-0000-0000-0000F9630000}"/>
    <cellStyle name="Bad 2 6" xfId="2214" xr:uid="{00000000-0005-0000-0000-0000FA630000}"/>
    <cellStyle name="Bad 2 6 2" xfId="13508" xr:uid="{00000000-0005-0000-0000-0000FB630000}"/>
    <cellStyle name="Bad 2 7" xfId="2215" xr:uid="{00000000-0005-0000-0000-0000FC630000}"/>
    <cellStyle name="Bad 2 7 2" xfId="12343" xr:uid="{00000000-0005-0000-0000-0000FD630000}"/>
    <cellStyle name="Bad 2 8" xfId="2216" xr:uid="{00000000-0005-0000-0000-0000FE630000}"/>
    <cellStyle name="Bad 2 8 2" xfId="22376" xr:uid="{00000000-0005-0000-0000-0000FF630000}"/>
    <cellStyle name="Bad 2 9" xfId="2217" xr:uid="{00000000-0005-0000-0000-000000640000}"/>
    <cellStyle name="Bad 3" xfId="434" xr:uid="{00000000-0005-0000-0000-000001640000}"/>
    <cellStyle name="Bad 3 2" xfId="13253" xr:uid="{00000000-0005-0000-0000-000002640000}"/>
    <cellStyle name="Bad 3 3" xfId="13546" xr:uid="{00000000-0005-0000-0000-000003640000}"/>
    <cellStyle name="Bad 3 4" xfId="22377" xr:uid="{00000000-0005-0000-0000-000004640000}"/>
    <cellStyle name="Bad 3 5" xfId="23382" xr:uid="{00000000-0005-0000-0000-000005640000}"/>
    <cellStyle name="Bad 3 6" xfId="12346" xr:uid="{00000000-0005-0000-0000-000006640000}"/>
    <cellStyle name="Bad 4" xfId="435" xr:uid="{00000000-0005-0000-0000-000007640000}"/>
    <cellStyle name="Bad 4 2" xfId="13709" xr:uid="{00000000-0005-0000-0000-000008640000}"/>
    <cellStyle name="Bad 4 3" xfId="22378" xr:uid="{00000000-0005-0000-0000-000009640000}"/>
    <cellStyle name="Bad 4 4" xfId="23383" xr:uid="{00000000-0005-0000-0000-00000A640000}"/>
    <cellStyle name="Bad 4 5" xfId="12347" xr:uid="{00000000-0005-0000-0000-00000B640000}"/>
    <cellStyle name="Bad 5" xfId="436" xr:uid="{00000000-0005-0000-0000-00000C640000}"/>
    <cellStyle name="Bad 5 2" xfId="22379" xr:uid="{00000000-0005-0000-0000-00000D640000}"/>
    <cellStyle name="Bad 5 3" xfId="23546" xr:uid="{00000000-0005-0000-0000-00000E640000}"/>
    <cellStyle name="Bad 5 4" xfId="12648" xr:uid="{00000000-0005-0000-0000-00000F640000}"/>
    <cellStyle name="Bad 6" xfId="437" xr:uid="{00000000-0005-0000-0000-000010640000}"/>
    <cellStyle name="Bad 6 2" xfId="22380" xr:uid="{00000000-0005-0000-0000-000011640000}"/>
    <cellStyle name="Bad 6 3" xfId="23620" xr:uid="{00000000-0005-0000-0000-000012640000}"/>
    <cellStyle name="Bad 6 4" xfId="12829" xr:uid="{00000000-0005-0000-0000-000013640000}"/>
    <cellStyle name="Bad 7" xfId="438" xr:uid="{00000000-0005-0000-0000-000014640000}"/>
    <cellStyle name="Bad 8" xfId="439" xr:uid="{00000000-0005-0000-0000-000015640000}"/>
    <cellStyle name="Bad 9" xfId="440" xr:uid="{00000000-0005-0000-0000-000016640000}"/>
    <cellStyle name="Band 2" xfId="2218" xr:uid="{00000000-0005-0000-0000-000017640000}"/>
    <cellStyle name="Blank" xfId="2219" xr:uid="{00000000-0005-0000-0000-000018640000}"/>
    <cellStyle name="Blue" xfId="2220" xr:uid="{00000000-0005-0000-0000-000019640000}"/>
    <cellStyle name="Bold/Border" xfId="2221" xr:uid="{00000000-0005-0000-0000-00001A640000}"/>
    <cellStyle name="Border Heavy" xfId="2222" xr:uid="{00000000-0005-0000-0000-00001B640000}"/>
    <cellStyle name="Border Thin" xfId="2223" xr:uid="{00000000-0005-0000-0000-00001C640000}"/>
    <cellStyle name="Border, Bottom" xfId="2224" xr:uid="{00000000-0005-0000-0000-00001D640000}"/>
    <cellStyle name="Border, Left" xfId="2225" xr:uid="{00000000-0005-0000-0000-00001E640000}"/>
    <cellStyle name="Border, Right" xfId="2226" xr:uid="{00000000-0005-0000-0000-00001F640000}"/>
    <cellStyle name="Border, Top" xfId="2227" xr:uid="{00000000-0005-0000-0000-000020640000}"/>
    <cellStyle name="Border, Top 2" xfId="5996" xr:uid="{00000000-0005-0000-0000-000021640000}"/>
    <cellStyle name="British Pound" xfId="2228" xr:uid="{00000000-0005-0000-0000-000022640000}"/>
    <cellStyle name="BritPound" xfId="2229" xr:uid="{00000000-0005-0000-0000-000023640000}"/>
    <cellStyle name="Bullet" xfId="2230" xr:uid="{00000000-0005-0000-0000-000024640000}"/>
    <cellStyle name="Calc Currency (0)" xfId="2231" xr:uid="{00000000-0005-0000-0000-000025640000}"/>
    <cellStyle name="Calc Currency (2)" xfId="2232" xr:uid="{00000000-0005-0000-0000-000026640000}"/>
    <cellStyle name="Calc Percent (0)" xfId="2233" xr:uid="{00000000-0005-0000-0000-000027640000}"/>
    <cellStyle name="Calc Percent (1)" xfId="2234" xr:uid="{00000000-0005-0000-0000-000028640000}"/>
    <cellStyle name="Calc Percent (2)" xfId="2235" xr:uid="{00000000-0005-0000-0000-000029640000}"/>
    <cellStyle name="Calc Units (0)" xfId="2236" xr:uid="{00000000-0005-0000-0000-00002A640000}"/>
    <cellStyle name="Calc Units (1)" xfId="2237" xr:uid="{00000000-0005-0000-0000-00002B640000}"/>
    <cellStyle name="Calc Units (2)" xfId="2238" xr:uid="{00000000-0005-0000-0000-00002C640000}"/>
    <cellStyle name="Calculation 10" xfId="441" xr:uid="{00000000-0005-0000-0000-00002D640000}"/>
    <cellStyle name="Calculation 11" xfId="442" xr:uid="{00000000-0005-0000-0000-00002E640000}"/>
    <cellStyle name="Calculation 12" xfId="443" xr:uid="{00000000-0005-0000-0000-00002F640000}"/>
    <cellStyle name="Calculation 13" xfId="444" xr:uid="{00000000-0005-0000-0000-000030640000}"/>
    <cellStyle name="Calculation 14" xfId="445" xr:uid="{00000000-0005-0000-0000-000031640000}"/>
    <cellStyle name="Calculation 15" xfId="446" xr:uid="{00000000-0005-0000-0000-000032640000}"/>
    <cellStyle name="Calculation 16" xfId="447" xr:uid="{00000000-0005-0000-0000-000033640000}"/>
    <cellStyle name="Calculation 16 2" xfId="6131" xr:uid="{00000000-0005-0000-0000-000034640000}"/>
    <cellStyle name="Calculation 16 3" xfId="22553" xr:uid="{00000000-0005-0000-0000-000035640000}"/>
    <cellStyle name="Calculation 17" xfId="33081" xr:uid="{00000000-0005-0000-0000-000036640000}"/>
    <cellStyle name="Calculation 18" xfId="52439" xr:uid="{00000000-0005-0000-0000-000037640000}"/>
    <cellStyle name="Calculation 19" xfId="11947" xr:uid="{00000000-0005-0000-0000-000038640000}"/>
    <cellStyle name="Calculation 2" xfId="448" xr:uid="{00000000-0005-0000-0000-000039640000}"/>
    <cellStyle name="Calculation 2 10" xfId="2239" xr:uid="{00000000-0005-0000-0000-00003A640000}"/>
    <cellStyle name="Calculation 2 11" xfId="6017" xr:uid="{00000000-0005-0000-0000-00003B640000}"/>
    <cellStyle name="Calculation 2 2" xfId="449" xr:uid="{00000000-0005-0000-0000-00003C640000}"/>
    <cellStyle name="Calculation 2 2 2" xfId="2241" xr:uid="{00000000-0005-0000-0000-00003D640000}"/>
    <cellStyle name="Calculation 2 2 2 2" xfId="12730" xr:uid="{00000000-0005-0000-0000-00003E640000}"/>
    <cellStyle name="Calculation 2 2 3" xfId="2240" xr:uid="{00000000-0005-0000-0000-00003F640000}"/>
    <cellStyle name="Calculation 2 2 3 2" xfId="12349" xr:uid="{00000000-0005-0000-0000-000040640000}"/>
    <cellStyle name="Calculation 2 2 4" xfId="6016" xr:uid="{00000000-0005-0000-0000-000041640000}"/>
    <cellStyle name="Calculation 2 2 4 2" xfId="22563" xr:uid="{00000000-0005-0000-0000-000042640000}"/>
    <cellStyle name="Calculation 2 2 5" xfId="23312" xr:uid="{00000000-0005-0000-0000-000043640000}"/>
    <cellStyle name="Calculation 2 2 6" xfId="12178" xr:uid="{00000000-0005-0000-0000-000044640000}"/>
    <cellStyle name="Calculation 2 3" xfId="2242" xr:uid="{00000000-0005-0000-0000-000045640000}"/>
    <cellStyle name="Calculation 2 3 2" xfId="13576" xr:uid="{00000000-0005-0000-0000-000046640000}"/>
    <cellStyle name="Calculation 2 3 3" xfId="13791" xr:uid="{00000000-0005-0000-0000-000047640000}"/>
    <cellStyle name="Calculation 2 3 4" xfId="14370" xr:uid="{00000000-0005-0000-0000-000048640000}"/>
    <cellStyle name="Calculation 2 3 5" xfId="12350" xr:uid="{00000000-0005-0000-0000-000049640000}"/>
    <cellStyle name="Calculation 2 4" xfId="2243" xr:uid="{00000000-0005-0000-0000-00004A640000}"/>
    <cellStyle name="Calculation 2 4 2" xfId="12674" xr:uid="{00000000-0005-0000-0000-00004B640000}"/>
    <cellStyle name="Calculation 2 5" xfId="2244" xr:uid="{00000000-0005-0000-0000-00004C640000}"/>
    <cellStyle name="Calculation 2 5 2" xfId="12832" xr:uid="{00000000-0005-0000-0000-00004D640000}"/>
    <cellStyle name="Calculation 2 6" xfId="2245" xr:uid="{00000000-0005-0000-0000-00004E640000}"/>
    <cellStyle name="Calculation 2 6 2" xfId="13509" xr:uid="{00000000-0005-0000-0000-00004F640000}"/>
    <cellStyle name="Calculation 2 7" xfId="2246" xr:uid="{00000000-0005-0000-0000-000050640000}"/>
    <cellStyle name="Calculation 2 7 2" xfId="12348" xr:uid="{00000000-0005-0000-0000-000051640000}"/>
    <cellStyle name="Calculation 2 8" xfId="2247" xr:uid="{00000000-0005-0000-0000-000052640000}"/>
    <cellStyle name="Calculation 2 8 2" xfId="22381" xr:uid="{00000000-0005-0000-0000-000053640000}"/>
    <cellStyle name="Calculation 2 9" xfId="2248" xr:uid="{00000000-0005-0000-0000-000054640000}"/>
    <cellStyle name="Calculation 3" xfId="450" xr:uid="{00000000-0005-0000-0000-000055640000}"/>
    <cellStyle name="Calculation 3 2" xfId="13254" xr:uid="{00000000-0005-0000-0000-000056640000}"/>
    <cellStyle name="Calculation 3 3" xfId="13547" xr:uid="{00000000-0005-0000-0000-000057640000}"/>
    <cellStyle name="Calculation 3 4" xfId="22382" xr:uid="{00000000-0005-0000-0000-000058640000}"/>
    <cellStyle name="Calculation 3 5" xfId="23384" xr:uid="{00000000-0005-0000-0000-000059640000}"/>
    <cellStyle name="Calculation 3 6" xfId="52475" xr:uid="{00000000-0005-0000-0000-00005A640000}"/>
    <cellStyle name="Calculation 3 7" xfId="12351" xr:uid="{00000000-0005-0000-0000-00005B640000}"/>
    <cellStyle name="Calculation 4" xfId="451" xr:uid="{00000000-0005-0000-0000-00005C640000}"/>
    <cellStyle name="Calculation 4 2" xfId="13710" xr:uid="{00000000-0005-0000-0000-00005D640000}"/>
    <cellStyle name="Calculation 4 3" xfId="22383" xr:uid="{00000000-0005-0000-0000-00005E640000}"/>
    <cellStyle name="Calculation 4 4" xfId="23385" xr:uid="{00000000-0005-0000-0000-00005F640000}"/>
    <cellStyle name="Calculation 4 5" xfId="12352" xr:uid="{00000000-0005-0000-0000-000060640000}"/>
    <cellStyle name="Calculation 5" xfId="452" xr:uid="{00000000-0005-0000-0000-000061640000}"/>
    <cellStyle name="Calculation 5 2" xfId="22384" xr:uid="{00000000-0005-0000-0000-000062640000}"/>
    <cellStyle name="Calculation 5 3" xfId="23547" xr:uid="{00000000-0005-0000-0000-000063640000}"/>
    <cellStyle name="Calculation 5 4" xfId="12649" xr:uid="{00000000-0005-0000-0000-000064640000}"/>
    <cellStyle name="Calculation 6" xfId="453" xr:uid="{00000000-0005-0000-0000-000065640000}"/>
    <cellStyle name="Calculation 6 2" xfId="22385" xr:uid="{00000000-0005-0000-0000-000066640000}"/>
    <cellStyle name="Calculation 6 3" xfId="23621" xr:uid="{00000000-0005-0000-0000-000067640000}"/>
    <cellStyle name="Calculation 6 4" xfId="12831" xr:uid="{00000000-0005-0000-0000-000068640000}"/>
    <cellStyle name="Calculation 7" xfId="454" xr:uid="{00000000-0005-0000-0000-000069640000}"/>
    <cellStyle name="Calculation 8" xfId="455" xr:uid="{00000000-0005-0000-0000-00006A640000}"/>
    <cellStyle name="Calculation 9" xfId="456" xr:uid="{00000000-0005-0000-0000-00006B640000}"/>
    <cellStyle name="Case" xfId="2249" xr:uid="{00000000-0005-0000-0000-00006C640000}"/>
    <cellStyle name="Check" xfId="2250" xr:uid="{00000000-0005-0000-0000-00006D640000}"/>
    <cellStyle name="Check Cell 10" xfId="457" xr:uid="{00000000-0005-0000-0000-00006E640000}"/>
    <cellStyle name="Check Cell 11" xfId="458" xr:uid="{00000000-0005-0000-0000-00006F640000}"/>
    <cellStyle name="Check Cell 12" xfId="459" xr:uid="{00000000-0005-0000-0000-000070640000}"/>
    <cellStyle name="Check Cell 13" xfId="460" xr:uid="{00000000-0005-0000-0000-000071640000}"/>
    <cellStyle name="Check Cell 14" xfId="461" xr:uid="{00000000-0005-0000-0000-000072640000}"/>
    <cellStyle name="Check Cell 15" xfId="462" xr:uid="{00000000-0005-0000-0000-000073640000}"/>
    <cellStyle name="Check Cell 16" xfId="463" xr:uid="{00000000-0005-0000-0000-000074640000}"/>
    <cellStyle name="Check Cell 16 2" xfId="22607" xr:uid="{00000000-0005-0000-0000-000075640000}"/>
    <cellStyle name="Check Cell 17" xfId="33073" xr:uid="{00000000-0005-0000-0000-000076640000}"/>
    <cellStyle name="Check Cell 18" xfId="11948" xr:uid="{00000000-0005-0000-0000-000077640000}"/>
    <cellStyle name="Check Cell 2" xfId="464" xr:uid="{00000000-0005-0000-0000-000078640000}"/>
    <cellStyle name="Check Cell 2 10" xfId="2251" xr:uid="{00000000-0005-0000-0000-000079640000}"/>
    <cellStyle name="Check Cell 2 2" xfId="465" xr:uid="{00000000-0005-0000-0000-00007A640000}"/>
    <cellStyle name="Check Cell 2 2 2" xfId="2252" xr:uid="{00000000-0005-0000-0000-00007B640000}"/>
    <cellStyle name="Check Cell 2 2 2 2" xfId="12731" xr:uid="{00000000-0005-0000-0000-00007C640000}"/>
    <cellStyle name="Check Cell 2 2 3" xfId="12354" xr:uid="{00000000-0005-0000-0000-00007D640000}"/>
    <cellStyle name="Check Cell 2 2 4" xfId="22565" xr:uid="{00000000-0005-0000-0000-00007E640000}"/>
    <cellStyle name="Check Cell 2 2 5" xfId="23313" xr:uid="{00000000-0005-0000-0000-00007F640000}"/>
    <cellStyle name="Check Cell 2 2 6" xfId="12180" xr:uid="{00000000-0005-0000-0000-000080640000}"/>
    <cellStyle name="Check Cell 2 3" xfId="2253" xr:uid="{00000000-0005-0000-0000-000081640000}"/>
    <cellStyle name="Check Cell 2 3 2" xfId="13578" xr:uid="{00000000-0005-0000-0000-000082640000}"/>
    <cellStyle name="Check Cell 2 3 3" xfId="12355" xr:uid="{00000000-0005-0000-0000-000083640000}"/>
    <cellStyle name="Check Cell 2 4" xfId="2254" xr:uid="{00000000-0005-0000-0000-000084640000}"/>
    <cellStyle name="Check Cell 2 4 2" xfId="12676" xr:uid="{00000000-0005-0000-0000-000085640000}"/>
    <cellStyle name="Check Cell 2 5" xfId="2255" xr:uid="{00000000-0005-0000-0000-000086640000}"/>
    <cellStyle name="Check Cell 2 5 2" xfId="12834" xr:uid="{00000000-0005-0000-0000-000087640000}"/>
    <cellStyle name="Check Cell 2 6" xfId="2256" xr:uid="{00000000-0005-0000-0000-000088640000}"/>
    <cellStyle name="Check Cell 2 6 2" xfId="13510" xr:uid="{00000000-0005-0000-0000-000089640000}"/>
    <cellStyle name="Check Cell 2 7" xfId="2257" xr:uid="{00000000-0005-0000-0000-00008A640000}"/>
    <cellStyle name="Check Cell 2 7 2" xfId="12353" xr:uid="{00000000-0005-0000-0000-00008B640000}"/>
    <cellStyle name="Check Cell 2 8" xfId="2258" xr:uid="{00000000-0005-0000-0000-00008C640000}"/>
    <cellStyle name="Check Cell 2 8 2" xfId="22386" xr:uid="{00000000-0005-0000-0000-00008D640000}"/>
    <cellStyle name="Check Cell 2 9" xfId="2259" xr:uid="{00000000-0005-0000-0000-00008E640000}"/>
    <cellStyle name="Check Cell 3" xfId="466" xr:uid="{00000000-0005-0000-0000-00008F640000}"/>
    <cellStyle name="Check Cell 3 2" xfId="13255" xr:uid="{00000000-0005-0000-0000-000090640000}"/>
    <cellStyle name="Check Cell 3 3" xfId="13548" xr:uid="{00000000-0005-0000-0000-000091640000}"/>
    <cellStyle name="Check Cell 3 4" xfId="22387" xr:uid="{00000000-0005-0000-0000-000092640000}"/>
    <cellStyle name="Check Cell 3 5" xfId="23386" xr:uid="{00000000-0005-0000-0000-000093640000}"/>
    <cellStyle name="Check Cell 3 6" xfId="12356" xr:uid="{00000000-0005-0000-0000-000094640000}"/>
    <cellStyle name="Check Cell 4" xfId="467" xr:uid="{00000000-0005-0000-0000-000095640000}"/>
    <cellStyle name="Check Cell 4 2" xfId="13711" xr:uid="{00000000-0005-0000-0000-000096640000}"/>
    <cellStyle name="Check Cell 4 3" xfId="22388" xr:uid="{00000000-0005-0000-0000-000097640000}"/>
    <cellStyle name="Check Cell 4 4" xfId="23387" xr:uid="{00000000-0005-0000-0000-000098640000}"/>
    <cellStyle name="Check Cell 4 5" xfId="12357" xr:uid="{00000000-0005-0000-0000-000099640000}"/>
    <cellStyle name="Check Cell 5" xfId="468" xr:uid="{00000000-0005-0000-0000-00009A640000}"/>
    <cellStyle name="Check Cell 5 2" xfId="22389" xr:uid="{00000000-0005-0000-0000-00009B640000}"/>
    <cellStyle name="Check Cell 5 3" xfId="23548" xr:uid="{00000000-0005-0000-0000-00009C640000}"/>
    <cellStyle name="Check Cell 5 4" xfId="12650" xr:uid="{00000000-0005-0000-0000-00009D640000}"/>
    <cellStyle name="Check Cell 6" xfId="469" xr:uid="{00000000-0005-0000-0000-00009E640000}"/>
    <cellStyle name="Check Cell 6 2" xfId="22390" xr:uid="{00000000-0005-0000-0000-00009F640000}"/>
    <cellStyle name="Check Cell 6 3" xfId="23622" xr:uid="{00000000-0005-0000-0000-0000A0640000}"/>
    <cellStyle name="Check Cell 6 4" xfId="12833" xr:uid="{00000000-0005-0000-0000-0000A1640000}"/>
    <cellStyle name="Check Cell 7" xfId="470" xr:uid="{00000000-0005-0000-0000-0000A2640000}"/>
    <cellStyle name="Check Cell 8" xfId="471" xr:uid="{00000000-0005-0000-0000-0000A3640000}"/>
    <cellStyle name="Check Cell 9" xfId="472" xr:uid="{00000000-0005-0000-0000-0000A4640000}"/>
    <cellStyle name="Chiffre" xfId="2260" xr:uid="{00000000-0005-0000-0000-0000A5640000}"/>
    <cellStyle name="Colhead_left" xfId="2261" xr:uid="{00000000-0005-0000-0000-0000A6640000}"/>
    <cellStyle name="ColHeading" xfId="2262" xr:uid="{00000000-0005-0000-0000-0000A7640000}"/>
    <cellStyle name="Column Title" xfId="2263" xr:uid="{00000000-0005-0000-0000-0000A8640000}"/>
    <cellStyle name="ColumnHeadings" xfId="2264" xr:uid="{00000000-0005-0000-0000-0000A9640000}"/>
    <cellStyle name="ColumnHeadings2" xfId="2265" xr:uid="{00000000-0005-0000-0000-0000AA640000}"/>
    <cellStyle name="Comma" xfId="1" builtinId="3"/>
    <cellStyle name="Comma  - Style1" xfId="2266" xr:uid="{00000000-0005-0000-0000-0000AC640000}"/>
    <cellStyle name="Comma  - Style2" xfId="2267" xr:uid="{00000000-0005-0000-0000-0000AD640000}"/>
    <cellStyle name="Comma  - Style3" xfId="2268" xr:uid="{00000000-0005-0000-0000-0000AE640000}"/>
    <cellStyle name="Comma  - Style4" xfId="2269" xr:uid="{00000000-0005-0000-0000-0000AF640000}"/>
    <cellStyle name="Comma  - Style5" xfId="2270" xr:uid="{00000000-0005-0000-0000-0000B0640000}"/>
    <cellStyle name="Comma  - Style6" xfId="2271" xr:uid="{00000000-0005-0000-0000-0000B1640000}"/>
    <cellStyle name="Comma  - Style7" xfId="2272" xr:uid="{00000000-0005-0000-0000-0000B2640000}"/>
    <cellStyle name="Comma  - Style8" xfId="2273" xr:uid="{00000000-0005-0000-0000-0000B3640000}"/>
    <cellStyle name="Comma ," xfId="2274" xr:uid="{00000000-0005-0000-0000-0000B4640000}"/>
    <cellStyle name="Comma [00]" xfId="2275" xr:uid="{00000000-0005-0000-0000-0000B5640000}"/>
    <cellStyle name="Comma [1]" xfId="2276" xr:uid="{00000000-0005-0000-0000-0000B6640000}"/>
    <cellStyle name="Comma [2]" xfId="2277" xr:uid="{00000000-0005-0000-0000-0000B7640000}"/>
    <cellStyle name="Comma [3]" xfId="2278" xr:uid="{00000000-0005-0000-0000-0000B8640000}"/>
    <cellStyle name="Comma 0" xfId="2279" xr:uid="{00000000-0005-0000-0000-0000B9640000}"/>
    <cellStyle name="Comma 0*" xfId="2280" xr:uid="{00000000-0005-0000-0000-0000BA640000}"/>
    <cellStyle name="Comma 0_Merger Model_KN&amp;Fzio_v2.30 - Street" xfId="2281" xr:uid="{00000000-0005-0000-0000-0000BB640000}"/>
    <cellStyle name="Comma 10" xfId="473" xr:uid="{00000000-0005-0000-0000-0000BC640000}"/>
    <cellStyle name="Comma 10 10" xfId="23109" xr:uid="{00000000-0005-0000-0000-0000BD640000}"/>
    <cellStyle name="Comma 10 10 2" xfId="42677" xr:uid="{00000000-0005-0000-0000-0000BE640000}"/>
    <cellStyle name="Comma 10 11" xfId="33145" xr:uid="{00000000-0005-0000-0000-0000BF640000}"/>
    <cellStyle name="Comma 10 12" xfId="52625" xr:uid="{00000000-0005-0000-0000-0000C0640000}"/>
    <cellStyle name="Comma 10 13" xfId="12608" xr:uid="{00000000-0005-0000-0000-0000C1640000}"/>
    <cellStyle name="Comma 10 2" xfId="2283" xr:uid="{00000000-0005-0000-0000-0000C2640000}"/>
    <cellStyle name="Comma 10 2 2" xfId="16061" xr:uid="{00000000-0005-0000-0000-0000C3640000}"/>
    <cellStyle name="Comma 10 2 2 2" xfId="20525" xr:uid="{00000000-0005-0000-0000-0000C4640000}"/>
    <cellStyle name="Comma 10 2 2 2 2" xfId="30893" xr:uid="{00000000-0005-0000-0000-0000C5640000}"/>
    <cellStyle name="Comma 10 2 2 2 2 2" xfId="50082" xr:uid="{00000000-0005-0000-0000-0000C6640000}"/>
    <cellStyle name="Comma 10 2 2 2 3" xfId="40384" xr:uid="{00000000-0005-0000-0000-0000C7640000}"/>
    <cellStyle name="Comma 10 2 2 2 4" xfId="54102" xr:uid="{00000000-0005-0000-0000-0000C8640000}"/>
    <cellStyle name="Comma 10 2 2 3" xfId="26438" xr:uid="{00000000-0005-0000-0000-0000C9640000}"/>
    <cellStyle name="Comma 10 2 2 3 2" xfId="45627" xr:uid="{00000000-0005-0000-0000-0000CA640000}"/>
    <cellStyle name="Comma 10 2 2 4" xfId="35929" xr:uid="{00000000-0005-0000-0000-0000CB640000}"/>
    <cellStyle name="Comma 10 2 2 5" xfId="53249" xr:uid="{00000000-0005-0000-0000-0000CC640000}"/>
    <cellStyle name="Comma 10 2 3" xfId="18297" xr:uid="{00000000-0005-0000-0000-0000CD640000}"/>
    <cellStyle name="Comma 10 2 3 2" xfId="28665" xr:uid="{00000000-0005-0000-0000-0000CE640000}"/>
    <cellStyle name="Comma 10 2 3 2 2" xfId="47854" xr:uid="{00000000-0005-0000-0000-0000CF640000}"/>
    <cellStyle name="Comma 10 2 3 3" xfId="38156" xr:uid="{00000000-0005-0000-0000-0000D0640000}"/>
    <cellStyle name="Comma 10 2 3 4" xfId="53706" xr:uid="{00000000-0005-0000-0000-0000D1640000}"/>
    <cellStyle name="Comma 10 2 4" xfId="24205" xr:uid="{00000000-0005-0000-0000-0000D2640000}"/>
    <cellStyle name="Comma 10 2 4 2" xfId="43399" xr:uid="{00000000-0005-0000-0000-0000D3640000}"/>
    <cellStyle name="Comma 10 2 5" xfId="33701" xr:uid="{00000000-0005-0000-0000-0000D4640000}"/>
    <cellStyle name="Comma 10 2 6" xfId="52821" xr:uid="{00000000-0005-0000-0000-0000D5640000}"/>
    <cellStyle name="Comma 10 2 7" xfId="13797" xr:uid="{00000000-0005-0000-0000-0000D6640000}"/>
    <cellStyle name="Comma 10 3" xfId="2284" xr:uid="{00000000-0005-0000-0000-0000D7640000}"/>
    <cellStyle name="Comma 10 3 2" xfId="15505" xr:uid="{00000000-0005-0000-0000-0000D8640000}"/>
    <cellStyle name="Comma 10 3 2 2" xfId="19969" xr:uid="{00000000-0005-0000-0000-0000D9640000}"/>
    <cellStyle name="Comma 10 3 2 2 2" xfId="30337" xr:uid="{00000000-0005-0000-0000-0000DA640000}"/>
    <cellStyle name="Comma 10 3 2 2 2 2" xfId="49526" xr:uid="{00000000-0005-0000-0000-0000DB640000}"/>
    <cellStyle name="Comma 10 3 2 2 3" xfId="39828" xr:uid="{00000000-0005-0000-0000-0000DC640000}"/>
    <cellStyle name="Comma 10 3 2 3" xfId="25882" xr:uid="{00000000-0005-0000-0000-0000DD640000}"/>
    <cellStyle name="Comma 10 3 2 3 2" xfId="45071" xr:uid="{00000000-0005-0000-0000-0000DE640000}"/>
    <cellStyle name="Comma 10 3 2 4" xfId="35373" xr:uid="{00000000-0005-0000-0000-0000DF640000}"/>
    <cellStyle name="Comma 10 3 2 5" xfId="53906" xr:uid="{00000000-0005-0000-0000-0000E0640000}"/>
    <cellStyle name="Comma 10 3 3" xfId="18854" xr:uid="{00000000-0005-0000-0000-0000E1640000}"/>
    <cellStyle name="Comma 10 3 3 2" xfId="29222" xr:uid="{00000000-0005-0000-0000-0000E2640000}"/>
    <cellStyle name="Comma 10 3 3 2 2" xfId="48411" xr:uid="{00000000-0005-0000-0000-0000E3640000}"/>
    <cellStyle name="Comma 10 3 3 3" xfId="38713" xr:uid="{00000000-0005-0000-0000-0000E4640000}"/>
    <cellStyle name="Comma 10 3 4" xfId="24767" xr:uid="{00000000-0005-0000-0000-0000E5640000}"/>
    <cellStyle name="Comma 10 3 4 2" xfId="43956" xr:uid="{00000000-0005-0000-0000-0000E6640000}"/>
    <cellStyle name="Comma 10 3 5" xfId="34258" xr:uid="{00000000-0005-0000-0000-0000E7640000}"/>
    <cellStyle name="Comma 10 3 6" xfId="53031" xr:uid="{00000000-0005-0000-0000-0000E8640000}"/>
    <cellStyle name="Comma 10 3 7" xfId="14376" xr:uid="{00000000-0005-0000-0000-0000E9640000}"/>
    <cellStyle name="Comma 10 4" xfId="2285" xr:uid="{00000000-0005-0000-0000-0000EA640000}"/>
    <cellStyle name="Comma 10 4 2" xfId="19412" xr:uid="{00000000-0005-0000-0000-0000EB640000}"/>
    <cellStyle name="Comma 10 4 2 2" xfId="29780" xr:uid="{00000000-0005-0000-0000-0000EC640000}"/>
    <cellStyle name="Comma 10 4 2 2 2" xfId="48969" xr:uid="{00000000-0005-0000-0000-0000ED640000}"/>
    <cellStyle name="Comma 10 4 2 3" xfId="39271" xr:uid="{00000000-0005-0000-0000-0000EE640000}"/>
    <cellStyle name="Comma 10 4 3" xfId="25325" xr:uid="{00000000-0005-0000-0000-0000EF640000}"/>
    <cellStyle name="Comma 10 4 3 2" xfId="44514" xr:uid="{00000000-0005-0000-0000-0000F0640000}"/>
    <cellStyle name="Comma 10 4 4" xfId="34816" xr:uid="{00000000-0005-0000-0000-0000F1640000}"/>
    <cellStyle name="Comma 10 4 5" xfId="53510" xr:uid="{00000000-0005-0000-0000-0000F2640000}"/>
    <cellStyle name="Comma 10 4 6" xfId="14948" xr:uid="{00000000-0005-0000-0000-0000F3640000}"/>
    <cellStyle name="Comma 10 5" xfId="2286" xr:uid="{00000000-0005-0000-0000-0000F4640000}"/>
    <cellStyle name="Comma 10 5 2" xfId="21082" xr:uid="{00000000-0005-0000-0000-0000F5640000}"/>
    <cellStyle name="Comma 10 5 2 2" xfId="31450" xr:uid="{00000000-0005-0000-0000-0000F6640000}"/>
    <cellStyle name="Comma 10 5 2 2 2" xfId="50639" xr:uid="{00000000-0005-0000-0000-0000F7640000}"/>
    <cellStyle name="Comma 10 5 2 3" xfId="40941" xr:uid="{00000000-0005-0000-0000-0000F8640000}"/>
    <cellStyle name="Comma 10 5 3" xfId="26995" xr:uid="{00000000-0005-0000-0000-0000F9640000}"/>
    <cellStyle name="Comma 10 5 3 2" xfId="46184" xr:uid="{00000000-0005-0000-0000-0000FA640000}"/>
    <cellStyle name="Comma 10 5 4" xfId="36486" xr:uid="{00000000-0005-0000-0000-0000FB640000}"/>
    <cellStyle name="Comma 10 5 5" xfId="16618" xr:uid="{00000000-0005-0000-0000-0000FC640000}"/>
    <cellStyle name="Comma 10 6" xfId="2282" xr:uid="{00000000-0005-0000-0000-0000FD640000}"/>
    <cellStyle name="Comma 10 6 2" xfId="21639" xr:uid="{00000000-0005-0000-0000-0000FE640000}"/>
    <cellStyle name="Comma 10 6 2 2" xfId="32007" xr:uid="{00000000-0005-0000-0000-0000FF640000}"/>
    <cellStyle name="Comma 10 6 2 2 2" xfId="51196" xr:uid="{00000000-0005-0000-0000-000000650000}"/>
    <cellStyle name="Comma 10 6 2 3" xfId="41498" xr:uid="{00000000-0005-0000-0000-000001650000}"/>
    <cellStyle name="Comma 10 6 3" xfId="27552" xr:uid="{00000000-0005-0000-0000-000002650000}"/>
    <cellStyle name="Comma 10 6 3 2" xfId="46741" xr:uid="{00000000-0005-0000-0000-000003650000}"/>
    <cellStyle name="Comma 10 6 4" xfId="37043" xr:uid="{00000000-0005-0000-0000-000004650000}"/>
    <cellStyle name="Comma 10 6 5" xfId="17184" xr:uid="{00000000-0005-0000-0000-000005650000}"/>
    <cellStyle name="Comma 10 7" xfId="6056" xr:uid="{00000000-0005-0000-0000-000006650000}"/>
    <cellStyle name="Comma 10 7 2" xfId="28109" xr:uid="{00000000-0005-0000-0000-000007650000}"/>
    <cellStyle name="Comma 10 7 2 2" xfId="47298" xr:uid="{00000000-0005-0000-0000-000008650000}"/>
    <cellStyle name="Comma 10 7 3" xfId="37600" xr:uid="{00000000-0005-0000-0000-000009650000}"/>
    <cellStyle name="Comma 10 7 4" xfId="17741" xr:uid="{00000000-0005-0000-0000-00000A650000}"/>
    <cellStyle name="Comma 10 8" xfId="22752" xr:uid="{00000000-0005-0000-0000-00000B650000}"/>
    <cellStyle name="Comma 10 8 2" xfId="32836" xr:uid="{00000000-0005-0000-0000-00000C650000}"/>
    <cellStyle name="Comma 10 8 2 2" xfId="52022" xr:uid="{00000000-0005-0000-0000-00000D650000}"/>
    <cellStyle name="Comma 10 8 3" xfId="42324" xr:uid="{00000000-0005-0000-0000-00000E650000}"/>
    <cellStyle name="Comma 10 9" xfId="23510" xr:uid="{00000000-0005-0000-0000-00000F650000}"/>
    <cellStyle name="Comma 10 9 2" xfId="42843" xr:uid="{00000000-0005-0000-0000-000010650000}"/>
    <cellStyle name="Comma 11" xfId="474" xr:uid="{00000000-0005-0000-0000-000011650000}"/>
    <cellStyle name="Comma 11 10" xfId="23188" xr:uid="{00000000-0005-0000-0000-000012650000}"/>
    <cellStyle name="Comma 11 10 2" xfId="42756" xr:uid="{00000000-0005-0000-0000-000013650000}"/>
    <cellStyle name="Comma 11 11" xfId="33196" xr:uid="{00000000-0005-0000-0000-000014650000}"/>
    <cellStyle name="Comma 11 12" xfId="52854" xr:uid="{00000000-0005-0000-0000-000015650000}"/>
    <cellStyle name="Comma 11 13" xfId="12892" xr:uid="{00000000-0005-0000-0000-000016650000}"/>
    <cellStyle name="Comma 11 2" xfId="2287" xr:uid="{00000000-0005-0000-0000-000017650000}"/>
    <cellStyle name="Comma 11 2 2" xfId="16112" xr:uid="{00000000-0005-0000-0000-000018650000}"/>
    <cellStyle name="Comma 11 2 2 2" xfId="20576" xr:uid="{00000000-0005-0000-0000-000019650000}"/>
    <cellStyle name="Comma 11 2 2 2 2" xfId="30944" xr:uid="{00000000-0005-0000-0000-00001A650000}"/>
    <cellStyle name="Comma 11 2 2 2 2 2" xfId="50133" xr:uid="{00000000-0005-0000-0000-00001B650000}"/>
    <cellStyle name="Comma 11 2 2 2 3" xfId="40435" xr:uid="{00000000-0005-0000-0000-00001C650000}"/>
    <cellStyle name="Comma 11 2 2 3" xfId="26489" xr:uid="{00000000-0005-0000-0000-00001D650000}"/>
    <cellStyle name="Comma 11 2 2 3 2" xfId="45678" xr:uid="{00000000-0005-0000-0000-00001E650000}"/>
    <cellStyle name="Comma 11 2 2 4" xfId="35980" xr:uid="{00000000-0005-0000-0000-00001F650000}"/>
    <cellStyle name="Comma 11 2 3" xfId="18348" xr:uid="{00000000-0005-0000-0000-000020650000}"/>
    <cellStyle name="Comma 11 2 3 2" xfId="28716" xr:uid="{00000000-0005-0000-0000-000021650000}"/>
    <cellStyle name="Comma 11 2 3 2 2" xfId="47905" xr:uid="{00000000-0005-0000-0000-000022650000}"/>
    <cellStyle name="Comma 11 2 3 3" xfId="38207" xr:uid="{00000000-0005-0000-0000-000023650000}"/>
    <cellStyle name="Comma 11 2 4" xfId="24256" xr:uid="{00000000-0005-0000-0000-000024650000}"/>
    <cellStyle name="Comma 11 2 4 2" xfId="43450" xr:uid="{00000000-0005-0000-0000-000025650000}"/>
    <cellStyle name="Comma 11 2 5" xfId="33752" xr:uid="{00000000-0005-0000-0000-000026650000}"/>
    <cellStyle name="Comma 11 2 6" xfId="53739" xr:uid="{00000000-0005-0000-0000-000027650000}"/>
    <cellStyle name="Comma 11 2 7" xfId="13848" xr:uid="{00000000-0005-0000-0000-000028650000}"/>
    <cellStyle name="Comma 11 3" xfId="14427" xr:uid="{00000000-0005-0000-0000-000029650000}"/>
    <cellStyle name="Comma 11 3 2" xfId="15556" xr:uid="{00000000-0005-0000-0000-00002A650000}"/>
    <cellStyle name="Comma 11 3 2 2" xfId="20020" xr:uid="{00000000-0005-0000-0000-00002B650000}"/>
    <cellStyle name="Comma 11 3 2 2 2" xfId="30388" xr:uid="{00000000-0005-0000-0000-00002C650000}"/>
    <cellStyle name="Comma 11 3 2 2 2 2" xfId="49577" xr:uid="{00000000-0005-0000-0000-00002D650000}"/>
    <cellStyle name="Comma 11 3 2 2 3" xfId="39879" xr:uid="{00000000-0005-0000-0000-00002E650000}"/>
    <cellStyle name="Comma 11 3 2 3" xfId="25933" xr:uid="{00000000-0005-0000-0000-00002F650000}"/>
    <cellStyle name="Comma 11 3 2 3 2" xfId="45122" xr:uid="{00000000-0005-0000-0000-000030650000}"/>
    <cellStyle name="Comma 11 3 2 4" xfId="35424" xr:uid="{00000000-0005-0000-0000-000031650000}"/>
    <cellStyle name="Comma 11 3 3" xfId="18905" xr:uid="{00000000-0005-0000-0000-000032650000}"/>
    <cellStyle name="Comma 11 3 3 2" xfId="29273" xr:uid="{00000000-0005-0000-0000-000033650000}"/>
    <cellStyle name="Comma 11 3 3 2 2" xfId="48462" xr:uid="{00000000-0005-0000-0000-000034650000}"/>
    <cellStyle name="Comma 11 3 3 3" xfId="38764" xr:uid="{00000000-0005-0000-0000-000035650000}"/>
    <cellStyle name="Comma 11 3 4" xfId="24818" xr:uid="{00000000-0005-0000-0000-000036650000}"/>
    <cellStyle name="Comma 11 3 4 2" xfId="44007" xr:uid="{00000000-0005-0000-0000-000037650000}"/>
    <cellStyle name="Comma 11 3 5" xfId="34309" xr:uid="{00000000-0005-0000-0000-000038650000}"/>
    <cellStyle name="Comma 11 4" xfId="14999" xr:uid="{00000000-0005-0000-0000-000039650000}"/>
    <cellStyle name="Comma 11 4 2" xfId="19463" xr:uid="{00000000-0005-0000-0000-00003A650000}"/>
    <cellStyle name="Comma 11 4 2 2" xfId="29831" xr:uid="{00000000-0005-0000-0000-00003B650000}"/>
    <cellStyle name="Comma 11 4 2 2 2" xfId="49020" xr:uid="{00000000-0005-0000-0000-00003C650000}"/>
    <cellStyle name="Comma 11 4 2 3" xfId="39322" xr:uid="{00000000-0005-0000-0000-00003D650000}"/>
    <cellStyle name="Comma 11 4 3" xfId="25376" xr:uid="{00000000-0005-0000-0000-00003E650000}"/>
    <cellStyle name="Comma 11 4 3 2" xfId="44565" xr:uid="{00000000-0005-0000-0000-00003F650000}"/>
    <cellStyle name="Comma 11 4 4" xfId="34867" xr:uid="{00000000-0005-0000-0000-000040650000}"/>
    <cellStyle name="Comma 11 5" xfId="16669" xr:uid="{00000000-0005-0000-0000-000041650000}"/>
    <cellStyle name="Comma 11 5 2" xfId="21133" xr:uid="{00000000-0005-0000-0000-000042650000}"/>
    <cellStyle name="Comma 11 5 2 2" xfId="31501" xr:uid="{00000000-0005-0000-0000-000043650000}"/>
    <cellStyle name="Comma 11 5 2 2 2" xfId="50690" xr:uid="{00000000-0005-0000-0000-000044650000}"/>
    <cellStyle name="Comma 11 5 2 3" xfId="40992" xr:uid="{00000000-0005-0000-0000-000045650000}"/>
    <cellStyle name="Comma 11 5 3" xfId="27046" xr:uid="{00000000-0005-0000-0000-000046650000}"/>
    <cellStyle name="Comma 11 5 3 2" xfId="46235" xr:uid="{00000000-0005-0000-0000-000047650000}"/>
    <cellStyle name="Comma 11 5 4" xfId="36537" xr:uid="{00000000-0005-0000-0000-000048650000}"/>
    <cellStyle name="Comma 11 6" xfId="17235" xr:uid="{00000000-0005-0000-0000-000049650000}"/>
    <cellStyle name="Comma 11 6 2" xfId="21690" xr:uid="{00000000-0005-0000-0000-00004A650000}"/>
    <cellStyle name="Comma 11 6 2 2" xfId="32058" xr:uid="{00000000-0005-0000-0000-00004B650000}"/>
    <cellStyle name="Comma 11 6 2 2 2" xfId="51247" xr:uid="{00000000-0005-0000-0000-00004C650000}"/>
    <cellStyle name="Comma 11 6 2 3" xfId="41549" xr:uid="{00000000-0005-0000-0000-00004D650000}"/>
    <cellStyle name="Comma 11 6 3" xfId="27603" xr:uid="{00000000-0005-0000-0000-00004E650000}"/>
    <cellStyle name="Comma 11 6 3 2" xfId="46792" xr:uid="{00000000-0005-0000-0000-00004F650000}"/>
    <cellStyle name="Comma 11 6 4" xfId="37094" xr:uid="{00000000-0005-0000-0000-000050650000}"/>
    <cellStyle name="Comma 11 7" xfId="17792" xr:uid="{00000000-0005-0000-0000-000051650000}"/>
    <cellStyle name="Comma 11 7 2" xfId="28160" xr:uid="{00000000-0005-0000-0000-000052650000}"/>
    <cellStyle name="Comma 11 7 2 2" xfId="47349" xr:uid="{00000000-0005-0000-0000-000053650000}"/>
    <cellStyle name="Comma 11 7 3" xfId="37651" xr:uid="{00000000-0005-0000-0000-000054650000}"/>
    <cellStyle name="Comma 11 8" xfId="22831" xr:uid="{00000000-0005-0000-0000-000055650000}"/>
    <cellStyle name="Comma 11 8 2" xfId="32915" xr:uid="{00000000-0005-0000-0000-000056650000}"/>
    <cellStyle name="Comma 11 8 2 2" xfId="52101" xr:uid="{00000000-0005-0000-0000-000057650000}"/>
    <cellStyle name="Comma 11 8 3" xfId="42403" xr:uid="{00000000-0005-0000-0000-000058650000}"/>
    <cellStyle name="Comma 11 9" xfId="23655" xr:uid="{00000000-0005-0000-0000-000059650000}"/>
    <cellStyle name="Comma 11 9 2" xfId="42894" xr:uid="{00000000-0005-0000-0000-00005A650000}"/>
    <cellStyle name="Comma 12" xfId="1514" xr:uid="{00000000-0005-0000-0000-00005B650000}"/>
    <cellStyle name="Comma 12 2" xfId="2288" xr:uid="{00000000-0005-0000-0000-00005C650000}"/>
    <cellStyle name="Comma 12 2 2" xfId="54135" xr:uid="{00000000-0005-0000-0000-00005D650000}"/>
    <cellStyle name="Comma 12 2 3" xfId="14938" xr:uid="{00000000-0005-0000-0000-00005E650000}"/>
    <cellStyle name="Comma 12 3" xfId="17173" xr:uid="{00000000-0005-0000-0000-00005F650000}"/>
    <cellStyle name="Comma 12 4" xfId="22848" xr:uid="{00000000-0005-0000-0000-000060650000}"/>
    <cellStyle name="Comma 12 4 2" xfId="32932" xr:uid="{00000000-0005-0000-0000-000061650000}"/>
    <cellStyle name="Comma 12 4 2 2" xfId="52118" xr:uid="{00000000-0005-0000-0000-000062650000}"/>
    <cellStyle name="Comma 12 4 3" xfId="42420" xr:uid="{00000000-0005-0000-0000-000063650000}"/>
    <cellStyle name="Comma 12 5" xfId="24760" xr:uid="{00000000-0005-0000-0000-000064650000}"/>
    <cellStyle name="Comma 12 6" xfId="23205" xr:uid="{00000000-0005-0000-0000-000065650000}"/>
    <cellStyle name="Comma 12 6 2" xfId="42773" xr:uid="{00000000-0005-0000-0000-000066650000}"/>
    <cellStyle name="Comma 12 7" xfId="53283" xr:uid="{00000000-0005-0000-0000-000067650000}"/>
    <cellStyle name="Comma 12 8" xfId="14355" xr:uid="{00000000-0005-0000-0000-000068650000}"/>
    <cellStyle name="Comma 13" xfId="1527" xr:uid="{00000000-0005-0000-0000-000069650000}"/>
    <cellStyle name="Comma 13 2" xfId="54166" xr:uid="{00000000-0005-0000-0000-00006A650000}"/>
    <cellStyle name="Comma 13 3" xfId="53314" xr:uid="{00000000-0005-0000-0000-00006B650000}"/>
    <cellStyle name="Comma 13 4" xfId="22195" xr:uid="{00000000-0005-0000-0000-00006C650000}"/>
    <cellStyle name="Comma 14" xfId="5503" xr:uid="{00000000-0005-0000-0000-00006D650000}"/>
    <cellStyle name="Comma 14 2" xfId="12358" xr:uid="{00000000-0005-0000-0000-00006E650000}"/>
    <cellStyle name="Comma 15" xfId="6024" xr:uid="{00000000-0005-0000-0000-00006F650000}"/>
    <cellStyle name="Comma 15 2" xfId="22391" xr:uid="{00000000-0005-0000-0000-000070650000}"/>
    <cellStyle name="Comma 16" xfId="5987" xr:uid="{00000000-0005-0000-0000-000071650000}"/>
    <cellStyle name="Comma 16 2" xfId="52170" xr:uid="{00000000-0005-0000-0000-000072650000}"/>
    <cellStyle name="Comma 16 3" xfId="32984" xr:uid="{00000000-0005-0000-0000-000073650000}"/>
    <cellStyle name="Comma 17" xfId="11946" xr:uid="{00000000-0005-0000-0000-000074650000}"/>
    <cellStyle name="Comma 17 2" xfId="33074" xr:uid="{00000000-0005-0000-0000-000075650000}"/>
    <cellStyle name="Comma 18" xfId="33141" xr:uid="{00000000-0005-0000-0000-000076650000}"/>
    <cellStyle name="Comma 19" xfId="52267" xr:uid="{00000000-0005-0000-0000-000077650000}"/>
    <cellStyle name="Comma 2" xfId="5" xr:uid="{00000000-0005-0000-0000-000078650000}"/>
    <cellStyle name="Comma 2 10" xfId="2290" xr:uid="{00000000-0005-0000-0000-000079650000}"/>
    <cellStyle name="Comma 2 10 2" xfId="32579" xr:uid="{00000000-0005-0000-0000-00007A650000}"/>
    <cellStyle name="Comma 2 10 2 2" xfId="51767" xr:uid="{00000000-0005-0000-0000-00007B650000}"/>
    <cellStyle name="Comma 2 10 2 3" xfId="54136" xr:uid="{00000000-0005-0000-0000-00007C650000}"/>
    <cellStyle name="Comma 2 10 3" xfId="42069" xr:uid="{00000000-0005-0000-0000-00007D650000}"/>
    <cellStyle name="Comma 2 10 4" xfId="53284" xr:uid="{00000000-0005-0000-0000-00007E650000}"/>
    <cellStyle name="Comma 2 10 5" xfId="22220" xr:uid="{00000000-0005-0000-0000-00007F650000}"/>
    <cellStyle name="Comma 2 11" xfId="2291" xr:uid="{00000000-0005-0000-0000-000080650000}"/>
    <cellStyle name="Comma 2 11 2" xfId="2292" xr:uid="{00000000-0005-0000-0000-000081650000}"/>
    <cellStyle name="Comma 2 11 2 2" xfId="2293" xr:uid="{00000000-0005-0000-0000-000082650000}"/>
    <cellStyle name="Comma 2 11 2 2 2" xfId="51794" xr:uid="{00000000-0005-0000-0000-000083650000}"/>
    <cellStyle name="Comma 2 11 2 3" xfId="54167" xr:uid="{00000000-0005-0000-0000-000084650000}"/>
    <cellStyle name="Comma 2 11 2 4" xfId="32606" xr:uid="{00000000-0005-0000-0000-000085650000}"/>
    <cellStyle name="Comma 2 11 3" xfId="2294" xr:uid="{00000000-0005-0000-0000-000086650000}"/>
    <cellStyle name="Comma 2 11 3 2" xfId="42096" xr:uid="{00000000-0005-0000-0000-000087650000}"/>
    <cellStyle name="Comma 2 11 4" xfId="53315" xr:uid="{00000000-0005-0000-0000-000088650000}"/>
    <cellStyle name="Comma 2 11 5" xfId="22249" xr:uid="{00000000-0005-0000-0000-000089650000}"/>
    <cellStyle name="Comma 2 12" xfId="2295" xr:uid="{00000000-0005-0000-0000-00008A650000}"/>
    <cellStyle name="Comma 2 12 2" xfId="2296" xr:uid="{00000000-0005-0000-0000-00008B650000}"/>
    <cellStyle name="Comma 2 12 2 2" xfId="53361" xr:uid="{00000000-0005-0000-0000-00008C650000}"/>
    <cellStyle name="Comma 2 12 3" xfId="12359" xr:uid="{00000000-0005-0000-0000-00008D650000}"/>
    <cellStyle name="Comma 2 13" xfId="2297" xr:uid="{00000000-0005-0000-0000-00008E650000}"/>
    <cellStyle name="Comma 2 13 2" xfId="42829" xr:uid="{00000000-0005-0000-0000-00008F650000}"/>
    <cellStyle name="Comma 2 13 3" xfId="23263" xr:uid="{00000000-0005-0000-0000-000090650000}"/>
    <cellStyle name="Comma 2 14" xfId="2298" xr:uid="{00000000-0005-0000-0000-000091650000}"/>
    <cellStyle name="Comma 2 14 2" xfId="52191" xr:uid="{00000000-0005-0000-0000-000092650000}"/>
    <cellStyle name="Comma 2 14 3" xfId="33005" xr:uid="{00000000-0005-0000-0000-000093650000}"/>
    <cellStyle name="Comma 2 15" xfId="2299" xr:uid="{00000000-0005-0000-0000-000094650000}"/>
    <cellStyle name="Comma 2 15 2" xfId="33102" xr:uid="{00000000-0005-0000-0000-000095650000}"/>
    <cellStyle name="Comma 2 16" xfId="2300" xr:uid="{00000000-0005-0000-0000-000096650000}"/>
    <cellStyle name="Comma 2 16 2" xfId="52285" xr:uid="{00000000-0005-0000-0000-000097650000}"/>
    <cellStyle name="Comma 2 17" xfId="2301" xr:uid="{00000000-0005-0000-0000-000098650000}"/>
    <cellStyle name="Comma 2 17 2" xfId="52342" xr:uid="{00000000-0005-0000-0000-000099650000}"/>
    <cellStyle name="Comma 2 18" xfId="2302" xr:uid="{00000000-0005-0000-0000-00009A650000}"/>
    <cellStyle name="Comma 2 18 2" xfId="52390" xr:uid="{00000000-0005-0000-0000-00009B650000}"/>
    <cellStyle name="Comma 2 19" xfId="2303" xr:uid="{00000000-0005-0000-0000-00009C650000}"/>
    <cellStyle name="Comma 2 19 2" xfId="12113" xr:uid="{00000000-0005-0000-0000-00009D650000}"/>
    <cellStyle name="Comma 2 2" xfId="475" xr:uid="{00000000-0005-0000-0000-00009E650000}"/>
    <cellStyle name="Comma 2 2 10" xfId="2305" xr:uid="{00000000-0005-0000-0000-00009F650000}"/>
    <cellStyle name="Comma 2 2 10 2" xfId="53394" xr:uid="{00000000-0005-0000-0000-0000A0650000}"/>
    <cellStyle name="Comma 2 2 11" xfId="2306" xr:uid="{00000000-0005-0000-0000-0000A1650000}"/>
    <cellStyle name="Comma 2 2 11 2" xfId="52501" xr:uid="{00000000-0005-0000-0000-0000A2650000}"/>
    <cellStyle name="Comma 2 2 12" xfId="2304" xr:uid="{00000000-0005-0000-0000-0000A3650000}"/>
    <cellStyle name="Comma 2 2 13" xfId="6052" xr:uid="{00000000-0005-0000-0000-0000A4650000}"/>
    <cellStyle name="Comma 2 2 14" xfId="12034" xr:uid="{00000000-0005-0000-0000-0000A5650000}"/>
    <cellStyle name="Comma 2 2 2" xfId="476" xr:uid="{00000000-0005-0000-0000-0000A6650000}"/>
    <cellStyle name="Comma 2 2 2 2" xfId="2308" xr:uid="{00000000-0005-0000-0000-0000A7650000}"/>
    <cellStyle name="Comma 2 2 2 2 2" xfId="53171" xr:uid="{00000000-0005-0000-0000-0000A8650000}"/>
    <cellStyle name="Comma 2 2 2 2 2 2" xfId="54024" xr:uid="{00000000-0005-0000-0000-0000A9650000}"/>
    <cellStyle name="Comma 2 2 2 2 3" xfId="53628" xr:uid="{00000000-0005-0000-0000-0000AA650000}"/>
    <cellStyle name="Comma 2 2 2 2 4" xfId="52743" xr:uid="{00000000-0005-0000-0000-0000AB650000}"/>
    <cellStyle name="Comma 2 2 2 2 5" xfId="22488" xr:uid="{00000000-0005-0000-0000-0000AC650000}"/>
    <cellStyle name="Comma 2 2 2 3" xfId="2307" xr:uid="{00000000-0005-0000-0000-0000AD650000}"/>
    <cellStyle name="Comma 2 2 2 3 2" xfId="53828" xr:uid="{00000000-0005-0000-0000-0000AE650000}"/>
    <cellStyle name="Comma 2 2 2 3 3" xfId="52953" xr:uid="{00000000-0005-0000-0000-0000AF650000}"/>
    <cellStyle name="Comma 2 2 2 3 4" xfId="23575" xr:uid="{00000000-0005-0000-0000-0000B0650000}"/>
    <cellStyle name="Comma 2 2 2 4" xfId="53432" xr:uid="{00000000-0005-0000-0000-0000B1650000}"/>
    <cellStyle name="Comma 2 2 2 5" xfId="52542" xr:uid="{00000000-0005-0000-0000-0000B2650000}"/>
    <cellStyle name="Comma 2 2 2 6" xfId="12734" xr:uid="{00000000-0005-0000-0000-0000B3650000}"/>
    <cellStyle name="Comma 2 2 3" xfId="2309" xr:uid="{00000000-0005-0000-0000-0000B4650000}"/>
    <cellStyle name="Comma 2 2 3 2" xfId="6070" xr:uid="{00000000-0005-0000-0000-0000B5650000}"/>
    <cellStyle name="Comma 2 2 3 2 2" xfId="53202" xr:uid="{00000000-0005-0000-0000-0000B6650000}"/>
    <cellStyle name="Comma 2 2 3 2 2 2" xfId="54055" xr:uid="{00000000-0005-0000-0000-0000B7650000}"/>
    <cellStyle name="Comma 2 2 3 2 3" xfId="53659" xr:uid="{00000000-0005-0000-0000-0000B8650000}"/>
    <cellStyle name="Comma 2 2 3 2 4" xfId="52774" xr:uid="{00000000-0005-0000-0000-0000B9650000}"/>
    <cellStyle name="Comma 2 2 3 3" xfId="52984" xr:uid="{00000000-0005-0000-0000-0000BA650000}"/>
    <cellStyle name="Comma 2 2 3 3 2" xfId="53859" xr:uid="{00000000-0005-0000-0000-0000BB650000}"/>
    <cellStyle name="Comma 2 2 3 4" xfId="53463" xr:uid="{00000000-0005-0000-0000-0000BC650000}"/>
    <cellStyle name="Comma 2 2 3 5" xfId="52574" xr:uid="{00000000-0005-0000-0000-0000BD650000}"/>
    <cellStyle name="Comma 2 2 3 6" xfId="14356" xr:uid="{00000000-0005-0000-0000-0000BE650000}"/>
    <cellStyle name="Comma 2 2 4" xfId="2310" xr:uid="{00000000-0005-0000-0000-0000BF650000}"/>
    <cellStyle name="Comma 2 2 4 2" xfId="52808" xr:uid="{00000000-0005-0000-0000-0000C0650000}"/>
    <cellStyle name="Comma 2 2 4 2 2" xfId="53236" xr:uid="{00000000-0005-0000-0000-0000C1650000}"/>
    <cellStyle name="Comma 2 2 4 2 2 2" xfId="54089" xr:uid="{00000000-0005-0000-0000-0000C2650000}"/>
    <cellStyle name="Comma 2 2 4 2 3" xfId="53693" xr:uid="{00000000-0005-0000-0000-0000C3650000}"/>
    <cellStyle name="Comma 2 2 4 3" xfId="53018" xr:uid="{00000000-0005-0000-0000-0000C4650000}"/>
    <cellStyle name="Comma 2 2 4 3 2" xfId="53893" xr:uid="{00000000-0005-0000-0000-0000C5650000}"/>
    <cellStyle name="Comma 2 2 4 4" xfId="53497" xr:uid="{00000000-0005-0000-0000-0000C6650000}"/>
    <cellStyle name="Comma 2 2 4 5" xfId="52608" xr:uid="{00000000-0005-0000-0000-0000C7650000}"/>
    <cellStyle name="Comma 2 2 4 6" xfId="12360" xr:uid="{00000000-0005-0000-0000-0000C8650000}"/>
    <cellStyle name="Comma 2 2 5" xfId="2311" xr:uid="{00000000-0005-0000-0000-0000C9650000}"/>
    <cellStyle name="Comma 2 2 5 2" xfId="52841" xr:uid="{00000000-0005-0000-0000-0000CA650000}"/>
    <cellStyle name="Comma 2 2 5 2 2" xfId="53269" xr:uid="{00000000-0005-0000-0000-0000CB650000}"/>
    <cellStyle name="Comma 2 2 5 2 2 2" xfId="54122" xr:uid="{00000000-0005-0000-0000-0000CC650000}"/>
    <cellStyle name="Comma 2 2 5 2 3" xfId="53726" xr:uid="{00000000-0005-0000-0000-0000CD650000}"/>
    <cellStyle name="Comma 2 2 5 3" xfId="53051" xr:uid="{00000000-0005-0000-0000-0000CE650000}"/>
    <cellStyle name="Comma 2 2 5 3 2" xfId="53926" xr:uid="{00000000-0005-0000-0000-0000CF650000}"/>
    <cellStyle name="Comma 2 2 5 4" xfId="53530" xr:uid="{00000000-0005-0000-0000-0000D0650000}"/>
    <cellStyle name="Comma 2 2 5 5" xfId="52645" xr:uid="{00000000-0005-0000-0000-0000D1650000}"/>
    <cellStyle name="Comma 2 2 5 6" xfId="22489" xr:uid="{00000000-0005-0000-0000-0000D2650000}"/>
    <cellStyle name="Comma 2 2 6" xfId="2312" xr:uid="{00000000-0005-0000-0000-0000D3650000}"/>
    <cellStyle name="Comma 2 2 6 2" xfId="53133" xr:uid="{00000000-0005-0000-0000-0000D4650000}"/>
    <cellStyle name="Comma 2 2 6 2 2" xfId="53986" xr:uid="{00000000-0005-0000-0000-0000D5650000}"/>
    <cellStyle name="Comma 2 2 6 3" xfId="53590" xr:uid="{00000000-0005-0000-0000-0000D6650000}"/>
    <cellStyle name="Comma 2 2 6 4" xfId="52705" xr:uid="{00000000-0005-0000-0000-0000D7650000}"/>
    <cellStyle name="Comma 2 2 6 5" xfId="23315" xr:uid="{00000000-0005-0000-0000-0000D8650000}"/>
    <cellStyle name="Comma 2 2 7" xfId="2313" xr:uid="{00000000-0005-0000-0000-0000D9650000}"/>
    <cellStyle name="Comma 2 2 7 2" xfId="53790" xr:uid="{00000000-0005-0000-0000-0000DA650000}"/>
    <cellStyle name="Comma 2 2 7 3" xfId="52915" xr:uid="{00000000-0005-0000-0000-0000DB650000}"/>
    <cellStyle name="Comma 2 2 7 4" xfId="12182" xr:uid="{00000000-0005-0000-0000-0000DC650000}"/>
    <cellStyle name="Comma 2 2 8" xfId="2314" xr:uid="{00000000-0005-0000-0000-0000DD650000}"/>
    <cellStyle name="Comma 2 2 8 2" xfId="54153" xr:uid="{00000000-0005-0000-0000-0000DE650000}"/>
    <cellStyle name="Comma 2 2 8 3" xfId="53301" xr:uid="{00000000-0005-0000-0000-0000DF650000}"/>
    <cellStyle name="Comma 2 2 9" xfId="2315" xr:uid="{00000000-0005-0000-0000-0000E0650000}"/>
    <cellStyle name="Comma 2 2 9 2" xfId="54186" xr:uid="{00000000-0005-0000-0000-0000E1650000}"/>
    <cellStyle name="Comma 2 2 9 3" xfId="53334" xr:uid="{00000000-0005-0000-0000-0000E2650000}"/>
    <cellStyle name="Comma 2 20" xfId="2289" xr:uid="{00000000-0005-0000-0000-0000E3650000}"/>
    <cellStyle name="Comma 2 20 2" xfId="52431" xr:uid="{00000000-0005-0000-0000-0000E4650000}"/>
    <cellStyle name="Comma 2 21" xfId="52459" xr:uid="{00000000-0005-0000-0000-0000E5650000}"/>
    <cellStyle name="Comma 2 22" xfId="11970" xr:uid="{00000000-0005-0000-0000-0000E6650000}"/>
    <cellStyle name="Comma 2 3" xfId="477" xr:uid="{00000000-0005-0000-0000-0000E7650000}"/>
    <cellStyle name="Comma 2 3 10" xfId="6096" xr:uid="{00000000-0005-0000-0000-0000E8650000}"/>
    <cellStyle name="Comma 2 3 11" xfId="12035" xr:uid="{00000000-0005-0000-0000-0000E9650000}"/>
    <cellStyle name="Comma 2 3 2" xfId="2317" xr:uid="{00000000-0005-0000-0000-0000EA650000}"/>
    <cellStyle name="Comma 2 3 2 10" xfId="52686" xr:uid="{00000000-0005-0000-0000-0000EB650000}"/>
    <cellStyle name="Comma 2 3 2 11" xfId="13457" xr:uid="{00000000-0005-0000-0000-0000EC650000}"/>
    <cellStyle name="Comma 2 3 2 2" xfId="14314" xr:uid="{00000000-0005-0000-0000-0000ED650000}"/>
    <cellStyle name="Comma 2 3 2 2 2" xfId="16577" xr:uid="{00000000-0005-0000-0000-0000EE650000}"/>
    <cellStyle name="Comma 2 3 2 2 2 2" xfId="21041" xr:uid="{00000000-0005-0000-0000-0000EF650000}"/>
    <cellStyle name="Comma 2 3 2 2 2 2 2" xfId="31409" xr:uid="{00000000-0005-0000-0000-0000F0650000}"/>
    <cellStyle name="Comma 2 3 2 2 2 2 2 2" xfId="50598" xr:uid="{00000000-0005-0000-0000-0000F1650000}"/>
    <cellStyle name="Comma 2 3 2 2 2 2 3" xfId="40900" xr:uid="{00000000-0005-0000-0000-0000F2650000}"/>
    <cellStyle name="Comma 2 3 2 2 2 3" xfId="26954" xr:uid="{00000000-0005-0000-0000-0000F3650000}"/>
    <cellStyle name="Comma 2 3 2 2 2 3 2" xfId="46143" xr:uid="{00000000-0005-0000-0000-0000F4650000}"/>
    <cellStyle name="Comma 2 3 2 2 2 4" xfId="36445" xr:uid="{00000000-0005-0000-0000-0000F5650000}"/>
    <cellStyle name="Comma 2 3 2 2 2 5" xfId="53967" xr:uid="{00000000-0005-0000-0000-0000F6650000}"/>
    <cellStyle name="Comma 2 3 2 2 3" xfId="18813" xr:uid="{00000000-0005-0000-0000-0000F7650000}"/>
    <cellStyle name="Comma 2 3 2 2 3 2" xfId="29181" xr:uid="{00000000-0005-0000-0000-0000F8650000}"/>
    <cellStyle name="Comma 2 3 2 2 3 2 2" xfId="48370" xr:uid="{00000000-0005-0000-0000-0000F9650000}"/>
    <cellStyle name="Comma 2 3 2 2 3 3" xfId="38672" xr:uid="{00000000-0005-0000-0000-0000FA650000}"/>
    <cellStyle name="Comma 2 3 2 2 4" xfId="24721" xr:uid="{00000000-0005-0000-0000-0000FB650000}"/>
    <cellStyle name="Comma 2 3 2 2 4 2" xfId="43915" xr:uid="{00000000-0005-0000-0000-0000FC650000}"/>
    <cellStyle name="Comma 2 3 2 2 5" xfId="34217" xr:uid="{00000000-0005-0000-0000-0000FD650000}"/>
    <cellStyle name="Comma 2 3 2 2 6" xfId="53114" xr:uid="{00000000-0005-0000-0000-0000FE650000}"/>
    <cellStyle name="Comma 2 3 2 3" xfId="14893" xr:uid="{00000000-0005-0000-0000-0000FF650000}"/>
    <cellStyle name="Comma 2 3 2 3 2" xfId="16021" xr:uid="{00000000-0005-0000-0000-000000660000}"/>
    <cellStyle name="Comma 2 3 2 3 2 2" xfId="20485" xr:uid="{00000000-0005-0000-0000-000001660000}"/>
    <cellStyle name="Comma 2 3 2 3 2 2 2" xfId="30853" xr:uid="{00000000-0005-0000-0000-000002660000}"/>
    <cellStyle name="Comma 2 3 2 3 2 2 2 2" xfId="50042" xr:uid="{00000000-0005-0000-0000-000003660000}"/>
    <cellStyle name="Comma 2 3 2 3 2 2 3" xfId="40344" xr:uid="{00000000-0005-0000-0000-000004660000}"/>
    <cellStyle name="Comma 2 3 2 3 2 3" xfId="26398" xr:uid="{00000000-0005-0000-0000-000005660000}"/>
    <cellStyle name="Comma 2 3 2 3 2 3 2" xfId="45587" xr:uid="{00000000-0005-0000-0000-000006660000}"/>
    <cellStyle name="Comma 2 3 2 3 2 4" xfId="35889" xr:uid="{00000000-0005-0000-0000-000007660000}"/>
    <cellStyle name="Comma 2 3 2 3 3" xfId="19370" xr:uid="{00000000-0005-0000-0000-000008660000}"/>
    <cellStyle name="Comma 2 3 2 3 3 2" xfId="29738" xr:uid="{00000000-0005-0000-0000-000009660000}"/>
    <cellStyle name="Comma 2 3 2 3 3 2 2" xfId="48927" xr:uid="{00000000-0005-0000-0000-00000A660000}"/>
    <cellStyle name="Comma 2 3 2 3 3 3" xfId="39229" xr:uid="{00000000-0005-0000-0000-00000B660000}"/>
    <cellStyle name="Comma 2 3 2 3 4" xfId="25283" xr:uid="{00000000-0005-0000-0000-00000C660000}"/>
    <cellStyle name="Comma 2 3 2 3 4 2" xfId="44472" xr:uid="{00000000-0005-0000-0000-00000D660000}"/>
    <cellStyle name="Comma 2 3 2 3 5" xfId="34774" xr:uid="{00000000-0005-0000-0000-00000E660000}"/>
    <cellStyle name="Comma 2 3 2 3 6" xfId="53571" xr:uid="{00000000-0005-0000-0000-00000F660000}"/>
    <cellStyle name="Comma 2 3 2 4" xfId="15464" xr:uid="{00000000-0005-0000-0000-000010660000}"/>
    <cellStyle name="Comma 2 3 2 4 2" xfId="19928" xr:uid="{00000000-0005-0000-0000-000011660000}"/>
    <cellStyle name="Comma 2 3 2 4 2 2" xfId="30296" xr:uid="{00000000-0005-0000-0000-000012660000}"/>
    <cellStyle name="Comma 2 3 2 4 2 2 2" xfId="49485" xr:uid="{00000000-0005-0000-0000-000013660000}"/>
    <cellStyle name="Comma 2 3 2 4 2 3" xfId="39787" xr:uid="{00000000-0005-0000-0000-000014660000}"/>
    <cellStyle name="Comma 2 3 2 4 3" xfId="25841" xr:uid="{00000000-0005-0000-0000-000015660000}"/>
    <cellStyle name="Comma 2 3 2 4 3 2" xfId="45030" xr:uid="{00000000-0005-0000-0000-000016660000}"/>
    <cellStyle name="Comma 2 3 2 4 4" xfId="35332" xr:uid="{00000000-0005-0000-0000-000017660000}"/>
    <cellStyle name="Comma 2 3 2 5" xfId="17134" xr:uid="{00000000-0005-0000-0000-000018660000}"/>
    <cellStyle name="Comma 2 3 2 5 2" xfId="21598" xr:uid="{00000000-0005-0000-0000-000019660000}"/>
    <cellStyle name="Comma 2 3 2 5 2 2" xfId="31966" xr:uid="{00000000-0005-0000-0000-00001A660000}"/>
    <cellStyle name="Comma 2 3 2 5 2 2 2" xfId="51155" xr:uid="{00000000-0005-0000-0000-00001B660000}"/>
    <cellStyle name="Comma 2 3 2 5 2 3" xfId="41457" xr:uid="{00000000-0005-0000-0000-00001C660000}"/>
    <cellStyle name="Comma 2 3 2 5 3" xfId="27511" xr:uid="{00000000-0005-0000-0000-00001D660000}"/>
    <cellStyle name="Comma 2 3 2 5 3 2" xfId="46700" xr:uid="{00000000-0005-0000-0000-00001E660000}"/>
    <cellStyle name="Comma 2 3 2 5 4" xfId="37002" xr:uid="{00000000-0005-0000-0000-00001F660000}"/>
    <cellStyle name="Comma 2 3 2 6" xfId="17700" xr:uid="{00000000-0005-0000-0000-000020660000}"/>
    <cellStyle name="Comma 2 3 2 6 2" xfId="22155" xr:uid="{00000000-0005-0000-0000-000021660000}"/>
    <cellStyle name="Comma 2 3 2 6 2 2" xfId="32523" xr:uid="{00000000-0005-0000-0000-000022660000}"/>
    <cellStyle name="Comma 2 3 2 6 2 2 2" xfId="51712" xr:uid="{00000000-0005-0000-0000-000023660000}"/>
    <cellStyle name="Comma 2 3 2 6 2 3" xfId="42014" xr:uid="{00000000-0005-0000-0000-000024660000}"/>
    <cellStyle name="Comma 2 3 2 6 3" xfId="28068" xr:uid="{00000000-0005-0000-0000-000025660000}"/>
    <cellStyle name="Comma 2 3 2 6 3 2" xfId="47257" xr:uid="{00000000-0005-0000-0000-000026660000}"/>
    <cellStyle name="Comma 2 3 2 6 4" xfId="37559" xr:uid="{00000000-0005-0000-0000-000027660000}"/>
    <cellStyle name="Comma 2 3 2 7" xfId="18257" xr:uid="{00000000-0005-0000-0000-000028660000}"/>
    <cellStyle name="Comma 2 3 2 7 2" xfId="28625" xr:uid="{00000000-0005-0000-0000-000029660000}"/>
    <cellStyle name="Comma 2 3 2 7 2 2" xfId="47814" xr:uid="{00000000-0005-0000-0000-00002A660000}"/>
    <cellStyle name="Comma 2 3 2 7 3" xfId="38116" xr:uid="{00000000-0005-0000-0000-00002B660000}"/>
    <cellStyle name="Comma 2 3 2 8" xfId="24139" xr:uid="{00000000-0005-0000-0000-00002C660000}"/>
    <cellStyle name="Comma 2 3 2 8 2" xfId="43359" xr:uid="{00000000-0005-0000-0000-00002D660000}"/>
    <cellStyle name="Comma 2 3 2 9" xfId="33661" xr:uid="{00000000-0005-0000-0000-00002E660000}"/>
    <cellStyle name="Comma 2 3 3" xfId="2318" xr:uid="{00000000-0005-0000-0000-00002F660000}"/>
    <cellStyle name="Comma 2 3 3 2" xfId="53771" xr:uid="{00000000-0005-0000-0000-000030660000}"/>
    <cellStyle name="Comma 2 3 3 3" xfId="52893" xr:uid="{00000000-0005-0000-0000-000031660000}"/>
    <cellStyle name="Comma 2 3 3 4" xfId="13596" xr:uid="{00000000-0005-0000-0000-000032660000}"/>
    <cellStyle name="Comma 2 3 4" xfId="2319" xr:uid="{00000000-0005-0000-0000-000033660000}"/>
    <cellStyle name="Comma 2 3 4 2" xfId="53375" xr:uid="{00000000-0005-0000-0000-000034660000}"/>
    <cellStyle name="Comma 2 3 4 3" xfId="22520" xr:uid="{00000000-0005-0000-0000-000035660000}"/>
    <cellStyle name="Comma 2 3 5" xfId="2320" xr:uid="{00000000-0005-0000-0000-000036660000}"/>
    <cellStyle name="Comma 2 3 5 2" xfId="23388" xr:uid="{00000000-0005-0000-0000-000037660000}"/>
    <cellStyle name="Comma 2 3 6" xfId="2321" xr:uid="{00000000-0005-0000-0000-000038660000}"/>
    <cellStyle name="Comma 2 3 6 2" xfId="12361" xr:uid="{00000000-0005-0000-0000-000039660000}"/>
    <cellStyle name="Comma 2 3 7" xfId="2322" xr:uid="{00000000-0005-0000-0000-00003A660000}"/>
    <cellStyle name="Comma 2 3 7 2" xfId="52473" xr:uid="{00000000-0005-0000-0000-00003B660000}"/>
    <cellStyle name="Comma 2 3 8" xfId="2323" xr:uid="{00000000-0005-0000-0000-00003C660000}"/>
    <cellStyle name="Comma 2 3 9" xfId="2316" xr:uid="{00000000-0005-0000-0000-00003D660000}"/>
    <cellStyle name="Comma 2 4" xfId="478" xr:uid="{00000000-0005-0000-0000-00003E660000}"/>
    <cellStyle name="Comma 2 4 2" xfId="2325" xr:uid="{00000000-0005-0000-0000-00003F660000}"/>
    <cellStyle name="Comma 2 4 2 10" xfId="52724" xr:uid="{00000000-0005-0000-0000-000040660000}"/>
    <cellStyle name="Comma 2 4 2 11" xfId="13620" xr:uid="{00000000-0005-0000-0000-000041660000}"/>
    <cellStyle name="Comma 2 4 2 2" xfId="8335" xr:uid="{00000000-0005-0000-0000-000042660000}"/>
    <cellStyle name="Comma 2 4 2 2 2" xfId="11232" xr:uid="{00000000-0005-0000-0000-000043660000}"/>
    <cellStyle name="Comma 2 4 2 2 2 2" xfId="21065" xr:uid="{00000000-0005-0000-0000-000044660000}"/>
    <cellStyle name="Comma 2 4 2 2 2 2 2" xfId="31433" xr:uid="{00000000-0005-0000-0000-000045660000}"/>
    <cellStyle name="Comma 2 4 2 2 2 2 2 2" xfId="50622" xr:uid="{00000000-0005-0000-0000-000046660000}"/>
    <cellStyle name="Comma 2 4 2 2 2 2 3" xfId="40924" xr:uid="{00000000-0005-0000-0000-000047660000}"/>
    <cellStyle name="Comma 2 4 2 2 2 3" xfId="26978" xr:uid="{00000000-0005-0000-0000-000048660000}"/>
    <cellStyle name="Comma 2 4 2 2 2 3 2" xfId="46167" xr:uid="{00000000-0005-0000-0000-000049660000}"/>
    <cellStyle name="Comma 2 4 2 2 2 4" xfId="36469" xr:uid="{00000000-0005-0000-0000-00004A660000}"/>
    <cellStyle name="Comma 2 4 2 2 2 5" xfId="54005" xr:uid="{00000000-0005-0000-0000-00004B660000}"/>
    <cellStyle name="Comma 2 4 2 2 2 6" xfId="16601" xr:uid="{00000000-0005-0000-0000-00004C660000}"/>
    <cellStyle name="Comma 2 4 2 2 3" xfId="18837" xr:uid="{00000000-0005-0000-0000-00004D660000}"/>
    <cellStyle name="Comma 2 4 2 2 3 2" xfId="29205" xr:uid="{00000000-0005-0000-0000-00004E660000}"/>
    <cellStyle name="Comma 2 4 2 2 3 2 2" xfId="48394" xr:uid="{00000000-0005-0000-0000-00004F660000}"/>
    <cellStyle name="Comma 2 4 2 2 3 3" xfId="38696" xr:uid="{00000000-0005-0000-0000-000050660000}"/>
    <cellStyle name="Comma 2 4 2 2 4" xfId="24745" xr:uid="{00000000-0005-0000-0000-000051660000}"/>
    <cellStyle name="Comma 2 4 2 2 4 2" xfId="43939" xr:uid="{00000000-0005-0000-0000-000052660000}"/>
    <cellStyle name="Comma 2 4 2 2 5" xfId="34241" xr:uid="{00000000-0005-0000-0000-000053660000}"/>
    <cellStyle name="Comma 2 4 2 2 6" xfId="53152" xr:uid="{00000000-0005-0000-0000-000054660000}"/>
    <cellStyle name="Comma 2 4 2 2 7" xfId="14338" xr:uid="{00000000-0005-0000-0000-000055660000}"/>
    <cellStyle name="Comma 2 4 2 3" xfId="9792" xr:uid="{00000000-0005-0000-0000-000056660000}"/>
    <cellStyle name="Comma 2 4 2 3 2" xfId="16045" xr:uid="{00000000-0005-0000-0000-000057660000}"/>
    <cellStyle name="Comma 2 4 2 3 2 2" xfId="20509" xr:uid="{00000000-0005-0000-0000-000058660000}"/>
    <cellStyle name="Comma 2 4 2 3 2 2 2" xfId="30877" xr:uid="{00000000-0005-0000-0000-000059660000}"/>
    <cellStyle name="Comma 2 4 2 3 2 2 2 2" xfId="50066" xr:uid="{00000000-0005-0000-0000-00005A660000}"/>
    <cellStyle name="Comma 2 4 2 3 2 2 3" xfId="40368" xr:uid="{00000000-0005-0000-0000-00005B660000}"/>
    <cellStyle name="Comma 2 4 2 3 2 3" xfId="26422" xr:uid="{00000000-0005-0000-0000-00005C660000}"/>
    <cellStyle name="Comma 2 4 2 3 2 3 2" xfId="45611" xr:uid="{00000000-0005-0000-0000-00005D660000}"/>
    <cellStyle name="Comma 2 4 2 3 2 4" xfId="35913" xr:uid="{00000000-0005-0000-0000-00005E660000}"/>
    <cellStyle name="Comma 2 4 2 3 3" xfId="19394" xr:uid="{00000000-0005-0000-0000-00005F660000}"/>
    <cellStyle name="Comma 2 4 2 3 3 2" xfId="29762" xr:uid="{00000000-0005-0000-0000-000060660000}"/>
    <cellStyle name="Comma 2 4 2 3 3 2 2" xfId="48951" xr:uid="{00000000-0005-0000-0000-000061660000}"/>
    <cellStyle name="Comma 2 4 2 3 3 3" xfId="39253" xr:uid="{00000000-0005-0000-0000-000062660000}"/>
    <cellStyle name="Comma 2 4 2 3 4" xfId="25307" xr:uid="{00000000-0005-0000-0000-000063660000}"/>
    <cellStyle name="Comma 2 4 2 3 4 2" xfId="44496" xr:uid="{00000000-0005-0000-0000-000064660000}"/>
    <cellStyle name="Comma 2 4 2 3 5" xfId="34798" xr:uid="{00000000-0005-0000-0000-000065660000}"/>
    <cellStyle name="Comma 2 4 2 3 6" xfId="53609" xr:uid="{00000000-0005-0000-0000-000066660000}"/>
    <cellStyle name="Comma 2 4 2 3 7" xfId="14917" xr:uid="{00000000-0005-0000-0000-000067660000}"/>
    <cellStyle name="Comma 2 4 2 4" xfId="6856" xr:uid="{00000000-0005-0000-0000-000068660000}"/>
    <cellStyle name="Comma 2 4 2 4 2" xfId="19952" xr:uid="{00000000-0005-0000-0000-000069660000}"/>
    <cellStyle name="Comma 2 4 2 4 2 2" xfId="30320" xr:uid="{00000000-0005-0000-0000-00006A660000}"/>
    <cellStyle name="Comma 2 4 2 4 2 2 2" xfId="49509" xr:uid="{00000000-0005-0000-0000-00006B660000}"/>
    <cellStyle name="Comma 2 4 2 4 2 3" xfId="39811" xr:uid="{00000000-0005-0000-0000-00006C660000}"/>
    <cellStyle name="Comma 2 4 2 4 3" xfId="25865" xr:uid="{00000000-0005-0000-0000-00006D660000}"/>
    <cellStyle name="Comma 2 4 2 4 3 2" xfId="45054" xr:uid="{00000000-0005-0000-0000-00006E660000}"/>
    <cellStyle name="Comma 2 4 2 4 4" xfId="35356" xr:uid="{00000000-0005-0000-0000-00006F660000}"/>
    <cellStyle name="Comma 2 4 2 4 5" xfId="15488" xr:uid="{00000000-0005-0000-0000-000070660000}"/>
    <cellStyle name="Comma 2 4 2 5" xfId="17158" xr:uid="{00000000-0005-0000-0000-000071660000}"/>
    <cellStyle name="Comma 2 4 2 5 2" xfId="21622" xr:uid="{00000000-0005-0000-0000-000072660000}"/>
    <cellStyle name="Comma 2 4 2 5 2 2" xfId="31990" xr:uid="{00000000-0005-0000-0000-000073660000}"/>
    <cellStyle name="Comma 2 4 2 5 2 2 2" xfId="51179" xr:uid="{00000000-0005-0000-0000-000074660000}"/>
    <cellStyle name="Comma 2 4 2 5 2 3" xfId="41481" xr:uid="{00000000-0005-0000-0000-000075660000}"/>
    <cellStyle name="Comma 2 4 2 5 3" xfId="27535" xr:uid="{00000000-0005-0000-0000-000076660000}"/>
    <cellStyle name="Comma 2 4 2 5 3 2" xfId="46724" xr:uid="{00000000-0005-0000-0000-000077660000}"/>
    <cellStyle name="Comma 2 4 2 5 4" xfId="37026" xr:uid="{00000000-0005-0000-0000-000078660000}"/>
    <cellStyle name="Comma 2 4 2 6" xfId="17724" xr:uid="{00000000-0005-0000-0000-000079660000}"/>
    <cellStyle name="Comma 2 4 2 6 2" xfId="22179" xr:uid="{00000000-0005-0000-0000-00007A660000}"/>
    <cellStyle name="Comma 2 4 2 6 2 2" xfId="32547" xr:uid="{00000000-0005-0000-0000-00007B660000}"/>
    <cellStyle name="Comma 2 4 2 6 2 2 2" xfId="51736" xr:uid="{00000000-0005-0000-0000-00007C660000}"/>
    <cellStyle name="Comma 2 4 2 6 2 3" xfId="42038" xr:uid="{00000000-0005-0000-0000-00007D660000}"/>
    <cellStyle name="Comma 2 4 2 6 3" xfId="28092" xr:uid="{00000000-0005-0000-0000-00007E660000}"/>
    <cellStyle name="Comma 2 4 2 6 3 2" xfId="47281" xr:uid="{00000000-0005-0000-0000-00007F660000}"/>
    <cellStyle name="Comma 2 4 2 6 4" xfId="37583" xr:uid="{00000000-0005-0000-0000-000080660000}"/>
    <cellStyle name="Comma 2 4 2 7" xfId="18281" xr:uid="{00000000-0005-0000-0000-000081660000}"/>
    <cellStyle name="Comma 2 4 2 7 2" xfId="28649" xr:uid="{00000000-0005-0000-0000-000082660000}"/>
    <cellStyle name="Comma 2 4 2 7 2 2" xfId="47838" xr:uid="{00000000-0005-0000-0000-000083660000}"/>
    <cellStyle name="Comma 2 4 2 7 3" xfId="38140" xr:uid="{00000000-0005-0000-0000-000084660000}"/>
    <cellStyle name="Comma 2 4 2 8" xfId="24185" xr:uid="{00000000-0005-0000-0000-000085660000}"/>
    <cellStyle name="Comma 2 4 2 8 2" xfId="43383" xr:uid="{00000000-0005-0000-0000-000086660000}"/>
    <cellStyle name="Comma 2 4 2 9" xfId="33685" xr:uid="{00000000-0005-0000-0000-000087660000}"/>
    <cellStyle name="Comma 2 4 3" xfId="2326" xr:uid="{00000000-0005-0000-0000-000088660000}"/>
    <cellStyle name="Comma 2 4 3 2" xfId="10574" xr:uid="{00000000-0005-0000-0000-000089660000}"/>
    <cellStyle name="Comma 2 4 3 2 2" xfId="51877" xr:uid="{00000000-0005-0000-0000-00008A660000}"/>
    <cellStyle name="Comma 2 4 3 2 3" xfId="53809" xr:uid="{00000000-0005-0000-0000-00008B660000}"/>
    <cellStyle name="Comma 2 4 3 2 4" xfId="32690" xr:uid="{00000000-0005-0000-0000-00008C660000}"/>
    <cellStyle name="Comma 2 4 3 3" xfId="7674" xr:uid="{00000000-0005-0000-0000-00008D660000}"/>
    <cellStyle name="Comma 2 4 3 3 2" xfId="42179" xr:uid="{00000000-0005-0000-0000-00008E660000}"/>
    <cellStyle name="Comma 2 4 3 4" xfId="52934" xr:uid="{00000000-0005-0000-0000-00008F660000}"/>
    <cellStyle name="Comma 2 4 3 5" xfId="22595" xr:uid="{00000000-0005-0000-0000-000090660000}"/>
    <cellStyle name="Comma 2 4 4" xfId="2324" xr:uid="{00000000-0005-0000-0000-000091660000}"/>
    <cellStyle name="Comma 2 4 4 2" xfId="9134" xr:uid="{00000000-0005-0000-0000-000092660000}"/>
    <cellStyle name="Comma 2 4 4 2 2" xfId="53413" xr:uid="{00000000-0005-0000-0000-000093660000}"/>
    <cellStyle name="Comma 2 4 4 3" xfId="23389" xr:uid="{00000000-0005-0000-0000-000094660000}"/>
    <cellStyle name="Comma 2 4 5" xfId="6148" xr:uid="{00000000-0005-0000-0000-000095660000}"/>
    <cellStyle name="Comma 2 4 5 2" xfId="42532" xr:uid="{00000000-0005-0000-0000-000096660000}"/>
    <cellStyle name="Comma 2 4 5 3" xfId="22963" xr:uid="{00000000-0005-0000-0000-000097660000}"/>
    <cellStyle name="Comma 2 4 6" xfId="12362" xr:uid="{00000000-0005-0000-0000-000098660000}"/>
    <cellStyle name="Comma 2 4 7" xfId="52521" xr:uid="{00000000-0005-0000-0000-000099660000}"/>
    <cellStyle name="Comma 2 4 8" xfId="12036" xr:uid="{00000000-0005-0000-0000-00009A660000}"/>
    <cellStyle name="Comma 2 5" xfId="479" xr:uid="{00000000-0005-0000-0000-00009B660000}"/>
    <cellStyle name="Comma 2 5 2" xfId="2328" xr:uid="{00000000-0005-0000-0000-00009C660000}"/>
    <cellStyle name="Comma 2 5 2 2" xfId="2329" xr:uid="{00000000-0005-0000-0000-00009D660000}"/>
    <cellStyle name="Comma 2 5 2 2 2" xfId="2330" xr:uid="{00000000-0005-0000-0000-00009E660000}"/>
    <cellStyle name="Comma 2 5 2 2 2 2" xfId="2331" xr:uid="{00000000-0005-0000-0000-00009F660000}"/>
    <cellStyle name="Comma 2 5 2 2 2 3" xfId="54038" xr:uid="{00000000-0005-0000-0000-0000A0660000}"/>
    <cellStyle name="Comma 2 5 2 2 3" xfId="2332" xr:uid="{00000000-0005-0000-0000-0000A1660000}"/>
    <cellStyle name="Comma 2 5 2 2 4" xfId="53185" xr:uid="{00000000-0005-0000-0000-0000A2660000}"/>
    <cellStyle name="Comma 2 5 2 3" xfId="2333" xr:uid="{00000000-0005-0000-0000-0000A3660000}"/>
    <cellStyle name="Comma 2 5 2 3 2" xfId="2334" xr:uid="{00000000-0005-0000-0000-0000A4660000}"/>
    <cellStyle name="Comma 2 5 2 3 3" xfId="53642" xr:uid="{00000000-0005-0000-0000-0000A5660000}"/>
    <cellStyle name="Comma 2 5 2 4" xfId="2335" xr:uid="{00000000-0005-0000-0000-0000A6660000}"/>
    <cellStyle name="Comma 2 5 2 4 2" xfId="52757" xr:uid="{00000000-0005-0000-0000-0000A7660000}"/>
    <cellStyle name="Comma 2 5 2 5" xfId="13683" xr:uid="{00000000-0005-0000-0000-0000A8660000}"/>
    <cellStyle name="Comma 2 5 3" xfId="2336" xr:uid="{00000000-0005-0000-0000-0000A9660000}"/>
    <cellStyle name="Comma 2 5 3 2" xfId="2337" xr:uid="{00000000-0005-0000-0000-0000AA660000}"/>
    <cellStyle name="Comma 2 5 3 2 2" xfId="2338" xr:uid="{00000000-0005-0000-0000-0000AB660000}"/>
    <cellStyle name="Comma 2 5 3 2 2 2" xfId="2339" xr:uid="{00000000-0005-0000-0000-0000AC660000}"/>
    <cellStyle name="Comma 2 5 3 2 2 3" xfId="52147" xr:uid="{00000000-0005-0000-0000-0000AD660000}"/>
    <cellStyle name="Comma 2 5 3 2 3" xfId="2340" xr:uid="{00000000-0005-0000-0000-0000AE660000}"/>
    <cellStyle name="Comma 2 5 3 2 3 2" xfId="53842" xr:uid="{00000000-0005-0000-0000-0000AF660000}"/>
    <cellStyle name="Comma 2 5 3 2 4" xfId="32961" xr:uid="{00000000-0005-0000-0000-0000B0660000}"/>
    <cellStyle name="Comma 2 5 3 3" xfId="2341" xr:uid="{00000000-0005-0000-0000-0000B1660000}"/>
    <cellStyle name="Comma 2 5 3 3 2" xfId="2342" xr:uid="{00000000-0005-0000-0000-0000B2660000}"/>
    <cellStyle name="Comma 2 5 3 3 3" xfId="42449" xr:uid="{00000000-0005-0000-0000-0000B3660000}"/>
    <cellStyle name="Comma 2 5 3 4" xfId="2343" xr:uid="{00000000-0005-0000-0000-0000B4660000}"/>
    <cellStyle name="Comma 2 5 3 4 2" xfId="52967" xr:uid="{00000000-0005-0000-0000-0000B5660000}"/>
    <cellStyle name="Comma 2 5 3 5" xfId="22877" xr:uid="{00000000-0005-0000-0000-0000B6660000}"/>
    <cellStyle name="Comma 2 5 4" xfId="2344" xr:uid="{00000000-0005-0000-0000-0000B7660000}"/>
    <cellStyle name="Comma 2 5 4 2" xfId="2345" xr:uid="{00000000-0005-0000-0000-0000B8660000}"/>
    <cellStyle name="Comma 2 5 4 2 2" xfId="2346" xr:uid="{00000000-0005-0000-0000-0000B9660000}"/>
    <cellStyle name="Comma 2 5 4 2 3" xfId="53446" xr:uid="{00000000-0005-0000-0000-0000BA660000}"/>
    <cellStyle name="Comma 2 5 4 3" xfId="2347" xr:uid="{00000000-0005-0000-0000-0000BB660000}"/>
    <cellStyle name="Comma 2 5 4 4" xfId="23390" xr:uid="{00000000-0005-0000-0000-0000BC660000}"/>
    <cellStyle name="Comma 2 5 5" xfId="2348" xr:uid="{00000000-0005-0000-0000-0000BD660000}"/>
    <cellStyle name="Comma 2 5 5 2" xfId="2349" xr:uid="{00000000-0005-0000-0000-0000BE660000}"/>
    <cellStyle name="Comma 2 5 5 2 2" xfId="42802" xr:uid="{00000000-0005-0000-0000-0000BF660000}"/>
    <cellStyle name="Comma 2 5 5 3" xfId="23234" xr:uid="{00000000-0005-0000-0000-0000C0660000}"/>
    <cellStyle name="Comma 2 5 6" xfId="2350" xr:uid="{00000000-0005-0000-0000-0000C1660000}"/>
    <cellStyle name="Comma 2 5 6 2" xfId="12363" xr:uid="{00000000-0005-0000-0000-0000C2660000}"/>
    <cellStyle name="Comma 2 5 7" xfId="2327" xr:uid="{00000000-0005-0000-0000-0000C3660000}"/>
    <cellStyle name="Comma 2 5 7 2" xfId="52557" xr:uid="{00000000-0005-0000-0000-0000C4660000}"/>
    <cellStyle name="Comma 2 5 8" xfId="12033" xr:uid="{00000000-0005-0000-0000-0000C5660000}"/>
    <cellStyle name="Comma 2 6" xfId="2351" xr:uid="{00000000-0005-0000-0000-0000C6660000}"/>
    <cellStyle name="Comma 2 6 2" xfId="2352" xr:uid="{00000000-0005-0000-0000-0000C7660000}"/>
    <cellStyle name="Comma 2 6 2 2" xfId="2353" xr:uid="{00000000-0005-0000-0000-0000C8660000}"/>
    <cellStyle name="Comma 2 6 2 2 2" xfId="2354" xr:uid="{00000000-0005-0000-0000-0000C9660000}"/>
    <cellStyle name="Comma 2 6 2 2 2 2" xfId="54070" xr:uid="{00000000-0005-0000-0000-0000CA660000}"/>
    <cellStyle name="Comma 2 6 2 2 3" xfId="53217" xr:uid="{00000000-0005-0000-0000-0000CB660000}"/>
    <cellStyle name="Comma 2 6 2 3" xfId="2355" xr:uid="{00000000-0005-0000-0000-0000CC660000}"/>
    <cellStyle name="Comma 2 6 2 3 2" xfId="53674" xr:uid="{00000000-0005-0000-0000-0000CD660000}"/>
    <cellStyle name="Comma 2 6 2 4" xfId="52789" xr:uid="{00000000-0005-0000-0000-0000CE660000}"/>
    <cellStyle name="Comma 2 6 2 5" xfId="13723" xr:uid="{00000000-0005-0000-0000-0000CF660000}"/>
    <cellStyle name="Comma 2 6 3" xfId="2356" xr:uid="{00000000-0005-0000-0000-0000D0660000}"/>
    <cellStyle name="Comma 2 6 3 2" xfId="2357" xr:uid="{00000000-0005-0000-0000-0000D1660000}"/>
    <cellStyle name="Comma 2 6 3 2 2" xfId="53874" xr:uid="{00000000-0005-0000-0000-0000D2660000}"/>
    <cellStyle name="Comma 2 6 3 3" xfId="52999" xr:uid="{00000000-0005-0000-0000-0000D3660000}"/>
    <cellStyle name="Comma 2 6 4" xfId="2358" xr:uid="{00000000-0005-0000-0000-0000D4660000}"/>
    <cellStyle name="Comma 2 6 4 2" xfId="53478" xr:uid="{00000000-0005-0000-0000-0000D5660000}"/>
    <cellStyle name="Comma 2 6 5" xfId="52589" xr:uid="{00000000-0005-0000-0000-0000D6660000}"/>
    <cellStyle name="Comma 2 6 6" xfId="12364" xr:uid="{00000000-0005-0000-0000-0000D7660000}"/>
    <cellStyle name="Comma 2 7" xfId="2359" xr:uid="{00000000-0005-0000-0000-0000D8660000}"/>
    <cellStyle name="Comma 2 7 10" xfId="52626" xr:uid="{00000000-0005-0000-0000-0000D9660000}"/>
    <cellStyle name="Comma 2 7 11" xfId="12621" xr:uid="{00000000-0005-0000-0000-0000DA660000}"/>
    <cellStyle name="Comma 2 7 2" xfId="2360" xr:uid="{00000000-0005-0000-0000-0000DB660000}"/>
    <cellStyle name="Comma 2 7 2 2" xfId="2361" xr:uid="{00000000-0005-0000-0000-0000DC660000}"/>
    <cellStyle name="Comma 2 7 2 2 2" xfId="2362" xr:uid="{00000000-0005-0000-0000-0000DD660000}"/>
    <cellStyle name="Comma 2 7 2 2 2 2" xfId="30897" xr:uid="{00000000-0005-0000-0000-0000DE660000}"/>
    <cellStyle name="Comma 2 7 2 2 2 2 2" xfId="50086" xr:uid="{00000000-0005-0000-0000-0000DF660000}"/>
    <cellStyle name="Comma 2 7 2 2 2 3" xfId="40388" xr:uid="{00000000-0005-0000-0000-0000E0660000}"/>
    <cellStyle name="Comma 2 7 2 2 2 4" xfId="54103" xr:uid="{00000000-0005-0000-0000-0000E1660000}"/>
    <cellStyle name="Comma 2 7 2 2 2 5" xfId="20529" xr:uid="{00000000-0005-0000-0000-0000E2660000}"/>
    <cellStyle name="Comma 2 7 2 2 3" xfId="26442" xr:uid="{00000000-0005-0000-0000-0000E3660000}"/>
    <cellStyle name="Comma 2 7 2 2 3 2" xfId="45631" xr:uid="{00000000-0005-0000-0000-0000E4660000}"/>
    <cellStyle name="Comma 2 7 2 2 4" xfId="35933" xr:uid="{00000000-0005-0000-0000-0000E5660000}"/>
    <cellStyle name="Comma 2 7 2 2 5" xfId="53250" xr:uid="{00000000-0005-0000-0000-0000E6660000}"/>
    <cellStyle name="Comma 2 7 2 2 6" xfId="16065" xr:uid="{00000000-0005-0000-0000-0000E7660000}"/>
    <cellStyle name="Comma 2 7 2 3" xfId="2363" xr:uid="{00000000-0005-0000-0000-0000E8660000}"/>
    <cellStyle name="Comma 2 7 2 3 2" xfId="28669" xr:uid="{00000000-0005-0000-0000-0000E9660000}"/>
    <cellStyle name="Comma 2 7 2 3 2 2" xfId="47858" xr:uid="{00000000-0005-0000-0000-0000EA660000}"/>
    <cellStyle name="Comma 2 7 2 3 3" xfId="38160" xr:uid="{00000000-0005-0000-0000-0000EB660000}"/>
    <cellStyle name="Comma 2 7 2 3 4" xfId="53707" xr:uid="{00000000-0005-0000-0000-0000EC660000}"/>
    <cellStyle name="Comma 2 7 2 3 5" xfId="18301" xr:uid="{00000000-0005-0000-0000-0000ED660000}"/>
    <cellStyle name="Comma 2 7 2 4" xfId="24209" xr:uid="{00000000-0005-0000-0000-0000EE660000}"/>
    <cellStyle name="Comma 2 7 2 4 2" xfId="43403" xr:uid="{00000000-0005-0000-0000-0000EF660000}"/>
    <cellStyle name="Comma 2 7 2 5" xfId="33705" xr:uid="{00000000-0005-0000-0000-0000F0660000}"/>
    <cellStyle name="Comma 2 7 2 6" xfId="52822" xr:uid="{00000000-0005-0000-0000-0000F1660000}"/>
    <cellStyle name="Comma 2 7 2 7" xfId="13801" xr:uid="{00000000-0005-0000-0000-0000F2660000}"/>
    <cellStyle name="Comma 2 7 3" xfId="2364" xr:uid="{00000000-0005-0000-0000-0000F3660000}"/>
    <cellStyle name="Comma 2 7 3 2" xfId="2365" xr:uid="{00000000-0005-0000-0000-0000F4660000}"/>
    <cellStyle name="Comma 2 7 3 2 2" xfId="19973" xr:uid="{00000000-0005-0000-0000-0000F5660000}"/>
    <cellStyle name="Comma 2 7 3 2 2 2" xfId="30341" xr:uid="{00000000-0005-0000-0000-0000F6660000}"/>
    <cellStyle name="Comma 2 7 3 2 2 2 2" xfId="49530" xr:uid="{00000000-0005-0000-0000-0000F7660000}"/>
    <cellStyle name="Comma 2 7 3 2 2 3" xfId="39832" xr:uid="{00000000-0005-0000-0000-0000F8660000}"/>
    <cellStyle name="Comma 2 7 3 2 3" xfId="25886" xr:uid="{00000000-0005-0000-0000-0000F9660000}"/>
    <cellStyle name="Comma 2 7 3 2 3 2" xfId="45075" xr:uid="{00000000-0005-0000-0000-0000FA660000}"/>
    <cellStyle name="Comma 2 7 3 2 4" xfId="35377" xr:uid="{00000000-0005-0000-0000-0000FB660000}"/>
    <cellStyle name="Comma 2 7 3 2 5" xfId="53907" xr:uid="{00000000-0005-0000-0000-0000FC660000}"/>
    <cellStyle name="Comma 2 7 3 2 6" xfId="15509" xr:uid="{00000000-0005-0000-0000-0000FD660000}"/>
    <cellStyle name="Comma 2 7 3 3" xfId="18858" xr:uid="{00000000-0005-0000-0000-0000FE660000}"/>
    <cellStyle name="Comma 2 7 3 3 2" xfId="29226" xr:uid="{00000000-0005-0000-0000-0000FF660000}"/>
    <cellStyle name="Comma 2 7 3 3 2 2" xfId="48415" xr:uid="{00000000-0005-0000-0000-000000670000}"/>
    <cellStyle name="Comma 2 7 3 3 3" xfId="38717" xr:uid="{00000000-0005-0000-0000-000001670000}"/>
    <cellStyle name="Comma 2 7 3 4" xfId="24771" xr:uid="{00000000-0005-0000-0000-000002670000}"/>
    <cellStyle name="Comma 2 7 3 4 2" xfId="43960" xr:uid="{00000000-0005-0000-0000-000003670000}"/>
    <cellStyle name="Comma 2 7 3 5" xfId="34262" xr:uid="{00000000-0005-0000-0000-000004670000}"/>
    <cellStyle name="Comma 2 7 3 6" xfId="53032" xr:uid="{00000000-0005-0000-0000-000005670000}"/>
    <cellStyle name="Comma 2 7 3 7" xfId="14380" xr:uid="{00000000-0005-0000-0000-000006670000}"/>
    <cellStyle name="Comma 2 7 4" xfId="2366" xr:uid="{00000000-0005-0000-0000-000007670000}"/>
    <cellStyle name="Comma 2 7 4 2" xfId="19416" xr:uid="{00000000-0005-0000-0000-000008670000}"/>
    <cellStyle name="Comma 2 7 4 2 2" xfId="29784" xr:uid="{00000000-0005-0000-0000-000009670000}"/>
    <cellStyle name="Comma 2 7 4 2 2 2" xfId="48973" xr:uid="{00000000-0005-0000-0000-00000A670000}"/>
    <cellStyle name="Comma 2 7 4 2 3" xfId="39275" xr:uid="{00000000-0005-0000-0000-00000B670000}"/>
    <cellStyle name="Comma 2 7 4 3" xfId="25329" xr:uid="{00000000-0005-0000-0000-00000C670000}"/>
    <cellStyle name="Comma 2 7 4 3 2" xfId="44518" xr:uid="{00000000-0005-0000-0000-00000D670000}"/>
    <cellStyle name="Comma 2 7 4 4" xfId="34820" xr:uid="{00000000-0005-0000-0000-00000E670000}"/>
    <cellStyle name="Comma 2 7 4 5" xfId="53511" xr:uid="{00000000-0005-0000-0000-00000F670000}"/>
    <cellStyle name="Comma 2 7 4 6" xfId="14952" xr:uid="{00000000-0005-0000-0000-000010670000}"/>
    <cellStyle name="Comma 2 7 5" xfId="16622" xr:uid="{00000000-0005-0000-0000-000011670000}"/>
    <cellStyle name="Comma 2 7 5 2" xfId="21086" xr:uid="{00000000-0005-0000-0000-000012670000}"/>
    <cellStyle name="Comma 2 7 5 2 2" xfId="31454" xr:uid="{00000000-0005-0000-0000-000013670000}"/>
    <cellStyle name="Comma 2 7 5 2 2 2" xfId="50643" xr:uid="{00000000-0005-0000-0000-000014670000}"/>
    <cellStyle name="Comma 2 7 5 2 3" xfId="40945" xr:uid="{00000000-0005-0000-0000-000015670000}"/>
    <cellStyle name="Comma 2 7 5 3" xfId="26999" xr:uid="{00000000-0005-0000-0000-000016670000}"/>
    <cellStyle name="Comma 2 7 5 3 2" xfId="46188" xr:uid="{00000000-0005-0000-0000-000017670000}"/>
    <cellStyle name="Comma 2 7 5 4" xfId="36490" xr:uid="{00000000-0005-0000-0000-000018670000}"/>
    <cellStyle name="Comma 2 7 6" xfId="17188" xr:uid="{00000000-0005-0000-0000-000019670000}"/>
    <cellStyle name="Comma 2 7 6 2" xfId="21643" xr:uid="{00000000-0005-0000-0000-00001A670000}"/>
    <cellStyle name="Comma 2 7 6 2 2" xfId="32011" xr:uid="{00000000-0005-0000-0000-00001B670000}"/>
    <cellStyle name="Comma 2 7 6 2 2 2" xfId="51200" xr:uid="{00000000-0005-0000-0000-00001C670000}"/>
    <cellStyle name="Comma 2 7 6 2 3" xfId="41502" xr:uid="{00000000-0005-0000-0000-00001D670000}"/>
    <cellStyle name="Comma 2 7 6 3" xfId="27556" xr:uid="{00000000-0005-0000-0000-00001E670000}"/>
    <cellStyle name="Comma 2 7 6 3 2" xfId="46745" xr:uid="{00000000-0005-0000-0000-00001F670000}"/>
    <cellStyle name="Comma 2 7 6 4" xfId="37047" xr:uid="{00000000-0005-0000-0000-000020670000}"/>
    <cellStyle name="Comma 2 7 7" xfId="17745" xr:uid="{00000000-0005-0000-0000-000021670000}"/>
    <cellStyle name="Comma 2 7 7 2" xfId="28113" xr:uid="{00000000-0005-0000-0000-000022670000}"/>
    <cellStyle name="Comma 2 7 7 2 2" xfId="47302" xr:uid="{00000000-0005-0000-0000-000023670000}"/>
    <cellStyle name="Comma 2 7 7 3" xfId="37604" xr:uid="{00000000-0005-0000-0000-000024670000}"/>
    <cellStyle name="Comma 2 7 8" xfId="23519" xr:uid="{00000000-0005-0000-0000-000025670000}"/>
    <cellStyle name="Comma 2 7 8 2" xfId="42847" xr:uid="{00000000-0005-0000-0000-000026670000}"/>
    <cellStyle name="Comma 2 7 9" xfId="33149" xr:uid="{00000000-0005-0000-0000-000027670000}"/>
    <cellStyle name="Comma 2 8" xfId="2367" xr:uid="{00000000-0005-0000-0000-000028670000}"/>
    <cellStyle name="Comma 2 8 2" xfId="53100" xr:uid="{00000000-0005-0000-0000-000029670000}"/>
    <cellStyle name="Comma 2 8 2 2" xfId="53953" xr:uid="{00000000-0005-0000-0000-00002A670000}"/>
    <cellStyle name="Comma 2 8 3" xfId="53557" xr:uid="{00000000-0005-0000-0000-00002B670000}"/>
    <cellStyle name="Comma 2 8 4" xfId="52672" xr:uid="{00000000-0005-0000-0000-00002C670000}"/>
    <cellStyle name="Comma 2 8 5" xfId="12733" xr:uid="{00000000-0005-0000-0000-00002D670000}"/>
    <cellStyle name="Comma 2 9" xfId="2368" xr:uid="{00000000-0005-0000-0000-00002E670000}"/>
    <cellStyle name="Comma 2 9 10" xfId="52872" xr:uid="{00000000-0005-0000-0000-00002F670000}"/>
    <cellStyle name="Comma 2 9 11" xfId="12835" xr:uid="{00000000-0005-0000-0000-000030670000}"/>
    <cellStyle name="Comma 2 9 2" xfId="2369" xr:uid="{00000000-0005-0000-0000-000031670000}"/>
    <cellStyle name="Comma 2 9 2 2" xfId="2370" xr:uid="{00000000-0005-0000-0000-000032670000}"/>
    <cellStyle name="Comma 2 9 2 2 2" xfId="20557" xr:uid="{00000000-0005-0000-0000-000033670000}"/>
    <cellStyle name="Comma 2 9 2 2 2 2" xfId="30925" xr:uid="{00000000-0005-0000-0000-000034670000}"/>
    <cellStyle name="Comma 2 9 2 2 2 2 2" xfId="50114" xr:uid="{00000000-0005-0000-0000-000035670000}"/>
    <cellStyle name="Comma 2 9 2 2 2 3" xfId="40416" xr:uid="{00000000-0005-0000-0000-000036670000}"/>
    <cellStyle name="Comma 2 9 2 2 3" xfId="26470" xr:uid="{00000000-0005-0000-0000-000037670000}"/>
    <cellStyle name="Comma 2 9 2 2 3 2" xfId="45659" xr:uid="{00000000-0005-0000-0000-000038670000}"/>
    <cellStyle name="Comma 2 9 2 2 4" xfId="35961" xr:uid="{00000000-0005-0000-0000-000039670000}"/>
    <cellStyle name="Comma 2 9 2 2 5" xfId="16093" xr:uid="{00000000-0005-0000-0000-00003A670000}"/>
    <cellStyle name="Comma 2 9 2 3" xfId="18329" xr:uid="{00000000-0005-0000-0000-00003B670000}"/>
    <cellStyle name="Comma 2 9 2 3 2" xfId="28697" xr:uid="{00000000-0005-0000-0000-00003C670000}"/>
    <cellStyle name="Comma 2 9 2 3 2 2" xfId="47886" xr:uid="{00000000-0005-0000-0000-00003D670000}"/>
    <cellStyle name="Comma 2 9 2 3 3" xfId="38188" xr:uid="{00000000-0005-0000-0000-00003E670000}"/>
    <cellStyle name="Comma 2 9 2 4" xfId="24237" xr:uid="{00000000-0005-0000-0000-00003F670000}"/>
    <cellStyle name="Comma 2 9 2 4 2" xfId="43431" xr:uid="{00000000-0005-0000-0000-000040670000}"/>
    <cellStyle name="Comma 2 9 2 5" xfId="33733" xr:uid="{00000000-0005-0000-0000-000041670000}"/>
    <cellStyle name="Comma 2 9 2 6" xfId="53756" xr:uid="{00000000-0005-0000-0000-000042670000}"/>
    <cellStyle name="Comma 2 9 2 7" xfId="13829" xr:uid="{00000000-0005-0000-0000-000043670000}"/>
    <cellStyle name="Comma 2 9 3" xfId="2371" xr:uid="{00000000-0005-0000-0000-000044670000}"/>
    <cellStyle name="Comma 2 9 3 2" xfId="15537" xr:uid="{00000000-0005-0000-0000-000045670000}"/>
    <cellStyle name="Comma 2 9 3 2 2" xfId="20001" xr:uid="{00000000-0005-0000-0000-000046670000}"/>
    <cellStyle name="Comma 2 9 3 2 2 2" xfId="30369" xr:uid="{00000000-0005-0000-0000-000047670000}"/>
    <cellStyle name="Comma 2 9 3 2 2 2 2" xfId="49558" xr:uid="{00000000-0005-0000-0000-000048670000}"/>
    <cellStyle name="Comma 2 9 3 2 2 3" xfId="39860" xr:uid="{00000000-0005-0000-0000-000049670000}"/>
    <cellStyle name="Comma 2 9 3 2 3" xfId="25914" xr:uid="{00000000-0005-0000-0000-00004A670000}"/>
    <cellStyle name="Comma 2 9 3 2 3 2" xfId="45103" xr:uid="{00000000-0005-0000-0000-00004B670000}"/>
    <cellStyle name="Comma 2 9 3 2 4" xfId="35405" xr:uid="{00000000-0005-0000-0000-00004C670000}"/>
    <cellStyle name="Comma 2 9 3 3" xfId="18886" xr:uid="{00000000-0005-0000-0000-00004D670000}"/>
    <cellStyle name="Comma 2 9 3 3 2" xfId="29254" xr:uid="{00000000-0005-0000-0000-00004E670000}"/>
    <cellStyle name="Comma 2 9 3 3 2 2" xfId="48443" xr:uid="{00000000-0005-0000-0000-00004F670000}"/>
    <cellStyle name="Comma 2 9 3 3 3" xfId="38745" xr:uid="{00000000-0005-0000-0000-000050670000}"/>
    <cellStyle name="Comma 2 9 3 4" xfId="24799" xr:uid="{00000000-0005-0000-0000-000051670000}"/>
    <cellStyle name="Comma 2 9 3 4 2" xfId="43988" xr:uid="{00000000-0005-0000-0000-000052670000}"/>
    <cellStyle name="Comma 2 9 3 5" xfId="34290" xr:uid="{00000000-0005-0000-0000-000053670000}"/>
    <cellStyle name="Comma 2 9 3 6" xfId="14408" xr:uid="{00000000-0005-0000-0000-000054670000}"/>
    <cellStyle name="Comma 2 9 4" xfId="14980" xr:uid="{00000000-0005-0000-0000-000055670000}"/>
    <cellStyle name="Comma 2 9 4 2" xfId="19444" xr:uid="{00000000-0005-0000-0000-000056670000}"/>
    <cellStyle name="Comma 2 9 4 2 2" xfId="29812" xr:uid="{00000000-0005-0000-0000-000057670000}"/>
    <cellStyle name="Comma 2 9 4 2 2 2" xfId="49001" xr:uid="{00000000-0005-0000-0000-000058670000}"/>
    <cellStyle name="Comma 2 9 4 2 3" xfId="39303" xr:uid="{00000000-0005-0000-0000-000059670000}"/>
    <cellStyle name="Comma 2 9 4 3" xfId="25357" xr:uid="{00000000-0005-0000-0000-00005A670000}"/>
    <cellStyle name="Comma 2 9 4 3 2" xfId="44546" xr:uid="{00000000-0005-0000-0000-00005B670000}"/>
    <cellStyle name="Comma 2 9 4 4" xfId="34848" xr:uid="{00000000-0005-0000-0000-00005C670000}"/>
    <cellStyle name="Comma 2 9 5" xfId="16650" xr:uid="{00000000-0005-0000-0000-00005D670000}"/>
    <cellStyle name="Comma 2 9 5 2" xfId="21114" xr:uid="{00000000-0005-0000-0000-00005E670000}"/>
    <cellStyle name="Comma 2 9 5 2 2" xfId="31482" xr:uid="{00000000-0005-0000-0000-00005F670000}"/>
    <cellStyle name="Comma 2 9 5 2 2 2" xfId="50671" xr:uid="{00000000-0005-0000-0000-000060670000}"/>
    <cellStyle name="Comma 2 9 5 2 3" xfId="40973" xr:uid="{00000000-0005-0000-0000-000061670000}"/>
    <cellStyle name="Comma 2 9 5 3" xfId="27027" xr:uid="{00000000-0005-0000-0000-000062670000}"/>
    <cellStyle name="Comma 2 9 5 3 2" xfId="46216" xr:uid="{00000000-0005-0000-0000-000063670000}"/>
    <cellStyle name="Comma 2 9 5 4" xfId="36518" xr:uid="{00000000-0005-0000-0000-000064670000}"/>
    <cellStyle name="Comma 2 9 6" xfId="17216" xr:uid="{00000000-0005-0000-0000-000065670000}"/>
    <cellStyle name="Comma 2 9 6 2" xfId="21671" xr:uid="{00000000-0005-0000-0000-000066670000}"/>
    <cellStyle name="Comma 2 9 6 2 2" xfId="32039" xr:uid="{00000000-0005-0000-0000-000067670000}"/>
    <cellStyle name="Comma 2 9 6 2 2 2" xfId="51228" xr:uid="{00000000-0005-0000-0000-000068670000}"/>
    <cellStyle name="Comma 2 9 6 2 3" xfId="41530" xr:uid="{00000000-0005-0000-0000-000069670000}"/>
    <cellStyle name="Comma 2 9 6 3" xfId="27584" xr:uid="{00000000-0005-0000-0000-00006A670000}"/>
    <cellStyle name="Comma 2 9 6 3 2" xfId="46773" xr:uid="{00000000-0005-0000-0000-00006B670000}"/>
    <cellStyle name="Comma 2 9 6 4" xfId="37075" xr:uid="{00000000-0005-0000-0000-00006C670000}"/>
    <cellStyle name="Comma 2 9 7" xfId="17773" xr:uid="{00000000-0005-0000-0000-00006D670000}"/>
    <cellStyle name="Comma 2 9 7 2" xfId="28141" xr:uid="{00000000-0005-0000-0000-00006E670000}"/>
    <cellStyle name="Comma 2 9 7 2 2" xfId="47330" xr:uid="{00000000-0005-0000-0000-00006F670000}"/>
    <cellStyle name="Comma 2 9 7 3" xfId="37632" xr:uid="{00000000-0005-0000-0000-000070670000}"/>
    <cellStyle name="Comma 2 9 8" xfId="23623" xr:uid="{00000000-0005-0000-0000-000071670000}"/>
    <cellStyle name="Comma 2 9 8 2" xfId="42875" xr:uid="{00000000-0005-0000-0000-000072670000}"/>
    <cellStyle name="Comma 2 9 9" xfId="33177" xr:uid="{00000000-0005-0000-0000-000073670000}"/>
    <cellStyle name="Comma 2*" xfId="2372" xr:uid="{00000000-0005-0000-0000-000074670000}"/>
    <cellStyle name="Comma 20" xfId="52321" xr:uid="{00000000-0005-0000-0000-000075670000}"/>
    <cellStyle name="Comma 21" xfId="52372" xr:uid="{00000000-0005-0000-0000-000076670000}"/>
    <cellStyle name="Comma 22" xfId="52410" xr:uid="{00000000-0005-0000-0000-000077670000}"/>
    <cellStyle name="Comma 23" xfId="52416" xr:uid="{00000000-0005-0000-0000-000078670000}"/>
    <cellStyle name="Comma 24" xfId="11949" xr:uid="{00000000-0005-0000-0000-000079670000}"/>
    <cellStyle name="Comma 3" xfId="6" xr:uid="{00000000-0005-0000-0000-00007A670000}"/>
    <cellStyle name="Comma 3 10" xfId="2373" xr:uid="{00000000-0005-0000-0000-00007B670000}"/>
    <cellStyle name="Comma 3 10 2" xfId="54156" xr:uid="{00000000-0005-0000-0000-00007C670000}"/>
    <cellStyle name="Comma 3 10 3" xfId="53304" xr:uid="{00000000-0005-0000-0000-00007D670000}"/>
    <cellStyle name="Comma 3 10 4" xfId="12365" xr:uid="{00000000-0005-0000-0000-00007E670000}"/>
    <cellStyle name="Comma 3 11" xfId="23266" xr:uid="{00000000-0005-0000-0000-00007F670000}"/>
    <cellStyle name="Comma 3 11 2" xfId="42832" xr:uid="{00000000-0005-0000-0000-000080670000}"/>
    <cellStyle name="Comma 3 11 2 2" xfId="54189" xr:uid="{00000000-0005-0000-0000-000081670000}"/>
    <cellStyle name="Comma 3 11 3" xfId="53337" xr:uid="{00000000-0005-0000-0000-000082670000}"/>
    <cellStyle name="Comma 3 12" xfId="33006" xr:uid="{00000000-0005-0000-0000-000083670000}"/>
    <cellStyle name="Comma 3 12 2" xfId="52192" xr:uid="{00000000-0005-0000-0000-000084670000}"/>
    <cellStyle name="Comma 3 12 3" xfId="53364" xr:uid="{00000000-0005-0000-0000-000085670000}"/>
    <cellStyle name="Comma 3 13" xfId="33103" xr:uid="{00000000-0005-0000-0000-000086670000}"/>
    <cellStyle name="Comma 3 14" xfId="52286" xr:uid="{00000000-0005-0000-0000-000087670000}"/>
    <cellStyle name="Comma 3 15" xfId="52343" xr:uid="{00000000-0005-0000-0000-000088670000}"/>
    <cellStyle name="Comma 3 16" xfId="52391" xr:uid="{00000000-0005-0000-0000-000089670000}"/>
    <cellStyle name="Comma 3 17" xfId="12116" xr:uid="{00000000-0005-0000-0000-00008A670000}"/>
    <cellStyle name="Comma 3 18" xfId="52432" xr:uid="{00000000-0005-0000-0000-00008B670000}"/>
    <cellStyle name="Comma 3 19" xfId="52462" xr:uid="{00000000-0005-0000-0000-00008C670000}"/>
    <cellStyle name="Comma 3 2" xfId="480" xr:uid="{00000000-0005-0000-0000-00008D670000}"/>
    <cellStyle name="Comma 3 2 10" xfId="53344" xr:uid="{00000000-0005-0000-0000-00008E670000}"/>
    <cellStyle name="Comma 3 2 10 2" xfId="54196" xr:uid="{00000000-0005-0000-0000-00008F670000}"/>
    <cellStyle name="Comma 3 2 11" xfId="53371" xr:uid="{00000000-0005-0000-0000-000090670000}"/>
    <cellStyle name="Comma 3 2 12" xfId="52469" xr:uid="{00000000-0005-0000-0000-000091670000}"/>
    <cellStyle name="Comma 3 2 13" xfId="11982" xr:uid="{00000000-0005-0000-0000-000092670000}"/>
    <cellStyle name="Comma 3 2 2" xfId="481" xr:uid="{00000000-0005-0000-0000-000093670000}"/>
    <cellStyle name="Comma 3 2 2 2" xfId="2375" xr:uid="{00000000-0005-0000-0000-000094670000}"/>
    <cellStyle name="Comma 3 2 2 2 2" xfId="6863" xr:uid="{00000000-0005-0000-0000-000095670000}"/>
    <cellStyle name="Comma 3 2 2 2 2 2" xfId="8341" xr:uid="{00000000-0005-0000-0000-000096670000}"/>
    <cellStyle name="Comma 3 2 2 2 2 2 2" xfId="11238" xr:uid="{00000000-0005-0000-0000-000097670000}"/>
    <cellStyle name="Comma 3 2 2 2 2 2 2 2" xfId="53998" xr:uid="{00000000-0005-0000-0000-000098670000}"/>
    <cellStyle name="Comma 3 2 2 2 2 2 3" xfId="51883" xr:uid="{00000000-0005-0000-0000-000099670000}"/>
    <cellStyle name="Comma 3 2 2 2 2 3" xfId="9798" xr:uid="{00000000-0005-0000-0000-00009A670000}"/>
    <cellStyle name="Comma 3 2 2 2 2 3 2" xfId="53145" xr:uid="{00000000-0005-0000-0000-00009B670000}"/>
    <cellStyle name="Comma 3 2 2 2 2 4" xfId="32696" xr:uid="{00000000-0005-0000-0000-00009C670000}"/>
    <cellStyle name="Comma 3 2 2 2 3" xfId="7582" xr:uid="{00000000-0005-0000-0000-00009D670000}"/>
    <cellStyle name="Comma 3 2 2 2 3 2" xfId="9040" xr:uid="{00000000-0005-0000-0000-00009E670000}"/>
    <cellStyle name="Comma 3 2 2 2 3 2 2" xfId="11937" xr:uid="{00000000-0005-0000-0000-00009F670000}"/>
    <cellStyle name="Comma 3 2 2 2 3 2 3" xfId="53602" xr:uid="{00000000-0005-0000-0000-0000A0670000}"/>
    <cellStyle name="Comma 3 2 2 2 3 3" xfId="10497" xr:uid="{00000000-0005-0000-0000-0000A1670000}"/>
    <cellStyle name="Comma 3 2 2 2 3 4" xfId="42185" xr:uid="{00000000-0005-0000-0000-0000A2670000}"/>
    <cellStyle name="Comma 3 2 2 2 4" xfId="7589" xr:uid="{00000000-0005-0000-0000-0000A3670000}"/>
    <cellStyle name="Comma 3 2 2 2 4 2" xfId="10501" xr:uid="{00000000-0005-0000-0000-0000A4670000}"/>
    <cellStyle name="Comma 3 2 2 2 4 3" xfId="52717" xr:uid="{00000000-0005-0000-0000-0000A5670000}"/>
    <cellStyle name="Comma 3 2 2 2 5" xfId="9054" xr:uid="{00000000-0005-0000-0000-0000A6670000}"/>
    <cellStyle name="Comma 3 2 2 2 5 2" xfId="11941" xr:uid="{00000000-0005-0000-0000-0000A7670000}"/>
    <cellStyle name="Comma 3 2 2 2 6" xfId="9059" xr:uid="{00000000-0005-0000-0000-0000A8670000}"/>
    <cellStyle name="Comma 3 2 2 2 7" xfId="6049" xr:uid="{00000000-0005-0000-0000-0000A9670000}"/>
    <cellStyle name="Comma 3 2 2 2 8" xfId="22601" xr:uid="{00000000-0005-0000-0000-0000AA670000}"/>
    <cellStyle name="Comma 3 2 2 3" xfId="7680" xr:uid="{00000000-0005-0000-0000-0000AB670000}"/>
    <cellStyle name="Comma 3 2 2 3 2" xfId="10580" xr:uid="{00000000-0005-0000-0000-0000AC670000}"/>
    <cellStyle name="Comma 3 2 2 3 2 2" xfId="53802" xr:uid="{00000000-0005-0000-0000-0000AD670000}"/>
    <cellStyle name="Comma 3 2 2 3 3" xfId="52927" xr:uid="{00000000-0005-0000-0000-0000AE670000}"/>
    <cellStyle name="Comma 3 2 2 3 4" xfId="23577" xr:uid="{00000000-0005-0000-0000-0000AF670000}"/>
    <cellStyle name="Comma 3 2 2 4" xfId="9140" xr:uid="{00000000-0005-0000-0000-0000B0670000}"/>
    <cellStyle name="Comma 3 2 2 4 2" xfId="42538" xr:uid="{00000000-0005-0000-0000-0000B1670000}"/>
    <cellStyle name="Comma 3 2 2 4 3" xfId="53406" xr:uid="{00000000-0005-0000-0000-0000B2670000}"/>
    <cellStyle name="Comma 3 2 2 4 4" xfId="22969" xr:uid="{00000000-0005-0000-0000-0000B3670000}"/>
    <cellStyle name="Comma 3 2 2 5" xfId="6155" xr:uid="{00000000-0005-0000-0000-0000B4670000}"/>
    <cellStyle name="Comma 3 2 2 5 2" xfId="12736" xr:uid="{00000000-0005-0000-0000-0000B5670000}"/>
    <cellStyle name="Comma 3 2 2 6" xfId="52513" xr:uid="{00000000-0005-0000-0000-0000B6670000}"/>
    <cellStyle name="Comma 3 2 2 7" xfId="12039" xr:uid="{00000000-0005-0000-0000-0000B7670000}"/>
    <cellStyle name="Comma 3 2 3" xfId="482" xr:uid="{00000000-0005-0000-0000-0000B8670000}"/>
    <cellStyle name="Comma 3 2 3 2" xfId="7580" xr:uid="{00000000-0005-0000-0000-0000B9670000}"/>
    <cellStyle name="Comma 3 2 3 2 2" xfId="9038" xr:uid="{00000000-0005-0000-0000-0000BA670000}"/>
    <cellStyle name="Comma 3 2 3 2 2 2" xfId="11935" xr:uid="{00000000-0005-0000-0000-0000BB670000}"/>
    <cellStyle name="Comma 3 2 3 2 2 2 2" xfId="54034" xr:uid="{00000000-0005-0000-0000-0000BC670000}"/>
    <cellStyle name="Comma 3 2 3 2 2 2 3" xfId="52157" xr:uid="{00000000-0005-0000-0000-0000BD670000}"/>
    <cellStyle name="Comma 3 2 3 2 2 3" xfId="53181" xr:uid="{00000000-0005-0000-0000-0000BE670000}"/>
    <cellStyle name="Comma 3 2 3 2 2 4" xfId="32971" xr:uid="{00000000-0005-0000-0000-0000BF670000}"/>
    <cellStyle name="Comma 3 2 3 2 3" xfId="10495" xr:uid="{00000000-0005-0000-0000-0000C0670000}"/>
    <cellStyle name="Comma 3 2 3 2 3 2" xfId="53638" xr:uid="{00000000-0005-0000-0000-0000C1670000}"/>
    <cellStyle name="Comma 3 2 3 2 3 3" xfId="42459" xr:uid="{00000000-0005-0000-0000-0000C2670000}"/>
    <cellStyle name="Comma 3 2 3 2 4" xfId="52753" xr:uid="{00000000-0005-0000-0000-0000C3670000}"/>
    <cellStyle name="Comma 3 2 3 2 5" xfId="22887" xr:uid="{00000000-0005-0000-0000-0000C4670000}"/>
    <cellStyle name="Comma 3 2 3 3" xfId="7587" xr:uid="{00000000-0005-0000-0000-0000C5670000}"/>
    <cellStyle name="Comma 3 2 3 3 2" xfId="10499" xr:uid="{00000000-0005-0000-0000-0000C6670000}"/>
    <cellStyle name="Comma 3 2 3 3 2 2" xfId="53838" xr:uid="{00000000-0005-0000-0000-0000C7670000}"/>
    <cellStyle name="Comma 3 2 3 3 2 3" xfId="51777" xr:uid="{00000000-0005-0000-0000-0000C8670000}"/>
    <cellStyle name="Comma 3 2 3 3 3" xfId="52963" xr:uid="{00000000-0005-0000-0000-0000C9670000}"/>
    <cellStyle name="Comma 3 2 3 3 4" xfId="32589" xr:uid="{00000000-0005-0000-0000-0000CA670000}"/>
    <cellStyle name="Comma 3 2 3 4" xfId="9052" xr:uid="{00000000-0005-0000-0000-0000CB670000}"/>
    <cellStyle name="Comma 3 2 3 4 2" xfId="11939" xr:uid="{00000000-0005-0000-0000-0000CC670000}"/>
    <cellStyle name="Comma 3 2 3 4 2 2" xfId="42812" xr:uid="{00000000-0005-0000-0000-0000CD670000}"/>
    <cellStyle name="Comma 3 2 3 4 3" xfId="53442" xr:uid="{00000000-0005-0000-0000-0000CE670000}"/>
    <cellStyle name="Comma 3 2 3 4 4" xfId="23244" xr:uid="{00000000-0005-0000-0000-0000CF670000}"/>
    <cellStyle name="Comma 3 2 3 5" xfId="9057" xr:uid="{00000000-0005-0000-0000-0000D0670000}"/>
    <cellStyle name="Comma 3 2 3 5 2" xfId="42079" xr:uid="{00000000-0005-0000-0000-0000D1670000}"/>
    <cellStyle name="Comma 3 2 3 6" xfId="6047" xr:uid="{00000000-0005-0000-0000-0000D2670000}"/>
    <cellStyle name="Comma 3 2 3 6 2" xfId="22230" xr:uid="{00000000-0005-0000-0000-0000D3670000}"/>
    <cellStyle name="Comma 3 2 3 7" xfId="52552" xr:uid="{00000000-0005-0000-0000-0000D4670000}"/>
    <cellStyle name="Comma 3 2 3 8" xfId="12040" xr:uid="{00000000-0005-0000-0000-0000D5670000}"/>
    <cellStyle name="Comma 3 2 4" xfId="1502" xr:uid="{00000000-0005-0000-0000-0000D6670000}"/>
    <cellStyle name="Comma 3 2 4 2" xfId="32616" xr:uid="{00000000-0005-0000-0000-0000D7670000}"/>
    <cellStyle name="Comma 3 2 4 2 2" xfId="51804" xr:uid="{00000000-0005-0000-0000-0000D8670000}"/>
    <cellStyle name="Comma 3 2 4 2 2 2" xfId="54065" xr:uid="{00000000-0005-0000-0000-0000D9670000}"/>
    <cellStyle name="Comma 3 2 4 2 2 3" xfId="53212" xr:uid="{00000000-0005-0000-0000-0000DA670000}"/>
    <cellStyle name="Comma 3 2 4 2 3" xfId="53669" xr:uid="{00000000-0005-0000-0000-0000DB670000}"/>
    <cellStyle name="Comma 3 2 4 2 4" xfId="52784" xr:uid="{00000000-0005-0000-0000-0000DC670000}"/>
    <cellStyle name="Comma 3 2 4 3" xfId="42106" xr:uid="{00000000-0005-0000-0000-0000DD670000}"/>
    <cellStyle name="Comma 3 2 4 3 2" xfId="53869" xr:uid="{00000000-0005-0000-0000-0000DE670000}"/>
    <cellStyle name="Comma 3 2 4 3 3" xfId="52994" xr:uid="{00000000-0005-0000-0000-0000DF670000}"/>
    <cellStyle name="Comma 3 2 4 4" xfId="22260" xr:uid="{00000000-0005-0000-0000-0000E0670000}"/>
    <cellStyle name="Comma 3 2 4 4 2" xfId="53473" xr:uid="{00000000-0005-0000-0000-0000E1670000}"/>
    <cellStyle name="Comma 3 2 4 5" xfId="52584" xr:uid="{00000000-0005-0000-0000-0000E2670000}"/>
    <cellStyle name="Comma 3 2 4 6" xfId="12041" xr:uid="{00000000-0005-0000-0000-0000E3670000}"/>
    <cellStyle name="Comma 3 2 5" xfId="2374" xr:uid="{00000000-0005-0000-0000-0000E4670000}"/>
    <cellStyle name="Comma 3 2 5 2" xfId="12366" xr:uid="{00000000-0005-0000-0000-0000E5670000}"/>
    <cellStyle name="Comma 3 2 5 2 2" xfId="53246" xr:uid="{00000000-0005-0000-0000-0000E6670000}"/>
    <cellStyle name="Comma 3 2 5 2 2 2" xfId="54099" xr:uid="{00000000-0005-0000-0000-0000E7670000}"/>
    <cellStyle name="Comma 3 2 5 2 3" xfId="53703" xr:uid="{00000000-0005-0000-0000-0000E8670000}"/>
    <cellStyle name="Comma 3 2 5 2 4" xfId="52818" xr:uid="{00000000-0005-0000-0000-0000E9670000}"/>
    <cellStyle name="Comma 3 2 5 3" xfId="53028" xr:uid="{00000000-0005-0000-0000-0000EA670000}"/>
    <cellStyle name="Comma 3 2 5 3 2" xfId="53903" xr:uid="{00000000-0005-0000-0000-0000EB670000}"/>
    <cellStyle name="Comma 3 2 5 4" xfId="53507" xr:uid="{00000000-0005-0000-0000-0000EC670000}"/>
    <cellStyle name="Comma 3 2 5 5" xfId="52618" xr:uid="{00000000-0005-0000-0000-0000ED670000}"/>
    <cellStyle name="Comma 3 2 5 6" xfId="12038" xr:uid="{00000000-0005-0000-0000-0000EE670000}"/>
    <cellStyle name="Comma 3 2 6" xfId="22490" xr:uid="{00000000-0005-0000-0000-0000EF670000}"/>
    <cellStyle name="Comma 3 2 6 2" xfId="52851" xr:uid="{00000000-0005-0000-0000-0000F0670000}"/>
    <cellStyle name="Comma 3 2 6 2 2" xfId="53279" xr:uid="{00000000-0005-0000-0000-0000F1670000}"/>
    <cellStyle name="Comma 3 2 6 2 2 2" xfId="54132" xr:uid="{00000000-0005-0000-0000-0000F2670000}"/>
    <cellStyle name="Comma 3 2 6 2 3" xfId="53736" xr:uid="{00000000-0005-0000-0000-0000F3670000}"/>
    <cellStyle name="Comma 3 2 6 3" xfId="53061" xr:uid="{00000000-0005-0000-0000-0000F4670000}"/>
    <cellStyle name="Comma 3 2 6 3 2" xfId="53936" xr:uid="{00000000-0005-0000-0000-0000F5670000}"/>
    <cellStyle name="Comma 3 2 6 4" xfId="53540" xr:uid="{00000000-0005-0000-0000-0000F6670000}"/>
    <cellStyle name="Comma 3 2 6 5" xfId="52655" xr:uid="{00000000-0005-0000-0000-0000F7670000}"/>
    <cellStyle name="Comma 3 2 7" xfId="23273" xr:uid="{00000000-0005-0000-0000-0000F8670000}"/>
    <cellStyle name="Comma 3 2 7 2" xfId="42839" xr:uid="{00000000-0005-0000-0000-0000F9670000}"/>
    <cellStyle name="Comma 3 2 7 2 2" xfId="53963" xr:uid="{00000000-0005-0000-0000-0000FA670000}"/>
    <cellStyle name="Comma 3 2 7 2 3" xfId="53110" xr:uid="{00000000-0005-0000-0000-0000FB670000}"/>
    <cellStyle name="Comma 3 2 7 3" xfId="53567" xr:uid="{00000000-0005-0000-0000-0000FC670000}"/>
    <cellStyle name="Comma 3 2 7 4" xfId="52682" xr:uid="{00000000-0005-0000-0000-0000FD670000}"/>
    <cellStyle name="Comma 3 2 8" xfId="33068" xr:uid="{00000000-0005-0000-0000-0000FE670000}"/>
    <cellStyle name="Comma 3 2 8 2" xfId="53766" xr:uid="{00000000-0005-0000-0000-0000FF670000}"/>
    <cellStyle name="Comma 3 2 8 3" xfId="52882" xr:uid="{00000000-0005-0000-0000-000000680000}"/>
    <cellStyle name="Comma 3 2 9" xfId="12123" xr:uid="{00000000-0005-0000-0000-000001680000}"/>
    <cellStyle name="Comma 3 2 9 2" xfId="54163" xr:uid="{00000000-0005-0000-0000-000002680000}"/>
    <cellStyle name="Comma 3 2 9 3" xfId="53311" xr:uid="{00000000-0005-0000-0000-000003680000}"/>
    <cellStyle name="Comma 3 20" xfId="11973" xr:uid="{00000000-0005-0000-0000-000004680000}"/>
    <cellStyle name="Comma 3 3" xfId="483" xr:uid="{00000000-0005-0000-0000-000005680000}"/>
    <cellStyle name="Comma 3 3 2" xfId="2377" xr:uid="{00000000-0005-0000-0000-000006680000}"/>
    <cellStyle name="Comma 3 3 2 2" xfId="2378" xr:uid="{00000000-0005-0000-0000-000007680000}"/>
    <cellStyle name="Comma 3 3 2 2 2" xfId="11234" xr:uid="{00000000-0005-0000-0000-000008680000}"/>
    <cellStyle name="Comma 3 3 2 2 2 2" xfId="53989" xr:uid="{00000000-0005-0000-0000-000009680000}"/>
    <cellStyle name="Comma 3 3 2 2 3" xfId="8337" xr:uid="{00000000-0005-0000-0000-00000A680000}"/>
    <cellStyle name="Comma 3 3 2 2 4" xfId="53136" xr:uid="{00000000-0005-0000-0000-00000B680000}"/>
    <cellStyle name="Comma 3 3 2 3" xfId="9794" xr:uid="{00000000-0005-0000-0000-00000C680000}"/>
    <cellStyle name="Comma 3 3 2 3 2" xfId="53593" xr:uid="{00000000-0005-0000-0000-00000D680000}"/>
    <cellStyle name="Comma 3 3 2 4" xfId="6858" xr:uid="{00000000-0005-0000-0000-00000E680000}"/>
    <cellStyle name="Comma 3 3 2 4 2" xfId="52708" xr:uid="{00000000-0005-0000-0000-00000F680000}"/>
    <cellStyle name="Comma 3 3 2 5" xfId="13440" xr:uid="{00000000-0005-0000-0000-000010680000}"/>
    <cellStyle name="Comma 3 3 3" xfId="2379" xr:uid="{00000000-0005-0000-0000-000011680000}"/>
    <cellStyle name="Comma 3 3 3 2" xfId="10576" xr:uid="{00000000-0005-0000-0000-000012680000}"/>
    <cellStyle name="Comma 3 3 3 2 2" xfId="53793" xr:uid="{00000000-0005-0000-0000-000013680000}"/>
    <cellStyle name="Comma 3 3 3 3" xfId="7676" xr:uid="{00000000-0005-0000-0000-000014680000}"/>
    <cellStyle name="Comma 3 3 3 3 2" xfId="52918" xr:uid="{00000000-0005-0000-0000-000015680000}"/>
    <cellStyle name="Comma 3 3 3 4" xfId="13597" xr:uid="{00000000-0005-0000-0000-000016680000}"/>
    <cellStyle name="Comma 3 3 4" xfId="2380" xr:uid="{00000000-0005-0000-0000-000017680000}"/>
    <cellStyle name="Comma 3 3 4 2" xfId="9136" xr:uid="{00000000-0005-0000-0000-000018680000}"/>
    <cellStyle name="Comma 3 3 4 2 2" xfId="51879" xr:uid="{00000000-0005-0000-0000-000019680000}"/>
    <cellStyle name="Comma 3 3 4 2 3" xfId="32692" xr:uid="{00000000-0005-0000-0000-00001A680000}"/>
    <cellStyle name="Comma 3 3 4 3" xfId="42181" xr:uid="{00000000-0005-0000-0000-00001B680000}"/>
    <cellStyle name="Comma 3 3 4 4" xfId="53397" xr:uid="{00000000-0005-0000-0000-00001C680000}"/>
    <cellStyle name="Comma 3 3 4 5" xfId="22597" xr:uid="{00000000-0005-0000-0000-00001D680000}"/>
    <cellStyle name="Comma 3 3 5" xfId="2376" xr:uid="{00000000-0005-0000-0000-00001E680000}"/>
    <cellStyle name="Comma 3 3 5 2" xfId="23391" xr:uid="{00000000-0005-0000-0000-00001F680000}"/>
    <cellStyle name="Comma 3 3 6" xfId="6150" xr:uid="{00000000-0005-0000-0000-000020680000}"/>
    <cellStyle name="Comma 3 3 6 2" xfId="42534" xr:uid="{00000000-0005-0000-0000-000021680000}"/>
    <cellStyle name="Comma 3 3 6 3" xfId="22965" xr:uid="{00000000-0005-0000-0000-000022680000}"/>
    <cellStyle name="Comma 3 3 7" xfId="12367" xr:uid="{00000000-0005-0000-0000-000023680000}"/>
    <cellStyle name="Comma 3 3 8" xfId="52504" xr:uid="{00000000-0005-0000-0000-000024680000}"/>
    <cellStyle name="Comma 3 3 9" xfId="12042" xr:uid="{00000000-0005-0000-0000-000025680000}"/>
    <cellStyle name="Comma 3 4" xfId="484" xr:uid="{00000000-0005-0000-0000-000026680000}"/>
    <cellStyle name="Comma 3 4 2" xfId="2382" xr:uid="{00000000-0005-0000-0000-000027680000}"/>
    <cellStyle name="Comma 3 4 2 10" xfId="52746" xr:uid="{00000000-0005-0000-0000-000028680000}"/>
    <cellStyle name="Comma 3 4 2 11" xfId="13622" xr:uid="{00000000-0005-0000-0000-000029680000}"/>
    <cellStyle name="Comma 3 4 2 2" xfId="8458" xr:uid="{00000000-0005-0000-0000-00002A680000}"/>
    <cellStyle name="Comma 3 4 2 2 2" xfId="11355" xr:uid="{00000000-0005-0000-0000-00002B680000}"/>
    <cellStyle name="Comma 3 4 2 2 2 2" xfId="21067" xr:uid="{00000000-0005-0000-0000-00002C680000}"/>
    <cellStyle name="Comma 3 4 2 2 2 2 2" xfId="31435" xr:uid="{00000000-0005-0000-0000-00002D680000}"/>
    <cellStyle name="Comma 3 4 2 2 2 2 2 2" xfId="50624" xr:uid="{00000000-0005-0000-0000-00002E680000}"/>
    <cellStyle name="Comma 3 4 2 2 2 2 3" xfId="40926" xr:uid="{00000000-0005-0000-0000-00002F680000}"/>
    <cellStyle name="Comma 3 4 2 2 2 3" xfId="26980" xr:uid="{00000000-0005-0000-0000-000030680000}"/>
    <cellStyle name="Comma 3 4 2 2 2 3 2" xfId="46169" xr:uid="{00000000-0005-0000-0000-000031680000}"/>
    <cellStyle name="Comma 3 4 2 2 2 4" xfId="36471" xr:uid="{00000000-0005-0000-0000-000032680000}"/>
    <cellStyle name="Comma 3 4 2 2 2 5" xfId="54027" xr:uid="{00000000-0005-0000-0000-000033680000}"/>
    <cellStyle name="Comma 3 4 2 2 2 6" xfId="16603" xr:uid="{00000000-0005-0000-0000-000034680000}"/>
    <cellStyle name="Comma 3 4 2 2 3" xfId="18839" xr:uid="{00000000-0005-0000-0000-000035680000}"/>
    <cellStyle name="Comma 3 4 2 2 3 2" xfId="29207" xr:uid="{00000000-0005-0000-0000-000036680000}"/>
    <cellStyle name="Comma 3 4 2 2 3 2 2" xfId="48396" xr:uid="{00000000-0005-0000-0000-000037680000}"/>
    <cellStyle name="Comma 3 4 2 2 3 3" xfId="38698" xr:uid="{00000000-0005-0000-0000-000038680000}"/>
    <cellStyle name="Comma 3 4 2 2 4" xfId="24747" xr:uid="{00000000-0005-0000-0000-000039680000}"/>
    <cellStyle name="Comma 3 4 2 2 4 2" xfId="43941" xr:uid="{00000000-0005-0000-0000-00003A680000}"/>
    <cellStyle name="Comma 3 4 2 2 5" xfId="34243" xr:uid="{00000000-0005-0000-0000-00003B680000}"/>
    <cellStyle name="Comma 3 4 2 2 6" xfId="53174" xr:uid="{00000000-0005-0000-0000-00003C680000}"/>
    <cellStyle name="Comma 3 4 2 2 7" xfId="14340" xr:uid="{00000000-0005-0000-0000-00003D680000}"/>
    <cellStyle name="Comma 3 4 2 3" xfId="9915" xr:uid="{00000000-0005-0000-0000-00003E680000}"/>
    <cellStyle name="Comma 3 4 2 3 2" xfId="16047" xr:uid="{00000000-0005-0000-0000-00003F680000}"/>
    <cellStyle name="Comma 3 4 2 3 2 2" xfId="20511" xr:uid="{00000000-0005-0000-0000-000040680000}"/>
    <cellStyle name="Comma 3 4 2 3 2 2 2" xfId="30879" xr:uid="{00000000-0005-0000-0000-000041680000}"/>
    <cellStyle name="Comma 3 4 2 3 2 2 2 2" xfId="50068" xr:uid="{00000000-0005-0000-0000-000042680000}"/>
    <cellStyle name="Comma 3 4 2 3 2 2 3" xfId="40370" xr:uid="{00000000-0005-0000-0000-000043680000}"/>
    <cellStyle name="Comma 3 4 2 3 2 3" xfId="26424" xr:uid="{00000000-0005-0000-0000-000044680000}"/>
    <cellStyle name="Comma 3 4 2 3 2 3 2" xfId="45613" xr:uid="{00000000-0005-0000-0000-000045680000}"/>
    <cellStyle name="Comma 3 4 2 3 2 4" xfId="35915" xr:uid="{00000000-0005-0000-0000-000046680000}"/>
    <cellStyle name="Comma 3 4 2 3 3" xfId="19396" xr:uid="{00000000-0005-0000-0000-000047680000}"/>
    <cellStyle name="Comma 3 4 2 3 3 2" xfId="29764" xr:uid="{00000000-0005-0000-0000-000048680000}"/>
    <cellStyle name="Comma 3 4 2 3 3 2 2" xfId="48953" xr:uid="{00000000-0005-0000-0000-000049680000}"/>
    <cellStyle name="Comma 3 4 2 3 3 3" xfId="39255" xr:uid="{00000000-0005-0000-0000-00004A680000}"/>
    <cellStyle name="Comma 3 4 2 3 4" xfId="25309" xr:uid="{00000000-0005-0000-0000-00004B680000}"/>
    <cellStyle name="Comma 3 4 2 3 4 2" xfId="44498" xr:uid="{00000000-0005-0000-0000-00004C680000}"/>
    <cellStyle name="Comma 3 4 2 3 5" xfId="34800" xr:uid="{00000000-0005-0000-0000-00004D680000}"/>
    <cellStyle name="Comma 3 4 2 3 6" xfId="53631" xr:uid="{00000000-0005-0000-0000-00004E680000}"/>
    <cellStyle name="Comma 3 4 2 3 7" xfId="14919" xr:uid="{00000000-0005-0000-0000-00004F680000}"/>
    <cellStyle name="Comma 3 4 2 4" xfId="6981" xr:uid="{00000000-0005-0000-0000-000050680000}"/>
    <cellStyle name="Comma 3 4 2 4 2" xfId="19954" xr:uid="{00000000-0005-0000-0000-000051680000}"/>
    <cellStyle name="Comma 3 4 2 4 2 2" xfId="30322" xr:uid="{00000000-0005-0000-0000-000052680000}"/>
    <cellStyle name="Comma 3 4 2 4 2 2 2" xfId="49511" xr:uid="{00000000-0005-0000-0000-000053680000}"/>
    <cellStyle name="Comma 3 4 2 4 2 3" xfId="39813" xr:uid="{00000000-0005-0000-0000-000054680000}"/>
    <cellStyle name="Comma 3 4 2 4 3" xfId="25867" xr:uid="{00000000-0005-0000-0000-000055680000}"/>
    <cellStyle name="Comma 3 4 2 4 3 2" xfId="45056" xr:uid="{00000000-0005-0000-0000-000056680000}"/>
    <cellStyle name="Comma 3 4 2 4 4" xfId="35358" xr:uid="{00000000-0005-0000-0000-000057680000}"/>
    <cellStyle name="Comma 3 4 2 4 5" xfId="15490" xr:uid="{00000000-0005-0000-0000-000058680000}"/>
    <cellStyle name="Comma 3 4 2 5" xfId="17160" xr:uid="{00000000-0005-0000-0000-000059680000}"/>
    <cellStyle name="Comma 3 4 2 5 2" xfId="21624" xr:uid="{00000000-0005-0000-0000-00005A680000}"/>
    <cellStyle name="Comma 3 4 2 5 2 2" xfId="31992" xr:uid="{00000000-0005-0000-0000-00005B680000}"/>
    <cellStyle name="Comma 3 4 2 5 2 2 2" xfId="51181" xr:uid="{00000000-0005-0000-0000-00005C680000}"/>
    <cellStyle name="Comma 3 4 2 5 2 3" xfId="41483" xr:uid="{00000000-0005-0000-0000-00005D680000}"/>
    <cellStyle name="Comma 3 4 2 5 3" xfId="27537" xr:uid="{00000000-0005-0000-0000-00005E680000}"/>
    <cellStyle name="Comma 3 4 2 5 3 2" xfId="46726" xr:uid="{00000000-0005-0000-0000-00005F680000}"/>
    <cellStyle name="Comma 3 4 2 5 4" xfId="37028" xr:uid="{00000000-0005-0000-0000-000060680000}"/>
    <cellStyle name="Comma 3 4 2 6" xfId="17726" xr:uid="{00000000-0005-0000-0000-000061680000}"/>
    <cellStyle name="Comma 3 4 2 6 2" xfId="22181" xr:uid="{00000000-0005-0000-0000-000062680000}"/>
    <cellStyle name="Comma 3 4 2 6 2 2" xfId="32549" xr:uid="{00000000-0005-0000-0000-000063680000}"/>
    <cellStyle name="Comma 3 4 2 6 2 2 2" xfId="51738" xr:uid="{00000000-0005-0000-0000-000064680000}"/>
    <cellStyle name="Comma 3 4 2 6 2 3" xfId="42040" xr:uid="{00000000-0005-0000-0000-000065680000}"/>
    <cellStyle name="Comma 3 4 2 6 3" xfId="28094" xr:uid="{00000000-0005-0000-0000-000066680000}"/>
    <cellStyle name="Comma 3 4 2 6 3 2" xfId="47283" xr:uid="{00000000-0005-0000-0000-000067680000}"/>
    <cellStyle name="Comma 3 4 2 6 4" xfId="37585" xr:uid="{00000000-0005-0000-0000-000068680000}"/>
    <cellStyle name="Comma 3 4 2 7" xfId="18283" xr:uid="{00000000-0005-0000-0000-000069680000}"/>
    <cellStyle name="Comma 3 4 2 7 2" xfId="28651" xr:uid="{00000000-0005-0000-0000-00006A680000}"/>
    <cellStyle name="Comma 3 4 2 7 2 2" xfId="47840" xr:uid="{00000000-0005-0000-0000-00006B680000}"/>
    <cellStyle name="Comma 3 4 2 7 3" xfId="38142" xr:uid="{00000000-0005-0000-0000-00006C680000}"/>
    <cellStyle name="Comma 3 4 2 8" xfId="24187" xr:uid="{00000000-0005-0000-0000-00006D680000}"/>
    <cellStyle name="Comma 3 4 2 8 2" xfId="43385" xr:uid="{00000000-0005-0000-0000-00006E680000}"/>
    <cellStyle name="Comma 3 4 2 9" xfId="33687" xr:uid="{00000000-0005-0000-0000-00006F680000}"/>
    <cellStyle name="Comma 3 4 3" xfId="2383" xr:uid="{00000000-0005-0000-0000-000070680000}"/>
    <cellStyle name="Comma 3 4 3 2" xfId="10697" xr:uid="{00000000-0005-0000-0000-000071680000}"/>
    <cellStyle name="Comma 3 4 3 2 2" xfId="52020" xr:uid="{00000000-0005-0000-0000-000072680000}"/>
    <cellStyle name="Comma 3 4 3 2 3" xfId="53831" xr:uid="{00000000-0005-0000-0000-000073680000}"/>
    <cellStyle name="Comma 3 4 3 2 4" xfId="32834" xr:uid="{00000000-0005-0000-0000-000074680000}"/>
    <cellStyle name="Comma 3 4 3 3" xfId="7799" xr:uid="{00000000-0005-0000-0000-000075680000}"/>
    <cellStyle name="Comma 3 4 3 3 2" xfId="42322" xr:uid="{00000000-0005-0000-0000-000076680000}"/>
    <cellStyle name="Comma 3 4 3 4" xfId="52956" xr:uid="{00000000-0005-0000-0000-000077680000}"/>
    <cellStyle name="Comma 3 4 3 5" xfId="22750" xr:uid="{00000000-0005-0000-0000-000078680000}"/>
    <cellStyle name="Comma 3 4 4" xfId="2381" xr:uid="{00000000-0005-0000-0000-000079680000}"/>
    <cellStyle name="Comma 3 4 4 2" xfId="9257" xr:uid="{00000000-0005-0000-0000-00007A680000}"/>
    <cellStyle name="Comma 3 4 4 2 2" xfId="53435" xr:uid="{00000000-0005-0000-0000-00007B680000}"/>
    <cellStyle name="Comma 3 4 4 3" xfId="23392" xr:uid="{00000000-0005-0000-0000-00007C680000}"/>
    <cellStyle name="Comma 3 4 5" xfId="6296" xr:uid="{00000000-0005-0000-0000-00007D680000}"/>
    <cellStyle name="Comma 3 4 5 2" xfId="42675" xr:uid="{00000000-0005-0000-0000-00007E680000}"/>
    <cellStyle name="Comma 3 4 5 3" xfId="23107" xr:uid="{00000000-0005-0000-0000-00007F680000}"/>
    <cellStyle name="Comma 3 4 6" xfId="12368" xr:uid="{00000000-0005-0000-0000-000080680000}"/>
    <cellStyle name="Comma 3 4 7" xfId="52545" xr:uid="{00000000-0005-0000-0000-000081680000}"/>
    <cellStyle name="Comma 3 4 8" xfId="12043" xr:uid="{00000000-0005-0000-0000-000082680000}"/>
    <cellStyle name="Comma 3 5" xfId="485" xr:uid="{00000000-0005-0000-0000-000083680000}"/>
    <cellStyle name="Comma 3 5 2" xfId="2384" xr:uid="{00000000-0005-0000-0000-000084680000}"/>
    <cellStyle name="Comma 3 5 2 2" xfId="32964" xr:uid="{00000000-0005-0000-0000-000085680000}"/>
    <cellStyle name="Comma 3 5 2 2 2" xfId="52150" xr:uid="{00000000-0005-0000-0000-000086680000}"/>
    <cellStyle name="Comma 3 5 2 2 2 2" xfId="54058" xr:uid="{00000000-0005-0000-0000-000087680000}"/>
    <cellStyle name="Comma 3 5 2 2 3" xfId="53205" xr:uid="{00000000-0005-0000-0000-000088680000}"/>
    <cellStyle name="Comma 3 5 2 3" xfId="42452" xr:uid="{00000000-0005-0000-0000-000089680000}"/>
    <cellStyle name="Comma 3 5 2 3 2" xfId="53662" xr:uid="{00000000-0005-0000-0000-00008A680000}"/>
    <cellStyle name="Comma 3 5 2 4" xfId="52777" xr:uid="{00000000-0005-0000-0000-00008B680000}"/>
    <cellStyle name="Comma 3 5 2 5" xfId="22880" xr:uid="{00000000-0005-0000-0000-00008C680000}"/>
    <cellStyle name="Comma 3 5 3" xfId="6057" xr:uid="{00000000-0005-0000-0000-00008D680000}"/>
    <cellStyle name="Comma 3 5 3 2" xfId="53862" xr:uid="{00000000-0005-0000-0000-00008E680000}"/>
    <cellStyle name="Comma 3 5 3 3" xfId="52987" xr:uid="{00000000-0005-0000-0000-00008F680000}"/>
    <cellStyle name="Comma 3 5 3 4" xfId="23576" xr:uid="{00000000-0005-0000-0000-000090680000}"/>
    <cellStyle name="Comma 3 5 4" xfId="23237" xr:uid="{00000000-0005-0000-0000-000091680000}"/>
    <cellStyle name="Comma 3 5 4 2" xfId="42805" xr:uid="{00000000-0005-0000-0000-000092680000}"/>
    <cellStyle name="Comma 3 5 4 3" xfId="53466" xr:uid="{00000000-0005-0000-0000-000093680000}"/>
    <cellStyle name="Comma 3 5 5" xfId="12735" xr:uid="{00000000-0005-0000-0000-000094680000}"/>
    <cellStyle name="Comma 3 5 6" xfId="52577" xr:uid="{00000000-0005-0000-0000-000095680000}"/>
    <cellStyle name="Comma 3 5 7" xfId="12044" xr:uid="{00000000-0005-0000-0000-000096680000}"/>
    <cellStyle name="Comma 3 6" xfId="1516" xr:uid="{00000000-0005-0000-0000-000097680000}"/>
    <cellStyle name="Comma 3 6 10" xfId="12836" xr:uid="{00000000-0005-0000-0000-000098680000}"/>
    <cellStyle name="Comma 3 6 11" xfId="52611" xr:uid="{00000000-0005-0000-0000-000099680000}"/>
    <cellStyle name="Comma 3 6 12" xfId="12037" xr:uid="{00000000-0005-0000-0000-00009A680000}"/>
    <cellStyle name="Comma 3 6 2" xfId="2385" xr:uid="{00000000-0005-0000-0000-00009B680000}"/>
    <cellStyle name="Comma 3 6 2 2" xfId="16094" xr:uid="{00000000-0005-0000-0000-00009C680000}"/>
    <cellStyle name="Comma 3 6 2 2 2" xfId="20558" xr:uid="{00000000-0005-0000-0000-00009D680000}"/>
    <cellStyle name="Comma 3 6 2 2 2 2" xfId="30926" xr:uid="{00000000-0005-0000-0000-00009E680000}"/>
    <cellStyle name="Comma 3 6 2 2 2 2 2" xfId="50115" xr:uid="{00000000-0005-0000-0000-00009F680000}"/>
    <cellStyle name="Comma 3 6 2 2 2 3" xfId="40417" xr:uid="{00000000-0005-0000-0000-0000A0680000}"/>
    <cellStyle name="Comma 3 6 2 2 2 4" xfId="54092" xr:uid="{00000000-0005-0000-0000-0000A1680000}"/>
    <cellStyle name="Comma 3 6 2 2 3" xfId="26471" xr:uid="{00000000-0005-0000-0000-0000A2680000}"/>
    <cellStyle name="Comma 3 6 2 2 3 2" xfId="45660" xr:uid="{00000000-0005-0000-0000-0000A3680000}"/>
    <cellStyle name="Comma 3 6 2 2 4" xfId="35962" xr:uid="{00000000-0005-0000-0000-0000A4680000}"/>
    <cellStyle name="Comma 3 6 2 2 5" xfId="53239" xr:uid="{00000000-0005-0000-0000-0000A5680000}"/>
    <cellStyle name="Comma 3 6 2 3" xfId="18330" xr:uid="{00000000-0005-0000-0000-0000A6680000}"/>
    <cellStyle name="Comma 3 6 2 3 2" xfId="28698" xr:uid="{00000000-0005-0000-0000-0000A7680000}"/>
    <cellStyle name="Comma 3 6 2 3 2 2" xfId="47887" xr:uid="{00000000-0005-0000-0000-0000A8680000}"/>
    <cellStyle name="Comma 3 6 2 3 3" xfId="38189" xr:uid="{00000000-0005-0000-0000-0000A9680000}"/>
    <cellStyle name="Comma 3 6 2 3 4" xfId="53696" xr:uid="{00000000-0005-0000-0000-0000AA680000}"/>
    <cellStyle name="Comma 3 6 2 4" xfId="24238" xr:uid="{00000000-0005-0000-0000-0000AB680000}"/>
    <cellStyle name="Comma 3 6 2 4 2" xfId="43432" xr:uid="{00000000-0005-0000-0000-0000AC680000}"/>
    <cellStyle name="Comma 3 6 2 5" xfId="33734" xr:uid="{00000000-0005-0000-0000-0000AD680000}"/>
    <cellStyle name="Comma 3 6 2 6" xfId="52811" xr:uid="{00000000-0005-0000-0000-0000AE680000}"/>
    <cellStyle name="Comma 3 6 2 7" xfId="13830" xr:uid="{00000000-0005-0000-0000-0000AF680000}"/>
    <cellStyle name="Comma 3 6 3" xfId="14409" xr:uid="{00000000-0005-0000-0000-0000B0680000}"/>
    <cellStyle name="Comma 3 6 3 2" xfId="15538" xr:uid="{00000000-0005-0000-0000-0000B1680000}"/>
    <cellStyle name="Comma 3 6 3 2 2" xfId="20002" xr:uid="{00000000-0005-0000-0000-0000B2680000}"/>
    <cellStyle name="Comma 3 6 3 2 2 2" xfId="30370" xr:uid="{00000000-0005-0000-0000-0000B3680000}"/>
    <cellStyle name="Comma 3 6 3 2 2 2 2" xfId="49559" xr:uid="{00000000-0005-0000-0000-0000B4680000}"/>
    <cellStyle name="Comma 3 6 3 2 2 3" xfId="39861" xr:uid="{00000000-0005-0000-0000-0000B5680000}"/>
    <cellStyle name="Comma 3 6 3 2 3" xfId="25915" xr:uid="{00000000-0005-0000-0000-0000B6680000}"/>
    <cellStyle name="Comma 3 6 3 2 3 2" xfId="45104" xr:uid="{00000000-0005-0000-0000-0000B7680000}"/>
    <cellStyle name="Comma 3 6 3 2 4" xfId="35406" xr:uid="{00000000-0005-0000-0000-0000B8680000}"/>
    <cellStyle name="Comma 3 6 3 2 5" xfId="53896" xr:uid="{00000000-0005-0000-0000-0000B9680000}"/>
    <cellStyle name="Comma 3 6 3 3" xfId="18887" xr:uid="{00000000-0005-0000-0000-0000BA680000}"/>
    <cellStyle name="Comma 3 6 3 3 2" xfId="29255" xr:uid="{00000000-0005-0000-0000-0000BB680000}"/>
    <cellStyle name="Comma 3 6 3 3 2 2" xfId="48444" xr:uid="{00000000-0005-0000-0000-0000BC680000}"/>
    <cellStyle name="Comma 3 6 3 3 3" xfId="38746" xr:uid="{00000000-0005-0000-0000-0000BD680000}"/>
    <cellStyle name="Comma 3 6 3 4" xfId="24800" xr:uid="{00000000-0005-0000-0000-0000BE680000}"/>
    <cellStyle name="Comma 3 6 3 4 2" xfId="43989" xr:uid="{00000000-0005-0000-0000-0000BF680000}"/>
    <cellStyle name="Comma 3 6 3 5" xfId="34291" xr:uid="{00000000-0005-0000-0000-0000C0680000}"/>
    <cellStyle name="Comma 3 6 3 6" xfId="53021" xr:uid="{00000000-0005-0000-0000-0000C1680000}"/>
    <cellStyle name="Comma 3 6 4" xfId="14981" xr:uid="{00000000-0005-0000-0000-0000C2680000}"/>
    <cellStyle name="Comma 3 6 4 2" xfId="19445" xr:uid="{00000000-0005-0000-0000-0000C3680000}"/>
    <cellStyle name="Comma 3 6 4 2 2" xfId="29813" xr:uid="{00000000-0005-0000-0000-0000C4680000}"/>
    <cellStyle name="Comma 3 6 4 2 2 2" xfId="49002" xr:uid="{00000000-0005-0000-0000-0000C5680000}"/>
    <cellStyle name="Comma 3 6 4 2 3" xfId="39304" xr:uid="{00000000-0005-0000-0000-0000C6680000}"/>
    <cellStyle name="Comma 3 6 4 3" xfId="25358" xr:uid="{00000000-0005-0000-0000-0000C7680000}"/>
    <cellStyle name="Comma 3 6 4 3 2" xfId="44547" xr:uid="{00000000-0005-0000-0000-0000C8680000}"/>
    <cellStyle name="Comma 3 6 4 4" xfId="34849" xr:uid="{00000000-0005-0000-0000-0000C9680000}"/>
    <cellStyle name="Comma 3 6 4 5" xfId="53500" xr:uid="{00000000-0005-0000-0000-0000CA680000}"/>
    <cellStyle name="Comma 3 6 5" xfId="16651" xr:uid="{00000000-0005-0000-0000-0000CB680000}"/>
    <cellStyle name="Comma 3 6 5 2" xfId="21115" xr:uid="{00000000-0005-0000-0000-0000CC680000}"/>
    <cellStyle name="Comma 3 6 5 2 2" xfId="31483" xr:uid="{00000000-0005-0000-0000-0000CD680000}"/>
    <cellStyle name="Comma 3 6 5 2 2 2" xfId="50672" xr:uid="{00000000-0005-0000-0000-0000CE680000}"/>
    <cellStyle name="Comma 3 6 5 2 3" xfId="40974" xr:uid="{00000000-0005-0000-0000-0000CF680000}"/>
    <cellStyle name="Comma 3 6 5 3" xfId="27028" xr:uid="{00000000-0005-0000-0000-0000D0680000}"/>
    <cellStyle name="Comma 3 6 5 3 2" xfId="46217" xr:uid="{00000000-0005-0000-0000-0000D1680000}"/>
    <cellStyle name="Comma 3 6 5 4" xfId="36519" xr:uid="{00000000-0005-0000-0000-0000D2680000}"/>
    <cellStyle name="Comma 3 6 6" xfId="17217" xr:uid="{00000000-0005-0000-0000-0000D3680000}"/>
    <cellStyle name="Comma 3 6 6 2" xfId="21672" xr:uid="{00000000-0005-0000-0000-0000D4680000}"/>
    <cellStyle name="Comma 3 6 6 2 2" xfId="32040" xr:uid="{00000000-0005-0000-0000-0000D5680000}"/>
    <cellStyle name="Comma 3 6 6 2 2 2" xfId="51229" xr:uid="{00000000-0005-0000-0000-0000D6680000}"/>
    <cellStyle name="Comma 3 6 6 2 3" xfId="41531" xr:uid="{00000000-0005-0000-0000-0000D7680000}"/>
    <cellStyle name="Comma 3 6 6 3" xfId="27585" xr:uid="{00000000-0005-0000-0000-0000D8680000}"/>
    <cellStyle name="Comma 3 6 6 3 2" xfId="46774" xr:uid="{00000000-0005-0000-0000-0000D9680000}"/>
    <cellStyle name="Comma 3 6 6 4" xfId="37076" xr:uid="{00000000-0005-0000-0000-0000DA680000}"/>
    <cellStyle name="Comma 3 6 7" xfId="17774" xr:uid="{00000000-0005-0000-0000-0000DB680000}"/>
    <cellStyle name="Comma 3 6 7 2" xfId="28142" xr:uid="{00000000-0005-0000-0000-0000DC680000}"/>
    <cellStyle name="Comma 3 6 7 2 2" xfId="47331" xr:uid="{00000000-0005-0000-0000-0000DD680000}"/>
    <cellStyle name="Comma 3 6 7 3" xfId="37633" xr:uid="{00000000-0005-0000-0000-0000DE680000}"/>
    <cellStyle name="Comma 3 6 8" xfId="23624" xr:uid="{00000000-0005-0000-0000-0000DF680000}"/>
    <cellStyle name="Comma 3 6 8 2" xfId="42876" xr:uid="{00000000-0005-0000-0000-0000E0680000}"/>
    <cellStyle name="Comma 3 6 9" xfId="33178" xr:uid="{00000000-0005-0000-0000-0000E1680000}"/>
    <cellStyle name="Comma 3 7" xfId="2386" xr:uid="{00000000-0005-0000-0000-0000E2680000}"/>
    <cellStyle name="Comma 3 7 2" xfId="52844" xr:uid="{00000000-0005-0000-0000-0000E3680000}"/>
    <cellStyle name="Comma 3 7 2 2" xfId="53272" xr:uid="{00000000-0005-0000-0000-0000E4680000}"/>
    <cellStyle name="Comma 3 7 2 2 2" xfId="54125" xr:uid="{00000000-0005-0000-0000-0000E5680000}"/>
    <cellStyle name="Comma 3 7 2 3" xfId="53729" xr:uid="{00000000-0005-0000-0000-0000E6680000}"/>
    <cellStyle name="Comma 3 7 3" xfId="53054" xr:uid="{00000000-0005-0000-0000-0000E7680000}"/>
    <cellStyle name="Comma 3 7 3 2" xfId="53929" xr:uid="{00000000-0005-0000-0000-0000E8680000}"/>
    <cellStyle name="Comma 3 7 4" xfId="53533" xr:uid="{00000000-0005-0000-0000-0000E9680000}"/>
    <cellStyle name="Comma 3 7 5" xfId="52648" xr:uid="{00000000-0005-0000-0000-0000EA680000}"/>
    <cellStyle name="Comma 3 7 6" xfId="14367" xr:uid="{00000000-0005-0000-0000-0000EB680000}"/>
    <cellStyle name="Comma 3 8" xfId="2387" xr:uid="{00000000-0005-0000-0000-0000EC680000}"/>
    <cellStyle name="Comma 3 8 2" xfId="32582" xr:uid="{00000000-0005-0000-0000-0000ED680000}"/>
    <cellStyle name="Comma 3 8 2 2" xfId="51770" xr:uid="{00000000-0005-0000-0000-0000EE680000}"/>
    <cellStyle name="Comma 3 8 2 2 2" xfId="53956" xr:uid="{00000000-0005-0000-0000-0000EF680000}"/>
    <cellStyle name="Comma 3 8 2 3" xfId="53103" xr:uid="{00000000-0005-0000-0000-0000F0680000}"/>
    <cellStyle name="Comma 3 8 3" xfId="42072" xr:uid="{00000000-0005-0000-0000-0000F1680000}"/>
    <cellStyle name="Comma 3 8 3 2" xfId="53560" xr:uid="{00000000-0005-0000-0000-0000F2680000}"/>
    <cellStyle name="Comma 3 8 4" xfId="52675" xr:uid="{00000000-0005-0000-0000-0000F3680000}"/>
    <cellStyle name="Comma 3 8 5" xfId="22223" xr:uid="{00000000-0005-0000-0000-0000F4680000}"/>
    <cellStyle name="Comma 3 9" xfId="2388" xr:uid="{00000000-0005-0000-0000-0000F5680000}"/>
    <cellStyle name="Comma 3 9 2" xfId="32609" xr:uid="{00000000-0005-0000-0000-0000F6680000}"/>
    <cellStyle name="Comma 3 9 2 2" xfId="51797" xr:uid="{00000000-0005-0000-0000-0000F7680000}"/>
    <cellStyle name="Comma 3 9 2 3" xfId="53759" xr:uid="{00000000-0005-0000-0000-0000F8680000}"/>
    <cellStyle name="Comma 3 9 3" xfId="42099" xr:uid="{00000000-0005-0000-0000-0000F9680000}"/>
    <cellStyle name="Comma 3 9 4" xfId="52875" xr:uid="{00000000-0005-0000-0000-0000FA680000}"/>
    <cellStyle name="Comma 3 9 5" xfId="22252" xr:uid="{00000000-0005-0000-0000-0000FB680000}"/>
    <cellStyle name="Comma 32" xfId="52885" xr:uid="{00000000-0005-0000-0000-0000FC680000}"/>
    <cellStyle name="Comma 4" xfId="13" xr:uid="{00000000-0005-0000-0000-0000FD680000}"/>
    <cellStyle name="Comma 4 10" xfId="1503" xr:uid="{00000000-0005-0000-0000-0000FE680000}"/>
    <cellStyle name="Comma 4 10 2" xfId="2390" xr:uid="{00000000-0005-0000-0000-0000FF680000}"/>
    <cellStyle name="Comma 4 10 2 2" xfId="11885" xr:uid="{00000000-0005-0000-0000-000000690000}"/>
    <cellStyle name="Comma 4 10 2 2 2" xfId="51810" xr:uid="{00000000-0005-0000-0000-000001690000}"/>
    <cellStyle name="Comma 4 10 2 3" xfId="8988" xr:uid="{00000000-0005-0000-0000-000002690000}"/>
    <cellStyle name="Comma 4 10 2 3 2" xfId="54194" xr:uid="{00000000-0005-0000-0000-000003690000}"/>
    <cellStyle name="Comma 4 10 2 4" xfId="32623" xr:uid="{00000000-0005-0000-0000-000004690000}"/>
    <cellStyle name="Comma 4 10 3" xfId="10445" xr:uid="{00000000-0005-0000-0000-000005690000}"/>
    <cellStyle name="Comma 4 10 3 2" xfId="42112" xr:uid="{00000000-0005-0000-0000-000006690000}"/>
    <cellStyle name="Comma 4 10 4" xfId="7516" xr:uid="{00000000-0005-0000-0000-000007690000}"/>
    <cellStyle name="Comma 4 10 4 2" xfId="53342" xr:uid="{00000000-0005-0000-0000-000008690000}"/>
    <cellStyle name="Comma 4 10 5" xfId="22491" xr:uid="{00000000-0005-0000-0000-000009690000}"/>
    <cellStyle name="Comma 4 11" xfId="2391" xr:uid="{00000000-0005-0000-0000-00000A690000}"/>
    <cellStyle name="Comma 4 11 2" xfId="8268" xr:uid="{00000000-0005-0000-0000-00000B690000}"/>
    <cellStyle name="Comma 4 11 2 2" xfId="11165" xr:uid="{00000000-0005-0000-0000-00000C690000}"/>
    <cellStyle name="Comma 4 11 2 3" xfId="42837" xr:uid="{00000000-0005-0000-0000-00000D690000}"/>
    <cellStyle name="Comma 4 11 3" xfId="9725" xr:uid="{00000000-0005-0000-0000-00000E690000}"/>
    <cellStyle name="Comma 4 11 3 2" xfId="53369" xr:uid="{00000000-0005-0000-0000-00000F690000}"/>
    <cellStyle name="Comma 4 11 4" xfId="6787" xr:uid="{00000000-0005-0000-0000-000010690000}"/>
    <cellStyle name="Comma 4 11 5" xfId="23271" xr:uid="{00000000-0005-0000-0000-000011690000}"/>
    <cellStyle name="Comma 4 12" xfId="2392" xr:uid="{00000000-0005-0000-0000-000012690000}"/>
    <cellStyle name="Comma 4 12 2" xfId="10508" xr:uid="{00000000-0005-0000-0000-000013690000}"/>
    <cellStyle name="Comma 4 12 2 2" xfId="42465" xr:uid="{00000000-0005-0000-0000-000014690000}"/>
    <cellStyle name="Comma 4 12 3" xfId="7608" xr:uid="{00000000-0005-0000-0000-000015690000}"/>
    <cellStyle name="Comma 4 12 4" xfId="22896" xr:uid="{00000000-0005-0000-0000-000016690000}"/>
    <cellStyle name="Comma 4 13" xfId="2393" xr:uid="{00000000-0005-0000-0000-000017690000}"/>
    <cellStyle name="Comma 4 13 2" xfId="9068" xr:uid="{00000000-0005-0000-0000-000018690000}"/>
    <cellStyle name="Comma 4 13 3" xfId="33115" xr:uid="{00000000-0005-0000-0000-000019690000}"/>
    <cellStyle name="Comma 4 14" xfId="2394" xr:uid="{00000000-0005-0000-0000-00001A690000}"/>
    <cellStyle name="Comma 4 14 2" xfId="12121" xr:uid="{00000000-0005-0000-0000-00001B690000}"/>
    <cellStyle name="Comma 4 15" xfId="2389" xr:uid="{00000000-0005-0000-0000-00001C690000}"/>
    <cellStyle name="Comma 4 15 2" xfId="52467" xr:uid="{00000000-0005-0000-0000-00001D690000}"/>
    <cellStyle name="Comma 4 16" xfId="6071" xr:uid="{00000000-0005-0000-0000-00001E690000}"/>
    <cellStyle name="Comma 4 17" xfId="11978" xr:uid="{00000000-0005-0000-0000-00001F690000}"/>
    <cellStyle name="Comma 4 2" xfId="486" xr:uid="{00000000-0005-0000-0000-000020690000}"/>
    <cellStyle name="Comma 4 2 10" xfId="7615" xr:uid="{00000000-0005-0000-0000-000021690000}"/>
    <cellStyle name="Comma 4 2 10 2" xfId="10515" xr:uid="{00000000-0005-0000-0000-000022690000}"/>
    <cellStyle name="Comma 4 2 11" xfId="9075" xr:uid="{00000000-0005-0000-0000-000023690000}"/>
    <cellStyle name="Comma 4 2 12" xfId="6080" xr:uid="{00000000-0005-0000-0000-000024690000}"/>
    <cellStyle name="Comma 4 2 13" xfId="12046" xr:uid="{00000000-0005-0000-0000-000025690000}"/>
    <cellStyle name="Comma 4 2 2" xfId="487" xr:uid="{00000000-0005-0000-0000-000026690000}"/>
    <cellStyle name="Comma 4 2 2 10" xfId="9105" xr:uid="{00000000-0005-0000-0000-000027690000}"/>
    <cellStyle name="Comma 4 2 2 11" xfId="6117" xr:uid="{00000000-0005-0000-0000-000028690000}"/>
    <cellStyle name="Comma 4 2 2 12" xfId="13598" xr:uid="{00000000-0005-0000-0000-000029690000}"/>
    <cellStyle name="Comma 4 2 2 2" xfId="488" xr:uid="{00000000-0005-0000-0000-00002A690000}"/>
    <cellStyle name="Comma 4 2 2 2 2" xfId="489" xr:uid="{00000000-0005-0000-0000-00002B690000}"/>
    <cellStyle name="Comma 4 2 2 2 2 2" xfId="490" xr:uid="{00000000-0005-0000-0000-00002C690000}"/>
    <cellStyle name="Comma 4 2 2 2 2 2 2" xfId="7430" xr:uid="{00000000-0005-0000-0000-00002D690000}"/>
    <cellStyle name="Comma 4 2 2 2 2 2 2 2" xfId="8907" xr:uid="{00000000-0005-0000-0000-00002E690000}"/>
    <cellStyle name="Comma 4 2 2 2 2 2 2 2 2" xfId="11804" xr:uid="{00000000-0005-0000-0000-00002F690000}"/>
    <cellStyle name="Comma 4 2 2 2 2 2 2 3" xfId="10364" xr:uid="{00000000-0005-0000-0000-000030690000}"/>
    <cellStyle name="Comma 4 2 2 2 2 2 3" xfId="8249" xr:uid="{00000000-0005-0000-0000-000031690000}"/>
    <cellStyle name="Comma 4 2 2 2 2 2 3 2" xfId="11146" xr:uid="{00000000-0005-0000-0000-000032690000}"/>
    <cellStyle name="Comma 4 2 2 2 2 2 4" xfId="9706" xr:uid="{00000000-0005-0000-0000-000033690000}"/>
    <cellStyle name="Comma 4 2 2 2 2 2 5" xfId="6754" xr:uid="{00000000-0005-0000-0000-000034690000}"/>
    <cellStyle name="Comma 4 2 2 2 2 2 6" xfId="51929" xr:uid="{00000000-0005-0000-0000-000035690000}"/>
    <cellStyle name="Comma 4 2 2 2 2 3" xfId="2398" xr:uid="{00000000-0005-0000-0000-000036690000}"/>
    <cellStyle name="Comma 4 2 2 2 2 3 2" xfId="8674" xr:uid="{00000000-0005-0000-0000-000037690000}"/>
    <cellStyle name="Comma 4 2 2 2 2 3 2 2" xfId="11571" xr:uid="{00000000-0005-0000-0000-000038690000}"/>
    <cellStyle name="Comma 4 2 2 2 2 3 3" xfId="10131" xr:uid="{00000000-0005-0000-0000-000039690000}"/>
    <cellStyle name="Comma 4 2 2 2 2 3 4" xfId="7197" xr:uid="{00000000-0005-0000-0000-00003A690000}"/>
    <cellStyle name="Comma 4 2 2 2 2 3 5" xfId="53994" xr:uid="{00000000-0005-0000-0000-00003B690000}"/>
    <cellStyle name="Comma 4 2 2 2 2 4" xfId="8016" xr:uid="{00000000-0005-0000-0000-00003C690000}"/>
    <cellStyle name="Comma 4 2 2 2 2 4 2" xfId="10913" xr:uid="{00000000-0005-0000-0000-00003D690000}"/>
    <cellStyle name="Comma 4 2 2 2 2 5" xfId="9473" xr:uid="{00000000-0005-0000-0000-00003E690000}"/>
    <cellStyle name="Comma 4 2 2 2 2 6" xfId="6521" xr:uid="{00000000-0005-0000-0000-00003F690000}"/>
    <cellStyle name="Comma 4 2 2 2 2 7" xfId="32742" xr:uid="{00000000-0005-0000-0000-000040690000}"/>
    <cellStyle name="Comma 4 2 2 2 3" xfId="491" xr:uid="{00000000-0005-0000-0000-000041690000}"/>
    <cellStyle name="Comma 4 2 2 2 3 2" xfId="7314" xr:uid="{00000000-0005-0000-0000-000042690000}"/>
    <cellStyle name="Comma 4 2 2 2 3 2 2" xfId="8791" xr:uid="{00000000-0005-0000-0000-000043690000}"/>
    <cellStyle name="Comma 4 2 2 2 3 2 2 2" xfId="11688" xr:uid="{00000000-0005-0000-0000-000044690000}"/>
    <cellStyle name="Comma 4 2 2 2 3 2 3" xfId="10248" xr:uid="{00000000-0005-0000-0000-000045690000}"/>
    <cellStyle name="Comma 4 2 2 2 3 2 4" xfId="42584" xr:uid="{00000000-0005-0000-0000-000046690000}"/>
    <cellStyle name="Comma 4 2 2 2 3 3" xfId="8133" xr:uid="{00000000-0005-0000-0000-000047690000}"/>
    <cellStyle name="Comma 4 2 2 2 3 3 2" xfId="11030" xr:uid="{00000000-0005-0000-0000-000048690000}"/>
    <cellStyle name="Comma 4 2 2 2 3 4" xfId="9590" xr:uid="{00000000-0005-0000-0000-000049690000}"/>
    <cellStyle name="Comma 4 2 2 2 3 5" xfId="6638" xr:uid="{00000000-0005-0000-0000-00004A690000}"/>
    <cellStyle name="Comma 4 2 2 2 3 6" xfId="23015" xr:uid="{00000000-0005-0000-0000-00004B690000}"/>
    <cellStyle name="Comma 4 2 2 2 4" xfId="492" xr:uid="{00000000-0005-0000-0000-00004C690000}"/>
    <cellStyle name="Comma 4 2 2 2 4 2" xfId="7081" xr:uid="{00000000-0005-0000-0000-00004D690000}"/>
    <cellStyle name="Comma 4 2 2 2 4 2 2" xfId="8558" xr:uid="{00000000-0005-0000-0000-00004E690000}"/>
    <cellStyle name="Comma 4 2 2 2 4 2 2 2" xfId="11455" xr:uid="{00000000-0005-0000-0000-00004F690000}"/>
    <cellStyle name="Comma 4 2 2 2 4 2 3" xfId="10015" xr:uid="{00000000-0005-0000-0000-000050690000}"/>
    <cellStyle name="Comma 4 2 2 2 4 3" xfId="7899" xr:uid="{00000000-0005-0000-0000-000051690000}"/>
    <cellStyle name="Comma 4 2 2 2 4 3 2" xfId="10797" xr:uid="{00000000-0005-0000-0000-000052690000}"/>
    <cellStyle name="Comma 4 2 2 2 4 4" xfId="9357" xr:uid="{00000000-0005-0000-0000-000053690000}"/>
    <cellStyle name="Comma 4 2 2 2 4 5" xfId="6402" xr:uid="{00000000-0005-0000-0000-000054690000}"/>
    <cellStyle name="Comma 4 2 2 2 4 6" xfId="42231" xr:uid="{00000000-0005-0000-0000-000055690000}"/>
    <cellStyle name="Comma 4 2 2 2 5" xfId="2397" xr:uid="{00000000-0005-0000-0000-000056690000}"/>
    <cellStyle name="Comma 4 2 2 2 5 2" xfId="8387" xr:uid="{00000000-0005-0000-0000-000057690000}"/>
    <cellStyle name="Comma 4 2 2 2 5 2 2" xfId="11284" xr:uid="{00000000-0005-0000-0000-000058690000}"/>
    <cellStyle name="Comma 4 2 2 2 5 3" xfId="9844" xr:uid="{00000000-0005-0000-0000-000059690000}"/>
    <cellStyle name="Comma 4 2 2 2 5 4" xfId="6909" xr:uid="{00000000-0005-0000-0000-00005A690000}"/>
    <cellStyle name="Comma 4 2 2 2 5 5" xfId="53141" xr:uid="{00000000-0005-0000-0000-00005B690000}"/>
    <cellStyle name="Comma 4 2 2 2 6" xfId="7726" xr:uid="{00000000-0005-0000-0000-00005C690000}"/>
    <cellStyle name="Comma 4 2 2 2 6 2" xfId="10626" xr:uid="{00000000-0005-0000-0000-00005D690000}"/>
    <cellStyle name="Comma 4 2 2 2 7" xfId="9186" xr:uid="{00000000-0005-0000-0000-00005E690000}"/>
    <cellStyle name="Comma 4 2 2 2 8" xfId="6205" xr:uid="{00000000-0005-0000-0000-00005F690000}"/>
    <cellStyle name="Comma 4 2 2 2 9" xfId="22654" xr:uid="{00000000-0005-0000-0000-000060690000}"/>
    <cellStyle name="Comma 4 2 2 3" xfId="493" xr:uid="{00000000-0005-0000-0000-000061690000}"/>
    <cellStyle name="Comma 4 2 2 3 2" xfId="494" xr:uid="{00000000-0005-0000-0000-000062690000}"/>
    <cellStyle name="Comma 4 2 2 3 2 2" xfId="7374" xr:uid="{00000000-0005-0000-0000-000063690000}"/>
    <cellStyle name="Comma 4 2 2 3 2 2 2" xfId="8851" xr:uid="{00000000-0005-0000-0000-000064690000}"/>
    <cellStyle name="Comma 4 2 2 3 2 2 2 2" xfId="11748" xr:uid="{00000000-0005-0000-0000-000065690000}"/>
    <cellStyle name="Comma 4 2 2 3 2 2 3" xfId="10308" xr:uid="{00000000-0005-0000-0000-000066690000}"/>
    <cellStyle name="Comma 4 2 2 3 2 2 4" xfId="51985" xr:uid="{00000000-0005-0000-0000-000067690000}"/>
    <cellStyle name="Comma 4 2 2 3 2 3" xfId="8193" xr:uid="{00000000-0005-0000-0000-000068690000}"/>
    <cellStyle name="Comma 4 2 2 3 2 3 2" xfId="11090" xr:uid="{00000000-0005-0000-0000-000069690000}"/>
    <cellStyle name="Comma 4 2 2 3 2 4" xfId="9650" xr:uid="{00000000-0005-0000-0000-00006A690000}"/>
    <cellStyle name="Comma 4 2 2 3 2 5" xfId="6698" xr:uid="{00000000-0005-0000-0000-00006B690000}"/>
    <cellStyle name="Comma 4 2 2 3 2 6" xfId="32798" xr:uid="{00000000-0005-0000-0000-00006C690000}"/>
    <cellStyle name="Comma 4 2 2 3 3" xfId="495" xr:uid="{00000000-0005-0000-0000-00006D690000}"/>
    <cellStyle name="Comma 4 2 2 3 3 2" xfId="7141" xr:uid="{00000000-0005-0000-0000-00006E690000}"/>
    <cellStyle name="Comma 4 2 2 3 3 2 2" xfId="8618" xr:uid="{00000000-0005-0000-0000-00006F690000}"/>
    <cellStyle name="Comma 4 2 2 3 3 2 2 2" xfId="11515" xr:uid="{00000000-0005-0000-0000-000070690000}"/>
    <cellStyle name="Comma 4 2 2 3 3 2 3" xfId="10075" xr:uid="{00000000-0005-0000-0000-000071690000}"/>
    <cellStyle name="Comma 4 2 2 3 3 2 4" xfId="42640" xr:uid="{00000000-0005-0000-0000-000072690000}"/>
    <cellStyle name="Comma 4 2 2 3 3 3" xfId="7960" xr:uid="{00000000-0005-0000-0000-000073690000}"/>
    <cellStyle name="Comma 4 2 2 3 3 3 2" xfId="10857" xr:uid="{00000000-0005-0000-0000-000074690000}"/>
    <cellStyle name="Comma 4 2 2 3 3 4" xfId="9417" xr:uid="{00000000-0005-0000-0000-000075690000}"/>
    <cellStyle name="Comma 4 2 2 3 3 5" xfId="6465" xr:uid="{00000000-0005-0000-0000-000076690000}"/>
    <cellStyle name="Comma 4 2 2 3 3 6" xfId="23071" xr:uid="{00000000-0005-0000-0000-000077690000}"/>
    <cellStyle name="Comma 4 2 2 3 4" xfId="2399" xr:uid="{00000000-0005-0000-0000-000078690000}"/>
    <cellStyle name="Comma 4 2 2 3 4 2" xfId="8443" xr:uid="{00000000-0005-0000-0000-000079690000}"/>
    <cellStyle name="Comma 4 2 2 3 4 2 2" xfId="11340" xr:uid="{00000000-0005-0000-0000-00007A690000}"/>
    <cellStyle name="Comma 4 2 2 3 4 3" xfId="9900" xr:uid="{00000000-0005-0000-0000-00007B690000}"/>
    <cellStyle name="Comma 4 2 2 3 4 4" xfId="6966" xr:uid="{00000000-0005-0000-0000-00007C690000}"/>
    <cellStyle name="Comma 4 2 2 3 4 5" xfId="42287" xr:uid="{00000000-0005-0000-0000-00007D690000}"/>
    <cellStyle name="Comma 4 2 2 3 5" xfId="7783" xr:uid="{00000000-0005-0000-0000-00007E690000}"/>
    <cellStyle name="Comma 4 2 2 3 5 2" xfId="10682" xr:uid="{00000000-0005-0000-0000-00007F690000}"/>
    <cellStyle name="Comma 4 2 2 3 5 3" xfId="53598" xr:uid="{00000000-0005-0000-0000-000080690000}"/>
    <cellStyle name="Comma 4 2 2 3 6" xfId="9242" xr:uid="{00000000-0005-0000-0000-000081690000}"/>
    <cellStyle name="Comma 4 2 2 3 7" xfId="6267" xr:uid="{00000000-0005-0000-0000-000082690000}"/>
    <cellStyle name="Comma 4 2 2 3 8" xfId="22712" xr:uid="{00000000-0005-0000-0000-000083690000}"/>
    <cellStyle name="Comma 4 2 2 4" xfId="496" xr:uid="{00000000-0005-0000-0000-000084690000}"/>
    <cellStyle name="Comma 4 2 2 4 2" xfId="7258" xr:uid="{00000000-0005-0000-0000-000085690000}"/>
    <cellStyle name="Comma 4 2 2 4 2 2" xfId="8735" xr:uid="{00000000-0005-0000-0000-000086690000}"/>
    <cellStyle name="Comma 4 2 2 4 2 2 2" xfId="11632" xr:uid="{00000000-0005-0000-0000-000087690000}"/>
    <cellStyle name="Comma 4 2 2 4 2 2 3" xfId="51848" xr:uid="{00000000-0005-0000-0000-000088690000}"/>
    <cellStyle name="Comma 4 2 2 4 2 3" xfId="10192" xr:uid="{00000000-0005-0000-0000-000089690000}"/>
    <cellStyle name="Comma 4 2 2 4 2 4" xfId="32661" xr:uid="{00000000-0005-0000-0000-00008A690000}"/>
    <cellStyle name="Comma 4 2 2 4 3" xfId="8077" xr:uid="{00000000-0005-0000-0000-00008B690000}"/>
    <cellStyle name="Comma 4 2 2 4 3 2" xfId="10974" xr:uid="{00000000-0005-0000-0000-00008C690000}"/>
    <cellStyle name="Comma 4 2 2 4 3 3" xfId="42150" xr:uid="{00000000-0005-0000-0000-00008D690000}"/>
    <cellStyle name="Comma 4 2 2 4 4" xfId="9534" xr:uid="{00000000-0005-0000-0000-00008E690000}"/>
    <cellStyle name="Comma 4 2 2 4 5" xfId="6582" xr:uid="{00000000-0005-0000-0000-00008F690000}"/>
    <cellStyle name="Comma 4 2 2 4 6" xfId="22539" xr:uid="{00000000-0005-0000-0000-000090690000}"/>
    <cellStyle name="Comma 4 2 2 5" xfId="497" xr:uid="{00000000-0005-0000-0000-000091690000}"/>
    <cellStyle name="Comma 4 2 2 5 2" xfId="7025" xr:uid="{00000000-0005-0000-0000-000092690000}"/>
    <cellStyle name="Comma 4 2 2 5 2 2" xfId="8502" xr:uid="{00000000-0005-0000-0000-000093690000}"/>
    <cellStyle name="Comma 4 2 2 5 2 2 2" xfId="11399" xr:uid="{00000000-0005-0000-0000-000094690000}"/>
    <cellStyle name="Comma 4 2 2 5 2 3" xfId="9959" xr:uid="{00000000-0005-0000-0000-000095690000}"/>
    <cellStyle name="Comma 4 2 2 5 3" xfId="7843" xr:uid="{00000000-0005-0000-0000-000096690000}"/>
    <cellStyle name="Comma 4 2 2 5 3 2" xfId="10741" xr:uid="{00000000-0005-0000-0000-000097690000}"/>
    <cellStyle name="Comma 4 2 2 5 4" xfId="9301" xr:uid="{00000000-0005-0000-0000-000098690000}"/>
    <cellStyle name="Comma 4 2 2 5 5" xfId="6346" xr:uid="{00000000-0005-0000-0000-000099690000}"/>
    <cellStyle name="Comma 4 2 2 5 6" xfId="24181" xr:uid="{00000000-0005-0000-0000-00009A690000}"/>
    <cellStyle name="Comma 4 2 2 6" xfId="2396" xr:uid="{00000000-0005-0000-0000-00009B690000}"/>
    <cellStyle name="Comma 4 2 2 6 2" xfId="8965" xr:uid="{00000000-0005-0000-0000-00009C690000}"/>
    <cellStyle name="Comma 4 2 2 6 2 2" xfId="11862" xr:uid="{00000000-0005-0000-0000-00009D690000}"/>
    <cellStyle name="Comma 4 2 2 6 2 3" xfId="42503" xr:uid="{00000000-0005-0000-0000-00009E690000}"/>
    <cellStyle name="Comma 4 2 2 6 3" xfId="10422" xr:uid="{00000000-0005-0000-0000-00009F690000}"/>
    <cellStyle name="Comma 4 2 2 6 4" xfId="7491" xr:uid="{00000000-0005-0000-0000-0000A0690000}"/>
    <cellStyle name="Comma 4 2 2 6 5" xfId="22934" xr:uid="{00000000-0005-0000-0000-0000A1690000}"/>
    <cellStyle name="Comma 4 2 2 7" xfId="7550" xr:uid="{00000000-0005-0000-0000-0000A2690000}"/>
    <cellStyle name="Comma 4 2 2 7 2" xfId="9022" xr:uid="{00000000-0005-0000-0000-0000A3690000}"/>
    <cellStyle name="Comma 4 2 2 7 2 2" xfId="11919" xr:uid="{00000000-0005-0000-0000-0000A4690000}"/>
    <cellStyle name="Comma 4 2 2 7 3" xfId="10479" xr:uid="{00000000-0005-0000-0000-0000A5690000}"/>
    <cellStyle name="Comma 4 2 2 7 4" xfId="52713" xr:uid="{00000000-0005-0000-0000-0000A6690000}"/>
    <cellStyle name="Comma 4 2 2 8" xfId="6826" xr:uid="{00000000-0005-0000-0000-0000A7690000}"/>
    <cellStyle name="Comma 4 2 2 8 2" xfId="8306" xr:uid="{00000000-0005-0000-0000-0000A8690000}"/>
    <cellStyle name="Comma 4 2 2 8 2 2" xfId="11203" xr:uid="{00000000-0005-0000-0000-0000A9690000}"/>
    <cellStyle name="Comma 4 2 2 8 3" xfId="9763" xr:uid="{00000000-0005-0000-0000-0000AA690000}"/>
    <cellStyle name="Comma 4 2 2 9" xfId="7645" xr:uid="{00000000-0005-0000-0000-0000AB690000}"/>
    <cellStyle name="Comma 4 2 2 9 2" xfId="10545" xr:uid="{00000000-0005-0000-0000-0000AC690000}"/>
    <cellStyle name="Comma 4 2 3" xfId="498" xr:uid="{00000000-0005-0000-0000-0000AD690000}"/>
    <cellStyle name="Comma 4 2 3 2" xfId="499" xr:uid="{00000000-0005-0000-0000-0000AE690000}"/>
    <cellStyle name="Comma 4 2 3 2 2" xfId="500" xr:uid="{00000000-0005-0000-0000-0000AF690000}"/>
    <cellStyle name="Comma 4 2 3 2 2 2" xfId="7400" xr:uid="{00000000-0005-0000-0000-0000B0690000}"/>
    <cellStyle name="Comma 4 2 3 2 2 2 2" xfId="8877" xr:uid="{00000000-0005-0000-0000-0000B1690000}"/>
    <cellStyle name="Comma 4 2 3 2 2 2 2 2" xfId="11774" xr:uid="{00000000-0005-0000-0000-0000B2690000}"/>
    <cellStyle name="Comma 4 2 3 2 2 2 3" xfId="10334" xr:uid="{00000000-0005-0000-0000-0000B3690000}"/>
    <cellStyle name="Comma 4 2 3 2 2 3" xfId="8219" xr:uid="{00000000-0005-0000-0000-0000B4690000}"/>
    <cellStyle name="Comma 4 2 3 2 2 3 2" xfId="11116" xr:uid="{00000000-0005-0000-0000-0000B5690000}"/>
    <cellStyle name="Comma 4 2 3 2 2 4" xfId="9676" xr:uid="{00000000-0005-0000-0000-0000B6690000}"/>
    <cellStyle name="Comma 4 2 3 2 2 5" xfId="6724" xr:uid="{00000000-0005-0000-0000-0000B7690000}"/>
    <cellStyle name="Comma 4 2 3 2 2 6" xfId="51899" xr:uid="{00000000-0005-0000-0000-0000B8690000}"/>
    <cellStyle name="Comma 4 2 3 2 3" xfId="2401" xr:uid="{00000000-0005-0000-0000-0000B9690000}"/>
    <cellStyle name="Comma 4 2 3 2 3 2" xfId="8644" xr:uid="{00000000-0005-0000-0000-0000BA690000}"/>
    <cellStyle name="Comma 4 2 3 2 3 2 2" xfId="11541" xr:uid="{00000000-0005-0000-0000-0000BB690000}"/>
    <cellStyle name="Comma 4 2 3 2 3 3" xfId="10101" xr:uid="{00000000-0005-0000-0000-0000BC690000}"/>
    <cellStyle name="Comma 4 2 3 2 3 4" xfId="7167" xr:uid="{00000000-0005-0000-0000-0000BD690000}"/>
    <cellStyle name="Comma 4 2 3 2 3 5" xfId="53798" xr:uid="{00000000-0005-0000-0000-0000BE690000}"/>
    <cellStyle name="Comma 4 2 3 2 4" xfId="7986" xr:uid="{00000000-0005-0000-0000-0000BF690000}"/>
    <cellStyle name="Comma 4 2 3 2 4 2" xfId="10883" xr:uid="{00000000-0005-0000-0000-0000C0690000}"/>
    <cellStyle name="Comma 4 2 3 2 5" xfId="9443" xr:uid="{00000000-0005-0000-0000-0000C1690000}"/>
    <cellStyle name="Comma 4 2 3 2 6" xfId="6491" xr:uid="{00000000-0005-0000-0000-0000C2690000}"/>
    <cellStyle name="Comma 4 2 3 2 7" xfId="32712" xr:uid="{00000000-0005-0000-0000-0000C3690000}"/>
    <cellStyle name="Comma 4 2 3 3" xfId="501" xr:uid="{00000000-0005-0000-0000-0000C4690000}"/>
    <cellStyle name="Comma 4 2 3 3 2" xfId="7284" xr:uid="{00000000-0005-0000-0000-0000C5690000}"/>
    <cellStyle name="Comma 4 2 3 3 2 2" xfId="8761" xr:uid="{00000000-0005-0000-0000-0000C6690000}"/>
    <cellStyle name="Comma 4 2 3 3 2 2 2" xfId="11658" xr:uid="{00000000-0005-0000-0000-0000C7690000}"/>
    <cellStyle name="Comma 4 2 3 3 2 3" xfId="10218" xr:uid="{00000000-0005-0000-0000-0000C8690000}"/>
    <cellStyle name="Comma 4 2 3 3 2 4" xfId="42554" xr:uid="{00000000-0005-0000-0000-0000C9690000}"/>
    <cellStyle name="Comma 4 2 3 3 3" xfId="8103" xr:uid="{00000000-0005-0000-0000-0000CA690000}"/>
    <cellStyle name="Comma 4 2 3 3 3 2" xfId="11000" xr:uid="{00000000-0005-0000-0000-0000CB690000}"/>
    <cellStyle name="Comma 4 2 3 3 4" xfId="9560" xr:uid="{00000000-0005-0000-0000-0000CC690000}"/>
    <cellStyle name="Comma 4 2 3 3 5" xfId="6608" xr:uid="{00000000-0005-0000-0000-0000CD690000}"/>
    <cellStyle name="Comma 4 2 3 3 6" xfId="22985" xr:uid="{00000000-0005-0000-0000-0000CE690000}"/>
    <cellStyle name="Comma 4 2 3 4" xfId="502" xr:uid="{00000000-0005-0000-0000-0000CF690000}"/>
    <cellStyle name="Comma 4 2 3 4 2" xfId="7051" xr:uid="{00000000-0005-0000-0000-0000D0690000}"/>
    <cellStyle name="Comma 4 2 3 4 2 2" xfId="8528" xr:uid="{00000000-0005-0000-0000-0000D1690000}"/>
    <cellStyle name="Comma 4 2 3 4 2 2 2" xfId="11425" xr:uid="{00000000-0005-0000-0000-0000D2690000}"/>
    <cellStyle name="Comma 4 2 3 4 2 3" xfId="9985" xr:uid="{00000000-0005-0000-0000-0000D3690000}"/>
    <cellStyle name="Comma 4 2 3 4 3" xfId="7869" xr:uid="{00000000-0005-0000-0000-0000D4690000}"/>
    <cellStyle name="Comma 4 2 3 4 3 2" xfId="10767" xr:uid="{00000000-0005-0000-0000-0000D5690000}"/>
    <cellStyle name="Comma 4 2 3 4 4" xfId="9327" xr:uid="{00000000-0005-0000-0000-0000D6690000}"/>
    <cellStyle name="Comma 4 2 3 4 5" xfId="6372" xr:uid="{00000000-0005-0000-0000-0000D7690000}"/>
    <cellStyle name="Comma 4 2 3 4 6" xfId="42201" xr:uid="{00000000-0005-0000-0000-0000D8690000}"/>
    <cellStyle name="Comma 4 2 3 5" xfId="2400" xr:uid="{00000000-0005-0000-0000-0000D9690000}"/>
    <cellStyle name="Comma 4 2 3 5 2" xfId="8357" xr:uid="{00000000-0005-0000-0000-0000DA690000}"/>
    <cellStyle name="Comma 4 2 3 5 2 2" xfId="11254" xr:uid="{00000000-0005-0000-0000-0000DB690000}"/>
    <cellStyle name="Comma 4 2 3 5 3" xfId="9814" xr:uid="{00000000-0005-0000-0000-0000DC690000}"/>
    <cellStyle name="Comma 4 2 3 5 4" xfId="6879" xr:uid="{00000000-0005-0000-0000-0000DD690000}"/>
    <cellStyle name="Comma 4 2 3 5 5" xfId="52923" xr:uid="{00000000-0005-0000-0000-0000DE690000}"/>
    <cellStyle name="Comma 4 2 3 6" xfId="7696" xr:uid="{00000000-0005-0000-0000-0000DF690000}"/>
    <cellStyle name="Comma 4 2 3 6 2" xfId="10596" xr:uid="{00000000-0005-0000-0000-0000E0690000}"/>
    <cellStyle name="Comma 4 2 3 7" xfId="9156" xr:uid="{00000000-0005-0000-0000-0000E1690000}"/>
    <cellStyle name="Comma 4 2 3 8" xfId="6174" xr:uid="{00000000-0005-0000-0000-0000E2690000}"/>
    <cellStyle name="Comma 4 2 3 9" xfId="22623" xr:uid="{00000000-0005-0000-0000-0000E3690000}"/>
    <cellStyle name="Comma 4 2 4" xfId="503" xr:uid="{00000000-0005-0000-0000-0000E4690000}"/>
    <cellStyle name="Comma 4 2 4 2" xfId="504" xr:uid="{00000000-0005-0000-0000-0000E5690000}"/>
    <cellStyle name="Comma 4 2 4 2 2" xfId="7348" xr:uid="{00000000-0005-0000-0000-0000E6690000}"/>
    <cellStyle name="Comma 4 2 4 2 2 2" xfId="8825" xr:uid="{00000000-0005-0000-0000-0000E7690000}"/>
    <cellStyle name="Comma 4 2 4 2 2 2 2" xfId="11722" xr:uid="{00000000-0005-0000-0000-0000E8690000}"/>
    <cellStyle name="Comma 4 2 4 2 2 3" xfId="10282" xr:uid="{00000000-0005-0000-0000-0000E9690000}"/>
    <cellStyle name="Comma 4 2 4 2 2 4" xfId="51955" xr:uid="{00000000-0005-0000-0000-0000EA690000}"/>
    <cellStyle name="Comma 4 2 4 2 3" xfId="8167" xr:uid="{00000000-0005-0000-0000-0000EB690000}"/>
    <cellStyle name="Comma 4 2 4 2 3 2" xfId="11064" xr:uid="{00000000-0005-0000-0000-0000EC690000}"/>
    <cellStyle name="Comma 4 2 4 2 4" xfId="9624" xr:uid="{00000000-0005-0000-0000-0000ED690000}"/>
    <cellStyle name="Comma 4 2 4 2 5" xfId="6672" xr:uid="{00000000-0005-0000-0000-0000EE690000}"/>
    <cellStyle name="Comma 4 2 4 2 6" xfId="32768" xr:uid="{00000000-0005-0000-0000-0000EF690000}"/>
    <cellStyle name="Comma 4 2 4 3" xfId="505" xr:uid="{00000000-0005-0000-0000-0000F0690000}"/>
    <cellStyle name="Comma 4 2 4 3 2" xfId="7115" xr:uid="{00000000-0005-0000-0000-0000F1690000}"/>
    <cellStyle name="Comma 4 2 4 3 2 2" xfId="8592" xr:uid="{00000000-0005-0000-0000-0000F2690000}"/>
    <cellStyle name="Comma 4 2 4 3 2 2 2" xfId="11489" xr:uid="{00000000-0005-0000-0000-0000F3690000}"/>
    <cellStyle name="Comma 4 2 4 3 2 3" xfId="10049" xr:uid="{00000000-0005-0000-0000-0000F4690000}"/>
    <cellStyle name="Comma 4 2 4 3 2 4" xfId="42610" xr:uid="{00000000-0005-0000-0000-0000F5690000}"/>
    <cellStyle name="Comma 4 2 4 3 3" xfId="7934" xr:uid="{00000000-0005-0000-0000-0000F6690000}"/>
    <cellStyle name="Comma 4 2 4 3 3 2" xfId="10831" xr:uid="{00000000-0005-0000-0000-0000F7690000}"/>
    <cellStyle name="Comma 4 2 4 3 4" xfId="9391" xr:uid="{00000000-0005-0000-0000-0000F8690000}"/>
    <cellStyle name="Comma 4 2 4 3 5" xfId="6439" xr:uid="{00000000-0005-0000-0000-0000F9690000}"/>
    <cellStyle name="Comma 4 2 4 3 6" xfId="23041" xr:uid="{00000000-0005-0000-0000-0000FA690000}"/>
    <cellStyle name="Comma 4 2 4 4" xfId="2402" xr:uid="{00000000-0005-0000-0000-0000FB690000}"/>
    <cellStyle name="Comma 4 2 4 4 2" xfId="8413" xr:uid="{00000000-0005-0000-0000-0000FC690000}"/>
    <cellStyle name="Comma 4 2 4 4 2 2" xfId="11310" xr:uid="{00000000-0005-0000-0000-0000FD690000}"/>
    <cellStyle name="Comma 4 2 4 4 3" xfId="9870" xr:uid="{00000000-0005-0000-0000-0000FE690000}"/>
    <cellStyle name="Comma 4 2 4 4 4" xfId="6936" xr:uid="{00000000-0005-0000-0000-0000FF690000}"/>
    <cellStyle name="Comma 4 2 4 4 5" xfId="42257" xr:uid="{00000000-0005-0000-0000-0000006A0000}"/>
    <cellStyle name="Comma 4 2 4 5" xfId="7753" xr:uid="{00000000-0005-0000-0000-0000016A0000}"/>
    <cellStyle name="Comma 4 2 4 5 2" xfId="10652" xr:uid="{00000000-0005-0000-0000-0000026A0000}"/>
    <cellStyle name="Comma 4 2 4 5 3" xfId="53402" xr:uid="{00000000-0005-0000-0000-0000036A0000}"/>
    <cellStyle name="Comma 4 2 4 6" xfId="9212" xr:uid="{00000000-0005-0000-0000-0000046A0000}"/>
    <cellStyle name="Comma 4 2 4 7" xfId="6237" xr:uid="{00000000-0005-0000-0000-0000056A0000}"/>
    <cellStyle name="Comma 4 2 4 8" xfId="22682" xr:uid="{00000000-0005-0000-0000-0000066A0000}"/>
    <cellStyle name="Comma 4 2 5" xfId="506" xr:uid="{00000000-0005-0000-0000-0000076A0000}"/>
    <cellStyle name="Comma 4 2 5 2" xfId="2403" xr:uid="{00000000-0005-0000-0000-0000086A0000}"/>
    <cellStyle name="Comma 4 2 5 2 2" xfId="8709" xr:uid="{00000000-0005-0000-0000-0000096A0000}"/>
    <cellStyle name="Comma 4 2 5 2 2 2" xfId="11606" xr:uid="{00000000-0005-0000-0000-00000A6A0000}"/>
    <cellStyle name="Comma 4 2 5 2 2 3" xfId="51818" xr:uid="{00000000-0005-0000-0000-00000B6A0000}"/>
    <cellStyle name="Comma 4 2 5 2 3" xfId="10166" xr:uid="{00000000-0005-0000-0000-00000C6A0000}"/>
    <cellStyle name="Comma 4 2 5 2 4" xfId="7232" xr:uid="{00000000-0005-0000-0000-00000D6A0000}"/>
    <cellStyle name="Comma 4 2 5 2 5" xfId="32631" xr:uid="{00000000-0005-0000-0000-00000E6A0000}"/>
    <cellStyle name="Comma 4 2 5 3" xfId="8051" xr:uid="{00000000-0005-0000-0000-00000F6A0000}"/>
    <cellStyle name="Comma 4 2 5 3 2" xfId="10948" xr:uid="{00000000-0005-0000-0000-0000106A0000}"/>
    <cellStyle name="Comma 4 2 5 3 3" xfId="42120" xr:uid="{00000000-0005-0000-0000-0000116A0000}"/>
    <cellStyle name="Comma 4 2 5 4" xfId="9508" xr:uid="{00000000-0005-0000-0000-0000126A0000}"/>
    <cellStyle name="Comma 4 2 5 5" xfId="6556" xr:uid="{00000000-0005-0000-0000-0000136A0000}"/>
    <cellStyle name="Comma 4 2 5 6" xfId="22504" xr:uid="{00000000-0005-0000-0000-0000146A0000}"/>
    <cellStyle name="Comma 4 2 6" xfId="507" xr:uid="{00000000-0005-0000-0000-0000156A0000}"/>
    <cellStyle name="Comma 4 2 6 2" xfId="6999" xr:uid="{00000000-0005-0000-0000-0000166A0000}"/>
    <cellStyle name="Comma 4 2 6 2 2" xfId="8476" xr:uid="{00000000-0005-0000-0000-0000176A0000}"/>
    <cellStyle name="Comma 4 2 6 2 2 2" xfId="11373" xr:uid="{00000000-0005-0000-0000-0000186A0000}"/>
    <cellStyle name="Comma 4 2 6 2 3" xfId="9933" xr:uid="{00000000-0005-0000-0000-0000196A0000}"/>
    <cellStyle name="Comma 4 2 6 3" xfId="7817" xr:uid="{00000000-0005-0000-0000-00001A6A0000}"/>
    <cellStyle name="Comma 4 2 6 3 2" xfId="10715" xr:uid="{00000000-0005-0000-0000-00001B6A0000}"/>
    <cellStyle name="Comma 4 2 6 4" xfId="9275" xr:uid="{00000000-0005-0000-0000-00001C6A0000}"/>
    <cellStyle name="Comma 4 2 6 5" xfId="6320" xr:uid="{00000000-0005-0000-0000-00001D6A0000}"/>
    <cellStyle name="Comma 4 2 6 6" xfId="23393" xr:uid="{00000000-0005-0000-0000-00001E6A0000}"/>
    <cellStyle name="Comma 4 2 7" xfId="2395" xr:uid="{00000000-0005-0000-0000-00001F6A0000}"/>
    <cellStyle name="Comma 4 2 7 2" xfId="8939" xr:uid="{00000000-0005-0000-0000-0000206A0000}"/>
    <cellStyle name="Comma 4 2 7 2 2" xfId="11836" xr:uid="{00000000-0005-0000-0000-0000216A0000}"/>
    <cellStyle name="Comma 4 2 7 2 3" xfId="42473" xr:uid="{00000000-0005-0000-0000-0000226A0000}"/>
    <cellStyle name="Comma 4 2 7 3" xfId="10396" xr:uid="{00000000-0005-0000-0000-0000236A0000}"/>
    <cellStyle name="Comma 4 2 7 4" xfId="7465" xr:uid="{00000000-0005-0000-0000-0000246A0000}"/>
    <cellStyle name="Comma 4 2 7 5" xfId="22904" xr:uid="{00000000-0005-0000-0000-0000256A0000}"/>
    <cellStyle name="Comma 4 2 8" xfId="7524" xr:uid="{00000000-0005-0000-0000-0000266A0000}"/>
    <cellStyle name="Comma 4 2 8 2" xfId="8996" xr:uid="{00000000-0005-0000-0000-0000276A0000}"/>
    <cellStyle name="Comma 4 2 8 2 2" xfId="11893" xr:uid="{00000000-0005-0000-0000-0000286A0000}"/>
    <cellStyle name="Comma 4 2 8 3" xfId="10453" xr:uid="{00000000-0005-0000-0000-0000296A0000}"/>
    <cellStyle name="Comma 4 2 8 4" xfId="12370" xr:uid="{00000000-0005-0000-0000-00002A6A0000}"/>
    <cellStyle name="Comma 4 2 9" xfId="6795" xr:uid="{00000000-0005-0000-0000-00002B6A0000}"/>
    <cellStyle name="Comma 4 2 9 2" xfId="8276" xr:uid="{00000000-0005-0000-0000-00002C6A0000}"/>
    <cellStyle name="Comma 4 2 9 2 2" xfId="11173" xr:uid="{00000000-0005-0000-0000-00002D6A0000}"/>
    <cellStyle name="Comma 4 2 9 3" xfId="9733" xr:uid="{00000000-0005-0000-0000-00002E6A0000}"/>
    <cellStyle name="Comma 4 2 9 4" xfId="52509" xr:uid="{00000000-0005-0000-0000-00002F6A0000}"/>
    <cellStyle name="Comma 4 3" xfId="508" xr:uid="{00000000-0005-0000-0000-0000306A0000}"/>
    <cellStyle name="Comma 4 3 10" xfId="7623" xr:uid="{00000000-0005-0000-0000-0000316A0000}"/>
    <cellStyle name="Comma 4 3 10 2" xfId="10523" xr:uid="{00000000-0005-0000-0000-0000326A0000}"/>
    <cellStyle name="Comma 4 3 11" xfId="9083" xr:uid="{00000000-0005-0000-0000-0000336A0000}"/>
    <cellStyle name="Comma 4 3 12" xfId="6088" xr:uid="{00000000-0005-0000-0000-0000346A0000}"/>
    <cellStyle name="Comma 4 3 13" xfId="12047" xr:uid="{00000000-0005-0000-0000-0000356A0000}"/>
    <cellStyle name="Comma 4 3 2" xfId="509" xr:uid="{00000000-0005-0000-0000-0000366A0000}"/>
    <cellStyle name="Comma 4 3 2 10" xfId="9113" xr:uid="{00000000-0005-0000-0000-0000376A0000}"/>
    <cellStyle name="Comma 4 3 2 10 2" xfId="42511" xr:uid="{00000000-0005-0000-0000-0000386A0000}"/>
    <cellStyle name="Comma 4 3 2 10 3" xfId="22942" xr:uid="{00000000-0005-0000-0000-0000396A0000}"/>
    <cellStyle name="Comma 4 3 2 11" xfId="6125" xr:uid="{00000000-0005-0000-0000-00003A6A0000}"/>
    <cellStyle name="Comma 4 3 2 11 2" xfId="33691" xr:uid="{00000000-0005-0000-0000-00003B6A0000}"/>
    <cellStyle name="Comma 4 3 2 12" xfId="52751" xr:uid="{00000000-0005-0000-0000-00003C6A0000}"/>
    <cellStyle name="Comma 4 3 2 13" xfId="13626" xr:uid="{00000000-0005-0000-0000-00003D6A0000}"/>
    <cellStyle name="Comma 4 3 2 2" xfId="510" xr:uid="{00000000-0005-0000-0000-00003E6A0000}"/>
    <cellStyle name="Comma 4 3 2 2 2" xfId="511" xr:uid="{00000000-0005-0000-0000-00003F6A0000}"/>
    <cellStyle name="Comma 4 3 2 2 2 2" xfId="512" xr:uid="{00000000-0005-0000-0000-0000406A0000}"/>
    <cellStyle name="Comma 4 3 2 2 2 2 2" xfId="7438" xr:uid="{00000000-0005-0000-0000-0000416A0000}"/>
    <cellStyle name="Comma 4 3 2 2 2 2 2 2" xfId="8915" xr:uid="{00000000-0005-0000-0000-0000426A0000}"/>
    <cellStyle name="Comma 4 3 2 2 2 2 2 2 2" xfId="11812" xr:uid="{00000000-0005-0000-0000-0000436A0000}"/>
    <cellStyle name="Comma 4 3 2 2 2 2 2 2 3" xfId="50628" xr:uid="{00000000-0005-0000-0000-0000446A0000}"/>
    <cellStyle name="Comma 4 3 2 2 2 2 2 3" xfId="10372" xr:uid="{00000000-0005-0000-0000-0000456A0000}"/>
    <cellStyle name="Comma 4 3 2 2 2 2 2 4" xfId="31439" xr:uid="{00000000-0005-0000-0000-0000466A0000}"/>
    <cellStyle name="Comma 4 3 2 2 2 2 3" xfId="8257" xr:uid="{00000000-0005-0000-0000-0000476A0000}"/>
    <cellStyle name="Comma 4 3 2 2 2 2 3 2" xfId="11154" xr:uid="{00000000-0005-0000-0000-0000486A0000}"/>
    <cellStyle name="Comma 4 3 2 2 2 2 3 3" xfId="40930" xr:uid="{00000000-0005-0000-0000-0000496A0000}"/>
    <cellStyle name="Comma 4 3 2 2 2 2 4" xfId="9714" xr:uid="{00000000-0005-0000-0000-00004A6A0000}"/>
    <cellStyle name="Comma 4 3 2 2 2 2 5" xfId="6762" xr:uid="{00000000-0005-0000-0000-00004B6A0000}"/>
    <cellStyle name="Comma 4 3 2 2 2 2 6" xfId="21071" xr:uid="{00000000-0005-0000-0000-00004C6A0000}"/>
    <cellStyle name="Comma 4 3 2 2 2 3" xfId="2407" xr:uid="{00000000-0005-0000-0000-00004D6A0000}"/>
    <cellStyle name="Comma 4 3 2 2 2 3 2" xfId="8682" xr:uid="{00000000-0005-0000-0000-00004E6A0000}"/>
    <cellStyle name="Comma 4 3 2 2 2 3 2 2" xfId="11579" xr:uid="{00000000-0005-0000-0000-00004F6A0000}"/>
    <cellStyle name="Comma 4 3 2 2 2 3 2 3" xfId="46173" xr:uid="{00000000-0005-0000-0000-0000506A0000}"/>
    <cellStyle name="Comma 4 3 2 2 2 3 3" xfId="10139" xr:uid="{00000000-0005-0000-0000-0000516A0000}"/>
    <cellStyle name="Comma 4 3 2 2 2 3 4" xfId="7205" xr:uid="{00000000-0005-0000-0000-0000526A0000}"/>
    <cellStyle name="Comma 4 3 2 2 2 3 5" xfId="26984" xr:uid="{00000000-0005-0000-0000-0000536A0000}"/>
    <cellStyle name="Comma 4 3 2 2 2 4" xfId="8024" xr:uid="{00000000-0005-0000-0000-0000546A0000}"/>
    <cellStyle name="Comma 4 3 2 2 2 4 2" xfId="10921" xr:uid="{00000000-0005-0000-0000-0000556A0000}"/>
    <cellStyle name="Comma 4 3 2 2 2 4 3" xfId="36475" xr:uid="{00000000-0005-0000-0000-0000566A0000}"/>
    <cellStyle name="Comma 4 3 2 2 2 5" xfId="9481" xr:uid="{00000000-0005-0000-0000-0000576A0000}"/>
    <cellStyle name="Comma 4 3 2 2 2 5 2" xfId="54032" xr:uid="{00000000-0005-0000-0000-0000586A0000}"/>
    <cellStyle name="Comma 4 3 2 2 2 6" xfId="6529" xr:uid="{00000000-0005-0000-0000-0000596A0000}"/>
    <cellStyle name="Comma 4 3 2 2 2 7" xfId="16607" xr:uid="{00000000-0005-0000-0000-00005A6A0000}"/>
    <cellStyle name="Comma 4 3 2 2 3" xfId="513" xr:uid="{00000000-0005-0000-0000-00005B6A0000}"/>
    <cellStyle name="Comma 4 3 2 2 3 2" xfId="7322" xr:uid="{00000000-0005-0000-0000-00005C6A0000}"/>
    <cellStyle name="Comma 4 3 2 2 3 2 2" xfId="8799" xr:uid="{00000000-0005-0000-0000-00005D6A0000}"/>
    <cellStyle name="Comma 4 3 2 2 3 2 2 2" xfId="11696" xr:uid="{00000000-0005-0000-0000-00005E6A0000}"/>
    <cellStyle name="Comma 4 3 2 2 3 2 2 3" xfId="48400" xr:uid="{00000000-0005-0000-0000-00005F6A0000}"/>
    <cellStyle name="Comma 4 3 2 2 3 2 3" xfId="10256" xr:uid="{00000000-0005-0000-0000-0000606A0000}"/>
    <cellStyle name="Comma 4 3 2 2 3 2 4" xfId="29211" xr:uid="{00000000-0005-0000-0000-0000616A0000}"/>
    <cellStyle name="Comma 4 3 2 2 3 3" xfId="8141" xr:uid="{00000000-0005-0000-0000-0000626A0000}"/>
    <cellStyle name="Comma 4 3 2 2 3 3 2" xfId="11038" xr:uid="{00000000-0005-0000-0000-0000636A0000}"/>
    <cellStyle name="Comma 4 3 2 2 3 3 3" xfId="38702" xr:uid="{00000000-0005-0000-0000-0000646A0000}"/>
    <cellStyle name="Comma 4 3 2 2 3 4" xfId="9598" xr:uid="{00000000-0005-0000-0000-0000656A0000}"/>
    <cellStyle name="Comma 4 3 2 2 3 5" xfId="6646" xr:uid="{00000000-0005-0000-0000-0000666A0000}"/>
    <cellStyle name="Comma 4 3 2 2 3 6" xfId="18843" xr:uid="{00000000-0005-0000-0000-0000676A0000}"/>
    <cellStyle name="Comma 4 3 2 2 4" xfId="514" xr:uid="{00000000-0005-0000-0000-0000686A0000}"/>
    <cellStyle name="Comma 4 3 2 2 4 2" xfId="7089" xr:uid="{00000000-0005-0000-0000-0000696A0000}"/>
    <cellStyle name="Comma 4 3 2 2 4 2 2" xfId="8566" xr:uid="{00000000-0005-0000-0000-00006A6A0000}"/>
    <cellStyle name="Comma 4 3 2 2 4 2 2 2" xfId="11463" xr:uid="{00000000-0005-0000-0000-00006B6A0000}"/>
    <cellStyle name="Comma 4 3 2 2 4 2 2 3" xfId="51937" xr:uid="{00000000-0005-0000-0000-00006C6A0000}"/>
    <cellStyle name="Comma 4 3 2 2 4 2 3" xfId="10023" xr:uid="{00000000-0005-0000-0000-00006D6A0000}"/>
    <cellStyle name="Comma 4 3 2 2 4 2 4" xfId="32750" xr:uid="{00000000-0005-0000-0000-00006E6A0000}"/>
    <cellStyle name="Comma 4 3 2 2 4 3" xfId="7907" xr:uid="{00000000-0005-0000-0000-00006F6A0000}"/>
    <cellStyle name="Comma 4 3 2 2 4 3 2" xfId="10805" xr:uid="{00000000-0005-0000-0000-0000706A0000}"/>
    <cellStyle name="Comma 4 3 2 2 4 3 3" xfId="42239" xr:uid="{00000000-0005-0000-0000-0000716A0000}"/>
    <cellStyle name="Comma 4 3 2 2 4 4" xfId="9365" xr:uid="{00000000-0005-0000-0000-0000726A0000}"/>
    <cellStyle name="Comma 4 3 2 2 4 5" xfId="6410" xr:uid="{00000000-0005-0000-0000-0000736A0000}"/>
    <cellStyle name="Comma 4 3 2 2 4 6" xfId="22662" xr:uid="{00000000-0005-0000-0000-0000746A0000}"/>
    <cellStyle name="Comma 4 3 2 2 5" xfId="2406" xr:uid="{00000000-0005-0000-0000-0000756A0000}"/>
    <cellStyle name="Comma 4 3 2 2 5 2" xfId="8395" xr:uid="{00000000-0005-0000-0000-0000766A0000}"/>
    <cellStyle name="Comma 4 3 2 2 5 2 2" xfId="11292" xr:uid="{00000000-0005-0000-0000-0000776A0000}"/>
    <cellStyle name="Comma 4 3 2 2 5 2 3" xfId="43945" xr:uid="{00000000-0005-0000-0000-0000786A0000}"/>
    <cellStyle name="Comma 4 3 2 2 5 3" xfId="9852" xr:uid="{00000000-0005-0000-0000-0000796A0000}"/>
    <cellStyle name="Comma 4 3 2 2 5 4" xfId="6917" xr:uid="{00000000-0005-0000-0000-00007A6A0000}"/>
    <cellStyle name="Comma 4 3 2 2 5 5" xfId="24751" xr:uid="{00000000-0005-0000-0000-00007B6A0000}"/>
    <cellStyle name="Comma 4 3 2 2 6" xfId="7734" xr:uid="{00000000-0005-0000-0000-00007C6A0000}"/>
    <cellStyle name="Comma 4 3 2 2 6 2" xfId="10634" xr:uid="{00000000-0005-0000-0000-00007D6A0000}"/>
    <cellStyle name="Comma 4 3 2 2 6 2 2" xfId="42592" xr:uid="{00000000-0005-0000-0000-00007E6A0000}"/>
    <cellStyle name="Comma 4 3 2 2 6 3" xfId="23023" xr:uid="{00000000-0005-0000-0000-00007F6A0000}"/>
    <cellStyle name="Comma 4 3 2 2 7" xfId="9194" xr:uid="{00000000-0005-0000-0000-0000806A0000}"/>
    <cellStyle name="Comma 4 3 2 2 7 2" xfId="34247" xr:uid="{00000000-0005-0000-0000-0000816A0000}"/>
    <cellStyle name="Comma 4 3 2 2 8" xfId="6213" xr:uid="{00000000-0005-0000-0000-0000826A0000}"/>
    <cellStyle name="Comma 4 3 2 2 8 2" xfId="53179" xr:uid="{00000000-0005-0000-0000-0000836A0000}"/>
    <cellStyle name="Comma 4 3 2 2 9" xfId="14344" xr:uid="{00000000-0005-0000-0000-0000846A0000}"/>
    <cellStyle name="Comma 4 3 2 3" xfId="515" xr:uid="{00000000-0005-0000-0000-0000856A0000}"/>
    <cellStyle name="Comma 4 3 2 3 2" xfId="516" xr:uid="{00000000-0005-0000-0000-0000866A0000}"/>
    <cellStyle name="Comma 4 3 2 3 2 2" xfId="7382" xr:uid="{00000000-0005-0000-0000-0000876A0000}"/>
    <cellStyle name="Comma 4 3 2 3 2 2 2" xfId="8859" xr:uid="{00000000-0005-0000-0000-0000886A0000}"/>
    <cellStyle name="Comma 4 3 2 3 2 2 2 2" xfId="11756" xr:uid="{00000000-0005-0000-0000-0000896A0000}"/>
    <cellStyle name="Comma 4 3 2 3 2 2 2 2 2" xfId="50072" xr:uid="{00000000-0005-0000-0000-00008A6A0000}"/>
    <cellStyle name="Comma 4 3 2 3 2 2 2 3" xfId="30883" xr:uid="{00000000-0005-0000-0000-00008B6A0000}"/>
    <cellStyle name="Comma 4 3 2 3 2 2 3" xfId="10316" xr:uid="{00000000-0005-0000-0000-00008C6A0000}"/>
    <cellStyle name="Comma 4 3 2 3 2 2 3 2" xfId="40374" xr:uid="{00000000-0005-0000-0000-00008D6A0000}"/>
    <cellStyle name="Comma 4 3 2 3 2 2 4" xfId="20515" xr:uid="{00000000-0005-0000-0000-00008E6A0000}"/>
    <cellStyle name="Comma 4 3 2 3 2 3" xfId="8201" xr:uid="{00000000-0005-0000-0000-00008F6A0000}"/>
    <cellStyle name="Comma 4 3 2 3 2 3 2" xfId="11098" xr:uid="{00000000-0005-0000-0000-0000906A0000}"/>
    <cellStyle name="Comma 4 3 2 3 2 3 2 2" xfId="45617" xr:uid="{00000000-0005-0000-0000-0000916A0000}"/>
    <cellStyle name="Comma 4 3 2 3 2 3 3" xfId="26428" xr:uid="{00000000-0005-0000-0000-0000926A0000}"/>
    <cellStyle name="Comma 4 3 2 3 2 4" xfId="9658" xr:uid="{00000000-0005-0000-0000-0000936A0000}"/>
    <cellStyle name="Comma 4 3 2 3 2 4 2" xfId="35919" xr:uid="{00000000-0005-0000-0000-0000946A0000}"/>
    <cellStyle name="Comma 4 3 2 3 2 5" xfId="6706" xr:uid="{00000000-0005-0000-0000-0000956A0000}"/>
    <cellStyle name="Comma 4 3 2 3 2 6" xfId="16051" xr:uid="{00000000-0005-0000-0000-0000966A0000}"/>
    <cellStyle name="Comma 4 3 2 3 3" xfId="517" xr:uid="{00000000-0005-0000-0000-0000976A0000}"/>
    <cellStyle name="Comma 4 3 2 3 3 2" xfId="7149" xr:uid="{00000000-0005-0000-0000-0000986A0000}"/>
    <cellStyle name="Comma 4 3 2 3 3 2 2" xfId="8626" xr:uid="{00000000-0005-0000-0000-0000996A0000}"/>
    <cellStyle name="Comma 4 3 2 3 3 2 2 2" xfId="11523" xr:uid="{00000000-0005-0000-0000-00009A6A0000}"/>
    <cellStyle name="Comma 4 3 2 3 3 2 2 3" xfId="48957" xr:uid="{00000000-0005-0000-0000-00009B6A0000}"/>
    <cellStyle name="Comma 4 3 2 3 3 2 3" xfId="10083" xr:uid="{00000000-0005-0000-0000-00009C6A0000}"/>
    <cellStyle name="Comma 4 3 2 3 3 2 4" xfId="29768" xr:uid="{00000000-0005-0000-0000-00009D6A0000}"/>
    <cellStyle name="Comma 4 3 2 3 3 3" xfId="7968" xr:uid="{00000000-0005-0000-0000-00009E6A0000}"/>
    <cellStyle name="Comma 4 3 2 3 3 3 2" xfId="10865" xr:uid="{00000000-0005-0000-0000-00009F6A0000}"/>
    <cellStyle name="Comma 4 3 2 3 3 3 3" xfId="39259" xr:uid="{00000000-0005-0000-0000-0000A06A0000}"/>
    <cellStyle name="Comma 4 3 2 3 3 4" xfId="9425" xr:uid="{00000000-0005-0000-0000-0000A16A0000}"/>
    <cellStyle name="Comma 4 3 2 3 3 5" xfId="6473" xr:uid="{00000000-0005-0000-0000-0000A26A0000}"/>
    <cellStyle name="Comma 4 3 2 3 3 6" xfId="19400" xr:uid="{00000000-0005-0000-0000-0000A36A0000}"/>
    <cellStyle name="Comma 4 3 2 3 4" xfId="2408" xr:uid="{00000000-0005-0000-0000-0000A46A0000}"/>
    <cellStyle name="Comma 4 3 2 3 4 2" xfId="8451" xr:uid="{00000000-0005-0000-0000-0000A56A0000}"/>
    <cellStyle name="Comma 4 3 2 3 4 2 2" xfId="11348" xr:uid="{00000000-0005-0000-0000-0000A66A0000}"/>
    <cellStyle name="Comma 4 3 2 3 4 2 2 2" xfId="51993" xr:uid="{00000000-0005-0000-0000-0000A76A0000}"/>
    <cellStyle name="Comma 4 3 2 3 4 2 3" xfId="32806" xr:uid="{00000000-0005-0000-0000-0000A86A0000}"/>
    <cellStyle name="Comma 4 3 2 3 4 3" xfId="9908" xr:uid="{00000000-0005-0000-0000-0000A96A0000}"/>
    <cellStyle name="Comma 4 3 2 3 4 3 2" xfId="42295" xr:uid="{00000000-0005-0000-0000-0000AA6A0000}"/>
    <cellStyle name="Comma 4 3 2 3 4 4" xfId="6974" xr:uid="{00000000-0005-0000-0000-0000AB6A0000}"/>
    <cellStyle name="Comma 4 3 2 3 4 5" xfId="22720" xr:uid="{00000000-0005-0000-0000-0000AC6A0000}"/>
    <cellStyle name="Comma 4 3 2 3 5" xfId="7791" xr:uid="{00000000-0005-0000-0000-0000AD6A0000}"/>
    <cellStyle name="Comma 4 3 2 3 5 2" xfId="10690" xr:uid="{00000000-0005-0000-0000-0000AE6A0000}"/>
    <cellStyle name="Comma 4 3 2 3 5 2 2" xfId="44502" xr:uid="{00000000-0005-0000-0000-0000AF6A0000}"/>
    <cellStyle name="Comma 4 3 2 3 5 3" xfId="25313" xr:uid="{00000000-0005-0000-0000-0000B06A0000}"/>
    <cellStyle name="Comma 4 3 2 3 6" xfId="9250" xr:uid="{00000000-0005-0000-0000-0000B16A0000}"/>
    <cellStyle name="Comma 4 3 2 3 6 2" xfId="42648" xr:uid="{00000000-0005-0000-0000-0000B26A0000}"/>
    <cellStyle name="Comma 4 3 2 3 6 3" xfId="23079" xr:uid="{00000000-0005-0000-0000-0000B36A0000}"/>
    <cellStyle name="Comma 4 3 2 3 7" xfId="6275" xr:uid="{00000000-0005-0000-0000-0000B46A0000}"/>
    <cellStyle name="Comma 4 3 2 3 7 2" xfId="34804" xr:uid="{00000000-0005-0000-0000-0000B56A0000}"/>
    <cellStyle name="Comma 4 3 2 3 8" xfId="53636" xr:uid="{00000000-0005-0000-0000-0000B66A0000}"/>
    <cellStyle name="Comma 4 3 2 3 9" xfId="14923" xr:uid="{00000000-0005-0000-0000-0000B76A0000}"/>
    <cellStyle name="Comma 4 3 2 4" xfId="518" xr:uid="{00000000-0005-0000-0000-0000B86A0000}"/>
    <cellStyle name="Comma 4 3 2 4 2" xfId="7266" xr:uid="{00000000-0005-0000-0000-0000B96A0000}"/>
    <cellStyle name="Comma 4 3 2 4 2 2" xfId="8743" xr:uid="{00000000-0005-0000-0000-0000BA6A0000}"/>
    <cellStyle name="Comma 4 3 2 4 2 2 2" xfId="11640" xr:uid="{00000000-0005-0000-0000-0000BB6A0000}"/>
    <cellStyle name="Comma 4 3 2 4 2 2 2 2" xfId="49515" xr:uid="{00000000-0005-0000-0000-0000BC6A0000}"/>
    <cellStyle name="Comma 4 3 2 4 2 2 3" xfId="30326" xr:uid="{00000000-0005-0000-0000-0000BD6A0000}"/>
    <cellStyle name="Comma 4 3 2 4 2 3" xfId="10200" xr:uid="{00000000-0005-0000-0000-0000BE6A0000}"/>
    <cellStyle name="Comma 4 3 2 4 2 3 2" xfId="39817" xr:uid="{00000000-0005-0000-0000-0000BF6A0000}"/>
    <cellStyle name="Comma 4 3 2 4 2 4" xfId="19958" xr:uid="{00000000-0005-0000-0000-0000C06A0000}"/>
    <cellStyle name="Comma 4 3 2 4 3" xfId="8085" xr:uid="{00000000-0005-0000-0000-0000C16A0000}"/>
    <cellStyle name="Comma 4 3 2 4 3 2" xfId="10982" xr:uid="{00000000-0005-0000-0000-0000C26A0000}"/>
    <cellStyle name="Comma 4 3 2 4 3 2 2" xfId="45060" xr:uid="{00000000-0005-0000-0000-0000C36A0000}"/>
    <cellStyle name="Comma 4 3 2 4 3 3" xfId="25871" xr:uid="{00000000-0005-0000-0000-0000C46A0000}"/>
    <cellStyle name="Comma 4 3 2 4 4" xfId="9542" xr:uid="{00000000-0005-0000-0000-0000C56A0000}"/>
    <cellStyle name="Comma 4 3 2 4 4 2" xfId="35362" xr:uid="{00000000-0005-0000-0000-0000C66A0000}"/>
    <cellStyle name="Comma 4 3 2 4 5" xfId="6590" xr:uid="{00000000-0005-0000-0000-0000C76A0000}"/>
    <cellStyle name="Comma 4 3 2 4 6" xfId="15494" xr:uid="{00000000-0005-0000-0000-0000C86A0000}"/>
    <cellStyle name="Comma 4 3 2 5" xfId="519" xr:uid="{00000000-0005-0000-0000-0000C96A0000}"/>
    <cellStyle name="Comma 4 3 2 5 2" xfId="7033" xr:uid="{00000000-0005-0000-0000-0000CA6A0000}"/>
    <cellStyle name="Comma 4 3 2 5 2 2" xfId="8510" xr:uid="{00000000-0005-0000-0000-0000CB6A0000}"/>
    <cellStyle name="Comma 4 3 2 5 2 2 2" xfId="11407" xr:uid="{00000000-0005-0000-0000-0000CC6A0000}"/>
    <cellStyle name="Comma 4 3 2 5 2 2 2 2" xfId="51185" xr:uid="{00000000-0005-0000-0000-0000CD6A0000}"/>
    <cellStyle name="Comma 4 3 2 5 2 2 3" xfId="31996" xr:uid="{00000000-0005-0000-0000-0000CE6A0000}"/>
    <cellStyle name="Comma 4 3 2 5 2 3" xfId="9967" xr:uid="{00000000-0005-0000-0000-0000CF6A0000}"/>
    <cellStyle name="Comma 4 3 2 5 2 3 2" xfId="41487" xr:uid="{00000000-0005-0000-0000-0000D06A0000}"/>
    <cellStyle name="Comma 4 3 2 5 2 4" xfId="21628" xr:uid="{00000000-0005-0000-0000-0000D16A0000}"/>
    <cellStyle name="Comma 4 3 2 5 3" xfId="7851" xr:uid="{00000000-0005-0000-0000-0000D26A0000}"/>
    <cellStyle name="Comma 4 3 2 5 3 2" xfId="10749" xr:uid="{00000000-0005-0000-0000-0000D36A0000}"/>
    <cellStyle name="Comma 4 3 2 5 3 2 2" xfId="46730" xr:uid="{00000000-0005-0000-0000-0000D46A0000}"/>
    <cellStyle name="Comma 4 3 2 5 3 3" xfId="27541" xr:uid="{00000000-0005-0000-0000-0000D56A0000}"/>
    <cellStyle name="Comma 4 3 2 5 4" xfId="9309" xr:uid="{00000000-0005-0000-0000-0000D66A0000}"/>
    <cellStyle name="Comma 4 3 2 5 4 2" xfId="37032" xr:uid="{00000000-0005-0000-0000-0000D76A0000}"/>
    <cellStyle name="Comma 4 3 2 5 5" xfId="6354" xr:uid="{00000000-0005-0000-0000-0000D86A0000}"/>
    <cellStyle name="Comma 4 3 2 5 6" xfId="17164" xr:uid="{00000000-0005-0000-0000-0000D96A0000}"/>
    <cellStyle name="Comma 4 3 2 6" xfId="2405" xr:uid="{00000000-0005-0000-0000-0000DA6A0000}"/>
    <cellStyle name="Comma 4 3 2 6 2" xfId="8973" xr:uid="{00000000-0005-0000-0000-0000DB6A0000}"/>
    <cellStyle name="Comma 4 3 2 6 2 2" xfId="11870" xr:uid="{00000000-0005-0000-0000-0000DC6A0000}"/>
    <cellStyle name="Comma 4 3 2 6 2 2 2" xfId="51742" xr:uid="{00000000-0005-0000-0000-0000DD6A0000}"/>
    <cellStyle name="Comma 4 3 2 6 2 2 3" xfId="32553" xr:uid="{00000000-0005-0000-0000-0000DE6A0000}"/>
    <cellStyle name="Comma 4 3 2 6 2 3" xfId="42044" xr:uid="{00000000-0005-0000-0000-0000DF6A0000}"/>
    <cellStyle name="Comma 4 3 2 6 2 4" xfId="22185" xr:uid="{00000000-0005-0000-0000-0000E06A0000}"/>
    <cellStyle name="Comma 4 3 2 6 3" xfId="10430" xr:uid="{00000000-0005-0000-0000-0000E16A0000}"/>
    <cellStyle name="Comma 4 3 2 6 3 2" xfId="47287" xr:uid="{00000000-0005-0000-0000-0000E26A0000}"/>
    <cellStyle name="Comma 4 3 2 6 3 3" xfId="28098" xr:uid="{00000000-0005-0000-0000-0000E36A0000}"/>
    <cellStyle name="Comma 4 3 2 6 4" xfId="7499" xr:uid="{00000000-0005-0000-0000-0000E46A0000}"/>
    <cellStyle name="Comma 4 3 2 6 4 2" xfId="37589" xr:uid="{00000000-0005-0000-0000-0000E56A0000}"/>
    <cellStyle name="Comma 4 3 2 6 5" xfId="17730" xr:uid="{00000000-0005-0000-0000-0000E66A0000}"/>
    <cellStyle name="Comma 4 3 2 7" xfId="7558" xr:uid="{00000000-0005-0000-0000-0000E76A0000}"/>
    <cellStyle name="Comma 4 3 2 7 2" xfId="9030" xr:uid="{00000000-0005-0000-0000-0000E86A0000}"/>
    <cellStyle name="Comma 4 3 2 7 2 2" xfId="11927" xr:uid="{00000000-0005-0000-0000-0000E96A0000}"/>
    <cellStyle name="Comma 4 3 2 7 2 2 2" xfId="47844" xr:uid="{00000000-0005-0000-0000-0000EA6A0000}"/>
    <cellStyle name="Comma 4 3 2 7 2 3" xfId="28655" xr:uid="{00000000-0005-0000-0000-0000EB6A0000}"/>
    <cellStyle name="Comma 4 3 2 7 3" xfId="10487" xr:uid="{00000000-0005-0000-0000-0000EC6A0000}"/>
    <cellStyle name="Comma 4 3 2 7 3 2" xfId="38146" xr:uid="{00000000-0005-0000-0000-0000ED6A0000}"/>
    <cellStyle name="Comma 4 3 2 7 4" xfId="18287" xr:uid="{00000000-0005-0000-0000-0000EE6A0000}"/>
    <cellStyle name="Comma 4 3 2 8" xfId="6834" xr:uid="{00000000-0005-0000-0000-0000EF6A0000}"/>
    <cellStyle name="Comma 4 3 2 8 2" xfId="8314" xr:uid="{00000000-0005-0000-0000-0000F06A0000}"/>
    <cellStyle name="Comma 4 3 2 8 2 2" xfId="11211" xr:uid="{00000000-0005-0000-0000-0000F16A0000}"/>
    <cellStyle name="Comma 4 3 2 8 2 2 2" xfId="51856" xr:uid="{00000000-0005-0000-0000-0000F26A0000}"/>
    <cellStyle name="Comma 4 3 2 8 2 3" xfId="32669" xr:uid="{00000000-0005-0000-0000-0000F36A0000}"/>
    <cellStyle name="Comma 4 3 2 8 3" xfId="9771" xr:uid="{00000000-0005-0000-0000-0000F46A0000}"/>
    <cellStyle name="Comma 4 3 2 8 3 2" xfId="42158" xr:uid="{00000000-0005-0000-0000-0000F56A0000}"/>
    <cellStyle name="Comma 4 3 2 8 4" xfId="22547" xr:uid="{00000000-0005-0000-0000-0000F66A0000}"/>
    <cellStyle name="Comma 4 3 2 9" xfId="7653" xr:uid="{00000000-0005-0000-0000-0000F76A0000}"/>
    <cellStyle name="Comma 4 3 2 9 2" xfId="10553" xr:uid="{00000000-0005-0000-0000-0000F86A0000}"/>
    <cellStyle name="Comma 4 3 2 9 2 2" xfId="43389" xr:uid="{00000000-0005-0000-0000-0000F96A0000}"/>
    <cellStyle name="Comma 4 3 2 9 3" xfId="24191" xr:uid="{00000000-0005-0000-0000-0000FA6A0000}"/>
    <cellStyle name="Comma 4 3 3" xfId="520" xr:uid="{00000000-0005-0000-0000-0000FB6A0000}"/>
    <cellStyle name="Comma 4 3 3 2" xfId="521" xr:uid="{00000000-0005-0000-0000-0000FC6A0000}"/>
    <cellStyle name="Comma 4 3 3 2 2" xfId="522" xr:uid="{00000000-0005-0000-0000-0000FD6A0000}"/>
    <cellStyle name="Comma 4 3 3 2 2 2" xfId="7408" xr:uid="{00000000-0005-0000-0000-0000FE6A0000}"/>
    <cellStyle name="Comma 4 3 3 2 2 2 2" xfId="8885" xr:uid="{00000000-0005-0000-0000-0000FF6A0000}"/>
    <cellStyle name="Comma 4 3 3 2 2 2 2 2" xfId="11782" xr:uid="{00000000-0005-0000-0000-0000006B0000}"/>
    <cellStyle name="Comma 4 3 3 2 2 2 3" xfId="10342" xr:uid="{00000000-0005-0000-0000-0000016B0000}"/>
    <cellStyle name="Comma 4 3 3 2 2 3" xfId="8227" xr:uid="{00000000-0005-0000-0000-0000026B0000}"/>
    <cellStyle name="Comma 4 3 3 2 2 3 2" xfId="11124" xr:uid="{00000000-0005-0000-0000-0000036B0000}"/>
    <cellStyle name="Comma 4 3 3 2 2 4" xfId="9684" xr:uid="{00000000-0005-0000-0000-0000046B0000}"/>
    <cellStyle name="Comma 4 3 3 2 2 5" xfId="6732" xr:uid="{00000000-0005-0000-0000-0000056B0000}"/>
    <cellStyle name="Comma 4 3 3 2 2 6" xfId="51907" xr:uid="{00000000-0005-0000-0000-0000066B0000}"/>
    <cellStyle name="Comma 4 3 3 2 3" xfId="2410" xr:uid="{00000000-0005-0000-0000-0000076B0000}"/>
    <cellStyle name="Comma 4 3 3 2 3 2" xfId="8652" xr:uid="{00000000-0005-0000-0000-0000086B0000}"/>
    <cellStyle name="Comma 4 3 3 2 3 2 2" xfId="11549" xr:uid="{00000000-0005-0000-0000-0000096B0000}"/>
    <cellStyle name="Comma 4 3 3 2 3 3" xfId="10109" xr:uid="{00000000-0005-0000-0000-00000A6B0000}"/>
    <cellStyle name="Comma 4 3 3 2 3 4" xfId="7175" xr:uid="{00000000-0005-0000-0000-00000B6B0000}"/>
    <cellStyle name="Comma 4 3 3 2 3 5" xfId="53836" xr:uid="{00000000-0005-0000-0000-00000C6B0000}"/>
    <cellStyle name="Comma 4 3 3 2 4" xfId="7994" xr:uid="{00000000-0005-0000-0000-00000D6B0000}"/>
    <cellStyle name="Comma 4 3 3 2 4 2" xfId="10891" xr:uid="{00000000-0005-0000-0000-00000E6B0000}"/>
    <cellStyle name="Comma 4 3 3 2 5" xfId="9451" xr:uid="{00000000-0005-0000-0000-00000F6B0000}"/>
    <cellStyle name="Comma 4 3 3 2 6" xfId="6499" xr:uid="{00000000-0005-0000-0000-0000106B0000}"/>
    <cellStyle name="Comma 4 3 3 2 7" xfId="32720" xr:uid="{00000000-0005-0000-0000-0000116B0000}"/>
    <cellStyle name="Comma 4 3 3 3" xfId="523" xr:uid="{00000000-0005-0000-0000-0000126B0000}"/>
    <cellStyle name="Comma 4 3 3 3 2" xfId="7292" xr:uid="{00000000-0005-0000-0000-0000136B0000}"/>
    <cellStyle name="Comma 4 3 3 3 2 2" xfId="8769" xr:uid="{00000000-0005-0000-0000-0000146B0000}"/>
    <cellStyle name="Comma 4 3 3 3 2 2 2" xfId="11666" xr:uid="{00000000-0005-0000-0000-0000156B0000}"/>
    <cellStyle name="Comma 4 3 3 3 2 3" xfId="10226" xr:uid="{00000000-0005-0000-0000-0000166B0000}"/>
    <cellStyle name="Comma 4 3 3 3 2 4" xfId="42562" xr:uid="{00000000-0005-0000-0000-0000176B0000}"/>
    <cellStyle name="Comma 4 3 3 3 3" xfId="8111" xr:uid="{00000000-0005-0000-0000-0000186B0000}"/>
    <cellStyle name="Comma 4 3 3 3 3 2" xfId="11008" xr:uid="{00000000-0005-0000-0000-0000196B0000}"/>
    <cellStyle name="Comma 4 3 3 3 4" xfId="9568" xr:uid="{00000000-0005-0000-0000-00001A6B0000}"/>
    <cellStyle name="Comma 4 3 3 3 5" xfId="6616" xr:uid="{00000000-0005-0000-0000-00001B6B0000}"/>
    <cellStyle name="Comma 4 3 3 3 6" xfId="22993" xr:uid="{00000000-0005-0000-0000-00001C6B0000}"/>
    <cellStyle name="Comma 4 3 3 4" xfId="524" xr:uid="{00000000-0005-0000-0000-00001D6B0000}"/>
    <cellStyle name="Comma 4 3 3 4 2" xfId="7059" xr:uid="{00000000-0005-0000-0000-00001E6B0000}"/>
    <cellStyle name="Comma 4 3 3 4 2 2" xfId="8536" xr:uid="{00000000-0005-0000-0000-00001F6B0000}"/>
    <cellStyle name="Comma 4 3 3 4 2 2 2" xfId="11433" xr:uid="{00000000-0005-0000-0000-0000206B0000}"/>
    <cellStyle name="Comma 4 3 3 4 2 3" xfId="9993" xr:uid="{00000000-0005-0000-0000-0000216B0000}"/>
    <cellStyle name="Comma 4 3 3 4 3" xfId="7877" xr:uid="{00000000-0005-0000-0000-0000226B0000}"/>
    <cellStyle name="Comma 4 3 3 4 3 2" xfId="10775" xr:uid="{00000000-0005-0000-0000-0000236B0000}"/>
    <cellStyle name="Comma 4 3 3 4 4" xfId="9335" xr:uid="{00000000-0005-0000-0000-0000246B0000}"/>
    <cellStyle name="Comma 4 3 3 4 5" xfId="6380" xr:uid="{00000000-0005-0000-0000-0000256B0000}"/>
    <cellStyle name="Comma 4 3 3 4 6" xfId="42209" xr:uid="{00000000-0005-0000-0000-0000266B0000}"/>
    <cellStyle name="Comma 4 3 3 5" xfId="2409" xr:uid="{00000000-0005-0000-0000-0000276B0000}"/>
    <cellStyle name="Comma 4 3 3 5 2" xfId="8365" xr:uid="{00000000-0005-0000-0000-0000286B0000}"/>
    <cellStyle name="Comma 4 3 3 5 2 2" xfId="11262" xr:uid="{00000000-0005-0000-0000-0000296B0000}"/>
    <cellStyle name="Comma 4 3 3 5 3" xfId="9822" xr:uid="{00000000-0005-0000-0000-00002A6B0000}"/>
    <cellStyle name="Comma 4 3 3 5 4" xfId="6887" xr:uid="{00000000-0005-0000-0000-00002B6B0000}"/>
    <cellStyle name="Comma 4 3 3 5 5" xfId="52961" xr:uid="{00000000-0005-0000-0000-00002C6B0000}"/>
    <cellStyle name="Comma 4 3 3 6" xfId="7704" xr:uid="{00000000-0005-0000-0000-00002D6B0000}"/>
    <cellStyle name="Comma 4 3 3 6 2" xfId="10604" xr:uid="{00000000-0005-0000-0000-00002E6B0000}"/>
    <cellStyle name="Comma 4 3 3 7" xfId="9164" xr:uid="{00000000-0005-0000-0000-00002F6B0000}"/>
    <cellStyle name="Comma 4 3 3 8" xfId="6182" xr:uid="{00000000-0005-0000-0000-0000306B0000}"/>
    <cellStyle name="Comma 4 3 3 9" xfId="22631" xr:uid="{00000000-0005-0000-0000-0000316B0000}"/>
    <cellStyle name="Comma 4 3 4" xfId="525" xr:uid="{00000000-0005-0000-0000-0000326B0000}"/>
    <cellStyle name="Comma 4 3 4 2" xfId="526" xr:uid="{00000000-0005-0000-0000-0000336B0000}"/>
    <cellStyle name="Comma 4 3 4 2 2" xfId="7356" xr:uid="{00000000-0005-0000-0000-0000346B0000}"/>
    <cellStyle name="Comma 4 3 4 2 2 2" xfId="8833" xr:uid="{00000000-0005-0000-0000-0000356B0000}"/>
    <cellStyle name="Comma 4 3 4 2 2 2 2" xfId="11730" xr:uid="{00000000-0005-0000-0000-0000366B0000}"/>
    <cellStyle name="Comma 4 3 4 2 2 3" xfId="10290" xr:uid="{00000000-0005-0000-0000-0000376B0000}"/>
    <cellStyle name="Comma 4 3 4 2 2 4" xfId="51963" xr:uid="{00000000-0005-0000-0000-0000386B0000}"/>
    <cellStyle name="Comma 4 3 4 2 3" xfId="8175" xr:uid="{00000000-0005-0000-0000-0000396B0000}"/>
    <cellStyle name="Comma 4 3 4 2 3 2" xfId="11072" xr:uid="{00000000-0005-0000-0000-00003A6B0000}"/>
    <cellStyle name="Comma 4 3 4 2 4" xfId="9632" xr:uid="{00000000-0005-0000-0000-00003B6B0000}"/>
    <cellStyle name="Comma 4 3 4 2 5" xfId="6680" xr:uid="{00000000-0005-0000-0000-00003C6B0000}"/>
    <cellStyle name="Comma 4 3 4 2 6" xfId="32776" xr:uid="{00000000-0005-0000-0000-00003D6B0000}"/>
    <cellStyle name="Comma 4 3 4 3" xfId="527" xr:uid="{00000000-0005-0000-0000-00003E6B0000}"/>
    <cellStyle name="Comma 4 3 4 3 2" xfId="7123" xr:uid="{00000000-0005-0000-0000-00003F6B0000}"/>
    <cellStyle name="Comma 4 3 4 3 2 2" xfId="8600" xr:uid="{00000000-0005-0000-0000-0000406B0000}"/>
    <cellStyle name="Comma 4 3 4 3 2 2 2" xfId="11497" xr:uid="{00000000-0005-0000-0000-0000416B0000}"/>
    <cellStyle name="Comma 4 3 4 3 2 3" xfId="10057" xr:uid="{00000000-0005-0000-0000-0000426B0000}"/>
    <cellStyle name="Comma 4 3 4 3 2 4" xfId="42618" xr:uid="{00000000-0005-0000-0000-0000436B0000}"/>
    <cellStyle name="Comma 4 3 4 3 3" xfId="7942" xr:uid="{00000000-0005-0000-0000-0000446B0000}"/>
    <cellStyle name="Comma 4 3 4 3 3 2" xfId="10839" xr:uid="{00000000-0005-0000-0000-0000456B0000}"/>
    <cellStyle name="Comma 4 3 4 3 4" xfId="9399" xr:uid="{00000000-0005-0000-0000-0000466B0000}"/>
    <cellStyle name="Comma 4 3 4 3 5" xfId="6447" xr:uid="{00000000-0005-0000-0000-0000476B0000}"/>
    <cellStyle name="Comma 4 3 4 3 6" xfId="23049" xr:uid="{00000000-0005-0000-0000-0000486B0000}"/>
    <cellStyle name="Comma 4 3 4 4" xfId="2411" xr:uid="{00000000-0005-0000-0000-0000496B0000}"/>
    <cellStyle name="Comma 4 3 4 4 2" xfId="8421" xr:uid="{00000000-0005-0000-0000-00004A6B0000}"/>
    <cellStyle name="Comma 4 3 4 4 2 2" xfId="11318" xr:uid="{00000000-0005-0000-0000-00004B6B0000}"/>
    <cellStyle name="Comma 4 3 4 4 3" xfId="9878" xr:uid="{00000000-0005-0000-0000-00004C6B0000}"/>
    <cellStyle name="Comma 4 3 4 4 4" xfId="6944" xr:uid="{00000000-0005-0000-0000-00004D6B0000}"/>
    <cellStyle name="Comma 4 3 4 4 5" xfId="42265" xr:uid="{00000000-0005-0000-0000-00004E6B0000}"/>
    <cellStyle name="Comma 4 3 4 5" xfId="7761" xr:uid="{00000000-0005-0000-0000-00004F6B0000}"/>
    <cellStyle name="Comma 4 3 4 5 2" xfId="10660" xr:uid="{00000000-0005-0000-0000-0000506B0000}"/>
    <cellStyle name="Comma 4 3 4 5 3" xfId="53440" xr:uid="{00000000-0005-0000-0000-0000516B0000}"/>
    <cellStyle name="Comma 4 3 4 6" xfId="9220" xr:uid="{00000000-0005-0000-0000-0000526B0000}"/>
    <cellStyle name="Comma 4 3 4 7" xfId="6245" xr:uid="{00000000-0005-0000-0000-0000536B0000}"/>
    <cellStyle name="Comma 4 3 4 8" xfId="22690" xr:uid="{00000000-0005-0000-0000-0000546B0000}"/>
    <cellStyle name="Comma 4 3 5" xfId="528" xr:uid="{00000000-0005-0000-0000-0000556B0000}"/>
    <cellStyle name="Comma 4 3 5 2" xfId="7240" xr:uid="{00000000-0005-0000-0000-0000566B0000}"/>
    <cellStyle name="Comma 4 3 5 2 2" xfId="8717" xr:uid="{00000000-0005-0000-0000-0000576B0000}"/>
    <cellStyle name="Comma 4 3 5 2 2 2" xfId="11614" xr:uid="{00000000-0005-0000-0000-0000586B0000}"/>
    <cellStyle name="Comma 4 3 5 2 2 3" xfId="51826" xr:uid="{00000000-0005-0000-0000-0000596B0000}"/>
    <cellStyle name="Comma 4 3 5 2 3" xfId="10174" xr:uid="{00000000-0005-0000-0000-00005A6B0000}"/>
    <cellStyle name="Comma 4 3 5 2 4" xfId="32639" xr:uid="{00000000-0005-0000-0000-00005B6B0000}"/>
    <cellStyle name="Comma 4 3 5 3" xfId="8059" xr:uid="{00000000-0005-0000-0000-00005C6B0000}"/>
    <cellStyle name="Comma 4 3 5 3 2" xfId="10956" xr:uid="{00000000-0005-0000-0000-00005D6B0000}"/>
    <cellStyle name="Comma 4 3 5 3 3" xfId="42128" xr:uid="{00000000-0005-0000-0000-00005E6B0000}"/>
    <cellStyle name="Comma 4 3 5 4" xfId="9516" xr:uid="{00000000-0005-0000-0000-00005F6B0000}"/>
    <cellStyle name="Comma 4 3 5 5" xfId="6564" xr:uid="{00000000-0005-0000-0000-0000606B0000}"/>
    <cellStyle name="Comma 4 3 5 6" xfId="22512" xr:uid="{00000000-0005-0000-0000-0000616B0000}"/>
    <cellStyle name="Comma 4 3 6" xfId="529" xr:uid="{00000000-0005-0000-0000-0000626B0000}"/>
    <cellStyle name="Comma 4 3 6 2" xfId="7007" xr:uid="{00000000-0005-0000-0000-0000636B0000}"/>
    <cellStyle name="Comma 4 3 6 2 2" xfId="8484" xr:uid="{00000000-0005-0000-0000-0000646B0000}"/>
    <cellStyle name="Comma 4 3 6 2 2 2" xfId="11381" xr:uid="{00000000-0005-0000-0000-0000656B0000}"/>
    <cellStyle name="Comma 4 3 6 2 3" xfId="9941" xr:uid="{00000000-0005-0000-0000-0000666B0000}"/>
    <cellStyle name="Comma 4 3 6 3" xfId="7825" xr:uid="{00000000-0005-0000-0000-0000676B0000}"/>
    <cellStyle name="Comma 4 3 6 3 2" xfId="10723" xr:uid="{00000000-0005-0000-0000-0000686B0000}"/>
    <cellStyle name="Comma 4 3 6 4" xfId="9283" xr:uid="{00000000-0005-0000-0000-0000696B0000}"/>
    <cellStyle name="Comma 4 3 6 5" xfId="6328" xr:uid="{00000000-0005-0000-0000-00006A6B0000}"/>
    <cellStyle name="Comma 4 3 6 6" xfId="23394" xr:uid="{00000000-0005-0000-0000-00006B6B0000}"/>
    <cellStyle name="Comma 4 3 7" xfId="2404" xr:uid="{00000000-0005-0000-0000-00006C6B0000}"/>
    <cellStyle name="Comma 4 3 7 2" xfId="8947" xr:uid="{00000000-0005-0000-0000-00006D6B0000}"/>
    <cellStyle name="Comma 4 3 7 2 2" xfId="11844" xr:uid="{00000000-0005-0000-0000-00006E6B0000}"/>
    <cellStyle name="Comma 4 3 7 2 3" xfId="42481" xr:uid="{00000000-0005-0000-0000-00006F6B0000}"/>
    <cellStyle name="Comma 4 3 7 3" xfId="10404" xr:uid="{00000000-0005-0000-0000-0000706B0000}"/>
    <cellStyle name="Comma 4 3 7 4" xfId="7473" xr:uid="{00000000-0005-0000-0000-0000716B0000}"/>
    <cellStyle name="Comma 4 3 7 5" xfId="22912" xr:uid="{00000000-0005-0000-0000-0000726B0000}"/>
    <cellStyle name="Comma 4 3 8" xfId="7532" xr:uid="{00000000-0005-0000-0000-0000736B0000}"/>
    <cellStyle name="Comma 4 3 8 2" xfId="9004" xr:uid="{00000000-0005-0000-0000-0000746B0000}"/>
    <cellStyle name="Comma 4 3 8 2 2" xfId="11901" xr:uid="{00000000-0005-0000-0000-0000756B0000}"/>
    <cellStyle name="Comma 4 3 8 3" xfId="10461" xr:uid="{00000000-0005-0000-0000-0000766B0000}"/>
    <cellStyle name="Comma 4 3 8 4" xfId="12371" xr:uid="{00000000-0005-0000-0000-0000776B0000}"/>
    <cellStyle name="Comma 4 3 9" xfId="6803" xr:uid="{00000000-0005-0000-0000-0000786B0000}"/>
    <cellStyle name="Comma 4 3 9 2" xfId="8284" xr:uid="{00000000-0005-0000-0000-0000796B0000}"/>
    <cellStyle name="Comma 4 3 9 2 2" xfId="11181" xr:uid="{00000000-0005-0000-0000-00007A6B0000}"/>
    <cellStyle name="Comma 4 3 9 3" xfId="9741" xr:uid="{00000000-0005-0000-0000-00007B6B0000}"/>
    <cellStyle name="Comma 4 3 9 4" xfId="52550" xr:uid="{00000000-0005-0000-0000-00007C6B0000}"/>
    <cellStyle name="Comma 4 4" xfId="530" xr:uid="{00000000-0005-0000-0000-00007D6B0000}"/>
    <cellStyle name="Comma 4 4 10" xfId="9097" xr:uid="{00000000-0005-0000-0000-00007E6B0000}"/>
    <cellStyle name="Comma 4 4 11" xfId="6109" xr:uid="{00000000-0005-0000-0000-00007F6B0000}"/>
    <cellStyle name="Comma 4 4 12" xfId="12048" xr:uid="{00000000-0005-0000-0000-0000806B0000}"/>
    <cellStyle name="Comma 4 4 2" xfId="531" xr:uid="{00000000-0005-0000-0000-0000816B0000}"/>
    <cellStyle name="Comma 4 4 2 2" xfId="532" xr:uid="{00000000-0005-0000-0000-0000826B0000}"/>
    <cellStyle name="Comma 4 4 2 2 2" xfId="533" xr:uid="{00000000-0005-0000-0000-0000836B0000}"/>
    <cellStyle name="Comma 4 4 2 2 2 2" xfId="2415" xr:uid="{00000000-0005-0000-0000-0000846B0000}"/>
    <cellStyle name="Comma 4 4 2 2 2 2 2" xfId="8899" xr:uid="{00000000-0005-0000-0000-0000856B0000}"/>
    <cellStyle name="Comma 4 4 2 2 2 2 2 2" xfId="11796" xr:uid="{00000000-0005-0000-0000-0000866B0000}"/>
    <cellStyle name="Comma 4 4 2 2 2 2 3" xfId="10356" xr:uid="{00000000-0005-0000-0000-0000876B0000}"/>
    <cellStyle name="Comma 4 4 2 2 2 2 4" xfId="7422" xr:uid="{00000000-0005-0000-0000-0000886B0000}"/>
    <cellStyle name="Comma 4 4 2 2 2 2 5" xfId="54063" xr:uid="{00000000-0005-0000-0000-0000896B0000}"/>
    <cellStyle name="Comma 4 4 2 2 2 3" xfId="8241" xr:uid="{00000000-0005-0000-0000-00008A6B0000}"/>
    <cellStyle name="Comma 4 4 2 2 2 3 2" xfId="11138" xr:uid="{00000000-0005-0000-0000-00008B6B0000}"/>
    <cellStyle name="Comma 4 4 2 2 2 4" xfId="9698" xr:uid="{00000000-0005-0000-0000-00008C6B0000}"/>
    <cellStyle name="Comma 4 4 2 2 2 5" xfId="6746" xr:uid="{00000000-0005-0000-0000-00008D6B0000}"/>
    <cellStyle name="Comma 4 4 2 2 2 6" xfId="51921" xr:uid="{00000000-0005-0000-0000-00008E6B0000}"/>
    <cellStyle name="Comma 4 4 2 2 3" xfId="2414" xr:uid="{00000000-0005-0000-0000-00008F6B0000}"/>
    <cellStyle name="Comma 4 4 2 2 3 2" xfId="8666" xr:uid="{00000000-0005-0000-0000-0000906B0000}"/>
    <cellStyle name="Comma 4 4 2 2 3 2 2" xfId="11563" xr:uid="{00000000-0005-0000-0000-0000916B0000}"/>
    <cellStyle name="Comma 4 4 2 2 3 3" xfId="10123" xr:uid="{00000000-0005-0000-0000-0000926B0000}"/>
    <cellStyle name="Comma 4 4 2 2 3 4" xfId="7189" xr:uid="{00000000-0005-0000-0000-0000936B0000}"/>
    <cellStyle name="Comma 4 4 2 2 3 5" xfId="53210" xr:uid="{00000000-0005-0000-0000-0000946B0000}"/>
    <cellStyle name="Comma 4 4 2 2 4" xfId="8008" xr:uid="{00000000-0005-0000-0000-0000956B0000}"/>
    <cellStyle name="Comma 4 4 2 2 4 2" xfId="10905" xr:uid="{00000000-0005-0000-0000-0000966B0000}"/>
    <cellStyle name="Comma 4 4 2 2 5" xfId="9465" xr:uid="{00000000-0005-0000-0000-0000976B0000}"/>
    <cellStyle name="Comma 4 4 2 2 6" xfId="6513" xr:uid="{00000000-0005-0000-0000-0000986B0000}"/>
    <cellStyle name="Comma 4 4 2 2 7" xfId="32734" xr:uid="{00000000-0005-0000-0000-0000996B0000}"/>
    <cellStyle name="Comma 4 4 2 3" xfId="534" xr:uid="{00000000-0005-0000-0000-00009A6B0000}"/>
    <cellStyle name="Comma 4 4 2 3 2" xfId="2416" xr:uid="{00000000-0005-0000-0000-00009B6B0000}"/>
    <cellStyle name="Comma 4 4 2 3 2 2" xfId="8783" xr:uid="{00000000-0005-0000-0000-00009C6B0000}"/>
    <cellStyle name="Comma 4 4 2 3 2 2 2" xfId="11680" xr:uid="{00000000-0005-0000-0000-00009D6B0000}"/>
    <cellStyle name="Comma 4 4 2 3 2 3" xfId="10240" xr:uid="{00000000-0005-0000-0000-00009E6B0000}"/>
    <cellStyle name="Comma 4 4 2 3 2 4" xfId="7306" xr:uid="{00000000-0005-0000-0000-00009F6B0000}"/>
    <cellStyle name="Comma 4 4 2 3 2 5" xfId="42576" xr:uid="{00000000-0005-0000-0000-0000A06B0000}"/>
    <cellStyle name="Comma 4 4 2 3 3" xfId="8125" xr:uid="{00000000-0005-0000-0000-0000A16B0000}"/>
    <cellStyle name="Comma 4 4 2 3 3 2" xfId="11022" xr:uid="{00000000-0005-0000-0000-0000A26B0000}"/>
    <cellStyle name="Comma 4 4 2 3 3 3" xfId="53667" xr:uid="{00000000-0005-0000-0000-0000A36B0000}"/>
    <cellStyle name="Comma 4 4 2 3 4" xfId="9582" xr:uid="{00000000-0005-0000-0000-0000A46B0000}"/>
    <cellStyle name="Comma 4 4 2 3 5" xfId="6630" xr:uid="{00000000-0005-0000-0000-0000A56B0000}"/>
    <cellStyle name="Comma 4 4 2 3 6" xfId="23007" xr:uid="{00000000-0005-0000-0000-0000A66B0000}"/>
    <cellStyle name="Comma 4 4 2 4" xfId="535" xr:uid="{00000000-0005-0000-0000-0000A76B0000}"/>
    <cellStyle name="Comma 4 4 2 4 2" xfId="7073" xr:uid="{00000000-0005-0000-0000-0000A86B0000}"/>
    <cellStyle name="Comma 4 4 2 4 2 2" xfId="8550" xr:uid="{00000000-0005-0000-0000-0000A96B0000}"/>
    <cellStyle name="Comma 4 4 2 4 2 2 2" xfId="11447" xr:uid="{00000000-0005-0000-0000-0000AA6B0000}"/>
    <cellStyle name="Comma 4 4 2 4 2 3" xfId="10007" xr:uid="{00000000-0005-0000-0000-0000AB6B0000}"/>
    <cellStyle name="Comma 4 4 2 4 3" xfId="7891" xr:uid="{00000000-0005-0000-0000-0000AC6B0000}"/>
    <cellStyle name="Comma 4 4 2 4 3 2" xfId="10789" xr:uid="{00000000-0005-0000-0000-0000AD6B0000}"/>
    <cellStyle name="Comma 4 4 2 4 4" xfId="9349" xr:uid="{00000000-0005-0000-0000-0000AE6B0000}"/>
    <cellStyle name="Comma 4 4 2 4 5" xfId="6394" xr:uid="{00000000-0005-0000-0000-0000AF6B0000}"/>
    <cellStyle name="Comma 4 4 2 4 6" xfId="42223" xr:uid="{00000000-0005-0000-0000-0000B06B0000}"/>
    <cellStyle name="Comma 4 4 2 5" xfId="2413" xr:uid="{00000000-0005-0000-0000-0000B16B0000}"/>
    <cellStyle name="Comma 4 4 2 5 2" xfId="8379" xr:uid="{00000000-0005-0000-0000-0000B26B0000}"/>
    <cellStyle name="Comma 4 4 2 5 2 2" xfId="11276" xr:uid="{00000000-0005-0000-0000-0000B36B0000}"/>
    <cellStyle name="Comma 4 4 2 5 3" xfId="9836" xr:uid="{00000000-0005-0000-0000-0000B46B0000}"/>
    <cellStyle name="Comma 4 4 2 5 4" xfId="6901" xr:uid="{00000000-0005-0000-0000-0000B56B0000}"/>
    <cellStyle name="Comma 4 4 2 5 5" xfId="52782" xr:uid="{00000000-0005-0000-0000-0000B66B0000}"/>
    <cellStyle name="Comma 4 4 2 6" xfId="7718" xr:uid="{00000000-0005-0000-0000-0000B76B0000}"/>
    <cellStyle name="Comma 4 4 2 6 2" xfId="10618" xr:uid="{00000000-0005-0000-0000-0000B86B0000}"/>
    <cellStyle name="Comma 4 4 2 7" xfId="9178" xr:uid="{00000000-0005-0000-0000-0000B96B0000}"/>
    <cellStyle name="Comma 4 4 2 8" xfId="6197" xr:uid="{00000000-0005-0000-0000-0000BA6B0000}"/>
    <cellStyle name="Comma 4 4 2 9" xfId="22646" xr:uid="{00000000-0005-0000-0000-0000BB6B0000}"/>
    <cellStyle name="Comma 4 4 3" xfId="536" xr:uid="{00000000-0005-0000-0000-0000BC6B0000}"/>
    <cellStyle name="Comma 4 4 3 2" xfId="537" xr:uid="{00000000-0005-0000-0000-0000BD6B0000}"/>
    <cellStyle name="Comma 4 4 3 2 2" xfId="2418" xr:uid="{00000000-0005-0000-0000-0000BE6B0000}"/>
    <cellStyle name="Comma 4 4 3 2 2 2" xfId="8843" xr:uid="{00000000-0005-0000-0000-0000BF6B0000}"/>
    <cellStyle name="Comma 4 4 3 2 2 2 2" xfId="11740" xr:uid="{00000000-0005-0000-0000-0000C06B0000}"/>
    <cellStyle name="Comma 4 4 3 2 2 3" xfId="10300" xr:uid="{00000000-0005-0000-0000-0000C16B0000}"/>
    <cellStyle name="Comma 4 4 3 2 2 4" xfId="7366" xr:uid="{00000000-0005-0000-0000-0000C26B0000}"/>
    <cellStyle name="Comma 4 4 3 2 2 5" xfId="51977" xr:uid="{00000000-0005-0000-0000-0000C36B0000}"/>
    <cellStyle name="Comma 4 4 3 2 3" xfId="8185" xr:uid="{00000000-0005-0000-0000-0000C46B0000}"/>
    <cellStyle name="Comma 4 4 3 2 3 2" xfId="11082" xr:uid="{00000000-0005-0000-0000-0000C56B0000}"/>
    <cellStyle name="Comma 4 4 3 2 3 3" xfId="53867" xr:uid="{00000000-0005-0000-0000-0000C66B0000}"/>
    <cellStyle name="Comma 4 4 3 2 4" xfId="9642" xr:uid="{00000000-0005-0000-0000-0000C76B0000}"/>
    <cellStyle name="Comma 4 4 3 2 5" xfId="6690" xr:uid="{00000000-0005-0000-0000-0000C86B0000}"/>
    <cellStyle name="Comma 4 4 3 2 6" xfId="32790" xr:uid="{00000000-0005-0000-0000-0000C96B0000}"/>
    <cellStyle name="Comma 4 4 3 3" xfId="538" xr:uid="{00000000-0005-0000-0000-0000CA6B0000}"/>
    <cellStyle name="Comma 4 4 3 3 2" xfId="7133" xr:uid="{00000000-0005-0000-0000-0000CB6B0000}"/>
    <cellStyle name="Comma 4 4 3 3 2 2" xfId="8610" xr:uid="{00000000-0005-0000-0000-0000CC6B0000}"/>
    <cellStyle name="Comma 4 4 3 3 2 2 2" xfId="11507" xr:uid="{00000000-0005-0000-0000-0000CD6B0000}"/>
    <cellStyle name="Comma 4 4 3 3 2 3" xfId="10067" xr:uid="{00000000-0005-0000-0000-0000CE6B0000}"/>
    <cellStyle name="Comma 4 4 3 3 2 4" xfId="42632" xr:uid="{00000000-0005-0000-0000-0000CF6B0000}"/>
    <cellStyle name="Comma 4 4 3 3 3" xfId="7952" xr:uid="{00000000-0005-0000-0000-0000D06B0000}"/>
    <cellStyle name="Comma 4 4 3 3 3 2" xfId="10849" xr:uid="{00000000-0005-0000-0000-0000D16B0000}"/>
    <cellStyle name="Comma 4 4 3 3 4" xfId="9409" xr:uid="{00000000-0005-0000-0000-0000D26B0000}"/>
    <cellStyle name="Comma 4 4 3 3 5" xfId="6457" xr:uid="{00000000-0005-0000-0000-0000D36B0000}"/>
    <cellStyle name="Comma 4 4 3 3 6" xfId="23063" xr:uid="{00000000-0005-0000-0000-0000D46B0000}"/>
    <cellStyle name="Comma 4 4 3 4" xfId="2417" xr:uid="{00000000-0005-0000-0000-0000D56B0000}"/>
    <cellStyle name="Comma 4 4 3 4 2" xfId="8435" xr:uid="{00000000-0005-0000-0000-0000D66B0000}"/>
    <cellStyle name="Comma 4 4 3 4 2 2" xfId="11332" xr:uid="{00000000-0005-0000-0000-0000D76B0000}"/>
    <cellStyle name="Comma 4 4 3 4 3" xfId="9892" xr:uid="{00000000-0005-0000-0000-0000D86B0000}"/>
    <cellStyle name="Comma 4 4 3 4 4" xfId="6958" xr:uid="{00000000-0005-0000-0000-0000D96B0000}"/>
    <cellStyle name="Comma 4 4 3 4 5" xfId="42279" xr:uid="{00000000-0005-0000-0000-0000DA6B0000}"/>
    <cellStyle name="Comma 4 4 3 5" xfId="7775" xr:uid="{00000000-0005-0000-0000-0000DB6B0000}"/>
    <cellStyle name="Comma 4 4 3 5 2" xfId="10674" xr:uid="{00000000-0005-0000-0000-0000DC6B0000}"/>
    <cellStyle name="Comma 4 4 3 5 3" xfId="52992" xr:uid="{00000000-0005-0000-0000-0000DD6B0000}"/>
    <cellStyle name="Comma 4 4 3 6" xfId="9234" xr:uid="{00000000-0005-0000-0000-0000DE6B0000}"/>
    <cellStyle name="Comma 4 4 3 7" xfId="6259" xr:uid="{00000000-0005-0000-0000-0000DF6B0000}"/>
    <cellStyle name="Comma 4 4 3 8" xfId="22704" xr:uid="{00000000-0005-0000-0000-0000E06B0000}"/>
    <cellStyle name="Comma 4 4 4" xfId="539" xr:uid="{00000000-0005-0000-0000-0000E16B0000}"/>
    <cellStyle name="Comma 4 4 4 2" xfId="2419" xr:uid="{00000000-0005-0000-0000-0000E26B0000}"/>
    <cellStyle name="Comma 4 4 4 2 2" xfId="8727" xr:uid="{00000000-0005-0000-0000-0000E36B0000}"/>
    <cellStyle name="Comma 4 4 4 2 2 2" xfId="11624" xr:uid="{00000000-0005-0000-0000-0000E46B0000}"/>
    <cellStyle name="Comma 4 4 4 2 2 3" xfId="51840" xr:uid="{00000000-0005-0000-0000-0000E56B0000}"/>
    <cellStyle name="Comma 4 4 4 2 3" xfId="10184" xr:uid="{00000000-0005-0000-0000-0000E66B0000}"/>
    <cellStyle name="Comma 4 4 4 2 4" xfId="7250" xr:uid="{00000000-0005-0000-0000-0000E76B0000}"/>
    <cellStyle name="Comma 4 4 4 2 5" xfId="32653" xr:uid="{00000000-0005-0000-0000-0000E86B0000}"/>
    <cellStyle name="Comma 4 4 4 3" xfId="8069" xr:uid="{00000000-0005-0000-0000-0000E96B0000}"/>
    <cellStyle name="Comma 4 4 4 3 2" xfId="10966" xr:uid="{00000000-0005-0000-0000-0000EA6B0000}"/>
    <cellStyle name="Comma 4 4 4 3 3" xfId="42142" xr:uid="{00000000-0005-0000-0000-0000EB6B0000}"/>
    <cellStyle name="Comma 4 4 4 4" xfId="9526" xr:uid="{00000000-0005-0000-0000-0000EC6B0000}"/>
    <cellStyle name="Comma 4 4 4 4 2" xfId="53471" xr:uid="{00000000-0005-0000-0000-0000ED6B0000}"/>
    <cellStyle name="Comma 4 4 4 5" xfId="6574" xr:uid="{00000000-0005-0000-0000-0000EE6B0000}"/>
    <cellStyle name="Comma 4 4 4 6" xfId="22531" xr:uid="{00000000-0005-0000-0000-0000EF6B0000}"/>
    <cellStyle name="Comma 4 4 5" xfId="540" xr:uid="{00000000-0005-0000-0000-0000F06B0000}"/>
    <cellStyle name="Comma 4 4 5 2" xfId="7017" xr:uid="{00000000-0005-0000-0000-0000F16B0000}"/>
    <cellStyle name="Comma 4 4 5 2 2" xfId="8494" xr:uid="{00000000-0005-0000-0000-0000F26B0000}"/>
    <cellStyle name="Comma 4 4 5 2 2 2" xfId="11391" xr:uid="{00000000-0005-0000-0000-0000F36B0000}"/>
    <cellStyle name="Comma 4 4 5 2 3" xfId="9951" xr:uid="{00000000-0005-0000-0000-0000F46B0000}"/>
    <cellStyle name="Comma 4 4 5 3" xfId="7835" xr:uid="{00000000-0005-0000-0000-0000F56B0000}"/>
    <cellStyle name="Comma 4 4 5 3 2" xfId="10733" xr:uid="{00000000-0005-0000-0000-0000F66B0000}"/>
    <cellStyle name="Comma 4 4 5 4" xfId="9293" xr:uid="{00000000-0005-0000-0000-0000F76B0000}"/>
    <cellStyle name="Comma 4 4 5 5" xfId="6338" xr:uid="{00000000-0005-0000-0000-0000F86B0000}"/>
    <cellStyle name="Comma 4 4 5 6" xfId="23578" xr:uid="{00000000-0005-0000-0000-0000F96B0000}"/>
    <cellStyle name="Comma 4 4 6" xfId="2412" xr:uid="{00000000-0005-0000-0000-0000FA6B0000}"/>
    <cellStyle name="Comma 4 4 6 2" xfId="8957" xr:uid="{00000000-0005-0000-0000-0000FB6B0000}"/>
    <cellStyle name="Comma 4 4 6 2 2" xfId="11854" xr:uid="{00000000-0005-0000-0000-0000FC6B0000}"/>
    <cellStyle name="Comma 4 4 6 2 3" xfId="42495" xr:uid="{00000000-0005-0000-0000-0000FD6B0000}"/>
    <cellStyle name="Comma 4 4 6 3" xfId="10414" xr:uid="{00000000-0005-0000-0000-0000FE6B0000}"/>
    <cellStyle name="Comma 4 4 6 4" xfId="7483" xr:uid="{00000000-0005-0000-0000-0000FF6B0000}"/>
    <cellStyle name="Comma 4 4 6 5" xfId="22926" xr:uid="{00000000-0005-0000-0000-0000006C0000}"/>
    <cellStyle name="Comma 4 4 7" xfId="7542" xr:uid="{00000000-0005-0000-0000-0000016C0000}"/>
    <cellStyle name="Comma 4 4 7 2" xfId="9014" xr:uid="{00000000-0005-0000-0000-0000026C0000}"/>
    <cellStyle name="Comma 4 4 7 2 2" xfId="11911" xr:uid="{00000000-0005-0000-0000-0000036C0000}"/>
    <cellStyle name="Comma 4 4 7 3" xfId="10471" xr:uid="{00000000-0005-0000-0000-0000046C0000}"/>
    <cellStyle name="Comma 4 4 7 4" xfId="12737" xr:uid="{00000000-0005-0000-0000-0000056C0000}"/>
    <cellStyle name="Comma 4 4 8" xfId="6818" xr:uid="{00000000-0005-0000-0000-0000066C0000}"/>
    <cellStyle name="Comma 4 4 8 2" xfId="8298" xr:uid="{00000000-0005-0000-0000-0000076C0000}"/>
    <cellStyle name="Comma 4 4 8 2 2" xfId="11195" xr:uid="{00000000-0005-0000-0000-0000086C0000}"/>
    <cellStyle name="Comma 4 4 8 3" xfId="9755" xr:uid="{00000000-0005-0000-0000-0000096C0000}"/>
    <cellStyle name="Comma 4 4 8 4" xfId="52582" xr:uid="{00000000-0005-0000-0000-00000A6C0000}"/>
    <cellStyle name="Comma 4 4 9" xfId="7637" xr:uid="{00000000-0005-0000-0000-00000B6C0000}"/>
    <cellStyle name="Comma 4 4 9 2" xfId="10537" xr:uid="{00000000-0005-0000-0000-00000C6C0000}"/>
    <cellStyle name="Comma 4 5" xfId="541" xr:uid="{00000000-0005-0000-0000-00000D6C0000}"/>
    <cellStyle name="Comma 4 5 10" xfId="22975" xr:uid="{00000000-0005-0000-0000-00000E6C0000}"/>
    <cellStyle name="Comma 4 5 10 2" xfId="42544" xr:uid="{00000000-0005-0000-0000-00000F6C0000}"/>
    <cellStyle name="Comma 4 5 11" xfId="33179" xr:uid="{00000000-0005-0000-0000-0000106C0000}"/>
    <cellStyle name="Comma 4 5 12" xfId="12837" xr:uid="{00000000-0005-0000-0000-0000116C0000}"/>
    <cellStyle name="Comma 4 5 13" xfId="52616" xr:uid="{00000000-0005-0000-0000-0000126C0000}"/>
    <cellStyle name="Comma 4 5 14" xfId="12045" xr:uid="{00000000-0005-0000-0000-0000136C0000}"/>
    <cellStyle name="Comma 4 5 2" xfId="542" xr:uid="{00000000-0005-0000-0000-0000146C0000}"/>
    <cellStyle name="Comma 4 5 2 2" xfId="543" xr:uid="{00000000-0005-0000-0000-0000156C0000}"/>
    <cellStyle name="Comma 4 5 2 2 2" xfId="2422" xr:uid="{00000000-0005-0000-0000-0000166C0000}"/>
    <cellStyle name="Comma 4 5 2 2 2 2" xfId="8869" xr:uid="{00000000-0005-0000-0000-0000176C0000}"/>
    <cellStyle name="Comma 4 5 2 2 2 2 2" xfId="11766" xr:uid="{00000000-0005-0000-0000-0000186C0000}"/>
    <cellStyle name="Comma 4 5 2 2 2 2 2 2" xfId="50116" xr:uid="{00000000-0005-0000-0000-0000196C0000}"/>
    <cellStyle name="Comma 4 5 2 2 2 2 3" xfId="30927" xr:uid="{00000000-0005-0000-0000-00001A6C0000}"/>
    <cellStyle name="Comma 4 5 2 2 2 3" xfId="10326" xr:uid="{00000000-0005-0000-0000-00001B6C0000}"/>
    <cellStyle name="Comma 4 5 2 2 2 3 2" xfId="40418" xr:uid="{00000000-0005-0000-0000-00001C6C0000}"/>
    <cellStyle name="Comma 4 5 2 2 2 4" xfId="7392" xr:uid="{00000000-0005-0000-0000-00001D6C0000}"/>
    <cellStyle name="Comma 4 5 2 2 2 4 2" xfId="54097" xr:uid="{00000000-0005-0000-0000-00001E6C0000}"/>
    <cellStyle name="Comma 4 5 2 2 2 5" xfId="20559" xr:uid="{00000000-0005-0000-0000-00001F6C0000}"/>
    <cellStyle name="Comma 4 5 2 2 3" xfId="8211" xr:uid="{00000000-0005-0000-0000-0000206C0000}"/>
    <cellStyle name="Comma 4 5 2 2 3 2" xfId="11108" xr:uid="{00000000-0005-0000-0000-0000216C0000}"/>
    <cellStyle name="Comma 4 5 2 2 3 2 2" xfId="45661" xr:uid="{00000000-0005-0000-0000-0000226C0000}"/>
    <cellStyle name="Comma 4 5 2 2 3 3" xfId="26472" xr:uid="{00000000-0005-0000-0000-0000236C0000}"/>
    <cellStyle name="Comma 4 5 2 2 4" xfId="9668" xr:uid="{00000000-0005-0000-0000-0000246C0000}"/>
    <cellStyle name="Comma 4 5 2 2 4 2" xfId="35963" xr:uid="{00000000-0005-0000-0000-0000256C0000}"/>
    <cellStyle name="Comma 4 5 2 2 5" xfId="6716" xr:uid="{00000000-0005-0000-0000-0000266C0000}"/>
    <cellStyle name="Comma 4 5 2 2 5 2" xfId="53244" xr:uid="{00000000-0005-0000-0000-0000276C0000}"/>
    <cellStyle name="Comma 4 5 2 2 6" xfId="16095" xr:uid="{00000000-0005-0000-0000-0000286C0000}"/>
    <cellStyle name="Comma 4 5 2 3" xfId="2421" xr:uid="{00000000-0005-0000-0000-0000296C0000}"/>
    <cellStyle name="Comma 4 5 2 3 2" xfId="8636" xr:uid="{00000000-0005-0000-0000-00002A6C0000}"/>
    <cellStyle name="Comma 4 5 2 3 2 2" xfId="11533" xr:uid="{00000000-0005-0000-0000-00002B6C0000}"/>
    <cellStyle name="Comma 4 5 2 3 2 2 2" xfId="47888" xr:uid="{00000000-0005-0000-0000-00002C6C0000}"/>
    <cellStyle name="Comma 4 5 2 3 2 3" xfId="28699" xr:uid="{00000000-0005-0000-0000-00002D6C0000}"/>
    <cellStyle name="Comma 4 5 2 3 3" xfId="10093" xr:uid="{00000000-0005-0000-0000-00002E6C0000}"/>
    <cellStyle name="Comma 4 5 2 3 3 2" xfId="38190" xr:uid="{00000000-0005-0000-0000-00002F6C0000}"/>
    <cellStyle name="Comma 4 5 2 3 4" xfId="7159" xr:uid="{00000000-0005-0000-0000-0000306C0000}"/>
    <cellStyle name="Comma 4 5 2 3 4 2" xfId="53701" xr:uid="{00000000-0005-0000-0000-0000316C0000}"/>
    <cellStyle name="Comma 4 5 2 3 5" xfId="18331" xr:uid="{00000000-0005-0000-0000-0000326C0000}"/>
    <cellStyle name="Comma 4 5 2 4" xfId="7978" xr:uid="{00000000-0005-0000-0000-0000336C0000}"/>
    <cellStyle name="Comma 4 5 2 4 2" xfId="10875" xr:uid="{00000000-0005-0000-0000-0000346C0000}"/>
    <cellStyle name="Comma 4 5 2 4 2 2" xfId="43433" xr:uid="{00000000-0005-0000-0000-0000356C0000}"/>
    <cellStyle name="Comma 4 5 2 4 3" xfId="24239" xr:uid="{00000000-0005-0000-0000-0000366C0000}"/>
    <cellStyle name="Comma 4 5 2 5" xfId="9435" xr:uid="{00000000-0005-0000-0000-0000376C0000}"/>
    <cellStyle name="Comma 4 5 2 5 2" xfId="33735" xr:uid="{00000000-0005-0000-0000-0000386C0000}"/>
    <cellStyle name="Comma 4 5 2 6" xfId="6483" xr:uid="{00000000-0005-0000-0000-0000396C0000}"/>
    <cellStyle name="Comma 4 5 2 6 2" xfId="52816" xr:uid="{00000000-0005-0000-0000-00003A6C0000}"/>
    <cellStyle name="Comma 4 5 2 7" xfId="13831" xr:uid="{00000000-0005-0000-0000-00003B6C0000}"/>
    <cellStyle name="Comma 4 5 3" xfId="544" xr:uid="{00000000-0005-0000-0000-00003C6C0000}"/>
    <cellStyle name="Comma 4 5 3 2" xfId="2423" xr:uid="{00000000-0005-0000-0000-00003D6C0000}"/>
    <cellStyle name="Comma 4 5 3 2 2" xfId="8753" xr:uid="{00000000-0005-0000-0000-00003E6C0000}"/>
    <cellStyle name="Comma 4 5 3 2 2 2" xfId="11650" xr:uid="{00000000-0005-0000-0000-00003F6C0000}"/>
    <cellStyle name="Comma 4 5 3 2 2 2 2" xfId="49560" xr:uid="{00000000-0005-0000-0000-0000406C0000}"/>
    <cellStyle name="Comma 4 5 3 2 2 2 3" xfId="30371" xr:uid="{00000000-0005-0000-0000-0000416C0000}"/>
    <cellStyle name="Comma 4 5 3 2 2 3" xfId="39862" xr:uid="{00000000-0005-0000-0000-0000426C0000}"/>
    <cellStyle name="Comma 4 5 3 2 2 4" xfId="20003" xr:uid="{00000000-0005-0000-0000-0000436C0000}"/>
    <cellStyle name="Comma 4 5 3 2 3" xfId="10210" xr:uid="{00000000-0005-0000-0000-0000446C0000}"/>
    <cellStyle name="Comma 4 5 3 2 3 2" xfId="45105" xr:uid="{00000000-0005-0000-0000-0000456C0000}"/>
    <cellStyle name="Comma 4 5 3 2 3 3" xfId="25916" xr:uid="{00000000-0005-0000-0000-0000466C0000}"/>
    <cellStyle name="Comma 4 5 3 2 4" xfId="7276" xr:uid="{00000000-0005-0000-0000-0000476C0000}"/>
    <cellStyle name="Comma 4 5 3 2 4 2" xfId="35407" xr:uid="{00000000-0005-0000-0000-0000486C0000}"/>
    <cellStyle name="Comma 4 5 3 2 5" xfId="53901" xr:uid="{00000000-0005-0000-0000-0000496C0000}"/>
    <cellStyle name="Comma 4 5 3 2 6" xfId="15539" xr:uid="{00000000-0005-0000-0000-00004A6C0000}"/>
    <cellStyle name="Comma 4 5 3 3" xfId="8095" xr:uid="{00000000-0005-0000-0000-00004B6C0000}"/>
    <cellStyle name="Comma 4 5 3 3 2" xfId="10992" xr:uid="{00000000-0005-0000-0000-00004C6C0000}"/>
    <cellStyle name="Comma 4 5 3 3 2 2" xfId="48445" xr:uid="{00000000-0005-0000-0000-00004D6C0000}"/>
    <cellStyle name="Comma 4 5 3 3 2 3" xfId="29256" xr:uid="{00000000-0005-0000-0000-00004E6C0000}"/>
    <cellStyle name="Comma 4 5 3 3 3" xfId="38747" xr:uid="{00000000-0005-0000-0000-00004F6C0000}"/>
    <cellStyle name="Comma 4 5 3 3 4" xfId="18888" xr:uid="{00000000-0005-0000-0000-0000506C0000}"/>
    <cellStyle name="Comma 4 5 3 4" xfId="9552" xr:uid="{00000000-0005-0000-0000-0000516C0000}"/>
    <cellStyle name="Comma 4 5 3 4 2" xfId="43990" xr:uid="{00000000-0005-0000-0000-0000526C0000}"/>
    <cellStyle name="Comma 4 5 3 4 3" xfId="24801" xr:uid="{00000000-0005-0000-0000-0000536C0000}"/>
    <cellStyle name="Comma 4 5 3 5" xfId="6600" xr:uid="{00000000-0005-0000-0000-0000546C0000}"/>
    <cellStyle name="Comma 4 5 3 5 2" xfId="34292" xr:uid="{00000000-0005-0000-0000-0000556C0000}"/>
    <cellStyle name="Comma 4 5 3 6" xfId="53026" xr:uid="{00000000-0005-0000-0000-0000566C0000}"/>
    <cellStyle name="Comma 4 5 3 7" xfId="14410" xr:uid="{00000000-0005-0000-0000-0000576C0000}"/>
    <cellStyle name="Comma 4 5 4" xfId="545" xr:uid="{00000000-0005-0000-0000-0000586C0000}"/>
    <cellStyle name="Comma 4 5 4 2" xfId="7043" xr:uid="{00000000-0005-0000-0000-0000596C0000}"/>
    <cellStyle name="Comma 4 5 4 2 2" xfId="8520" xr:uid="{00000000-0005-0000-0000-00005A6C0000}"/>
    <cellStyle name="Comma 4 5 4 2 2 2" xfId="11417" xr:uid="{00000000-0005-0000-0000-00005B6C0000}"/>
    <cellStyle name="Comma 4 5 4 2 2 2 2" xfId="49003" xr:uid="{00000000-0005-0000-0000-00005C6C0000}"/>
    <cellStyle name="Comma 4 5 4 2 2 3" xfId="29814" xr:uid="{00000000-0005-0000-0000-00005D6C0000}"/>
    <cellStyle name="Comma 4 5 4 2 3" xfId="9977" xr:uid="{00000000-0005-0000-0000-00005E6C0000}"/>
    <cellStyle name="Comma 4 5 4 2 3 2" xfId="39305" xr:uid="{00000000-0005-0000-0000-00005F6C0000}"/>
    <cellStyle name="Comma 4 5 4 2 4" xfId="19446" xr:uid="{00000000-0005-0000-0000-0000606C0000}"/>
    <cellStyle name="Comma 4 5 4 3" xfId="7861" xr:uid="{00000000-0005-0000-0000-0000616C0000}"/>
    <cellStyle name="Comma 4 5 4 3 2" xfId="10759" xr:uid="{00000000-0005-0000-0000-0000626C0000}"/>
    <cellStyle name="Comma 4 5 4 3 2 2" xfId="44548" xr:uid="{00000000-0005-0000-0000-0000636C0000}"/>
    <cellStyle name="Comma 4 5 4 3 3" xfId="25359" xr:uid="{00000000-0005-0000-0000-0000646C0000}"/>
    <cellStyle name="Comma 4 5 4 4" xfId="9319" xr:uid="{00000000-0005-0000-0000-0000656C0000}"/>
    <cellStyle name="Comma 4 5 4 4 2" xfId="34850" xr:uid="{00000000-0005-0000-0000-0000666C0000}"/>
    <cellStyle name="Comma 4 5 4 5" xfId="6364" xr:uid="{00000000-0005-0000-0000-0000676C0000}"/>
    <cellStyle name="Comma 4 5 4 5 2" xfId="53505" xr:uid="{00000000-0005-0000-0000-0000686C0000}"/>
    <cellStyle name="Comma 4 5 4 6" xfId="14982" xr:uid="{00000000-0005-0000-0000-0000696C0000}"/>
    <cellStyle name="Comma 4 5 5" xfId="2420" xr:uid="{00000000-0005-0000-0000-00006A6C0000}"/>
    <cellStyle name="Comma 4 5 5 2" xfId="8347" xr:uid="{00000000-0005-0000-0000-00006B6C0000}"/>
    <cellStyle name="Comma 4 5 5 2 2" xfId="11244" xr:uid="{00000000-0005-0000-0000-00006C6C0000}"/>
    <cellStyle name="Comma 4 5 5 2 2 2" xfId="50673" xr:uid="{00000000-0005-0000-0000-00006D6C0000}"/>
    <cellStyle name="Comma 4 5 5 2 2 3" xfId="31484" xr:uid="{00000000-0005-0000-0000-00006E6C0000}"/>
    <cellStyle name="Comma 4 5 5 2 3" xfId="40975" xr:uid="{00000000-0005-0000-0000-00006F6C0000}"/>
    <cellStyle name="Comma 4 5 5 2 4" xfId="21116" xr:uid="{00000000-0005-0000-0000-0000706C0000}"/>
    <cellStyle name="Comma 4 5 5 3" xfId="9804" xr:uid="{00000000-0005-0000-0000-0000716C0000}"/>
    <cellStyle name="Comma 4 5 5 3 2" xfId="46218" xr:uid="{00000000-0005-0000-0000-0000726C0000}"/>
    <cellStyle name="Comma 4 5 5 3 3" xfId="27029" xr:uid="{00000000-0005-0000-0000-0000736C0000}"/>
    <cellStyle name="Comma 4 5 5 4" xfId="6869" xr:uid="{00000000-0005-0000-0000-0000746C0000}"/>
    <cellStyle name="Comma 4 5 5 4 2" xfId="36520" xr:uid="{00000000-0005-0000-0000-0000756C0000}"/>
    <cellStyle name="Comma 4 5 5 5" xfId="16652" xr:uid="{00000000-0005-0000-0000-0000766C0000}"/>
    <cellStyle name="Comma 4 5 6" xfId="7686" xr:uid="{00000000-0005-0000-0000-0000776C0000}"/>
    <cellStyle name="Comma 4 5 6 2" xfId="10586" xr:uid="{00000000-0005-0000-0000-0000786C0000}"/>
    <cellStyle name="Comma 4 5 6 2 2" xfId="32041" xr:uid="{00000000-0005-0000-0000-0000796C0000}"/>
    <cellStyle name="Comma 4 5 6 2 2 2" xfId="51230" xr:uid="{00000000-0005-0000-0000-00007A6C0000}"/>
    <cellStyle name="Comma 4 5 6 2 3" xfId="41532" xr:uid="{00000000-0005-0000-0000-00007B6C0000}"/>
    <cellStyle name="Comma 4 5 6 2 4" xfId="21673" xr:uid="{00000000-0005-0000-0000-00007C6C0000}"/>
    <cellStyle name="Comma 4 5 6 3" xfId="27586" xr:uid="{00000000-0005-0000-0000-00007D6C0000}"/>
    <cellStyle name="Comma 4 5 6 3 2" xfId="46775" xr:uid="{00000000-0005-0000-0000-00007E6C0000}"/>
    <cellStyle name="Comma 4 5 6 4" xfId="37077" xr:uid="{00000000-0005-0000-0000-00007F6C0000}"/>
    <cellStyle name="Comma 4 5 6 5" xfId="17218" xr:uid="{00000000-0005-0000-0000-0000806C0000}"/>
    <cellStyle name="Comma 4 5 7" xfId="9146" xr:uid="{00000000-0005-0000-0000-0000816C0000}"/>
    <cellStyle name="Comma 4 5 7 2" xfId="28143" xr:uid="{00000000-0005-0000-0000-0000826C0000}"/>
    <cellStyle name="Comma 4 5 7 2 2" xfId="47332" xr:uid="{00000000-0005-0000-0000-0000836C0000}"/>
    <cellStyle name="Comma 4 5 7 3" xfId="37634" xr:uid="{00000000-0005-0000-0000-0000846C0000}"/>
    <cellStyle name="Comma 4 5 7 4" xfId="17775" xr:uid="{00000000-0005-0000-0000-0000856C0000}"/>
    <cellStyle name="Comma 4 5 8" xfId="6164" xr:uid="{00000000-0005-0000-0000-0000866C0000}"/>
    <cellStyle name="Comma 4 5 8 2" xfId="32702" xr:uid="{00000000-0005-0000-0000-0000876C0000}"/>
    <cellStyle name="Comma 4 5 8 2 2" xfId="51889" xr:uid="{00000000-0005-0000-0000-0000886C0000}"/>
    <cellStyle name="Comma 4 5 8 3" xfId="42191" xr:uid="{00000000-0005-0000-0000-0000896C0000}"/>
    <cellStyle name="Comma 4 5 8 4" xfId="22612" xr:uid="{00000000-0005-0000-0000-00008A6C0000}"/>
    <cellStyle name="Comma 4 5 9" xfId="23625" xr:uid="{00000000-0005-0000-0000-00008B6C0000}"/>
    <cellStyle name="Comma 4 5 9 2" xfId="42877" xr:uid="{00000000-0005-0000-0000-00008C6C0000}"/>
    <cellStyle name="Comma 4 6" xfId="546" xr:uid="{00000000-0005-0000-0000-00008D6C0000}"/>
    <cellStyle name="Comma 4 6 2" xfId="547" xr:uid="{00000000-0005-0000-0000-00008E6C0000}"/>
    <cellStyle name="Comma 4 6 2 2" xfId="2426" xr:uid="{00000000-0005-0000-0000-00008F6C0000}"/>
    <cellStyle name="Comma 4 6 2 2 2" xfId="8817" xr:uid="{00000000-0005-0000-0000-0000906C0000}"/>
    <cellStyle name="Comma 4 6 2 2 2 2" xfId="11714" xr:uid="{00000000-0005-0000-0000-0000916C0000}"/>
    <cellStyle name="Comma 4 6 2 2 2 2 2" xfId="54130" xr:uid="{00000000-0005-0000-0000-0000926C0000}"/>
    <cellStyle name="Comma 4 6 2 2 2 3" xfId="51947" xr:uid="{00000000-0005-0000-0000-0000936C0000}"/>
    <cellStyle name="Comma 4 6 2 2 3" xfId="10274" xr:uid="{00000000-0005-0000-0000-0000946C0000}"/>
    <cellStyle name="Comma 4 6 2 2 3 2" xfId="53277" xr:uid="{00000000-0005-0000-0000-0000956C0000}"/>
    <cellStyle name="Comma 4 6 2 2 4" xfId="7340" xr:uid="{00000000-0005-0000-0000-0000966C0000}"/>
    <cellStyle name="Comma 4 6 2 2 5" xfId="32760" xr:uid="{00000000-0005-0000-0000-0000976C0000}"/>
    <cellStyle name="Comma 4 6 2 3" xfId="2425" xr:uid="{00000000-0005-0000-0000-0000986C0000}"/>
    <cellStyle name="Comma 4 6 2 3 2" xfId="11056" xr:uid="{00000000-0005-0000-0000-0000996C0000}"/>
    <cellStyle name="Comma 4 6 2 3 2 2" xfId="53734" xr:uid="{00000000-0005-0000-0000-00009A6C0000}"/>
    <cellStyle name="Comma 4 6 2 3 3" xfId="8159" xr:uid="{00000000-0005-0000-0000-00009B6C0000}"/>
    <cellStyle name="Comma 4 6 2 3 4" xfId="42249" xr:uid="{00000000-0005-0000-0000-00009C6C0000}"/>
    <cellStyle name="Comma 4 6 2 4" xfId="9616" xr:uid="{00000000-0005-0000-0000-00009D6C0000}"/>
    <cellStyle name="Comma 4 6 2 4 2" xfId="52849" xr:uid="{00000000-0005-0000-0000-00009E6C0000}"/>
    <cellStyle name="Comma 4 6 2 5" xfId="6664" xr:uid="{00000000-0005-0000-0000-00009F6C0000}"/>
    <cellStyle name="Comma 4 6 2 6" xfId="22674" xr:uid="{00000000-0005-0000-0000-0000A06C0000}"/>
    <cellStyle name="Comma 4 6 3" xfId="548" xr:uid="{00000000-0005-0000-0000-0000A16C0000}"/>
    <cellStyle name="Comma 4 6 3 2" xfId="2427" xr:uid="{00000000-0005-0000-0000-0000A26C0000}"/>
    <cellStyle name="Comma 4 6 3 2 2" xfId="8584" xr:uid="{00000000-0005-0000-0000-0000A36C0000}"/>
    <cellStyle name="Comma 4 6 3 2 2 2" xfId="11481" xr:uid="{00000000-0005-0000-0000-0000A46C0000}"/>
    <cellStyle name="Comma 4 6 3 2 3" xfId="10041" xr:uid="{00000000-0005-0000-0000-0000A56C0000}"/>
    <cellStyle name="Comma 4 6 3 2 4" xfId="7107" xr:uid="{00000000-0005-0000-0000-0000A66C0000}"/>
    <cellStyle name="Comma 4 6 3 2 5" xfId="53934" xr:uid="{00000000-0005-0000-0000-0000A76C0000}"/>
    <cellStyle name="Comma 4 6 3 3" xfId="7926" xr:uid="{00000000-0005-0000-0000-0000A86C0000}"/>
    <cellStyle name="Comma 4 6 3 3 2" xfId="10823" xr:uid="{00000000-0005-0000-0000-0000A96C0000}"/>
    <cellStyle name="Comma 4 6 3 3 3" xfId="53059" xr:uid="{00000000-0005-0000-0000-0000AA6C0000}"/>
    <cellStyle name="Comma 4 6 3 4" xfId="9383" xr:uid="{00000000-0005-0000-0000-0000AB6C0000}"/>
    <cellStyle name="Comma 4 6 3 5" xfId="6431" xr:uid="{00000000-0005-0000-0000-0000AC6C0000}"/>
    <cellStyle name="Comma 4 6 3 6" xfId="24761" xr:uid="{00000000-0005-0000-0000-0000AD6C0000}"/>
    <cellStyle name="Comma 4 6 4" xfId="2424" xr:uid="{00000000-0005-0000-0000-0000AE6C0000}"/>
    <cellStyle name="Comma 4 6 4 2" xfId="8405" xr:uid="{00000000-0005-0000-0000-0000AF6C0000}"/>
    <cellStyle name="Comma 4 6 4 2 2" xfId="11302" xr:uid="{00000000-0005-0000-0000-0000B06C0000}"/>
    <cellStyle name="Comma 4 6 4 2 3" xfId="42602" xr:uid="{00000000-0005-0000-0000-0000B16C0000}"/>
    <cellStyle name="Comma 4 6 4 3" xfId="9862" xr:uid="{00000000-0005-0000-0000-0000B26C0000}"/>
    <cellStyle name="Comma 4 6 4 3 2" xfId="53538" xr:uid="{00000000-0005-0000-0000-0000B36C0000}"/>
    <cellStyle name="Comma 4 6 4 4" xfId="6928" xr:uid="{00000000-0005-0000-0000-0000B46C0000}"/>
    <cellStyle name="Comma 4 6 4 5" xfId="23033" xr:uid="{00000000-0005-0000-0000-0000B56C0000}"/>
    <cellStyle name="Comma 4 6 5" xfId="7745" xr:uid="{00000000-0005-0000-0000-0000B66C0000}"/>
    <cellStyle name="Comma 4 6 5 2" xfId="10644" xr:uid="{00000000-0005-0000-0000-0000B76C0000}"/>
    <cellStyle name="Comma 4 6 5 3" xfId="52653" xr:uid="{00000000-0005-0000-0000-0000B86C0000}"/>
    <cellStyle name="Comma 4 6 6" xfId="9204" xr:uid="{00000000-0005-0000-0000-0000B96C0000}"/>
    <cellStyle name="Comma 4 6 7" xfId="6229" xr:uid="{00000000-0005-0000-0000-0000BA6C0000}"/>
    <cellStyle name="Comma 4 6 8" xfId="14357" xr:uid="{00000000-0005-0000-0000-0000BB6C0000}"/>
    <cellStyle name="Comma 4 7" xfId="549" xr:uid="{00000000-0005-0000-0000-0000BC6C0000}"/>
    <cellStyle name="Comma 4 7 2" xfId="2429" xr:uid="{00000000-0005-0000-0000-0000BD6C0000}"/>
    <cellStyle name="Comma 4 7 2 2" xfId="8701" xr:uid="{00000000-0005-0000-0000-0000BE6C0000}"/>
    <cellStyle name="Comma 4 7 2 2 2" xfId="11598" xr:uid="{00000000-0005-0000-0000-0000BF6C0000}"/>
    <cellStyle name="Comma 4 7 2 2 2 2" xfId="52155" xr:uid="{00000000-0005-0000-0000-0000C06C0000}"/>
    <cellStyle name="Comma 4 7 2 2 3" xfId="53961" xr:uid="{00000000-0005-0000-0000-0000C16C0000}"/>
    <cellStyle name="Comma 4 7 2 2 4" xfId="32969" xr:uid="{00000000-0005-0000-0000-0000C26C0000}"/>
    <cellStyle name="Comma 4 7 2 3" xfId="10158" xr:uid="{00000000-0005-0000-0000-0000C36C0000}"/>
    <cellStyle name="Comma 4 7 2 3 2" xfId="42457" xr:uid="{00000000-0005-0000-0000-0000C46C0000}"/>
    <cellStyle name="Comma 4 7 2 4" xfId="7224" xr:uid="{00000000-0005-0000-0000-0000C56C0000}"/>
    <cellStyle name="Comma 4 7 2 4 2" xfId="53108" xr:uid="{00000000-0005-0000-0000-0000C66C0000}"/>
    <cellStyle name="Comma 4 7 2 5" xfId="22885" xr:uid="{00000000-0005-0000-0000-0000C76C0000}"/>
    <cellStyle name="Comma 4 7 3" xfId="2428" xr:uid="{00000000-0005-0000-0000-0000C86C0000}"/>
    <cellStyle name="Comma 4 7 3 2" xfId="10940" xr:uid="{00000000-0005-0000-0000-0000C96C0000}"/>
    <cellStyle name="Comma 4 7 3 2 2" xfId="51775" xr:uid="{00000000-0005-0000-0000-0000CA6C0000}"/>
    <cellStyle name="Comma 4 7 3 3" xfId="8043" xr:uid="{00000000-0005-0000-0000-0000CB6C0000}"/>
    <cellStyle name="Comma 4 7 3 3 2" xfId="53565" xr:uid="{00000000-0005-0000-0000-0000CC6C0000}"/>
    <cellStyle name="Comma 4 7 3 4" xfId="32587" xr:uid="{00000000-0005-0000-0000-0000CD6C0000}"/>
    <cellStyle name="Comma 4 7 4" xfId="9500" xr:uid="{00000000-0005-0000-0000-0000CE6C0000}"/>
    <cellStyle name="Comma 4 7 4 2" xfId="42810" xr:uid="{00000000-0005-0000-0000-0000CF6C0000}"/>
    <cellStyle name="Comma 4 7 4 3" xfId="23242" xr:uid="{00000000-0005-0000-0000-0000D06C0000}"/>
    <cellStyle name="Comma 4 7 5" xfId="6548" xr:uid="{00000000-0005-0000-0000-0000D16C0000}"/>
    <cellStyle name="Comma 4 7 5 2" xfId="42077" xr:uid="{00000000-0005-0000-0000-0000D26C0000}"/>
    <cellStyle name="Comma 4 7 6" xfId="52680" xr:uid="{00000000-0005-0000-0000-0000D36C0000}"/>
    <cellStyle name="Comma 4 7 7" xfId="22228" xr:uid="{00000000-0005-0000-0000-0000D46C0000}"/>
    <cellStyle name="Comma 4 8" xfId="550" xr:uid="{00000000-0005-0000-0000-0000D56C0000}"/>
    <cellStyle name="Comma 4 8 2" xfId="2430" xr:uid="{00000000-0005-0000-0000-0000D66C0000}"/>
    <cellStyle name="Comma 4 8 2 2" xfId="8468" xr:uid="{00000000-0005-0000-0000-0000D76C0000}"/>
    <cellStyle name="Comma 4 8 2 2 2" xfId="11365" xr:uid="{00000000-0005-0000-0000-0000D86C0000}"/>
    <cellStyle name="Comma 4 8 2 2 3" xfId="51802" xr:uid="{00000000-0005-0000-0000-0000D96C0000}"/>
    <cellStyle name="Comma 4 8 2 3" xfId="9925" xr:uid="{00000000-0005-0000-0000-0000DA6C0000}"/>
    <cellStyle name="Comma 4 8 2 3 2" xfId="53764" xr:uid="{00000000-0005-0000-0000-0000DB6C0000}"/>
    <cellStyle name="Comma 4 8 2 4" xfId="6991" xr:uid="{00000000-0005-0000-0000-0000DC6C0000}"/>
    <cellStyle name="Comma 4 8 2 5" xfId="32614" xr:uid="{00000000-0005-0000-0000-0000DD6C0000}"/>
    <cellStyle name="Comma 4 8 3" xfId="7809" xr:uid="{00000000-0005-0000-0000-0000DE6C0000}"/>
    <cellStyle name="Comma 4 8 3 2" xfId="10707" xr:uid="{00000000-0005-0000-0000-0000DF6C0000}"/>
    <cellStyle name="Comma 4 8 3 3" xfId="42104" xr:uid="{00000000-0005-0000-0000-0000E06C0000}"/>
    <cellStyle name="Comma 4 8 4" xfId="9267" xr:uid="{00000000-0005-0000-0000-0000E16C0000}"/>
    <cellStyle name="Comma 4 8 4 2" xfId="52880" xr:uid="{00000000-0005-0000-0000-0000E26C0000}"/>
    <cellStyle name="Comma 4 8 5" xfId="6312" xr:uid="{00000000-0005-0000-0000-0000E36C0000}"/>
    <cellStyle name="Comma 4 8 6" xfId="22257" xr:uid="{00000000-0005-0000-0000-0000E46C0000}"/>
    <cellStyle name="Comma 4 9" xfId="551" xr:uid="{00000000-0005-0000-0000-0000E56C0000}"/>
    <cellStyle name="Comma 4 9 2" xfId="2431" xr:uid="{00000000-0005-0000-0000-0000E66C0000}"/>
    <cellStyle name="Comma 4 9 2 2" xfId="11828" xr:uid="{00000000-0005-0000-0000-0000E76C0000}"/>
    <cellStyle name="Comma 4 9 2 3" xfId="8931" xr:uid="{00000000-0005-0000-0000-0000E86C0000}"/>
    <cellStyle name="Comma 4 9 2 4" xfId="54161" xr:uid="{00000000-0005-0000-0000-0000E96C0000}"/>
    <cellStyle name="Comma 4 9 3" xfId="10388" xr:uid="{00000000-0005-0000-0000-0000EA6C0000}"/>
    <cellStyle name="Comma 4 9 3 2" xfId="53309" xr:uid="{00000000-0005-0000-0000-0000EB6C0000}"/>
    <cellStyle name="Comma 4 9 4" xfId="7457" xr:uid="{00000000-0005-0000-0000-0000EC6C0000}"/>
    <cellStyle name="Comma 4 9 5" xfId="12369" xr:uid="{00000000-0005-0000-0000-0000ED6C0000}"/>
    <cellStyle name="Comma 5" xfId="552" xr:uid="{00000000-0005-0000-0000-0000EE6C0000}"/>
    <cellStyle name="Comma 5 10" xfId="2433" xr:uid="{00000000-0005-0000-0000-0000EF6C0000}"/>
    <cellStyle name="Comma 5 11" xfId="2434" xr:uid="{00000000-0005-0000-0000-0000F06C0000}"/>
    <cellStyle name="Comma 5 12" xfId="2435" xr:uid="{00000000-0005-0000-0000-0000F16C0000}"/>
    <cellStyle name="Comma 5 13" xfId="2432" xr:uid="{00000000-0005-0000-0000-0000F26C0000}"/>
    <cellStyle name="Comma 5 14" xfId="6103" xr:uid="{00000000-0005-0000-0000-0000F36C0000}"/>
    <cellStyle name="Comma 5 15" xfId="12372" xr:uid="{00000000-0005-0000-0000-0000F46C0000}"/>
    <cellStyle name="Comma 5 2" xfId="553" xr:uid="{00000000-0005-0000-0000-0000F56C0000}"/>
    <cellStyle name="Comma 5 2 2" xfId="2437" xr:uid="{00000000-0005-0000-0000-0000F66C0000}"/>
    <cellStyle name="Comma 5 2 2 2" xfId="2438" xr:uid="{00000000-0005-0000-0000-0000F76C0000}"/>
    <cellStyle name="Comma 5 2 2 2 2" xfId="2439" xr:uid="{00000000-0005-0000-0000-0000F86C0000}"/>
    <cellStyle name="Comma 5 2 2 3" xfId="2440" xr:uid="{00000000-0005-0000-0000-0000F96C0000}"/>
    <cellStyle name="Comma 5 2 2 4" xfId="52620" xr:uid="{00000000-0005-0000-0000-0000FA6C0000}"/>
    <cellStyle name="Comma 5 2 3" xfId="2441" xr:uid="{00000000-0005-0000-0000-0000FB6C0000}"/>
    <cellStyle name="Comma 5 2 3 2" xfId="2442" xr:uid="{00000000-0005-0000-0000-0000FC6C0000}"/>
    <cellStyle name="Comma 5 2 4" xfId="2443" xr:uid="{00000000-0005-0000-0000-0000FD6C0000}"/>
    <cellStyle name="Comma 5 2 5" xfId="2436" xr:uid="{00000000-0005-0000-0000-0000FE6C0000}"/>
    <cellStyle name="Comma 5 2 6" xfId="12738" xr:uid="{00000000-0005-0000-0000-0000FF6C0000}"/>
    <cellStyle name="Comma 5 3" xfId="1504" xr:uid="{00000000-0005-0000-0000-0000006D0000}"/>
    <cellStyle name="Comma 5 3 10" xfId="12838" xr:uid="{00000000-0005-0000-0000-0000016D0000}"/>
    <cellStyle name="Comma 5 3 2" xfId="2445" xr:uid="{00000000-0005-0000-0000-0000026D0000}"/>
    <cellStyle name="Comma 5 3 2 2" xfId="2446" xr:uid="{00000000-0005-0000-0000-0000036D0000}"/>
    <cellStyle name="Comma 5 3 2 2 2" xfId="2447" xr:uid="{00000000-0005-0000-0000-0000046D0000}"/>
    <cellStyle name="Comma 5 3 2 2 2 2" xfId="30928" xr:uid="{00000000-0005-0000-0000-0000056D0000}"/>
    <cellStyle name="Comma 5 3 2 2 2 2 2" xfId="50117" xr:uid="{00000000-0005-0000-0000-0000066D0000}"/>
    <cellStyle name="Comma 5 3 2 2 2 3" xfId="40419" xr:uid="{00000000-0005-0000-0000-0000076D0000}"/>
    <cellStyle name="Comma 5 3 2 2 2 4" xfId="20560" xr:uid="{00000000-0005-0000-0000-0000086D0000}"/>
    <cellStyle name="Comma 5 3 2 2 3" xfId="26473" xr:uid="{00000000-0005-0000-0000-0000096D0000}"/>
    <cellStyle name="Comma 5 3 2 2 3 2" xfId="45662" xr:uid="{00000000-0005-0000-0000-00000A6D0000}"/>
    <cellStyle name="Comma 5 3 2 2 4" xfId="35964" xr:uid="{00000000-0005-0000-0000-00000B6D0000}"/>
    <cellStyle name="Comma 5 3 2 2 5" xfId="16096" xr:uid="{00000000-0005-0000-0000-00000C6D0000}"/>
    <cellStyle name="Comma 5 3 2 3" xfId="2448" xr:uid="{00000000-0005-0000-0000-00000D6D0000}"/>
    <cellStyle name="Comma 5 3 2 3 2" xfId="28700" xr:uid="{00000000-0005-0000-0000-00000E6D0000}"/>
    <cellStyle name="Comma 5 3 2 3 2 2" xfId="47889" xr:uid="{00000000-0005-0000-0000-00000F6D0000}"/>
    <cellStyle name="Comma 5 3 2 3 3" xfId="38191" xr:uid="{00000000-0005-0000-0000-0000106D0000}"/>
    <cellStyle name="Comma 5 3 2 3 4" xfId="18332" xr:uid="{00000000-0005-0000-0000-0000116D0000}"/>
    <cellStyle name="Comma 5 3 2 4" xfId="24240" xr:uid="{00000000-0005-0000-0000-0000126D0000}"/>
    <cellStyle name="Comma 5 3 2 4 2" xfId="43434" xr:uid="{00000000-0005-0000-0000-0000136D0000}"/>
    <cellStyle name="Comma 5 3 2 5" xfId="33736" xr:uid="{00000000-0005-0000-0000-0000146D0000}"/>
    <cellStyle name="Comma 5 3 2 6" xfId="13832" xr:uid="{00000000-0005-0000-0000-0000156D0000}"/>
    <cellStyle name="Comma 5 3 3" xfId="2449" xr:uid="{00000000-0005-0000-0000-0000166D0000}"/>
    <cellStyle name="Comma 5 3 3 2" xfId="2450" xr:uid="{00000000-0005-0000-0000-0000176D0000}"/>
    <cellStyle name="Comma 5 3 3 2 2" xfId="20004" xr:uid="{00000000-0005-0000-0000-0000186D0000}"/>
    <cellStyle name="Comma 5 3 3 2 2 2" xfId="30372" xr:uid="{00000000-0005-0000-0000-0000196D0000}"/>
    <cellStyle name="Comma 5 3 3 2 2 2 2" xfId="49561" xr:uid="{00000000-0005-0000-0000-00001A6D0000}"/>
    <cellStyle name="Comma 5 3 3 2 2 3" xfId="39863" xr:uid="{00000000-0005-0000-0000-00001B6D0000}"/>
    <cellStyle name="Comma 5 3 3 2 3" xfId="25917" xr:uid="{00000000-0005-0000-0000-00001C6D0000}"/>
    <cellStyle name="Comma 5 3 3 2 3 2" xfId="45106" xr:uid="{00000000-0005-0000-0000-00001D6D0000}"/>
    <cellStyle name="Comma 5 3 3 2 4" xfId="35408" xr:uid="{00000000-0005-0000-0000-00001E6D0000}"/>
    <cellStyle name="Comma 5 3 3 2 5" xfId="15540" xr:uid="{00000000-0005-0000-0000-00001F6D0000}"/>
    <cellStyle name="Comma 5 3 3 3" xfId="18889" xr:uid="{00000000-0005-0000-0000-0000206D0000}"/>
    <cellStyle name="Comma 5 3 3 3 2" xfId="29257" xr:uid="{00000000-0005-0000-0000-0000216D0000}"/>
    <cellStyle name="Comma 5 3 3 3 2 2" xfId="48446" xr:uid="{00000000-0005-0000-0000-0000226D0000}"/>
    <cellStyle name="Comma 5 3 3 3 3" xfId="38748" xr:uid="{00000000-0005-0000-0000-0000236D0000}"/>
    <cellStyle name="Comma 5 3 3 4" xfId="24802" xr:uid="{00000000-0005-0000-0000-0000246D0000}"/>
    <cellStyle name="Comma 5 3 3 4 2" xfId="43991" xr:uid="{00000000-0005-0000-0000-0000256D0000}"/>
    <cellStyle name="Comma 5 3 3 5" xfId="34293" xr:uid="{00000000-0005-0000-0000-0000266D0000}"/>
    <cellStyle name="Comma 5 3 3 6" xfId="14411" xr:uid="{00000000-0005-0000-0000-0000276D0000}"/>
    <cellStyle name="Comma 5 3 4" xfId="2451" xr:uid="{00000000-0005-0000-0000-0000286D0000}"/>
    <cellStyle name="Comma 5 3 4 2" xfId="19447" xr:uid="{00000000-0005-0000-0000-0000296D0000}"/>
    <cellStyle name="Comma 5 3 4 2 2" xfId="29815" xr:uid="{00000000-0005-0000-0000-00002A6D0000}"/>
    <cellStyle name="Comma 5 3 4 2 2 2" xfId="49004" xr:uid="{00000000-0005-0000-0000-00002B6D0000}"/>
    <cellStyle name="Comma 5 3 4 2 3" xfId="39306" xr:uid="{00000000-0005-0000-0000-00002C6D0000}"/>
    <cellStyle name="Comma 5 3 4 3" xfId="25360" xr:uid="{00000000-0005-0000-0000-00002D6D0000}"/>
    <cellStyle name="Comma 5 3 4 3 2" xfId="44549" xr:uid="{00000000-0005-0000-0000-00002E6D0000}"/>
    <cellStyle name="Comma 5 3 4 4" xfId="34851" xr:uid="{00000000-0005-0000-0000-00002F6D0000}"/>
    <cellStyle name="Comma 5 3 4 5" xfId="14983" xr:uid="{00000000-0005-0000-0000-0000306D0000}"/>
    <cellStyle name="Comma 5 3 5" xfId="2444" xr:uid="{00000000-0005-0000-0000-0000316D0000}"/>
    <cellStyle name="Comma 5 3 5 2" xfId="21117" xr:uid="{00000000-0005-0000-0000-0000326D0000}"/>
    <cellStyle name="Comma 5 3 5 2 2" xfId="31485" xr:uid="{00000000-0005-0000-0000-0000336D0000}"/>
    <cellStyle name="Comma 5 3 5 2 2 2" xfId="50674" xr:uid="{00000000-0005-0000-0000-0000346D0000}"/>
    <cellStyle name="Comma 5 3 5 2 3" xfId="40976" xr:uid="{00000000-0005-0000-0000-0000356D0000}"/>
    <cellStyle name="Comma 5 3 5 3" xfId="27030" xr:uid="{00000000-0005-0000-0000-0000366D0000}"/>
    <cellStyle name="Comma 5 3 5 3 2" xfId="46219" xr:uid="{00000000-0005-0000-0000-0000376D0000}"/>
    <cellStyle name="Comma 5 3 5 4" xfId="36521" xr:uid="{00000000-0005-0000-0000-0000386D0000}"/>
    <cellStyle name="Comma 5 3 5 5" xfId="16653" xr:uid="{00000000-0005-0000-0000-0000396D0000}"/>
    <cellStyle name="Comma 5 3 6" xfId="17219" xr:uid="{00000000-0005-0000-0000-00003A6D0000}"/>
    <cellStyle name="Comma 5 3 6 2" xfId="21674" xr:uid="{00000000-0005-0000-0000-00003B6D0000}"/>
    <cellStyle name="Comma 5 3 6 2 2" xfId="32042" xr:uid="{00000000-0005-0000-0000-00003C6D0000}"/>
    <cellStyle name="Comma 5 3 6 2 2 2" xfId="51231" xr:uid="{00000000-0005-0000-0000-00003D6D0000}"/>
    <cellStyle name="Comma 5 3 6 2 3" xfId="41533" xr:uid="{00000000-0005-0000-0000-00003E6D0000}"/>
    <cellStyle name="Comma 5 3 6 3" xfId="27587" xr:uid="{00000000-0005-0000-0000-00003F6D0000}"/>
    <cellStyle name="Comma 5 3 6 3 2" xfId="46776" xr:uid="{00000000-0005-0000-0000-0000406D0000}"/>
    <cellStyle name="Comma 5 3 6 4" xfId="37078" xr:uid="{00000000-0005-0000-0000-0000416D0000}"/>
    <cellStyle name="Comma 5 3 7" xfId="17776" xr:uid="{00000000-0005-0000-0000-0000426D0000}"/>
    <cellStyle name="Comma 5 3 7 2" xfId="28144" xr:uid="{00000000-0005-0000-0000-0000436D0000}"/>
    <cellStyle name="Comma 5 3 7 2 2" xfId="47333" xr:uid="{00000000-0005-0000-0000-0000446D0000}"/>
    <cellStyle name="Comma 5 3 7 3" xfId="37635" xr:uid="{00000000-0005-0000-0000-0000456D0000}"/>
    <cellStyle name="Comma 5 3 8" xfId="23626" xr:uid="{00000000-0005-0000-0000-0000466D0000}"/>
    <cellStyle name="Comma 5 3 8 2" xfId="42878" xr:uid="{00000000-0005-0000-0000-0000476D0000}"/>
    <cellStyle name="Comma 5 3 9" xfId="33180" xr:uid="{00000000-0005-0000-0000-0000486D0000}"/>
    <cellStyle name="Comma 5 4" xfId="2452" xr:uid="{00000000-0005-0000-0000-0000496D0000}"/>
    <cellStyle name="Comma 5 4 2" xfId="2453" xr:uid="{00000000-0005-0000-0000-00004A6D0000}"/>
    <cellStyle name="Comma 5 4 2 2" xfId="2454" xr:uid="{00000000-0005-0000-0000-00004B6D0000}"/>
    <cellStyle name="Comma 5 4 3" xfId="2455" xr:uid="{00000000-0005-0000-0000-00004C6D0000}"/>
    <cellStyle name="Comma 5 4 4" xfId="22525" xr:uid="{00000000-0005-0000-0000-00004D6D0000}"/>
    <cellStyle name="Comma 5 5" xfId="2456" xr:uid="{00000000-0005-0000-0000-00004E6D0000}"/>
    <cellStyle name="Comma 5 5 2" xfId="2457" xr:uid="{00000000-0005-0000-0000-00004F6D0000}"/>
    <cellStyle name="Comma 5 5 2 2" xfId="2458" xr:uid="{00000000-0005-0000-0000-0000506D0000}"/>
    <cellStyle name="Comma 5 5 3" xfId="2459" xr:uid="{00000000-0005-0000-0000-0000516D0000}"/>
    <cellStyle name="Comma 5 5 4" xfId="23395" xr:uid="{00000000-0005-0000-0000-0000526D0000}"/>
    <cellStyle name="Comma 5 6" xfId="2460" xr:uid="{00000000-0005-0000-0000-0000536D0000}"/>
    <cellStyle name="Comma 5 6 2" xfId="2461" xr:uid="{00000000-0005-0000-0000-0000546D0000}"/>
    <cellStyle name="Comma 5 6 3" xfId="52476" xr:uid="{00000000-0005-0000-0000-0000556D0000}"/>
    <cellStyle name="Comma 5 7" xfId="2462" xr:uid="{00000000-0005-0000-0000-0000566D0000}"/>
    <cellStyle name="Comma 5 8" xfId="2463" xr:uid="{00000000-0005-0000-0000-0000576D0000}"/>
    <cellStyle name="Comma 5 9" xfId="2464" xr:uid="{00000000-0005-0000-0000-0000586D0000}"/>
    <cellStyle name="Comma 6" xfId="554" xr:uid="{00000000-0005-0000-0000-0000596D0000}"/>
    <cellStyle name="Comma 6 10" xfId="12373" xr:uid="{00000000-0005-0000-0000-00005A6D0000}"/>
    <cellStyle name="Comma 6 2" xfId="555" xr:uid="{00000000-0005-0000-0000-00005B6D0000}"/>
    <cellStyle name="Comma 6 2 2" xfId="556" xr:uid="{00000000-0005-0000-0000-00005C6D0000}"/>
    <cellStyle name="Comma 6 2 2 2" xfId="557" xr:uid="{00000000-0005-0000-0000-00005D6D0000}"/>
    <cellStyle name="Comma 6 2 2 2 2" xfId="7444" xr:uid="{00000000-0005-0000-0000-00005E6D0000}"/>
    <cellStyle name="Comma 6 2 2 2 2 2" xfId="8921" xr:uid="{00000000-0005-0000-0000-00005F6D0000}"/>
    <cellStyle name="Comma 6 2 2 2 2 2 2" xfId="11818" xr:uid="{00000000-0005-0000-0000-0000606D0000}"/>
    <cellStyle name="Comma 6 2 2 2 2 3" xfId="10378" xr:uid="{00000000-0005-0000-0000-0000616D0000}"/>
    <cellStyle name="Comma 6 2 2 2 2 4" xfId="51915" xr:uid="{00000000-0005-0000-0000-0000626D0000}"/>
    <cellStyle name="Comma 6 2 2 2 3" xfId="8263" xr:uid="{00000000-0005-0000-0000-0000636D0000}"/>
    <cellStyle name="Comma 6 2 2 2 3 2" xfId="11160" xr:uid="{00000000-0005-0000-0000-0000646D0000}"/>
    <cellStyle name="Comma 6 2 2 2 3 3" xfId="53966" xr:uid="{00000000-0005-0000-0000-0000656D0000}"/>
    <cellStyle name="Comma 6 2 2 2 4" xfId="9720" xr:uid="{00000000-0005-0000-0000-0000666D0000}"/>
    <cellStyle name="Comma 6 2 2 2 5" xfId="6768" xr:uid="{00000000-0005-0000-0000-0000676D0000}"/>
    <cellStyle name="Comma 6 2 2 2 6" xfId="32728" xr:uid="{00000000-0005-0000-0000-0000686D0000}"/>
    <cellStyle name="Comma 6 2 2 3" xfId="7211" xr:uid="{00000000-0005-0000-0000-0000696D0000}"/>
    <cellStyle name="Comma 6 2 2 3 2" xfId="8688" xr:uid="{00000000-0005-0000-0000-00006A6D0000}"/>
    <cellStyle name="Comma 6 2 2 3 2 2" xfId="11585" xr:uid="{00000000-0005-0000-0000-00006B6D0000}"/>
    <cellStyle name="Comma 6 2 2 3 3" xfId="10145" xr:uid="{00000000-0005-0000-0000-00006C6D0000}"/>
    <cellStyle name="Comma 6 2 2 3 4" xfId="42217" xr:uid="{00000000-0005-0000-0000-00006D6D0000}"/>
    <cellStyle name="Comma 6 2 2 4" xfId="8030" xr:uid="{00000000-0005-0000-0000-00006E6D0000}"/>
    <cellStyle name="Comma 6 2 2 4 2" xfId="10927" xr:uid="{00000000-0005-0000-0000-00006F6D0000}"/>
    <cellStyle name="Comma 6 2 2 4 3" xfId="53113" xr:uid="{00000000-0005-0000-0000-0000706D0000}"/>
    <cellStyle name="Comma 6 2 2 5" xfId="9487" xr:uid="{00000000-0005-0000-0000-0000716D0000}"/>
    <cellStyle name="Comma 6 2 2 6" xfId="6535" xr:uid="{00000000-0005-0000-0000-0000726D0000}"/>
    <cellStyle name="Comma 6 2 2 7" xfId="22640" xr:uid="{00000000-0005-0000-0000-0000736D0000}"/>
    <cellStyle name="Comma 6 2 3" xfId="558" xr:uid="{00000000-0005-0000-0000-0000746D0000}"/>
    <cellStyle name="Comma 6 2 3 2" xfId="7328" xr:uid="{00000000-0005-0000-0000-0000756D0000}"/>
    <cellStyle name="Comma 6 2 3 2 2" xfId="8805" xr:uid="{00000000-0005-0000-0000-0000766D0000}"/>
    <cellStyle name="Comma 6 2 3 2 2 2" xfId="11702" xr:uid="{00000000-0005-0000-0000-0000776D0000}"/>
    <cellStyle name="Comma 6 2 3 2 3" xfId="10262" xr:uid="{00000000-0005-0000-0000-0000786D0000}"/>
    <cellStyle name="Comma 6 2 3 2 4" xfId="53570" xr:uid="{00000000-0005-0000-0000-0000796D0000}"/>
    <cellStyle name="Comma 6 2 3 3" xfId="8147" xr:uid="{00000000-0005-0000-0000-00007A6D0000}"/>
    <cellStyle name="Comma 6 2 3 3 2" xfId="11044" xr:uid="{00000000-0005-0000-0000-00007B6D0000}"/>
    <cellStyle name="Comma 6 2 3 4" xfId="9604" xr:uid="{00000000-0005-0000-0000-00007C6D0000}"/>
    <cellStyle name="Comma 6 2 3 5" xfId="6652" xr:uid="{00000000-0005-0000-0000-00007D6D0000}"/>
    <cellStyle name="Comma 6 2 3 6" xfId="23574" xr:uid="{00000000-0005-0000-0000-00007E6D0000}"/>
    <cellStyle name="Comma 6 2 4" xfId="559" xr:uid="{00000000-0005-0000-0000-00007F6D0000}"/>
    <cellStyle name="Comma 6 2 4 2" xfId="7095" xr:uid="{00000000-0005-0000-0000-0000806D0000}"/>
    <cellStyle name="Comma 6 2 4 2 2" xfId="8572" xr:uid="{00000000-0005-0000-0000-0000816D0000}"/>
    <cellStyle name="Comma 6 2 4 2 2 2" xfId="11469" xr:uid="{00000000-0005-0000-0000-0000826D0000}"/>
    <cellStyle name="Comma 6 2 4 2 3" xfId="10029" xr:uid="{00000000-0005-0000-0000-0000836D0000}"/>
    <cellStyle name="Comma 6 2 4 2 4" xfId="42570" xr:uid="{00000000-0005-0000-0000-0000846D0000}"/>
    <cellStyle name="Comma 6 2 4 3" xfId="7913" xr:uid="{00000000-0005-0000-0000-0000856D0000}"/>
    <cellStyle name="Comma 6 2 4 3 2" xfId="10811" xr:uid="{00000000-0005-0000-0000-0000866D0000}"/>
    <cellStyle name="Comma 6 2 4 4" xfId="9371" xr:uid="{00000000-0005-0000-0000-0000876D0000}"/>
    <cellStyle name="Comma 6 2 4 5" xfId="6416" xr:uid="{00000000-0005-0000-0000-0000886D0000}"/>
    <cellStyle name="Comma 6 2 4 6" xfId="23001" xr:uid="{00000000-0005-0000-0000-0000896D0000}"/>
    <cellStyle name="Comma 6 2 5" xfId="2466" xr:uid="{00000000-0005-0000-0000-00008A6D0000}"/>
    <cellStyle name="Comma 6 2 5 2" xfId="8373" xr:uid="{00000000-0005-0000-0000-00008B6D0000}"/>
    <cellStyle name="Comma 6 2 5 2 2" xfId="11270" xr:uid="{00000000-0005-0000-0000-00008C6D0000}"/>
    <cellStyle name="Comma 6 2 5 3" xfId="9830" xr:uid="{00000000-0005-0000-0000-00008D6D0000}"/>
    <cellStyle name="Comma 6 2 5 4" xfId="6895" xr:uid="{00000000-0005-0000-0000-00008E6D0000}"/>
    <cellStyle name="Comma 6 2 5 5" xfId="52685" xr:uid="{00000000-0005-0000-0000-00008F6D0000}"/>
    <cellStyle name="Comma 6 2 6" xfId="7712" xr:uid="{00000000-0005-0000-0000-0000906D0000}"/>
    <cellStyle name="Comma 6 2 6 2" xfId="10612" xr:uid="{00000000-0005-0000-0000-0000916D0000}"/>
    <cellStyle name="Comma 6 2 7" xfId="9172" xr:uid="{00000000-0005-0000-0000-0000926D0000}"/>
    <cellStyle name="Comma 6 2 8" xfId="6191" xr:uid="{00000000-0005-0000-0000-0000936D0000}"/>
    <cellStyle name="Comma 6 2 9" xfId="12732" xr:uid="{00000000-0005-0000-0000-0000946D0000}"/>
    <cellStyle name="Comma 6 3" xfId="19" xr:uid="{00000000-0005-0000-0000-0000956D0000}"/>
    <cellStyle name="Comma 6 3 2" xfId="560" xr:uid="{00000000-0005-0000-0000-0000966D0000}"/>
    <cellStyle name="Comma 6 3 2 2" xfId="7416" xr:uid="{00000000-0005-0000-0000-0000976D0000}"/>
    <cellStyle name="Comma 6 3 2 2 2" xfId="8893" xr:uid="{00000000-0005-0000-0000-0000986D0000}"/>
    <cellStyle name="Comma 6 3 2 2 2 2" xfId="11790" xr:uid="{00000000-0005-0000-0000-0000996D0000}"/>
    <cellStyle name="Comma 6 3 2 2 3" xfId="10350" xr:uid="{00000000-0005-0000-0000-00009A6D0000}"/>
    <cellStyle name="Comma 6 3 2 2 4" xfId="51971" xr:uid="{00000000-0005-0000-0000-00009B6D0000}"/>
    <cellStyle name="Comma 6 3 2 3" xfId="8235" xr:uid="{00000000-0005-0000-0000-00009C6D0000}"/>
    <cellStyle name="Comma 6 3 2 3 2" xfId="11132" xr:uid="{00000000-0005-0000-0000-00009D6D0000}"/>
    <cellStyle name="Comma 6 3 2 3 3" xfId="53770" xr:uid="{00000000-0005-0000-0000-00009E6D0000}"/>
    <cellStyle name="Comma 6 3 2 4" xfId="9692" xr:uid="{00000000-0005-0000-0000-00009F6D0000}"/>
    <cellStyle name="Comma 6 3 2 5" xfId="6740" xr:uid="{00000000-0005-0000-0000-0000A06D0000}"/>
    <cellStyle name="Comma 6 3 2 6" xfId="32784" xr:uid="{00000000-0005-0000-0000-0000A16D0000}"/>
    <cellStyle name="Comma 6 3 3" xfId="561" xr:uid="{00000000-0005-0000-0000-0000A26D0000}"/>
    <cellStyle name="Comma 6 3 3 2" xfId="7183" xr:uid="{00000000-0005-0000-0000-0000A36D0000}"/>
    <cellStyle name="Comma 6 3 3 2 2" xfId="8660" xr:uid="{00000000-0005-0000-0000-0000A46D0000}"/>
    <cellStyle name="Comma 6 3 3 2 2 2" xfId="11557" xr:uid="{00000000-0005-0000-0000-0000A56D0000}"/>
    <cellStyle name="Comma 6 3 3 2 3" xfId="10117" xr:uid="{00000000-0005-0000-0000-0000A66D0000}"/>
    <cellStyle name="Comma 6 3 3 2 4" xfId="42626" xr:uid="{00000000-0005-0000-0000-0000A76D0000}"/>
    <cellStyle name="Comma 6 3 3 3" xfId="8002" xr:uid="{00000000-0005-0000-0000-0000A86D0000}"/>
    <cellStyle name="Comma 6 3 3 3 2" xfId="10899" xr:uid="{00000000-0005-0000-0000-0000A96D0000}"/>
    <cellStyle name="Comma 6 3 3 4" xfId="9459" xr:uid="{00000000-0005-0000-0000-0000AA6D0000}"/>
    <cellStyle name="Comma 6 3 3 5" xfId="6507" xr:uid="{00000000-0005-0000-0000-0000AB6D0000}"/>
    <cellStyle name="Comma 6 3 3 6" xfId="23057" xr:uid="{00000000-0005-0000-0000-0000AC6D0000}"/>
    <cellStyle name="Comma 6 3 4" xfId="2467" xr:uid="{00000000-0005-0000-0000-0000AD6D0000}"/>
    <cellStyle name="Comma 6 3 4 2" xfId="8429" xr:uid="{00000000-0005-0000-0000-0000AE6D0000}"/>
    <cellStyle name="Comma 6 3 4 2 2" xfId="11326" xr:uid="{00000000-0005-0000-0000-0000AF6D0000}"/>
    <cellStyle name="Comma 6 3 4 3" xfId="9886" xr:uid="{00000000-0005-0000-0000-0000B06D0000}"/>
    <cellStyle name="Comma 6 3 4 4" xfId="6952" xr:uid="{00000000-0005-0000-0000-0000B16D0000}"/>
    <cellStyle name="Comma 6 3 4 5" xfId="42273" xr:uid="{00000000-0005-0000-0000-0000B26D0000}"/>
    <cellStyle name="Comma 6 3 5" xfId="7769" xr:uid="{00000000-0005-0000-0000-0000B36D0000}"/>
    <cellStyle name="Comma 6 3 5 2" xfId="10668" xr:uid="{00000000-0005-0000-0000-0000B46D0000}"/>
    <cellStyle name="Comma 6 3 5 3" xfId="52892" xr:uid="{00000000-0005-0000-0000-0000B56D0000}"/>
    <cellStyle name="Comma 6 3 6" xfId="9228" xr:uid="{00000000-0005-0000-0000-0000B66D0000}"/>
    <cellStyle name="Comma 6 3 7" xfId="6253" xr:uid="{00000000-0005-0000-0000-0000B76D0000}"/>
    <cellStyle name="Comma 6 3 8" xfId="22698" xr:uid="{00000000-0005-0000-0000-0000B86D0000}"/>
    <cellStyle name="Comma 6 4" xfId="562" xr:uid="{00000000-0005-0000-0000-0000B96D0000}"/>
    <cellStyle name="Comma 6 4 2" xfId="2468" xr:uid="{00000000-0005-0000-0000-0000BA6D0000}"/>
    <cellStyle name="Comma 6 4 2 2" xfId="8777" xr:uid="{00000000-0005-0000-0000-0000BB6D0000}"/>
    <cellStyle name="Comma 6 4 2 2 2" xfId="11674" xr:uid="{00000000-0005-0000-0000-0000BC6D0000}"/>
    <cellStyle name="Comma 6 4 2 2 3" xfId="51834" xr:uid="{00000000-0005-0000-0000-0000BD6D0000}"/>
    <cellStyle name="Comma 6 4 2 3" xfId="10234" xr:uid="{00000000-0005-0000-0000-0000BE6D0000}"/>
    <cellStyle name="Comma 6 4 2 4" xfId="7300" xr:uid="{00000000-0005-0000-0000-0000BF6D0000}"/>
    <cellStyle name="Comma 6 4 2 5" xfId="32647" xr:uid="{00000000-0005-0000-0000-0000C06D0000}"/>
    <cellStyle name="Comma 6 4 3" xfId="8119" xr:uid="{00000000-0005-0000-0000-0000C16D0000}"/>
    <cellStyle name="Comma 6 4 3 2" xfId="11016" xr:uid="{00000000-0005-0000-0000-0000C26D0000}"/>
    <cellStyle name="Comma 6 4 3 3" xfId="42136" xr:uid="{00000000-0005-0000-0000-0000C36D0000}"/>
    <cellStyle name="Comma 6 4 4" xfId="9576" xr:uid="{00000000-0005-0000-0000-0000C46D0000}"/>
    <cellStyle name="Comma 6 4 4 2" xfId="53374" xr:uid="{00000000-0005-0000-0000-0000C56D0000}"/>
    <cellStyle name="Comma 6 4 5" xfId="6624" xr:uid="{00000000-0005-0000-0000-0000C66D0000}"/>
    <cellStyle name="Comma 6 4 6" xfId="22523" xr:uid="{00000000-0005-0000-0000-0000C76D0000}"/>
    <cellStyle name="Comma 6 5" xfId="563" xr:uid="{00000000-0005-0000-0000-0000C86D0000}"/>
    <cellStyle name="Comma 6 5 2" xfId="2469" xr:uid="{00000000-0005-0000-0000-0000C96D0000}"/>
    <cellStyle name="Comma 6 5 2 2" xfId="8544" xr:uid="{00000000-0005-0000-0000-0000CA6D0000}"/>
    <cellStyle name="Comma 6 5 2 2 2" xfId="11441" xr:uid="{00000000-0005-0000-0000-0000CB6D0000}"/>
    <cellStyle name="Comma 6 5 2 3" xfId="10001" xr:uid="{00000000-0005-0000-0000-0000CC6D0000}"/>
    <cellStyle name="Comma 6 5 2 4" xfId="7067" xr:uid="{00000000-0005-0000-0000-0000CD6D0000}"/>
    <cellStyle name="Comma 6 5 3" xfId="7885" xr:uid="{00000000-0005-0000-0000-0000CE6D0000}"/>
    <cellStyle name="Comma 6 5 3 2" xfId="10783" xr:uid="{00000000-0005-0000-0000-0000CF6D0000}"/>
    <cellStyle name="Comma 6 5 4" xfId="9343" xr:uid="{00000000-0005-0000-0000-0000D06D0000}"/>
    <cellStyle name="Comma 6 5 5" xfId="6388" xr:uid="{00000000-0005-0000-0000-0000D16D0000}"/>
    <cellStyle name="Comma 6 5 6" xfId="23396" xr:uid="{00000000-0005-0000-0000-0000D26D0000}"/>
    <cellStyle name="Comma 6 6" xfId="2470" xr:uid="{00000000-0005-0000-0000-0000D36D0000}"/>
    <cellStyle name="Comma 6 6 2" xfId="8292" xr:uid="{00000000-0005-0000-0000-0000D46D0000}"/>
    <cellStyle name="Comma 6 6 2 2" xfId="11189" xr:uid="{00000000-0005-0000-0000-0000D56D0000}"/>
    <cellStyle name="Comma 6 6 2 3" xfId="42489" xr:uid="{00000000-0005-0000-0000-0000D66D0000}"/>
    <cellStyle name="Comma 6 6 3" xfId="9749" xr:uid="{00000000-0005-0000-0000-0000D76D0000}"/>
    <cellStyle name="Comma 6 6 4" xfId="6811" xr:uid="{00000000-0005-0000-0000-0000D86D0000}"/>
    <cellStyle name="Comma 6 6 5" xfId="22920" xr:uid="{00000000-0005-0000-0000-0000D96D0000}"/>
    <cellStyle name="Comma 6 7" xfId="2465" xr:uid="{00000000-0005-0000-0000-0000DA6D0000}"/>
    <cellStyle name="Comma 6 7 2" xfId="10531" xr:uid="{00000000-0005-0000-0000-0000DB6D0000}"/>
    <cellStyle name="Comma 6 7 3" xfId="7631" xr:uid="{00000000-0005-0000-0000-0000DC6D0000}"/>
    <cellStyle name="Comma 6 7 4" xfId="52472" xr:uid="{00000000-0005-0000-0000-0000DD6D0000}"/>
    <cellStyle name="Comma 6 8" xfId="9091" xr:uid="{00000000-0005-0000-0000-0000DE6D0000}"/>
    <cellStyle name="Comma 6 9" xfId="6100" xr:uid="{00000000-0005-0000-0000-0000DF6D0000}"/>
    <cellStyle name="Comma 7" xfId="564" xr:uid="{00000000-0005-0000-0000-0000E06D0000}"/>
    <cellStyle name="Comma 7 10" xfId="12374" xr:uid="{00000000-0005-0000-0000-0000E16D0000}"/>
    <cellStyle name="Comma 7 2" xfId="565" xr:uid="{00000000-0005-0000-0000-0000E26D0000}"/>
    <cellStyle name="Comma 7 2 2" xfId="2473" xr:uid="{00000000-0005-0000-0000-0000E36D0000}"/>
    <cellStyle name="Comma 7 2 2 10" xfId="53151" xr:uid="{00000000-0005-0000-0000-0000E46D0000}"/>
    <cellStyle name="Comma 7 2 2 11" xfId="13670" xr:uid="{00000000-0005-0000-0000-0000E56D0000}"/>
    <cellStyle name="Comma 7 2 2 2" xfId="2474" xr:uid="{00000000-0005-0000-0000-0000E66D0000}"/>
    <cellStyle name="Comma 7 2 2 2 2" xfId="16609" xr:uid="{00000000-0005-0000-0000-0000E76D0000}"/>
    <cellStyle name="Comma 7 2 2 2 2 2" xfId="21073" xr:uid="{00000000-0005-0000-0000-0000E86D0000}"/>
    <cellStyle name="Comma 7 2 2 2 2 2 2" xfId="31441" xr:uid="{00000000-0005-0000-0000-0000E96D0000}"/>
    <cellStyle name="Comma 7 2 2 2 2 2 2 2" xfId="50630" xr:uid="{00000000-0005-0000-0000-0000EA6D0000}"/>
    <cellStyle name="Comma 7 2 2 2 2 2 3" xfId="40932" xr:uid="{00000000-0005-0000-0000-0000EB6D0000}"/>
    <cellStyle name="Comma 7 2 2 2 2 3" xfId="26986" xr:uid="{00000000-0005-0000-0000-0000EC6D0000}"/>
    <cellStyle name="Comma 7 2 2 2 2 3 2" xfId="46175" xr:uid="{00000000-0005-0000-0000-0000ED6D0000}"/>
    <cellStyle name="Comma 7 2 2 2 2 4" xfId="36477" xr:uid="{00000000-0005-0000-0000-0000EE6D0000}"/>
    <cellStyle name="Comma 7 2 2 2 3" xfId="18845" xr:uid="{00000000-0005-0000-0000-0000EF6D0000}"/>
    <cellStyle name="Comma 7 2 2 2 3 2" xfId="29213" xr:uid="{00000000-0005-0000-0000-0000F06D0000}"/>
    <cellStyle name="Comma 7 2 2 2 3 2 2" xfId="48402" xr:uid="{00000000-0005-0000-0000-0000F16D0000}"/>
    <cellStyle name="Comma 7 2 2 2 3 3" xfId="38704" xr:uid="{00000000-0005-0000-0000-0000F26D0000}"/>
    <cellStyle name="Comma 7 2 2 2 4" xfId="24753" xr:uid="{00000000-0005-0000-0000-0000F36D0000}"/>
    <cellStyle name="Comma 7 2 2 2 4 2" xfId="43947" xr:uid="{00000000-0005-0000-0000-0000F46D0000}"/>
    <cellStyle name="Comma 7 2 2 2 5" xfId="34249" xr:uid="{00000000-0005-0000-0000-0000F56D0000}"/>
    <cellStyle name="Comma 7 2 2 2 6" xfId="54004" xr:uid="{00000000-0005-0000-0000-0000F66D0000}"/>
    <cellStyle name="Comma 7 2 2 2 7" xfId="14346" xr:uid="{00000000-0005-0000-0000-0000F76D0000}"/>
    <cellStyle name="Comma 7 2 2 3" xfId="14925" xr:uid="{00000000-0005-0000-0000-0000F86D0000}"/>
    <cellStyle name="Comma 7 2 2 3 2" xfId="16053" xr:uid="{00000000-0005-0000-0000-0000F96D0000}"/>
    <cellStyle name="Comma 7 2 2 3 2 2" xfId="20517" xr:uid="{00000000-0005-0000-0000-0000FA6D0000}"/>
    <cellStyle name="Comma 7 2 2 3 2 2 2" xfId="30885" xr:uid="{00000000-0005-0000-0000-0000FB6D0000}"/>
    <cellStyle name="Comma 7 2 2 3 2 2 2 2" xfId="50074" xr:uid="{00000000-0005-0000-0000-0000FC6D0000}"/>
    <cellStyle name="Comma 7 2 2 3 2 2 3" xfId="40376" xr:uid="{00000000-0005-0000-0000-0000FD6D0000}"/>
    <cellStyle name="Comma 7 2 2 3 2 3" xfId="26430" xr:uid="{00000000-0005-0000-0000-0000FE6D0000}"/>
    <cellStyle name="Comma 7 2 2 3 2 3 2" xfId="45619" xr:uid="{00000000-0005-0000-0000-0000FF6D0000}"/>
    <cellStyle name="Comma 7 2 2 3 2 4" xfId="35921" xr:uid="{00000000-0005-0000-0000-0000006E0000}"/>
    <cellStyle name="Comma 7 2 2 3 3" xfId="19402" xr:uid="{00000000-0005-0000-0000-0000016E0000}"/>
    <cellStyle name="Comma 7 2 2 3 3 2" xfId="29770" xr:uid="{00000000-0005-0000-0000-0000026E0000}"/>
    <cellStyle name="Comma 7 2 2 3 3 2 2" xfId="48959" xr:uid="{00000000-0005-0000-0000-0000036E0000}"/>
    <cellStyle name="Comma 7 2 2 3 3 3" xfId="39261" xr:uid="{00000000-0005-0000-0000-0000046E0000}"/>
    <cellStyle name="Comma 7 2 2 3 4" xfId="25315" xr:uid="{00000000-0005-0000-0000-0000056E0000}"/>
    <cellStyle name="Comma 7 2 2 3 4 2" xfId="44504" xr:uid="{00000000-0005-0000-0000-0000066E0000}"/>
    <cellStyle name="Comma 7 2 2 3 5" xfId="34806" xr:uid="{00000000-0005-0000-0000-0000076E0000}"/>
    <cellStyle name="Comma 7 2 2 4" xfId="15496" xr:uid="{00000000-0005-0000-0000-0000086E0000}"/>
    <cellStyle name="Comma 7 2 2 4 2" xfId="19960" xr:uid="{00000000-0005-0000-0000-0000096E0000}"/>
    <cellStyle name="Comma 7 2 2 4 2 2" xfId="30328" xr:uid="{00000000-0005-0000-0000-00000A6E0000}"/>
    <cellStyle name="Comma 7 2 2 4 2 2 2" xfId="49517" xr:uid="{00000000-0005-0000-0000-00000B6E0000}"/>
    <cellStyle name="Comma 7 2 2 4 2 3" xfId="39819" xr:uid="{00000000-0005-0000-0000-00000C6E0000}"/>
    <cellStyle name="Comma 7 2 2 4 3" xfId="25873" xr:uid="{00000000-0005-0000-0000-00000D6E0000}"/>
    <cellStyle name="Comma 7 2 2 4 3 2" xfId="45062" xr:uid="{00000000-0005-0000-0000-00000E6E0000}"/>
    <cellStyle name="Comma 7 2 2 4 4" xfId="35364" xr:uid="{00000000-0005-0000-0000-00000F6E0000}"/>
    <cellStyle name="Comma 7 2 2 5" xfId="17166" xr:uid="{00000000-0005-0000-0000-0000106E0000}"/>
    <cellStyle name="Comma 7 2 2 5 2" xfId="21630" xr:uid="{00000000-0005-0000-0000-0000116E0000}"/>
    <cellStyle name="Comma 7 2 2 5 2 2" xfId="31998" xr:uid="{00000000-0005-0000-0000-0000126E0000}"/>
    <cellStyle name="Comma 7 2 2 5 2 2 2" xfId="51187" xr:uid="{00000000-0005-0000-0000-0000136E0000}"/>
    <cellStyle name="Comma 7 2 2 5 2 3" xfId="41489" xr:uid="{00000000-0005-0000-0000-0000146E0000}"/>
    <cellStyle name="Comma 7 2 2 5 3" xfId="27543" xr:uid="{00000000-0005-0000-0000-0000156E0000}"/>
    <cellStyle name="Comma 7 2 2 5 3 2" xfId="46732" xr:uid="{00000000-0005-0000-0000-0000166E0000}"/>
    <cellStyle name="Comma 7 2 2 5 4" xfId="37034" xr:uid="{00000000-0005-0000-0000-0000176E0000}"/>
    <cellStyle name="Comma 7 2 2 6" xfId="17732" xr:uid="{00000000-0005-0000-0000-0000186E0000}"/>
    <cellStyle name="Comma 7 2 2 6 2" xfId="22187" xr:uid="{00000000-0005-0000-0000-0000196E0000}"/>
    <cellStyle name="Comma 7 2 2 6 2 2" xfId="32555" xr:uid="{00000000-0005-0000-0000-00001A6E0000}"/>
    <cellStyle name="Comma 7 2 2 6 2 2 2" xfId="51744" xr:uid="{00000000-0005-0000-0000-00001B6E0000}"/>
    <cellStyle name="Comma 7 2 2 6 2 3" xfId="42046" xr:uid="{00000000-0005-0000-0000-00001C6E0000}"/>
    <cellStyle name="Comma 7 2 2 6 3" xfId="28100" xr:uid="{00000000-0005-0000-0000-00001D6E0000}"/>
    <cellStyle name="Comma 7 2 2 6 3 2" xfId="47289" xr:uid="{00000000-0005-0000-0000-00001E6E0000}"/>
    <cellStyle name="Comma 7 2 2 6 4" xfId="37591" xr:uid="{00000000-0005-0000-0000-00001F6E0000}"/>
    <cellStyle name="Comma 7 2 2 7" xfId="18289" xr:uid="{00000000-0005-0000-0000-0000206E0000}"/>
    <cellStyle name="Comma 7 2 2 7 2" xfId="28657" xr:uid="{00000000-0005-0000-0000-0000216E0000}"/>
    <cellStyle name="Comma 7 2 2 7 2 2" xfId="47846" xr:uid="{00000000-0005-0000-0000-0000226E0000}"/>
    <cellStyle name="Comma 7 2 2 7 3" xfId="38148" xr:uid="{00000000-0005-0000-0000-0000236E0000}"/>
    <cellStyle name="Comma 7 2 2 8" xfId="24193" xr:uid="{00000000-0005-0000-0000-0000246E0000}"/>
    <cellStyle name="Comma 7 2 2 8 2" xfId="43391" xr:uid="{00000000-0005-0000-0000-0000256E0000}"/>
    <cellStyle name="Comma 7 2 2 9" xfId="33693" xr:uid="{00000000-0005-0000-0000-0000266E0000}"/>
    <cellStyle name="Comma 7 2 3" xfId="2475" xr:uid="{00000000-0005-0000-0000-0000276E0000}"/>
    <cellStyle name="Comma 7 2 3 2" xfId="53608" xr:uid="{00000000-0005-0000-0000-0000286E0000}"/>
    <cellStyle name="Comma 7 2 4" xfId="2472" xr:uid="{00000000-0005-0000-0000-0000296E0000}"/>
    <cellStyle name="Comma 7 2 4 2" xfId="52723" xr:uid="{00000000-0005-0000-0000-00002A6E0000}"/>
    <cellStyle name="Comma 7 2 5" xfId="6419" xr:uid="{00000000-0005-0000-0000-00002B6E0000}"/>
    <cellStyle name="Comma 7 2 6" xfId="12375" xr:uid="{00000000-0005-0000-0000-00002C6E0000}"/>
    <cellStyle name="Comma 7 3" xfId="2476" xr:uid="{00000000-0005-0000-0000-00002D6E0000}"/>
    <cellStyle name="Comma 7 3 2" xfId="2477" xr:uid="{00000000-0005-0000-0000-00002E6E0000}"/>
    <cellStyle name="Comma 7 3 2 10" xfId="53808" xr:uid="{00000000-0005-0000-0000-00002F6E0000}"/>
    <cellStyle name="Comma 7 3 2 11" xfId="13677" xr:uid="{00000000-0005-0000-0000-0000306E0000}"/>
    <cellStyle name="Comma 7 3 2 2" xfId="14349" xr:uid="{00000000-0005-0000-0000-0000316E0000}"/>
    <cellStyle name="Comma 7 3 2 2 2" xfId="16612" xr:uid="{00000000-0005-0000-0000-0000326E0000}"/>
    <cellStyle name="Comma 7 3 2 2 2 2" xfId="21076" xr:uid="{00000000-0005-0000-0000-0000336E0000}"/>
    <cellStyle name="Comma 7 3 2 2 2 2 2" xfId="31444" xr:uid="{00000000-0005-0000-0000-0000346E0000}"/>
    <cellStyle name="Comma 7 3 2 2 2 2 2 2" xfId="50633" xr:uid="{00000000-0005-0000-0000-0000356E0000}"/>
    <cellStyle name="Comma 7 3 2 2 2 2 3" xfId="40935" xr:uid="{00000000-0005-0000-0000-0000366E0000}"/>
    <cellStyle name="Comma 7 3 2 2 2 3" xfId="26989" xr:uid="{00000000-0005-0000-0000-0000376E0000}"/>
    <cellStyle name="Comma 7 3 2 2 2 3 2" xfId="46178" xr:uid="{00000000-0005-0000-0000-0000386E0000}"/>
    <cellStyle name="Comma 7 3 2 2 2 4" xfId="36480" xr:uid="{00000000-0005-0000-0000-0000396E0000}"/>
    <cellStyle name="Comma 7 3 2 2 3" xfId="18848" xr:uid="{00000000-0005-0000-0000-00003A6E0000}"/>
    <cellStyle name="Comma 7 3 2 2 3 2" xfId="29216" xr:uid="{00000000-0005-0000-0000-00003B6E0000}"/>
    <cellStyle name="Comma 7 3 2 2 3 2 2" xfId="48405" xr:uid="{00000000-0005-0000-0000-00003C6E0000}"/>
    <cellStyle name="Comma 7 3 2 2 3 3" xfId="38707" xr:uid="{00000000-0005-0000-0000-00003D6E0000}"/>
    <cellStyle name="Comma 7 3 2 2 4" xfId="24756" xr:uid="{00000000-0005-0000-0000-00003E6E0000}"/>
    <cellStyle name="Comma 7 3 2 2 4 2" xfId="43950" xr:uid="{00000000-0005-0000-0000-00003F6E0000}"/>
    <cellStyle name="Comma 7 3 2 2 5" xfId="34252" xr:uid="{00000000-0005-0000-0000-0000406E0000}"/>
    <cellStyle name="Comma 7 3 2 3" xfId="14928" xr:uid="{00000000-0005-0000-0000-0000416E0000}"/>
    <cellStyle name="Comma 7 3 2 3 2" xfId="16056" xr:uid="{00000000-0005-0000-0000-0000426E0000}"/>
    <cellStyle name="Comma 7 3 2 3 2 2" xfId="20520" xr:uid="{00000000-0005-0000-0000-0000436E0000}"/>
    <cellStyle name="Comma 7 3 2 3 2 2 2" xfId="30888" xr:uid="{00000000-0005-0000-0000-0000446E0000}"/>
    <cellStyle name="Comma 7 3 2 3 2 2 2 2" xfId="50077" xr:uid="{00000000-0005-0000-0000-0000456E0000}"/>
    <cellStyle name="Comma 7 3 2 3 2 2 3" xfId="40379" xr:uid="{00000000-0005-0000-0000-0000466E0000}"/>
    <cellStyle name="Comma 7 3 2 3 2 3" xfId="26433" xr:uid="{00000000-0005-0000-0000-0000476E0000}"/>
    <cellStyle name="Comma 7 3 2 3 2 3 2" xfId="45622" xr:uid="{00000000-0005-0000-0000-0000486E0000}"/>
    <cellStyle name="Comma 7 3 2 3 2 4" xfId="35924" xr:uid="{00000000-0005-0000-0000-0000496E0000}"/>
    <cellStyle name="Comma 7 3 2 3 3" xfId="19405" xr:uid="{00000000-0005-0000-0000-00004A6E0000}"/>
    <cellStyle name="Comma 7 3 2 3 3 2" xfId="29773" xr:uid="{00000000-0005-0000-0000-00004B6E0000}"/>
    <cellStyle name="Comma 7 3 2 3 3 2 2" xfId="48962" xr:uid="{00000000-0005-0000-0000-00004C6E0000}"/>
    <cellStyle name="Comma 7 3 2 3 3 3" xfId="39264" xr:uid="{00000000-0005-0000-0000-00004D6E0000}"/>
    <cellStyle name="Comma 7 3 2 3 4" xfId="25318" xr:uid="{00000000-0005-0000-0000-00004E6E0000}"/>
    <cellStyle name="Comma 7 3 2 3 4 2" xfId="44507" xr:uid="{00000000-0005-0000-0000-00004F6E0000}"/>
    <cellStyle name="Comma 7 3 2 3 5" xfId="34809" xr:uid="{00000000-0005-0000-0000-0000506E0000}"/>
    <cellStyle name="Comma 7 3 2 4" xfId="15499" xr:uid="{00000000-0005-0000-0000-0000516E0000}"/>
    <cellStyle name="Comma 7 3 2 4 2" xfId="19963" xr:uid="{00000000-0005-0000-0000-0000526E0000}"/>
    <cellStyle name="Comma 7 3 2 4 2 2" xfId="30331" xr:uid="{00000000-0005-0000-0000-0000536E0000}"/>
    <cellStyle name="Comma 7 3 2 4 2 2 2" xfId="49520" xr:uid="{00000000-0005-0000-0000-0000546E0000}"/>
    <cellStyle name="Comma 7 3 2 4 2 3" xfId="39822" xr:uid="{00000000-0005-0000-0000-0000556E0000}"/>
    <cellStyle name="Comma 7 3 2 4 3" xfId="25876" xr:uid="{00000000-0005-0000-0000-0000566E0000}"/>
    <cellStyle name="Comma 7 3 2 4 3 2" xfId="45065" xr:uid="{00000000-0005-0000-0000-0000576E0000}"/>
    <cellStyle name="Comma 7 3 2 4 4" xfId="35367" xr:uid="{00000000-0005-0000-0000-0000586E0000}"/>
    <cellStyle name="Comma 7 3 2 5" xfId="17169" xr:uid="{00000000-0005-0000-0000-0000596E0000}"/>
    <cellStyle name="Comma 7 3 2 5 2" xfId="21633" xr:uid="{00000000-0005-0000-0000-00005A6E0000}"/>
    <cellStyle name="Comma 7 3 2 5 2 2" xfId="32001" xr:uid="{00000000-0005-0000-0000-00005B6E0000}"/>
    <cellStyle name="Comma 7 3 2 5 2 2 2" xfId="51190" xr:uid="{00000000-0005-0000-0000-00005C6E0000}"/>
    <cellStyle name="Comma 7 3 2 5 2 3" xfId="41492" xr:uid="{00000000-0005-0000-0000-00005D6E0000}"/>
    <cellStyle name="Comma 7 3 2 5 3" xfId="27546" xr:uid="{00000000-0005-0000-0000-00005E6E0000}"/>
    <cellStyle name="Comma 7 3 2 5 3 2" xfId="46735" xr:uid="{00000000-0005-0000-0000-00005F6E0000}"/>
    <cellStyle name="Comma 7 3 2 5 4" xfId="37037" xr:uid="{00000000-0005-0000-0000-0000606E0000}"/>
    <cellStyle name="Comma 7 3 2 6" xfId="17735" xr:uid="{00000000-0005-0000-0000-0000616E0000}"/>
    <cellStyle name="Comma 7 3 2 6 2" xfId="22190" xr:uid="{00000000-0005-0000-0000-0000626E0000}"/>
    <cellStyle name="Comma 7 3 2 6 2 2" xfId="32558" xr:uid="{00000000-0005-0000-0000-0000636E0000}"/>
    <cellStyle name="Comma 7 3 2 6 2 2 2" xfId="51747" xr:uid="{00000000-0005-0000-0000-0000646E0000}"/>
    <cellStyle name="Comma 7 3 2 6 2 3" xfId="42049" xr:uid="{00000000-0005-0000-0000-0000656E0000}"/>
    <cellStyle name="Comma 7 3 2 6 3" xfId="28103" xr:uid="{00000000-0005-0000-0000-0000666E0000}"/>
    <cellStyle name="Comma 7 3 2 6 3 2" xfId="47292" xr:uid="{00000000-0005-0000-0000-0000676E0000}"/>
    <cellStyle name="Comma 7 3 2 6 4" xfId="37594" xr:uid="{00000000-0005-0000-0000-0000686E0000}"/>
    <cellStyle name="Comma 7 3 2 7" xfId="18292" xr:uid="{00000000-0005-0000-0000-0000696E0000}"/>
    <cellStyle name="Comma 7 3 2 7 2" xfId="28660" xr:uid="{00000000-0005-0000-0000-00006A6E0000}"/>
    <cellStyle name="Comma 7 3 2 7 2 2" xfId="47849" xr:uid="{00000000-0005-0000-0000-00006B6E0000}"/>
    <cellStyle name="Comma 7 3 2 7 3" xfId="38151" xr:uid="{00000000-0005-0000-0000-00006C6E0000}"/>
    <cellStyle name="Comma 7 3 2 8" xfId="24196" xr:uid="{00000000-0005-0000-0000-00006D6E0000}"/>
    <cellStyle name="Comma 7 3 2 8 2" xfId="43394" xr:uid="{00000000-0005-0000-0000-00006E6E0000}"/>
    <cellStyle name="Comma 7 3 2 9" xfId="33696" xr:uid="{00000000-0005-0000-0000-00006F6E0000}"/>
    <cellStyle name="Comma 7 3 3" xfId="52933" xr:uid="{00000000-0005-0000-0000-0000706E0000}"/>
    <cellStyle name="Comma 7 3 4" xfId="12376" xr:uid="{00000000-0005-0000-0000-0000716E0000}"/>
    <cellStyle name="Comma 7 4" xfId="2478" xr:uid="{00000000-0005-0000-0000-0000726E0000}"/>
    <cellStyle name="Comma 7 4 2" xfId="53412" xr:uid="{00000000-0005-0000-0000-0000736E0000}"/>
    <cellStyle name="Comma 7 4 3" xfId="13256" xr:uid="{00000000-0005-0000-0000-0000746E0000}"/>
    <cellStyle name="Comma 7 5" xfId="2479" xr:uid="{00000000-0005-0000-0000-0000756E0000}"/>
    <cellStyle name="Comma 7 5 10" xfId="13257" xr:uid="{00000000-0005-0000-0000-0000766E0000}"/>
    <cellStyle name="Comma 7 5 2" xfId="14173" xr:uid="{00000000-0005-0000-0000-0000776E0000}"/>
    <cellStyle name="Comma 7 5 2 2" xfId="16437" xr:uid="{00000000-0005-0000-0000-0000786E0000}"/>
    <cellStyle name="Comma 7 5 2 2 2" xfId="20901" xr:uid="{00000000-0005-0000-0000-0000796E0000}"/>
    <cellStyle name="Comma 7 5 2 2 2 2" xfId="31269" xr:uid="{00000000-0005-0000-0000-00007A6E0000}"/>
    <cellStyle name="Comma 7 5 2 2 2 2 2" xfId="50458" xr:uid="{00000000-0005-0000-0000-00007B6E0000}"/>
    <cellStyle name="Comma 7 5 2 2 2 3" xfId="40760" xr:uid="{00000000-0005-0000-0000-00007C6E0000}"/>
    <cellStyle name="Comma 7 5 2 2 3" xfId="26814" xr:uid="{00000000-0005-0000-0000-00007D6E0000}"/>
    <cellStyle name="Comma 7 5 2 2 3 2" xfId="46003" xr:uid="{00000000-0005-0000-0000-00007E6E0000}"/>
    <cellStyle name="Comma 7 5 2 2 4" xfId="36305" xr:uid="{00000000-0005-0000-0000-00007F6E0000}"/>
    <cellStyle name="Comma 7 5 2 3" xfId="18673" xr:uid="{00000000-0005-0000-0000-0000806E0000}"/>
    <cellStyle name="Comma 7 5 2 3 2" xfId="29041" xr:uid="{00000000-0005-0000-0000-0000816E0000}"/>
    <cellStyle name="Comma 7 5 2 3 2 2" xfId="48230" xr:uid="{00000000-0005-0000-0000-0000826E0000}"/>
    <cellStyle name="Comma 7 5 2 3 3" xfId="38532" xr:uid="{00000000-0005-0000-0000-0000836E0000}"/>
    <cellStyle name="Comma 7 5 2 4" xfId="24581" xr:uid="{00000000-0005-0000-0000-0000846E0000}"/>
    <cellStyle name="Comma 7 5 2 4 2" xfId="43775" xr:uid="{00000000-0005-0000-0000-0000856E0000}"/>
    <cellStyle name="Comma 7 5 2 5" xfId="34077" xr:uid="{00000000-0005-0000-0000-0000866E0000}"/>
    <cellStyle name="Comma 7 5 3" xfId="14752" xr:uid="{00000000-0005-0000-0000-0000876E0000}"/>
    <cellStyle name="Comma 7 5 3 2" xfId="15881" xr:uid="{00000000-0005-0000-0000-0000886E0000}"/>
    <cellStyle name="Comma 7 5 3 2 2" xfId="20345" xr:uid="{00000000-0005-0000-0000-0000896E0000}"/>
    <cellStyle name="Comma 7 5 3 2 2 2" xfId="30713" xr:uid="{00000000-0005-0000-0000-00008A6E0000}"/>
    <cellStyle name="Comma 7 5 3 2 2 2 2" xfId="49902" xr:uid="{00000000-0005-0000-0000-00008B6E0000}"/>
    <cellStyle name="Comma 7 5 3 2 2 3" xfId="40204" xr:uid="{00000000-0005-0000-0000-00008C6E0000}"/>
    <cellStyle name="Comma 7 5 3 2 3" xfId="26258" xr:uid="{00000000-0005-0000-0000-00008D6E0000}"/>
    <cellStyle name="Comma 7 5 3 2 3 2" xfId="45447" xr:uid="{00000000-0005-0000-0000-00008E6E0000}"/>
    <cellStyle name="Comma 7 5 3 2 4" xfId="35749" xr:uid="{00000000-0005-0000-0000-00008F6E0000}"/>
    <cellStyle name="Comma 7 5 3 3" xfId="19230" xr:uid="{00000000-0005-0000-0000-0000906E0000}"/>
    <cellStyle name="Comma 7 5 3 3 2" xfId="29598" xr:uid="{00000000-0005-0000-0000-0000916E0000}"/>
    <cellStyle name="Comma 7 5 3 3 2 2" xfId="48787" xr:uid="{00000000-0005-0000-0000-0000926E0000}"/>
    <cellStyle name="Comma 7 5 3 3 3" xfId="39089" xr:uid="{00000000-0005-0000-0000-0000936E0000}"/>
    <cellStyle name="Comma 7 5 3 4" xfId="25143" xr:uid="{00000000-0005-0000-0000-0000946E0000}"/>
    <cellStyle name="Comma 7 5 3 4 2" xfId="44332" xr:uid="{00000000-0005-0000-0000-0000956E0000}"/>
    <cellStyle name="Comma 7 5 3 5" xfId="34634" xr:uid="{00000000-0005-0000-0000-0000966E0000}"/>
    <cellStyle name="Comma 7 5 4" xfId="15324" xr:uid="{00000000-0005-0000-0000-0000976E0000}"/>
    <cellStyle name="Comma 7 5 4 2" xfId="19788" xr:uid="{00000000-0005-0000-0000-0000986E0000}"/>
    <cellStyle name="Comma 7 5 4 2 2" xfId="30156" xr:uid="{00000000-0005-0000-0000-0000996E0000}"/>
    <cellStyle name="Comma 7 5 4 2 2 2" xfId="49345" xr:uid="{00000000-0005-0000-0000-00009A6E0000}"/>
    <cellStyle name="Comma 7 5 4 2 3" xfId="39647" xr:uid="{00000000-0005-0000-0000-00009B6E0000}"/>
    <cellStyle name="Comma 7 5 4 3" xfId="25701" xr:uid="{00000000-0005-0000-0000-00009C6E0000}"/>
    <cellStyle name="Comma 7 5 4 3 2" xfId="44890" xr:uid="{00000000-0005-0000-0000-00009D6E0000}"/>
    <cellStyle name="Comma 7 5 4 4" xfId="35192" xr:uid="{00000000-0005-0000-0000-00009E6E0000}"/>
    <cellStyle name="Comma 7 5 5" xfId="16994" xr:uid="{00000000-0005-0000-0000-00009F6E0000}"/>
    <cellStyle name="Comma 7 5 5 2" xfId="21458" xr:uid="{00000000-0005-0000-0000-0000A06E0000}"/>
    <cellStyle name="Comma 7 5 5 2 2" xfId="31826" xr:uid="{00000000-0005-0000-0000-0000A16E0000}"/>
    <cellStyle name="Comma 7 5 5 2 2 2" xfId="51015" xr:uid="{00000000-0005-0000-0000-0000A26E0000}"/>
    <cellStyle name="Comma 7 5 5 2 3" xfId="41317" xr:uid="{00000000-0005-0000-0000-0000A36E0000}"/>
    <cellStyle name="Comma 7 5 5 3" xfId="27371" xr:uid="{00000000-0005-0000-0000-0000A46E0000}"/>
    <cellStyle name="Comma 7 5 5 3 2" xfId="46560" xr:uid="{00000000-0005-0000-0000-0000A56E0000}"/>
    <cellStyle name="Comma 7 5 5 4" xfId="36862" xr:uid="{00000000-0005-0000-0000-0000A66E0000}"/>
    <cellStyle name="Comma 7 5 6" xfId="17560" xr:uid="{00000000-0005-0000-0000-0000A76E0000}"/>
    <cellStyle name="Comma 7 5 6 2" xfId="22015" xr:uid="{00000000-0005-0000-0000-0000A86E0000}"/>
    <cellStyle name="Comma 7 5 6 2 2" xfId="32383" xr:uid="{00000000-0005-0000-0000-0000A96E0000}"/>
    <cellStyle name="Comma 7 5 6 2 2 2" xfId="51572" xr:uid="{00000000-0005-0000-0000-0000AA6E0000}"/>
    <cellStyle name="Comma 7 5 6 2 3" xfId="41874" xr:uid="{00000000-0005-0000-0000-0000AB6E0000}"/>
    <cellStyle name="Comma 7 5 6 3" xfId="27928" xr:uid="{00000000-0005-0000-0000-0000AC6E0000}"/>
    <cellStyle name="Comma 7 5 6 3 2" xfId="47117" xr:uid="{00000000-0005-0000-0000-0000AD6E0000}"/>
    <cellStyle name="Comma 7 5 6 4" xfId="37419" xr:uid="{00000000-0005-0000-0000-0000AE6E0000}"/>
    <cellStyle name="Comma 7 5 7" xfId="18117" xr:uid="{00000000-0005-0000-0000-0000AF6E0000}"/>
    <cellStyle name="Comma 7 5 7 2" xfId="28485" xr:uid="{00000000-0005-0000-0000-0000B06E0000}"/>
    <cellStyle name="Comma 7 5 7 2 2" xfId="47674" xr:uid="{00000000-0005-0000-0000-0000B16E0000}"/>
    <cellStyle name="Comma 7 5 7 3" xfId="37976" xr:uid="{00000000-0005-0000-0000-0000B26E0000}"/>
    <cellStyle name="Comma 7 5 8" xfId="23980" xr:uid="{00000000-0005-0000-0000-0000B36E0000}"/>
    <cellStyle name="Comma 7 5 8 2" xfId="43219" xr:uid="{00000000-0005-0000-0000-0000B46E0000}"/>
    <cellStyle name="Comma 7 5 9" xfId="33521" xr:uid="{00000000-0005-0000-0000-0000B56E0000}"/>
    <cellStyle name="Comma 7 6" xfId="2480" xr:uid="{00000000-0005-0000-0000-0000B66E0000}"/>
    <cellStyle name="Comma 7 6 2" xfId="22618" xr:uid="{00000000-0005-0000-0000-0000B76E0000}"/>
    <cellStyle name="Comma 7 7" xfId="2481" xr:uid="{00000000-0005-0000-0000-0000B86E0000}"/>
    <cellStyle name="Comma 7 7 2" xfId="23397" xr:uid="{00000000-0005-0000-0000-0000B96E0000}"/>
    <cellStyle name="Comma 7 8" xfId="2482" xr:uid="{00000000-0005-0000-0000-0000BA6E0000}"/>
    <cellStyle name="Comma 7 8 2" xfId="52520" xr:uid="{00000000-0005-0000-0000-0000BB6E0000}"/>
    <cellStyle name="Comma 7 9" xfId="2471" xr:uid="{00000000-0005-0000-0000-0000BC6E0000}"/>
    <cellStyle name="Comma 8" xfId="566" xr:uid="{00000000-0005-0000-0000-0000BD6E0000}"/>
    <cellStyle name="Comma 8 10" xfId="12377" xr:uid="{00000000-0005-0000-0000-0000BE6E0000}"/>
    <cellStyle name="Comma 8 2" xfId="567" xr:uid="{00000000-0005-0000-0000-0000BF6E0000}"/>
    <cellStyle name="Comma 8 2 2" xfId="2485" xr:uid="{00000000-0005-0000-0000-0000C06E0000}"/>
    <cellStyle name="Comma 8 2 2 2" xfId="8806" xr:uid="{00000000-0005-0000-0000-0000C16E0000}"/>
    <cellStyle name="Comma 8 2 2 2 2" xfId="11703" xr:uid="{00000000-0005-0000-0000-0000C26E0000}"/>
    <cellStyle name="Comma 8 2 2 2 3" xfId="54037" xr:uid="{00000000-0005-0000-0000-0000C36E0000}"/>
    <cellStyle name="Comma 8 2 2 3" xfId="10263" xr:uid="{00000000-0005-0000-0000-0000C46E0000}"/>
    <cellStyle name="Comma 8 2 2 4" xfId="7329" xr:uid="{00000000-0005-0000-0000-0000C56E0000}"/>
    <cellStyle name="Comma 8 2 2 5" xfId="53184" xr:uid="{00000000-0005-0000-0000-0000C66E0000}"/>
    <cellStyle name="Comma 8 2 3" xfId="2484" xr:uid="{00000000-0005-0000-0000-0000C76E0000}"/>
    <cellStyle name="Comma 8 2 3 2" xfId="11045" xr:uid="{00000000-0005-0000-0000-0000C86E0000}"/>
    <cellStyle name="Comma 8 2 3 3" xfId="8148" xr:uid="{00000000-0005-0000-0000-0000C96E0000}"/>
    <cellStyle name="Comma 8 2 3 4" xfId="53641" xr:uid="{00000000-0005-0000-0000-0000CA6E0000}"/>
    <cellStyle name="Comma 8 2 4" xfId="9605" xr:uid="{00000000-0005-0000-0000-0000CB6E0000}"/>
    <cellStyle name="Comma 8 2 4 2" xfId="52756" xr:uid="{00000000-0005-0000-0000-0000CC6E0000}"/>
    <cellStyle name="Comma 8 2 5" xfId="6653" xr:uid="{00000000-0005-0000-0000-0000CD6E0000}"/>
    <cellStyle name="Comma 8 2 6" xfId="13549" xr:uid="{00000000-0005-0000-0000-0000CE6E0000}"/>
    <cellStyle name="Comma 8 3" xfId="2486" xr:uid="{00000000-0005-0000-0000-0000CF6E0000}"/>
    <cellStyle name="Comma 8 3 2" xfId="8576" xr:uid="{00000000-0005-0000-0000-0000D06E0000}"/>
    <cellStyle name="Comma 8 3 2 2" xfId="11473" xr:uid="{00000000-0005-0000-0000-0000D16E0000}"/>
    <cellStyle name="Comma 8 3 2 2 2" xfId="52000" xr:uid="{00000000-0005-0000-0000-0000D26E0000}"/>
    <cellStyle name="Comma 8 3 2 3" xfId="53841" xr:uid="{00000000-0005-0000-0000-0000D36E0000}"/>
    <cellStyle name="Comma 8 3 2 4" xfId="32813" xr:uid="{00000000-0005-0000-0000-0000D46E0000}"/>
    <cellStyle name="Comma 8 3 3" xfId="10033" xr:uid="{00000000-0005-0000-0000-0000D56E0000}"/>
    <cellStyle name="Comma 8 3 3 2" xfId="42302" xr:uid="{00000000-0005-0000-0000-0000D66E0000}"/>
    <cellStyle name="Comma 8 3 4" xfId="7099" xr:uid="{00000000-0005-0000-0000-0000D76E0000}"/>
    <cellStyle name="Comma 8 3 4 2" xfId="52966" xr:uid="{00000000-0005-0000-0000-0000D86E0000}"/>
    <cellStyle name="Comma 8 3 5" xfId="22727" xr:uid="{00000000-0005-0000-0000-0000D96E0000}"/>
    <cellStyle name="Comma 8 4" xfId="2487" xr:uid="{00000000-0005-0000-0000-0000DA6E0000}"/>
    <cellStyle name="Comma 8 4 2" xfId="10815" xr:uid="{00000000-0005-0000-0000-0000DB6E0000}"/>
    <cellStyle name="Comma 8 4 2 2" xfId="53445" xr:uid="{00000000-0005-0000-0000-0000DC6E0000}"/>
    <cellStyle name="Comma 8 4 3" xfId="7918" xr:uid="{00000000-0005-0000-0000-0000DD6E0000}"/>
    <cellStyle name="Comma 8 4 4" xfId="23398" xr:uid="{00000000-0005-0000-0000-0000DE6E0000}"/>
    <cellStyle name="Comma 8 5" xfId="2488" xr:uid="{00000000-0005-0000-0000-0000DF6E0000}"/>
    <cellStyle name="Comma 8 5 2" xfId="9375" xr:uid="{00000000-0005-0000-0000-0000E06E0000}"/>
    <cellStyle name="Comma 8 5 2 2" xfId="42655" xr:uid="{00000000-0005-0000-0000-0000E16E0000}"/>
    <cellStyle name="Comma 8 5 3" xfId="23086" xr:uid="{00000000-0005-0000-0000-0000E26E0000}"/>
    <cellStyle name="Comma 8 6" xfId="2489" xr:uid="{00000000-0005-0000-0000-0000E36E0000}"/>
    <cellStyle name="Comma 8 6 2" xfId="52556" xr:uid="{00000000-0005-0000-0000-0000E46E0000}"/>
    <cellStyle name="Comma 8 7" xfId="2490" xr:uid="{00000000-0005-0000-0000-0000E56E0000}"/>
    <cellStyle name="Comma 8 8" xfId="2483" xr:uid="{00000000-0005-0000-0000-0000E66E0000}"/>
    <cellStyle name="Comma 8 9" xfId="6423" xr:uid="{00000000-0005-0000-0000-0000E76E0000}"/>
    <cellStyle name="Comma 9" xfId="568" xr:uid="{00000000-0005-0000-0000-0000E86E0000}"/>
    <cellStyle name="Comma 9 2" xfId="2492" xr:uid="{00000000-0005-0000-0000-0000E96E0000}"/>
    <cellStyle name="Comma 9 2 2" xfId="8690" xr:uid="{00000000-0005-0000-0000-0000EA6E0000}"/>
    <cellStyle name="Comma 9 2 2 2" xfId="11587" xr:uid="{00000000-0005-0000-0000-0000EB6E0000}"/>
    <cellStyle name="Comma 9 2 2 2 2" xfId="54069" xr:uid="{00000000-0005-0000-0000-0000EC6E0000}"/>
    <cellStyle name="Comma 9 2 2 2 3" xfId="52018" xr:uid="{00000000-0005-0000-0000-0000ED6E0000}"/>
    <cellStyle name="Comma 9 2 2 3" xfId="53216" xr:uid="{00000000-0005-0000-0000-0000EE6E0000}"/>
    <cellStyle name="Comma 9 2 2 4" xfId="32832" xr:uid="{00000000-0005-0000-0000-0000EF6E0000}"/>
    <cellStyle name="Comma 9 2 3" xfId="10147" xr:uid="{00000000-0005-0000-0000-0000F06E0000}"/>
    <cellStyle name="Comma 9 2 3 2" xfId="53673" xr:uid="{00000000-0005-0000-0000-0000F16E0000}"/>
    <cellStyle name="Comma 9 2 3 3" xfId="42320" xr:uid="{00000000-0005-0000-0000-0000F26E0000}"/>
    <cellStyle name="Comma 9 2 4" xfId="7213" xr:uid="{00000000-0005-0000-0000-0000F36E0000}"/>
    <cellStyle name="Comma 9 2 4 2" xfId="52788" xr:uid="{00000000-0005-0000-0000-0000F46E0000}"/>
    <cellStyle name="Comma 9 2 5" xfId="22748" xr:uid="{00000000-0005-0000-0000-0000F56E0000}"/>
    <cellStyle name="Comma 9 3" xfId="2493" xr:uid="{00000000-0005-0000-0000-0000F66E0000}"/>
    <cellStyle name="Comma 9 3 2" xfId="10929" xr:uid="{00000000-0005-0000-0000-0000F76E0000}"/>
    <cellStyle name="Comma 9 3 2 2" xfId="53873" xr:uid="{00000000-0005-0000-0000-0000F86E0000}"/>
    <cellStyle name="Comma 9 3 3" xfId="8032" xr:uid="{00000000-0005-0000-0000-0000F96E0000}"/>
    <cellStyle name="Comma 9 3 3 2" xfId="52998" xr:uid="{00000000-0005-0000-0000-0000FA6E0000}"/>
    <cellStyle name="Comma 9 3 4" xfId="23506" xr:uid="{00000000-0005-0000-0000-0000FB6E0000}"/>
    <cellStyle name="Comma 9 4" xfId="2494" xr:uid="{00000000-0005-0000-0000-0000FC6E0000}"/>
    <cellStyle name="Comma 9 4 2" xfId="9489" xr:uid="{00000000-0005-0000-0000-0000FD6E0000}"/>
    <cellStyle name="Comma 9 4 2 2" xfId="42673" xr:uid="{00000000-0005-0000-0000-0000FE6E0000}"/>
    <cellStyle name="Comma 9 4 3" xfId="53477" xr:uid="{00000000-0005-0000-0000-0000FF6E0000}"/>
    <cellStyle name="Comma 9 4 4" xfId="23105" xr:uid="{00000000-0005-0000-0000-0000006F0000}"/>
    <cellStyle name="Comma 9 5" xfId="2495" xr:uid="{00000000-0005-0000-0000-0000016F0000}"/>
    <cellStyle name="Comma 9 5 2" xfId="52588" xr:uid="{00000000-0005-0000-0000-0000026F0000}"/>
    <cellStyle name="Comma 9 6" xfId="2491" xr:uid="{00000000-0005-0000-0000-0000036F0000}"/>
    <cellStyle name="Comma 9 7" xfId="6537" xr:uid="{00000000-0005-0000-0000-0000046F0000}"/>
    <cellStyle name="Comma 9 8" xfId="12602" xr:uid="{00000000-0005-0000-0000-0000056F0000}"/>
    <cellStyle name="Comma_CDM monthly amounts 2" xfId="1513" xr:uid="{00000000-0005-0000-0000-0000066F0000}"/>
    <cellStyle name="Comma_Horizon 2011 Load Forecast Model  June 25, 2010" xfId="11" xr:uid="{00000000-0005-0000-0000-0000076F0000}"/>
    <cellStyle name="Comma0" xfId="7" xr:uid="{00000000-0005-0000-0000-0000086F0000}"/>
    <cellStyle name="Comma0 2" xfId="2496" xr:uid="{00000000-0005-0000-0000-0000096F0000}"/>
    <cellStyle name="Comma0 2 2" xfId="12739" xr:uid="{00000000-0005-0000-0000-00000A6F0000}"/>
    <cellStyle name="Comma0 2 3" xfId="12379" xr:uid="{00000000-0005-0000-0000-00000B6F0000}"/>
    <cellStyle name="Comma0 3" xfId="12380" xr:uid="{00000000-0005-0000-0000-00000C6F0000}"/>
    <cellStyle name="Comma0 3 2" xfId="13599" xr:uid="{00000000-0005-0000-0000-00000D6F0000}"/>
    <cellStyle name="Comma0 4" xfId="12610" xr:uid="{00000000-0005-0000-0000-00000E6F0000}"/>
    <cellStyle name="Comma0 5" xfId="14358" xr:uid="{00000000-0005-0000-0000-00000F6F0000}"/>
    <cellStyle name="Comma0 5 2" xfId="14939" xr:uid="{00000000-0005-0000-0000-0000106F0000}"/>
    <cellStyle name="Comma0 5 3" xfId="17174" xr:uid="{00000000-0005-0000-0000-0000116F0000}"/>
    <cellStyle name="Comma0 6" xfId="22196" xr:uid="{00000000-0005-0000-0000-0000126F0000}"/>
    <cellStyle name="Comma0 7" xfId="12378" xr:uid="{00000000-0005-0000-0000-0000136F0000}"/>
    <cellStyle name="Comma2 (0)" xfId="2497" xr:uid="{00000000-0005-0000-0000-0000146F0000}"/>
    <cellStyle name="Comment" xfId="2498" xr:uid="{00000000-0005-0000-0000-0000156F0000}"/>
    <cellStyle name="Company" xfId="2499" xr:uid="{00000000-0005-0000-0000-0000166F0000}"/>
    <cellStyle name="CurRatio" xfId="2500" xr:uid="{00000000-0005-0000-0000-0000176F0000}"/>
    <cellStyle name="Currency" xfId="1525" builtinId="4"/>
    <cellStyle name="Currency--" xfId="2501" xr:uid="{00000000-0005-0000-0000-0000196F0000}"/>
    <cellStyle name="Currency [00]" xfId="2502" xr:uid="{00000000-0005-0000-0000-00001A6F0000}"/>
    <cellStyle name="Currency [1]" xfId="2503" xr:uid="{00000000-0005-0000-0000-00001B6F0000}"/>
    <cellStyle name="Currency [2]" xfId="2504" xr:uid="{00000000-0005-0000-0000-00001C6F0000}"/>
    <cellStyle name="Currency [2] 2" xfId="6013" xr:uid="{00000000-0005-0000-0000-00001D6F0000}"/>
    <cellStyle name="Currency [3]" xfId="2505" xr:uid="{00000000-0005-0000-0000-00001E6F0000}"/>
    <cellStyle name="Currency 0" xfId="2506" xr:uid="{00000000-0005-0000-0000-00001F6F0000}"/>
    <cellStyle name="Currency 10" xfId="2507" xr:uid="{00000000-0005-0000-0000-0000206F0000}"/>
    <cellStyle name="Currency 10 2" xfId="2508" xr:uid="{00000000-0005-0000-0000-0000216F0000}"/>
    <cellStyle name="Currency 10 2 2" xfId="2509" xr:uid="{00000000-0005-0000-0000-0000226F0000}"/>
    <cellStyle name="Currency 10 2 2 2" xfId="2510" xr:uid="{00000000-0005-0000-0000-0000236F0000}"/>
    <cellStyle name="Currency 10 2 2 2 2" xfId="2511" xr:uid="{00000000-0005-0000-0000-0000246F0000}"/>
    <cellStyle name="Currency 10 2 2 3" xfId="2512" xr:uid="{00000000-0005-0000-0000-0000256F0000}"/>
    <cellStyle name="Currency 10 2 3" xfId="2513" xr:uid="{00000000-0005-0000-0000-0000266F0000}"/>
    <cellStyle name="Currency 10 2 3 2" xfId="2514" xr:uid="{00000000-0005-0000-0000-0000276F0000}"/>
    <cellStyle name="Currency 10 2 4" xfId="2515" xr:uid="{00000000-0005-0000-0000-0000286F0000}"/>
    <cellStyle name="Currency 10 3" xfId="2516" xr:uid="{00000000-0005-0000-0000-0000296F0000}"/>
    <cellStyle name="Currency 10 3 2" xfId="2517" xr:uid="{00000000-0005-0000-0000-00002A6F0000}"/>
    <cellStyle name="Currency 10 3 2 2" xfId="2518" xr:uid="{00000000-0005-0000-0000-00002B6F0000}"/>
    <cellStyle name="Currency 10 3 2 2 2" xfId="2519" xr:uid="{00000000-0005-0000-0000-00002C6F0000}"/>
    <cellStyle name="Currency 10 3 2 3" xfId="2520" xr:uid="{00000000-0005-0000-0000-00002D6F0000}"/>
    <cellStyle name="Currency 10 3 3" xfId="2521" xr:uid="{00000000-0005-0000-0000-00002E6F0000}"/>
    <cellStyle name="Currency 10 3 3 2" xfId="2522" xr:uid="{00000000-0005-0000-0000-00002F6F0000}"/>
    <cellStyle name="Currency 10 3 4" xfId="2523" xr:uid="{00000000-0005-0000-0000-0000306F0000}"/>
    <cellStyle name="Currency 10 4" xfId="2524" xr:uid="{00000000-0005-0000-0000-0000316F0000}"/>
    <cellStyle name="Currency 10 4 2" xfId="2525" xr:uid="{00000000-0005-0000-0000-0000326F0000}"/>
    <cellStyle name="Currency 10 4 2 2" xfId="2526" xr:uid="{00000000-0005-0000-0000-0000336F0000}"/>
    <cellStyle name="Currency 10 4 3" xfId="2527" xr:uid="{00000000-0005-0000-0000-0000346F0000}"/>
    <cellStyle name="Currency 10 5" xfId="2528" xr:uid="{00000000-0005-0000-0000-0000356F0000}"/>
    <cellStyle name="Currency 10 5 2" xfId="2529" xr:uid="{00000000-0005-0000-0000-0000366F0000}"/>
    <cellStyle name="Currency 10 6" xfId="2530" xr:uid="{00000000-0005-0000-0000-0000376F0000}"/>
    <cellStyle name="Currency 10 7" xfId="33082" xr:uid="{00000000-0005-0000-0000-0000386F0000}"/>
    <cellStyle name="Currency 11" xfId="2531" xr:uid="{00000000-0005-0000-0000-0000396F0000}"/>
    <cellStyle name="Currency 11 2" xfId="2532" xr:uid="{00000000-0005-0000-0000-00003A6F0000}"/>
    <cellStyle name="Currency 11 2 2" xfId="2533" xr:uid="{00000000-0005-0000-0000-00003B6F0000}"/>
    <cellStyle name="Currency 11 2 2 2" xfId="2534" xr:uid="{00000000-0005-0000-0000-00003C6F0000}"/>
    <cellStyle name="Currency 11 2 2 2 2" xfId="2535" xr:uid="{00000000-0005-0000-0000-00003D6F0000}"/>
    <cellStyle name="Currency 11 2 2 3" xfId="2536" xr:uid="{00000000-0005-0000-0000-00003E6F0000}"/>
    <cellStyle name="Currency 11 2 3" xfId="2537" xr:uid="{00000000-0005-0000-0000-00003F6F0000}"/>
    <cellStyle name="Currency 11 2 3 2" xfId="2538" xr:uid="{00000000-0005-0000-0000-0000406F0000}"/>
    <cellStyle name="Currency 11 2 4" xfId="2539" xr:uid="{00000000-0005-0000-0000-0000416F0000}"/>
    <cellStyle name="Currency 11 3" xfId="2540" xr:uid="{00000000-0005-0000-0000-0000426F0000}"/>
    <cellStyle name="Currency 11 3 2" xfId="2541" xr:uid="{00000000-0005-0000-0000-0000436F0000}"/>
    <cellStyle name="Currency 11 3 2 2" xfId="2542" xr:uid="{00000000-0005-0000-0000-0000446F0000}"/>
    <cellStyle name="Currency 11 3 2 2 2" xfId="2543" xr:uid="{00000000-0005-0000-0000-0000456F0000}"/>
    <cellStyle name="Currency 11 3 2 3" xfId="2544" xr:uid="{00000000-0005-0000-0000-0000466F0000}"/>
    <cellStyle name="Currency 11 3 3" xfId="2545" xr:uid="{00000000-0005-0000-0000-0000476F0000}"/>
    <cellStyle name="Currency 11 3 3 2" xfId="2546" xr:uid="{00000000-0005-0000-0000-0000486F0000}"/>
    <cellStyle name="Currency 11 3 4" xfId="2547" xr:uid="{00000000-0005-0000-0000-0000496F0000}"/>
    <cellStyle name="Currency 11 4" xfId="2548" xr:uid="{00000000-0005-0000-0000-00004A6F0000}"/>
    <cellStyle name="Currency 11 4 2" xfId="2549" xr:uid="{00000000-0005-0000-0000-00004B6F0000}"/>
    <cellStyle name="Currency 11 4 2 2" xfId="2550" xr:uid="{00000000-0005-0000-0000-00004C6F0000}"/>
    <cellStyle name="Currency 11 4 3" xfId="2551" xr:uid="{00000000-0005-0000-0000-00004D6F0000}"/>
    <cellStyle name="Currency 11 5" xfId="2552" xr:uid="{00000000-0005-0000-0000-00004E6F0000}"/>
    <cellStyle name="Currency 11 5 2" xfId="2553" xr:uid="{00000000-0005-0000-0000-00004F6F0000}"/>
    <cellStyle name="Currency 11 6" xfId="2554" xr:uid="{00000000-0005-0000-0000-0000506F0000}"/>
    <cellStyle name="Currency 11 7" xfId="33127" xr:uid="{00000000-0005-0000-0000-0000516F0000}"/>
    <cellStyle name="Currency 12" xfId="2555" xr:uid="{00000000-0005-0000-0000-0000526F0000}"/>
    <cellStyle name="Currency 12 2" xfId="52270" xr:uid="{00000000-0005-0000-0000-0000536F0000}"/>
    <cellStyle name="Currency 13" xfId="2556" xr:uid="{00000000-0005-0000-0000-0000546F0000}"/>
    <cellStyle name="Currency 13 2" xfId="52326" xr:uid="{00000000-0005-0000-0000-0000556F0000}"/>
    <cellStyle name="Currency 14" xfId="2557" xr:uid="{00000000-0005-0000-0000-0000566F0000}"/>
    <cellStyle name="Currency 14 2" xfId="2558" xr:uid="{00000000-0005-0000-0000-0000576F0000}"/>
    <cellStyle name="Currency 14 2 2" xfId="2559" xr:uid="{00000000-0005-0000-0000-0000586F0000}"/>
    <cellStyle name="Currency 14 2 2 2" xfId="2560" xr:uid="{00000000-0005-0000-0000-0000596F0000}"/>
    <cellStyle name="Currency 14 2 2 2 2" xfId="2561" xr:uid="{00000000-0005-0000-0000-00005A6F0000}"/>
    <cellStyle name="Currency 14 2 2 3" xfId="2562" xr:uid="{00000000-0005-0000-0000-00005B6F0000}"/>
    <cellStyle name="Currency 14 2 3" xfId="2563" xr:uid="{00000000-0005-0000-0000-00005C6F0000}"/>
    <cellStyle name="Currency 14 2 3 2" xfId="2564" xr:uid="{00000000-0005-0000-0000-00005D6F0000}"/>
    <cellStyle name="Currency 14 2 4" xfId="2565" xr:uid="{00000000-0005-0000-0000-00005E6F0000}"/>
    <cellStyle name="Currency 14 3" xfId="2566" xr:uid="{00000000-0005-0000-0000-00005F6F0000}"/>
    <cellStyle name="Currency 14 3 2" xfId="2567" xr:uid="{00000000-0005-0000-0000-0000606F0000}"/>
    <cellStyle name="Currency 14 3 2 2" xfId="2568" xr:uid="{00000000-0005-0000-0000-0000616F0000}"/>
    <cellStyle name="Currency 14 3 2 2 2" xfId="2569" xr:uid="{00000000-0005-0000-0000-0000626F0000}"/>
    <cellStyle name="Currency 14 3 2 3" xfId="2570" xr:uid="{00000000-0005-0000-0000-0000636F0000}"/>
    <cellStyle name="Currency 14 3 3" xfId="2571" xr:uid="{00000000-0005-0000-0000-0000646F0000}"/>
    <cellStyle name="Currency 14 3 3 2" xfId="2572" xr:uid="{00000000-0005-0000-0000-0000656F0000}"/>
    <cellStyle name="Currency 14 3 4" xfId="2573" xr:uid="{00000000-0005-0000-0000-0000666F0000}"/>
    <cellStyle name="Currency 14 4" xfId="2574" xr:uid="{00000000-0005-0000-0000-0000676F0000}"/>
    <cellStyle name="Currency 14 4 2" xfId="2575" xr:uid="{00000000-0005-0000-0000-0000686F0000}"/>
    <cellStyle name="Currency 14 4 2 2" xfId="2576" xr:uid="{00000000-0005-0000-0000-0000696F0000}"/>
    <cellStyle name="Currency 14 4 2 2 2" xfId="2577" xr:uid="{00000000-0005-0000-0000-00006A6F0000}"/>
    <cellStyle name="Currency 14 4 2 3" xfId="2578" xr:uid="{00000000-0005-0000-0000-00006B6F0000}"/>
    <cellStyle name="Currency 14 4 3" xfId="2579" xr:uid="{00000000-0005-0000-0000-00006C6F0000}"/>
    <cellStyle name="Currency 14 4 3 2" xfId="2580" xr:uid="{00000000-0005-0000-0000-00006D6F0000}"/>
    <cellStyle name="Currency 14 4 4" xfId="2581" xr:uid="{00000000-0005-0000-0000-00006E6F0000}"/>
    <cellStyle name="Currency 14 5" xfId="2582" xr:uid="{00000000-0005-0000-0000-00006F6F0000}"/>
    <cellStyle name="Currency 14 5 2" xfId="2583" xr:uid="{00000000-0005-0000-0000-0000706F0000}"/>
    <cellStyle name="Currency 14 5 2 2" xfId="2584" xr:uid="{00000000-0005-0000-0000-0000716F0000}"/>
    <cellStyle name="Currency 14 5 3" xfId="2585" xr:uid="{00000000-0005-0000-0000-0000726F0000}"/>
    <cellStyle name="Currency 14 6" xfId="2586" xr:uid="{00000000-0005-0000-0000-0000736F0000}"/>
    <cellStyle name="Currency 14 6 2" xfId="2587" xr:uid="{00000000-0005-0000-0000-0000746F0000}"/>
    <cellStyle name="Currency 14 7" xfId="2588" xr:uid="{00000000-0005-0000-0000-0000756F0000}"/>
    <cellStyle name="Currency 14 8" xfId="52375" xr:uid="{00000000-0005-0000-0000-0000766F0000}"/>
    <cellStyle name="Currency 15" xfId="2589" xr:uid="{00000000-0005-0000-0000-0000776F0000}"/>
    <cellStyle name="Currency 15 2" xfId="2590" xr:uid="{00000000-0005-0000-0000-0000786F0000}"/>
    <cellStyle name="Currency 15 2 2" xfId="2591" xr:uid="{00000000-0005-0000-0000-0000796F0000}"/>
    <cellStyle name="Currency 15 2 2 2" xfId="2592" xr:uid="{00000000-0005-0000-0000-00007A6F0000}"/>
    <cellStyle name="Currency 15 2 3" xfId="2593" xr:uid="{00000000-0005-0000-0000-00007B6F0000}"/>
    <cellStyle name="Currency 15 3" xfId="2594" xr:uid="{00000000-0005-0000-0000-00007C6F0000}"/>
    <cellStyle name="Currency 15 3 2" xfId="2595" xr:uid="{00000000-0005-0000-0000-00007D6F0000}"/>
    <cellStyle name="Currency 15 4" xfId="2596" xr:uid="{00000000-0005-0000-0000-00007E6F0000}"/>
    <cellStyle name="Currency 15 5" xfId="52409" xr:uid="{00000000-0005-0000-0000-00007F6F0000}"/>
    <cellStyle name="Currency 16" xfId="2597" xr:uid="{00000000-0005-0000-0000-0000806F0000}"/>
    <cellStyle name="Currency 16 2" xfId="2598" xr:uid="{00000000-0005-0000-0000-0000816F0000}"/>
    <cellStyle name="Currency 16 3" xfId="52418" xr:uid="{00000000-0005-0000-0000-0000826F0000}"/>
    <cellStyle name="Currency 17" xfId="2599" xr:uid="{00000000-0005-0000-0000-0000836F0000}"/>
    <cellStyle name="Currency 18" xfId="2600" xr:uid="{00000000-0005-0000-0000-0000846F0000}"/>
    <cellStyle name="Currency 19" xfId="2601" xr:uid="{00000000-0005-0000-0000-0000856F0000}"/>
    <cellStyle name="Currency 19 2" xfId="2602" xr:uid="{00000000-0005-0000-0000-0000866F0000}"/>
    <cellStyle name="Currency 19 2 2" xfId="2603" xr:uid="{00000000-0005-0000-0000-0000876F0000}"/>
    <cellStyle name="Currency 19 2 2 2" xfId="2604" xr:uid="{00000000-0005-0000-0000-0000886F0000}"/>
    <cellStyle name="Currency 19 2 2 2 2" xfId="2605" xr:uid="{00000000-0005-0000-0000-0000896F0000}"/>
    <cellStyle name="Currency 19 2 2 3" xfId="2606" xr:uid="{00000000-0005-0000-0000-00008A6F0000}"/>
    <cellStyle name="Currency 19 2 3" xfId="2607" xr:uid="{00000000-0005-0000-0000-00008B6F0000}"/>
    <cellStyle name="Currency 19 2 3 2" xfId="2608" xr:uid="{00000000-0005-0000-0000-00008C6F0000}"/>
    <cellStyle name="Currency 19 2 4" xfId="2609" xr:uid="{00000000-0005-0000-0000-00008D6F0000}"/>
    <cellStyle name="Currency 19 3" xfId="2610" xr:uid="{00000000-0005-0000-0000-00008E6F0000}"/>
    <cellStyle name="Currency 19 3 2" xfId="2611" xr:uid="{00000000-0005-0000-0000-00008F6F0000}"/>
    <cellStyle name="Currency 19 3 2 2" xfId="2612" xr:uid="{00000000-0005-0000-0000-0000906F0000}"/>
    <cellStyle name="Currency 19 3 2 2 2" xfId="2613" xr:uid="{00000000-0005-0000-0000-0000916F0000}"/>
    <cellStyle name="Currency 19 3 2 3" xfId="2614" xr:uid="{00000000-0005-0000-0000-0000926F0000}"/>
    <cellStyle name="Currency 19 3 3" xfId="2615" xr:uid="{00000000-0005-0000-0000-0000936F0000}"/>
    <cellStyle name="Currency 19 3 3 2" xfId="2616" xr:uid="{00000000-0005-0000-0000-0000946F0000}"/>
    <cellStyle name="Currency 19 3 4" xfId="2617" xr:uid="{00000000-0005-0000-0000-0000956F0000}"/>
    <cellStyle name="Currency 19 4" xfId="2618" xr:uid="{00000000-0005-0000-0000-0000966F0000}"/>
    <cellStyle name="Currency 19 4 2" xfId="2619" xr:uid="{00000000-0005-0000-0000-0000976F0000}"/>
    <cellStyle name="Currency 19 4 2 2" xfId="2620" xr:uid="{00000000-0005-0000-0000-0000986F0000}"/>
    <cellStyle name="Currency 19 4 3" xfId="2621" xr:uid="{00000000-0005-0000-0000-0000996F0000}"/>
    <cellStyle name="Currency 19 5" xfId="2622" xr:uid="{00000000-0005-0000-0000-00009A6F0000}"/>
    <cellStyle name="Currency 19 5 2" xfId="2623" xr:uid="{00000000-0005-0000-0000-00009B6F0000}"/>
    <cellStyle name="Currency 19 6" xfId="2624" xr:uid="{00000000-0005-0000-0000-00009C6F0000}"/>
    <cellStyle name="Currency 2" xfId="569" xr:uid="{00000000-0005-0000-0000-00009D6F0000}"/>
    <cellStyle name="Currency 2 10" xfId="2625" xr:uid="{00000000-0005-0000-0000-00009E6F0000}"/>
    <cellStyle name="Currency 2 10 2" xfId="2626" xr:uid="{00000000-0005-0000-0000-00009F6F0000}"/>
    <cellStyle name="Currency 2 10 2 2" xfId="2627" xr:uid="{00000000-0005-0000-0000-0000A06F0000}"/>
    <cellStyle name="Currency 2 10 2 2 2" xfId="51801" xr:uid="{00000000-0005-0000-0000-0000A16F0000}"/>
    <cellStyle name="Currency 2 10 2 3" xfId="54193" xr:uid="{00000000-0005-0000-0000-0000A26F0000}"/>
    <cellStyle name="Currency 2 10 2 4" xfId="32613" xr:uid="{00000000-0005-0000-0000-0000A36F0000}"/>
    <cellStyle name="Currency 2 10 3" xfId="2628" xr:uid="{00000000-0005-0000-0000-0000A46F0000}"/>
    <cellStyle name="Currency 2 10 3 2" xfId="42103" xr:uid="{00000000-0005-0000-0000-0000A56F0000}"/>
    <cellStyle name="Currency 2 10 4" xfId="53341" xr:uid="{00000000-0005-0000-0000-0000A66F0000}"/>
    <cellStyle name="Currency 2 10 5" xfId="22256" xr:uid="{00000000-0005-0000-0000-0000A76F0000}"/>
    <cellStyle name="Currency 2 11" xfId="2629" xr:uid="{00000000-0005-0000-0000-0000A86F0000}"/>
    <cellStyle name="Currency 2 11 2" xfId="53368" xr:uid="{00000000-0005-0000-0000-0000A96F0000}"/>
    <cellStyle name="Currency 2 11 3" xfId="12382" xr:uid="{00000000-0005-0000-0000-0000AA6F0000}"/>
    <cellStyle name="Currency 2 12" xfId="2630" xr:uid="{00000000-0005-0000-0000-0000AB6F0000}"/>
    <cellStyle name="Currency 2 12 2" xfId="42836" xr:uid="{00000000-0005-0000-0000-0000AC6F0000}"/>
    <cellStyle name="Currency 2 12 3" xfId="23270" xr:uid="{00000000-0005-0000-0000-0000AD6F0000}"/>
    <cellStyle name="Currency 2 13" xfId="2631" xr:uid="{00000000-0005-0000-0000-0000AE6F0000}"/>
    <cellStyle name="Currency 2 13 2" xfId="33066" xr:uid="{00000000-0005-0000-0000-0000AF6F0000}"/>
    <cellStyle name="Currency 2 14" xfId="2632" xr:uid="{00000000-0005-0000-0000-0000B06F0000}"/>
    <cellStyle name="Currency 2 14 2" xfId="12120" xr:uid="{00000000-0005-0000-0000-0000B16F0000}"/>
    <cellStyle name="Currency 2 15" xfId="2633" xr:uid="{00000000-0005-0000-0000-0000B26F0000}"/>
    <cellStyle name="Currency 2 15 2" xfId="52466" xr:uid="{00000000-0005-0000-0000-0000B36F0000}"/>
    <cellStyle name="Currency 2 16" xfId="2634" xr:uid="{00000000-0005-0000-0000-0000B46F0000}"/>
    <cellStyle name="Currency 2 17" xfId="2635" xr:uid="{00000000-0005-0000-0000-0000B56F0000}"/>
    <cellStyle name="Currency 2 18" xfId="2636" xr:uid="{00000000-0005-0000-0000-0000B66F0000}"/>
    <cellStyle name="Currency 2 19" xfId="11977" xr:uid="{00000000-0005-0000-0000-0000B76F0000}"/>
    <cellStyle name="Currency 2 2" xfId="570" xr:uid="{00000000-0005-0000-0000-0000B86F0000}"/>
    <cellStyle name="Currency 2 2 10" xfId="2638" xr:uid="{00000000-0005-0000-0000-0000B96F0000}"/>
    <cellStyle name="Currency 2 2 11" xfId="2639" xr:uid="{00000000-0005-0000-0000-0000BA6F0000}"/>
    <cellStyle name="Currency 2 2 12" xfId="2637" xr:uid="{00000000-0005-0000-0000-0000BB6F0000}"/>
    <cellStyle name="Currency 2 2 13" xfId="12050" xr:uid="{00000000-0005-0000-0000-0000BC6F0000}"/>
    <cellStyle name="Currency 2 2 2" xfId="2640" xr:uid="{00000000-0005-0000-0000-0000BD6F0000}"/>
    <cellStyle name="Currency 2 2 2 2" xfId="53140" xr:uid="{00000000-0005-0000-0000-0000BE6F0000}"/>
    <cellStyle name="Currency 2 2 2 2 2" xfId="53993" xr:uid="{00000000-0005-0000-0000-0000BF6F0000}"/>
    <cellStyle name="Currency 2 2 2 3" xfId="53597" xr:uid="{00000000-0005-0000-0000-0000C06F0000}"/>
    <cellStyle name="Currency 2 2 2 4" xfId="52712" xr:uid="{00000000-0005-0000-0000-0000C16F0000}"/>
    <cellStyle name="Currency 2 2 2 5" xfId="12742" xr:uid="{00000000-0005-0000-0000-0000C26F0000}"/>
    <cellStyle name="Currency 2 2 3" xfId="2641" xr:uid="{00000000-0005-0000-0000-0000C36F0000}"/>
    <cellStyle name="Currency 2 2 3 2" xfId="53797" xr:uid="{00000000-0005-0000-0000-0000C46F0000}"/>
    <cellStyle name="Currency 2 2 3 3" xfId="52922" xr:uid="{00000000-0005-0000-0000-0000C56F0000}"/>
    <cellStyle name="Currency 2 2 3 4" xfId="22492" xr:uid="{00000000-0005-0000-0000-0000C66F0000}"/>
    <cellStyle name="Currency 2 2 4" xfId="2642" xr:uid="{00000000-0005-0000-0000-0000C76F0000}"/>
    <cellStyle name="Currency 2 2 4 2" xfId="53401" xr:uid="{00000000-0005-0000-0000-0000C86F0000}"/>
    <cellStyle name="Currency 2 2 4 3" xfId="23399" xr:uid="{00000000-0005-0000-0000-0000C96F0000}"/>
    <cellStyle name="Currency 2 2 5" xfId="2643" xr:uid="{00000000-0005-0000-0000-0000CA6F0000}"/>
    <cellStyle name="Currency 2 2 5 2" xfId="12383" xr:uid="{00000000-0005-0000-0000-0000CB6F0000}"/>
    <cellStyle name="Currency 2 2 6" xfId="2644" xr:uid="{00000000-0005-0000-0000-0000CC6F0000}"/>
    <cellStyle name="Currency 2 2 6 2" xfId="52508" xr:uid="{00000000-0005-0000-0000-0000CD6F0000}"/>
    <cellStyle name="Currency 2 2 7" xfId="2645" xr:uid="{00000000-0005-0000-0000-0000CE6F0000}"/>
    <cellStyle name="Currency 2 2 8" xfId="2646" xr:uid="{00000000-0005-0000-0000-0000CF6F0000}"/>
    <cellStyle name="Currency 2 2 9" xfId="2647" xr:uid="{00000000-0005-0000-0000-0000D06F0000}"/>
    <cellStyle name="Currency 2 3" xfId="571" xr:uid="{00000000-0005-0000-0000-0000D16F0000}"/>
    <cellStyle name="Currency 2 3 2" xfId="2649" xr:uid="{00000000-0005-0000-0000-0000D26F0000}"/>
    <cellStyle name="Currency 2 3 2 10" xfId="52750" xr:uid="{00000000-0005-0000-0000-0000D36F0000}"/>
    <cellStyle name="Currency 2 3 2 11" xfId="13463" xr:uid="{00000000-0005-0000-0000-0000D46F0000}"/>
    <cellStyle name="Currency 2 3 2 2" xfId="14320" xr:uid="{00000000-0005-0000-0000-0000D56F0000}"/>
    <cellStyle name="Currency 2 3 2 2 2" xfId="16583" xr:uid="{00000000-0005-0000-0000-0000D66F0000}"/>
    <cellStyle name="Currency 2 3 2 2 2 2" xfId="21047" xr:uid="{00000000-0005-0000-0000-0000D76F0000}"/>
    <cellStyle name="Currency 2 3 2 2 2 2 2" xfId="31415" xr:uid="{00000000-0005-0000-0000-0000D86F0000}"/>
    <cellStyle name="Currency 2 3 2 2 2 2 2 2" xfId="50604" xr:uid="{00000000-0005-0000-0000-0000D96F0000}"/>
    <cellStyle name="Currency 2 3 2 2 2 2 3" xfId="40906" xr:uid="{00000000-0005-0000-0000-0000DA6F0000}"/>
    <cellStyle name="Currency 2 3 2 2 2 3" xfId="26960" xr:uid="{00000000-0005-0000-0000-0000DB6F0000}"/>
    <cellStyle name="Currency 2 3 2 2 2 3 2" xfId="46149" xr:uid="{00000000-0005-0000-0000-0000DC6F0000}"/>
    <cellStyle name="Currency 2 3 2 2 2 4" xfId="36451" xr:uid="{00000000-0005-0000-0000-0000DD6F0000}"/>
    <cellStyle name="Currency 2 3 2 2 2 5" xfId="54031" xr:uid="{00000000-0005-0000-0000-0000DE6F0000}"/>
    <cellStyle name="Currency 2 3 2 2 3" xfId="18819" xr:uid="{00000000-0005-0000-0000-0000DF6F0000}"/>
    <cellStyle name="Currency 2 3 2 2 3 2" xfId="29187" xr:uid="{00000000-0005-0000-0000-0000E06F0000}"/>
    <cellStyle name="Currency 2 3 2 2 3 2 2" xfId="48376" xr:uid="{00000000-0005-0000-0000-0000E16F0000}"/>
    <cellStyle name="Currency 2 3 2 2 3 3" xfId="38678" xr:uid="{00000000-0005-0000-0000-0000E26F0000}"/>
    <cellStyle name="Currency 2 3 2 2 4" xfId="24727" xr:uid="{00000000-0005-0000-0000-0000E36F0000}"/>
    <cellStyle name="Currency 2 3 2 2 4 2" xfId="43921" xr:uid="{00000000-0005-0000-0000-0000E46F0000}"/>
    <cellStyle name="Currency 2 3 2 2 5" xfId="34223" xr:uid="{00000000-0005-0000-0000-0000E56F0000}"/>
    <cellStyle name="Currency 2 3 2 2 6" xfId="53178" xr:uid="{00000000-0005-0000-0000-0000E66F0000}"/>
    <cellStyle name="Currency 2 3 2 3" xfId="14899" xr:uid="{00000000-0005-0000-0000-0000E76F0000}"/>
    <cellStyle name="Currency 2 3 2 3 2" xfId="16027" xr:uid="{00000000-0005-0000-0000-0000E86F0000}"/>
    <cellStyle name="Currency 2 3 2 3 2 2" xfId="20491" xr:uid="{00000000-0005-0000-0000-0000E96F0000}"/>
    <cellStyle name="Currency 2 3 2 3 2 2 2" xfId="30859" xr:uid="{00000000-0005-0000-0000-0000EA6F0000}"/>
    <cellStyle name="Currency 2 3 2 3 2 2 2 2" xfId="50048" xr:uid="{00000000-0005-0000-0000-0000EB6F0000}"/>
    <cellStyle name="Currency 2 3 2 3 2 2 3" xfId="40350" xr:uid="{00000000-0005-0000-0000-0000EC6F0000}"/>
    <cellStyle name="Currency 2 3 2 3 2 3" xfId="26404" xr:uid="{00000000-0005-0000-0000-0000ED6F0000}"/>
    <cellStyle name="Currency 2 3 2 3 2 3 2" xfId="45593" xr:uid="{00000000-0005-0000-0000-0000EE6F0000}"/>
    <cellStyle name="Currency 2 3 2 3 2 4" xfId="35895" xr:uid="{00000000-0005-0000-0000-0000EF6F0000}"/>
    <cellStyle name="Currency 2 3 2 3 3" xfId="19376" xr:uid="{00000000-0005-0000-0000-0000F06F0000}"/>
    <cellStyle name="Currency 2 3 2 3 3 2" xfId="29744" xr:uid="{00000000-0005-0000-0000-0000F16F0000}"/>
    <cellStyle name="Currency 2 3 2 3 3 2 2" xfId="48933" xr:uid="{00000000-0005-0000-0000-0000F26F0000}"/>
    <cellStyle name="Currency 2 3 2 3 3 3" xfId="39235" xr:uid="{00000000-0005-0000-0000-0000F36F0000}"/>
    <cellStyle name="Currency 2 3 2 3 4" xfId="25289" xr:uid="{00000000-0005-0000-0000-0000F46F0000}"/>
    <cellStyle name="Currency 2 3 2 3 4 2" xfId="44478" xr:uid="{00000000-0005-0000-0000-0000F56F0000}"/>
    <cellStyle name="Currency 2 3 2 3 5" xfId="34780" xr:uid="{00000000-0005-0000-0000-0000F66F0000}"/>
    <cellStyle name="Currency 2 3 2 3 6" xfId="53635" xr:uid="{00000000-0005-0000-0000-0000F76F0000}"/>
    <cellStyle name="Currency 2 3 2 4" xfId="15470" xr:uid="{00000000-0005-0000-0000-0000F86F0000}"/>
    <cellStyle name="Currency 2 3 2 4 2" xfId="19934" xr:uid="{00000000-0005-0000-0000-0000F96F0000}"/>
    <cellStyle name="Currency 2 3 2 4 2 2" xfId="30302" xr:uid="{00000000-0005-0000-0000-0000FA6F0000}"/>
    <cellStyle name="Currency 2 3 2 4 2 2 2" xfId="49491" xr:uid="{00000000-0005-0000-0000-0000FB6F0000}"/>
    <cellStyle name="Currency 2 3 2 4 2 3" xfId="39793" xr:uid="{00000000-0005-0000-0000-0000FC6F0000}"/>
    <cellStyle name="Currency 2 3 2 4 3" xfId="25847" xr:uid="{00000000-0005-0000-0000-0000FD6F0000}"/>
    <cellStyle name="Currency 2 3 2 4 3 2" xfId="45036" xr:uid="{00000000-0005-0000-0000-0000FE6F0000}"/>
    <cellStyle name="Currency 2 3 2 4 4" xfId="35338" xr:uid="{00000000-0005-0000-0000-0000FF6F0000}"/>
    <cellStyle name="Currency 2 3 2 5" xfId="17140" xr:uid="{00000000-0005-0000-0000-000000700000}"/>
    <cellStyle name="Currency 2 3 2 5 2" xfId="21604" xr:uid="{00000000-0005-0000-0000-000001700000}"/>
    <cellStyle name="Currency 2 3 2 5 2 2" xfId="31972" xr:uid="{00000000-0005-0000-0000-000002700000}"/>
    <cellStyle name="Currency 2 3 2 5 2 2 2" xfId="51161" xr:uid="{00000000-0005-0000-0000-000003700000}"/>
    <cellStyle name="Currency 2 3 2 5 2 3" xfId="41463" xr:uid="{00000000-0005-0000-0000-000004700000}"/>
    <cellStyle name="Currency 2 3 2 5 3" xfId="27517" xr:uid="{00000000-0005-0000-0000-000005700000}"/>
    <cellStyle name="Currency 2 3 2 5 3 2" xfId="46706" xr:uid="{00000000-0005-0000-0000-000006700000}"/>
    <cellStyle name="Currency 2 3 2 5 4" xfId="37008" xr:uid="{00000000-0005-0000-0000-000007700000}"/>
    <cellStyle name="Currency 2 3 2 6" xfId="17706" xr:uid="{00000000-0005-0000-0000-000008700000}"/>
    <cellStyle name="Currency 2 3 2 6 2" xfId="22161" xr:uid="{00000000-0005-0000-0000-000009700000}"/>
    <cellStyle name="Currency 2 3 2 6 2 2" xfId="32529" xr:uid="{00000000-0005-0000-0000-00000A700000}"/>
    <cellStyle name="Currency 2 3 2 6 2 2 2" xfId="51718" xr:uid="{00000000-0005-0000-0000-00000B700000}"/>
    <cellStyle name="Currency 2 3 2 6 2 3" xfId="42020" xr:uid="{00000000-0005-0000-0000-00000C700000}"/>
    <cellStyle name="Currency 2 3 2 6 3" xfId="28074" xr:uid="{00000000-0005-0000-0000-00000D700000}"/>
    <cellStyle name="Currency 2 3 2 6 3 2" xfId="47263" xr:uid="{00000000-0005-0000-0000-00000E700000}"/>
    <cellStyle name="Currency 2 3 2 6 4" xfId="37565" xr:uid="{00000000-0005-0000-0000-00000F700000}"/>
    <cellStyle name="Currency 2 3 2 7" xfId="18263" xr:uid="{00000000-0005-0000-0000-000010700000}"/>
    <cellStyle name="Currency 2 3 2 7 2" xfId="28631" xr:uid="{00000000-0005-0000-0000-000011700000}"/>
    <cellStyle name="Currency 2 3 2 7 2 2" xfId="47820" xr:uid="{00000000-0005-0000-0000-000012700000}"/>
    <cellStyle name="Currency 2 3 2 7 3" xfId="38122" xr:uid="{00000000-0005-0000-0000-000013700000}"/>
    <cellStyle name="Currency 2 3 2 8" xfId="24145" xr:uid="{00000000-0005-0000-0000-000014700000}"/>
    <cellStyle name="Currency 2 3 2 8 2" xfId="43365" xr:uid="{00000000-0005-0000-0000-000015700000}"/>
    <cellStyle name="Currency 2 3 2 9" xfId="33667" xr:uid="{00000000-0005-0000-0000-000016700000}"/>
    <cellStyle name="Currency 2 3 3" xfId="2650" xr:uid="{00000000-0005-0000-0000-000017700000}"/>
    <cellStyle name="Currency 2 3 3 2" xfId="53835" xr:uid="{00000000-0005-0000-0000-000018700000}"/>
    <cellStyle name="Currency 2 3 3 3" xfId="52960" xr:uid="{00000000-0005-0000-0000-000019700000}"/>
    <cellStyle name="Currency 2 3 3 4" xfId="13600" xr:uid="{00000000-0005-0000-0000-00001A700000}"/>
    <cellStyle name="Currency 2 3 4" xfId="2651" xr:uid="{00000000-0005-0000-0000-00001B700000}"/>
    <cellStyle name="Currency 2 3 4 2" xfId="53439" xr:uid="{00000000-0005-0000-0000-00001C700000}"/>
    <cellStyle name="Currency 2 3 4 3" xfId="22485" xr:uid="{00000000-0005-0000-0000-00001D700000}"/>
    <cellStyle name="Currency 2 3 5" xfId="2652" xr:uid="{00000000-0005-0000-0000-00001E700000}"/>
    <cellStyle name="Currency 2 3 5 2" xfId="23400" xr:uid="{00000000-0005-0000-0000-00001F700000}"/>
    <cellStyle name="Currency 2 3 6" xfId="2648" xr:uid="{00000000-0005-0000-0000-000020700000}"/>
    <cellStyle name="Currency 2 3 6 2" xfId="12384" xr:uid="{00000000-0005-0000-0000-000021700000}"/>
    <cellStyle name="Currency 2 3 7" xfId="52549" xr:uid="{00000000-0005-0000-0000-000022700000}"/>
    <cellStyle name="Currency 2 3 8" xfId="12051" xr:uid="{00000000-0005-0000-0000-000023700000}"/>
    <cellStyle name="Currency 2 4" xfId="572" xr:uid="{00000000-0005-0000-0000-000024700000}"/>
    <cellStyle name="Currency 2 4 2" xfId="2653" xr:uid="{00000000-0005-0000-0000-000025700000}"/>
    <cellStyle name="Currency 2 4 2 10" xfId="52781" xr:uid="{00000000-0005-0000-0000-000026700000}"/>
    <cellStyle name="Currency 2 4 2 11" xfId="13625" xr:uid="{00000000-0005-0000-0000-000027700000}"/>
    <cellStyle name="Currency 2 4 2 2" xfId="8349" xr:uid="{00000000-0005-0000-0000-000028700000}"/>
    <cellStyle name="Currency 2 4 2 2 2" xfId="11246" xr:uid="{00000000-0005-0000-0000-000029700000}"/>
    <cellStyle name="Currency 2 4 2 2 2 2" xfId="21070" xr:uid="{00000000-0005-0000-0000-00002A700000}"/>
    <cellStyle name="Currency 2 4 2 2 2 2 2" xfId="31438" xr:uid="{00000000-0005-0000-0000-00002B700000}"/>
    <cellStyle name="Currency 2 4 2 2 2 2 2 2" xfId="50627" xr:uid="{00000000-0005-0000-0000-00002C700000}"/>
    <cellStyle name="Currency 2 4 2 2 2 2 3" xfId="40929" xr:uid="{00000000-0005-0000-0000-00002D700000}"/>
    <cellStyle name="Currency 2 4 2 2 2 3" xfId="26983" xr:uid="{00000000-0005-0000-0000-00002E700000}"/>
    <cellStyle name="Currency 2 4 2 2 2 3 2" xfId="46172" xr:uid="{00000000-0005-0000-0000-00002F700000}"/>
    <cellStyle name="Currency 2 4 2 2 2 4" xfId="36474" xr:uid="{00000000-0005-0000-0000-000030700000}"/>
    <cellStyle name="Currency 2 4 2 2 2 5" xfId="54062" xr:uid="{00000000-0005-0000-0000-000031700000}"/>
    <cellStyle name="Currency 2 4 2 2 2 6" xfId="16606" xr:uid="{00000000-0005-0000-0000-000032700000}"/>
    <cellStyle name="Currency 2 4 2 2 3" xfId="18842" xr:uid="{00000000-0005-0000-0000-000033700000}"/>
    <cellStyle name="Currency 2 4 2 2 3 2" xfId="29210" xr:uid="{00000000-0005-0000-0000-000034700000}"/>
    <cellStyle name="Currency 2 4 2 2 3 2 2" xfId="48399" xr:uid="{00000000-0005-0000-0000-000035700000}"/>
    <cellStyle name="Currency 2 4 2 2 3 3" xfId="38701" xr:uid="{00000000-0005-0000-0000-000036700000}"/>
    <cellStyle name="Currency 2 4 2 2 4" xfId="24750" xr:uid="{00000000-0005-0000-0000-000037700000}"/>
    <cellStyle name="Currency 2 4 2 2 4 2" xfId="43944" xr:uid="{00000000-0005-0000-0000-000038700000}"/>
    <cellStyle name="Currency 2 4 2 2 5" xfId="34246" xr:uid="{00000000-0005-0000-0000-000039700000}"/>
    <cellStyle name="Currency 2 4 2 2 6" xfId="53209" xr:uid="{00000000-0005-0000-0000-00003A700000}"/>
    <cellStyle name="Currency 2 4 2 2 7" xfId="14343" xr:uid="{00000000-0005-0000-0000-00003B700000}"/>
    <cellStyle name="Currency 2 4 2 3" xfId="9806" xr:uid="{00000000-0005-0000-0000-00003C700000}"/>
    <cellStyle name="Currency 2 4 2 3 2" xfId="16050" xr:uid="{00000000-0005-0000-0000-00003D700000}"/>
    <cellStyle name="Currency 2 4 2 3 2 2" xfId="20514" xr:uid="{00000000-0005-0000-0000-00003E700000}"/>
    <cellStyle name="Currency 2 4 2 3 2 2 2" xfId="30882" xr:uid="{00000000-0005-0000-0000-00003F700000}"/>
    <cellStyle name="Currency 2 4 2 3 2 2 2 2" xfId="50071" xr:uid="{00000000-0005-0000-0000-000040700000}"/>
    <cellStyle name="Currency 2 4 2 3 2 2 3" xfId="40373" xr:uid="{00000000-0005-0000-0000-000041700000}"/>
    <cellStyle name="Currency 2 4 2 3 2 3" xfId="26427" xr:uid="{00000000-0005-0000-0000-000042700000}"/>
    <cellStyle name="Currency 2 4 2 3 2 3 2" xfId="45616" xr:uid="{00000000-0005-0000-0000-000043700000}"/>
    <cellStyle name="Currency 2 4 2 3 2 4" xfId="35918" xr:uid="{00000000-0005-0000-0000-000044700000}"/>
    <cellStyle name="Currency 2 4 2 3 3" xfId="19399" xr:uid="{00000000-0005-0000-0000-000045700000}"/>
    <cellStyle name="Currency 2 4 2 3 3 2" xfId="29767" xr:uid="{00000000-0005-0000-0000-000046700000}"/>
    <cellStyle name="Currency 2 4 2 3 3 2 2" xfId="48956" xr:uid="{00000000-0005-0000-0000-000047700000}"/>
    <cellStyle name="Currency 2 4 2 3 3 3" xfId="39258" xr:uid="{00000000-0005-0000-0000-000048700000}"/>
    <cellStyle name="Currency 2 4 2 3 4" xfId="25312" xr:uid="{00000000-0005-0000-0000-000049700000}"/>
    <cellStyle name="Currency 2 4 2 3 4 2" xfId="44501" xr:uid="{00000000-0005-0000-0000-00004A700000}"/>
    <cellStyle name="Currency 2 4 2 3 5" xfId="34803" xr:uid="{00000000-0005-0000-0000-00004B700000}"/>
    <cellStyle name="Currency 2 4 2 3 6" xfId="53666" xr:uid="{00000000-0005-0000-0000-00004C700000}"/>
    <cellStyle name="Currency 2 4 2 3 7" xfId="14922" xr:uid="{00000000-0005-0000-0000-00004D700000}"/>
    <cellStyle name="Currency 2 4 2 4" xfId="6871" xr:uid="{00000000-0005-0000-0000-00004E700000}"/>
    <cellStyle name="Currency 2 4 2 4 2" xfId="19957" xr:uid="{00000000-0005-0000-0000-00004F700000}"/>
    <cellStyle name="Currency 2 4 2 4 2 2" xfId="30325" xr:uid="{00000000-0005-0000-0000-000050700000}"/>
    <cellStyle name="Currency 2 4 2 4 2 2 2" xfId="49514" xr:uid="{00000000-0005-0000-0000-000051700000}"/>
    <cellStyle name="Currency 2 4 2 4 2 3" xfId="39816" xr:uid="{00000000-0005-0000-0000-000052700000}"/>
    <cellStyle name="Currency 2 4 2 4 3" xfId="25870" xr:uid="{00000000-0005-0000-0000-000053700000}"/>
    <cellStyle name="Currency 2 4 2 4 3 2" xfId="45059" xr:uid="{00000000-0005-0000-0000-000054700000}"/>
    <cellStyle name="Currency 2 4 2 4 4" xfId="35361" xr:uid="{00000000-0005-0000-0000-000055700000}"/>
    <cellStyle name="Currency 2 4 2 4 5" xfId="15493" xr:uid="{00000000-0005-0000-0000-000056700000}"/>
    <cellStyle name="Currency 2 4 2 5" xfId="17163" xr:uid="{00000000-0005-0000-0000-000057700000}"/>
    <cellStyle name="Currency 2 4 2 5 2" xfId="21627" xr:uid="{00000000-0005-0000-0000-000058700000}"/>
    <cellStyle name="Currency 2 4 2 5 2 2" xfId="31995" xr:uid="{00000000-0005-0000-0000-000059700000}"/>
    <cellStyle name="Currency 2 4 2 5 2 2 2" xfId="51184" xr:uid="{00000000-0005-0000-0000-00005A700000}"/>
    <cellStyle name="Currency 2 4 2 5 2 3" xfId="41486" xr:uid="{00000000-0005-0000-0000-00005B700000}"/>
    <cellStyle name="Currency 2 4 2 5 3" xfId="27540" xr:uid="{00000000-0005-0000-0000-00005C700000}"/>
    <cellStyle name="Currency 2 4 2 5 3 2" xfId="46729" xr:uid="{00000000-0005-0000-0000-00005D700000}"/>
    <cellStyle name="Currency 2 4 2 5 4" xfId="37031" xr:uid="{00000000-0005-0000-0000-00005E700000}"/>
    <cellStyle name="Currency 2 4 2 6" xfId="17729" xr:uid="{00000000-0005-0000-0000-00005F700000}"/>
    <cellStyle name="Currency 2 4 2 6 2" xfId="22184" xr:uid="{00000000-0005-0000-0000-000060700000}"/>
    <cellStyle name="Currency 2 4 2 6 2 2" xfId="32552" xr:uid="{00000000-0005-0000-0000-000061700000}"/>
    <cellStyle name="Currency 2 4 2 6 2 2 2" xfId="51741" xr:uid="{00000000-0005-0000-0000-000062700000}"/>
    <cellStyle name="Currency 2 4 2 6 2 3" xfId="42043" xr:uid="{00000000-0005-0000-0000-000063700000}"/>
    <cellStyle name="Currency 2 4 2 6 3" xfId="28097" xr:uid="{00000000-0005-0000-0000-000064700000}"/>
    <cellStyle name="Currency 2 4 2 6 3 2" xfId="47286" xr:uid="{00000000-0005-0000-0000-000065700000}"/>
    <cellStyle name="Currency 2 4 2 6 4" xfId="37588" xr:uid="{00000000-0005-0000-0000-000066700000}"/>
    <cellStyle name="Currency 2 4 2 7" xfId="18286" xr:uid="{00000000-0005-0000-0000-000067700000}"/>
    <cellStyle name="Currency 2 4 2 7 2" xfId="28654" xr:uid="{00000000-0005-0000-0000-000068700000}"/>
    <cellStyle name="Currency 2 4 2 7 2 2" xfId="47843" xr:uid="{00000000-0005-0000-0000-000069700000}"/>
    <cellStyle name="Currency 2 4 2 7 3" xfId="38145" xr:uid="{00000000-0005-0000-0000-00006A700000}"/>
    <cellStyle name="Currency 2 4 2 8" xfId="24190" xr:uid="{00000000-0005-0000-0000-00006B700000}"/>
    <cellStyle name="Currency 2 4 2 8 2" xfId="43388" xr:uid="{00000000-0005-0000-0000-00006C700000}"/>
    <cellStyle name="Currency 2 4 2 9" xfId="33690" xr:uid="{00000000-0005-0000-0000-00006D700000}"/>
    <cellStyle name="Currency 2 4 3" xfId="7688" xr:uid="{00000000-0005-0000-0000-00006E700000}"/>
    <cellStyle name="Currency 2 4 3 2" xfId="10588" xr:uid="{00000000-0005-0000-0000-00006F700000}"/>
    <cellStyle name="Currency 2 4 3 2 2" xfId="51891" xr:uid="{00000000-0005-0000-0000-000070700000}"/>
    <cellStyle name="Currency 2 4 3 2 3" xfId="53866" xr:uid="{00000000-0005-0000-0000-000071700000}"/>
    <cellStyle name="Currency 2 4 3 2 4" xfId="32704" xr:uid="{00000000-0005-0000-0000-000072700000}"/>
    <cellStyle name="Currency 2 4 3 3" xfId="42193" xr:uid="{00000000-0005-0000-0000-000073700000}"/>
    <cellStyle name="Currency 2 4 3 4" xfId="52991" xr:uid="{00000000-0005-0000-0000-000074700000}"/>
    <cellStyle name="Currency 2 4 3 5" xfId="22614" xr:uid="{00000000-0005-0000-0000-000075700000}"/>
    <cellStyle name="Currency 2 4 4" xfId="9148" xr:uid="{00000000-0005-0000-0000-000076700000}"/>
    <cellStyle name="Currency 2 4 4 2" xfId="53470" xr:uid="{00000000-0005-0000-0000-000077700000}"/>
    <cellStyle name="Currency 2 4 4 3" xfId="23401" xr:uid="{00000000-0005-0000-0000-000078700000}"/>
    <cellStyle name="Currency 2 4 5" xfId="6166" xr:uid="{00000000-0005-0000-0000-000079700000}"/>
    <cellStyle name="Currency 2 4 5 2" xfId="42546" xr:uid="{00000000-0005-0000-0000-00007A700000}"/>
    <cellStyle name="Currency 2 4 5 3" xfId="22977" xr:uid="{00000000-0005-0000-0000-00007B700000}"/>
    <cellStyle name="Currency 2 4 6" xfId="12385" xr:uid="{00000000-0005-0000-0000-00007C700000}"/>
    <cellStyle name="Currency 2 4 7" xfId="52581" xr:uid="{00000000-0005-0000-0000-00007D700000}"/>
    <cellStyle name="Currency 2 4 8" xfId="12052" xr:uid="{00000000-0005-0000-0000-00007E700000}"/>
    <cellStyle name="Currency 2 5" xfId="573" xr:uid="{00000000-0005-0000-0000-00007F700000}"/>
    <cellStyle name="Currency 2 5 2" xfId="2654" xr:uid="{00000000-0005-0000-0000-000080700000}"/>
    <cellStyle name="Currency 2 5 2 2" xfId="53243" xr:uid="{00000000-0005-0000-0000-000081700000}"/>
    <cellStyle name="Currency 2 5 2 2 2" xfId="54096" xr:uid="{00000000-0005-0000-0000-000082700000}"/>
    <cellStyle name="Currency 2 5 2 3" xfId="53700" xr:uid="{00000000-0005-0000-0000-000083700000}"/>
    <cellStyle name="Currency 2 5 2 4" xfId="52815" xr:uid="{00000000-0005-0000-0000-000084700000}"/>
    <cellStyle name="Currency 2 5 2 5" xfId="13684" xr:uid="{00000000-0005-0000-0000-000085700000}"/>
    <cellStyle name="Currency 2 5 3" xfId="22884" xr:uid="{00000000-0005-0000-0000-000086700000}"/>
    <cellStyle name="Currency 2 5 3 2" xfId="32968" xr:uid="{00000000-0005-0000-0000-000087700000}"/>
    <cellStyle name="Currency 2 5 3 2 2" xfId="52154" xr:uid="{00000000-0005-0000-0000-000088700000}"/>
    <cellStyle name="Currency 2 5 3 2 3" xfId="53900" xr:uid="{00000000-0005-0000-0000-000089700000}"/>
    <cellStyle name="Currency 2 5 3 3" xfId="42456" xr:uid="{00000000-0005-0000-0000-00008A700000}"/>
    <cellStyle name="Currency 2 5 3 4" xfId="53025" xr:uid="{00000000-0005-0000-0000-00008B700000}"/>
    <cellStyle name="Currency 2 5 4" xfId="23402" xr:uid="{00000000-0005-0000-0000-00008C700000}"/>
    <cellStyle name="Currency 2 5 4 2" xfId="53504" xr:uid="{00000000-0005-0000-0000-00008D700000}"/>
    <cellStyle name="Currency 2 5 5" xfId="23241" xr:uid="{00000000-0005-0000-0000-00008E700000}"/>
    <cellStyle name="Currency 2 5 5 2" xfId="42809" xr:uid="{00000000-0005-0000-0000-00008F700000}"/>
    <cellStyle name="Currency 2 5 6" xfId="12386" xr:uid="{00000000-0005-0000-0000-000090700000}"/>
    <cellStyle name="Currency 2 5 7" xfId="52615" xr:uid="{00000000-0005-0000-0000-000091700000}"/>
    <cellStyle name="Currency 2 5 8" xfId="12049" xr:uid="{00000000-0005-0000-0000-000092700000}"/>
    <cellStyle name="Currency 2 6" xfId="574" xr:uid="{00000000-0005-0000-0000-000093700000}"/>
    <cellStyle name="Currency 2 6 2" xfId="2655" xr:uid="{00000000-0005-0000-0000-000094700000}"/>
    <cellStyle name="Currency 2 6 2 2" xfId="53276" xr:uid="{00000000-0005-0000-0000-000095700000}"/>
    <cellStyle name="Currency 2 6 2 2 2" xfId="54129" xr:uid="{00000000-0005-0000-0000-000096700000}"/>
    <cellStyle name="Currency 2 6 2 3" xfId="53733" xr:uid="{00000000-0005-0000-0000-000097700000}"/>
    <cellStyle name="Currency 2 6 2 4" xfId="52848" xr:uid="{00000000-0005-0000-0000-000098700000}"/>
    <cellStyle name="Currency 2 6 2 5" xfId="12126" xr:uid="{00000000-0005-0000-0000-000099700000}"/>
    <cellStyle name="Currency 2 6 3" xfId="6058" xr:uid="{00000000-0005-0000-0000-00009A700000}"/>
    <cellStyle name="Currency 2 6 3 2" xfId="53933" xr:uid="{00000000-0005-0000-0000-00009B700000}"/>
    <cellStyle name="Currency 2 6 3 3" xfId="53058" xr:uid="{00000000-0005-0000-0000-00009C700000}"/>
    <cellStyle name="Currency 2 6 4" xfId="53537" xr:uid="{00000000-0005-0000-0000-00009D700000}"/>
    <cellStyle name="Currency 2 6 5" xfId="52652" xr:uid="{00000000-0005-0000-0000-00009E700000}"/>
    <cellStyle name="Currency 2 6 6" xfId="12387" xr:uid="{00000000-0005-0000-0000-00009F700000}"/>
    <cellStyle name="Currency 2 7" xfId="1505" xr:uid="{00000000-0005-0000-0000-0000A0700000}"/>
    <cellStyle name="Currency 2 7 2" xfId="2656" xr:uid="{00000000-0005-0000-0000-0000A1700000}"/>
    <cellStyle name="Currency 2 7 2 2" xfId="53960" xr:uid="{00000000-0005-0000-0000-0000A2700000}"/>
    <cellStyle name="Currency 2 7 2 3" xfId="53107" xr:uid="{00000000-0005-0000-0000-0000A3700000}"/>
    <cellStyle name="Currency 2 7 3" xfId="53564" xr:uid="{00000000-0005-0000-0000-0000A4700000}"/>
    <cellStyle name="Currency 2 7 4" xfId="52679" xr:uid="{00000000-0005-0000-0000-0000A5700000}"/>
    <cellStyle name="Currency 2 7 5" xfId="12741" xr:uid="{00000000-0005-0000-0000-0000A6700000}"/>
    <cellStyle name="Currency 2 8" xfId="2657" xr:uid="{00000000-0005-0000-0000-0000A7700000}"/>
    <cellStyle name="Currency 2 8 10" xfId="52879" xr:uid="{00000000-0005-0000-0000-0000A8700000}"/>
    <cellStyle name="Currency 2 8 11" xfId="12839" xr:uid="{00000000-0005-0000-0000-0000A9700000}"/>
    <cellStyle name="Currency 2 8 2" xfId="13833" xr:uid="{00000000-0005-0000-0000-0000AA700000}"/>
    <cellStyle name="Currency 2 8 2 2" xfId="16097" xr:uid="{00000000-0005-0000-0000-0000AB700000}"/>
    <cellStyle name="Currency 2 8 2 2 2" xfId="20561" xr:uid="{00000000-0005-0000-0000-0000AC700000}"/>
    <cellStyle name="Currency 2 8 2 2 2 2" xfId="30929" xr:uid="{00000000-0005-0000-0000-0000AD700000}"/>
    <cellStyle name="Currency 2 8 2 2 2 2 2" xfId="50118" xr:uid="{00000000-0005-0000-0000-0000AE700000}"/>
    <cellStyle name="Currency 2 8 2 2 2 3" xfId="40420" xr:uid="{00000000-0005-0000-0000-0000AF700000}"/>
    <cellStyle name="Currency 2 8 2 2 3" xfId="26474" xr:uid="{00000000-0005-0000-0000-0000B0700000}"/>
    <cellStyle name="Currency 2 8 2 2 3 2" xfId="45663" xr:uid="{00000000-0005-0000-0000-0000B1700000}"/>
    <cellStyle name="Currency 2 8 2 2 4" xfId="35965" xr:uid="{00000000-0005-0000-0000-0000B2700000}"/>
    <cellStyle name="Currency 2 8 2 3" xfId="18333" xr:uid="{00000000-0005-0000-0000-0000B3700000}"/>
    <cellStyle name="Currency 2 8 2 3 2" xfId="28701" xr:uid="{00000000-0005-0000-0000-0000B4700000}"/>
    <cellStyle name="Currency 2 8 2 3 2 2" xfId="47890" xr:uid="{00000000-0005-0000-0000-0000B5700000}"/>
    <cellStyle name="Currency 2 8 2 3 3" xfId="38192" xr:uid="{00000000-0005-0000-0000-0000B6700000}"/>
    <cellStyle name="Currency 2 8 2 4" xfId="24241" xr:uid="{00000000-0005-0000-0000-0000B7700000}"/>
    <cellStyle name="Currency 2 8 2 4 2" xfId="43435" xr:uid="{00000000-0005-0000-0000-0000B8700000}"/>
    <cellStyle name="Currency 2 8 2 5" xfId="33737" xr:uid="{00000000-0005-0000-0000-0000B9700000}"/>
    <cellStyle name="Currency 2 8 2 6" xfId="53763" xr:uid="{00000000-0005-0000-0000-0000BA700000}"/>
    <cellStyle name="Currency 2 8 3" xfId="14412" xr:uid="{00000000-0005-0000-0000-0000BB700000}"/>
    <cellStyle name="Currency 2 8 3 2" xfId="15541" xr:uid="{00000000-0005-0000-0000-0000BC700000}"/>
    <cellStyle name="Currency 2 8 3 2 2" xfId="20005" xr:uid="{00000000-0005-0000-0000-0000BD700000}"/>
    <cellStyle name="Currency 2 8 3 2 2 2" xfId="30373" xr:uid="{00000000-0005-0000-0000-0000BE700000}"/>
    <cellStyle name="Currency 2 8 3 2 2 2 2" xfId="49562" xr:uid="{00000000-0005-0000-0000-0000BF700000}"/>
    <cellStyle name="Currency 2 8 3 2 2 3" xfId="39864" xr:uid="{00000000-0005-0000-0000-0000C0700000}"/>
    <cellStyle name="Currency 2 8 3 2 3" xfId="25918" xr:uid="{00000000-0005-0000-0000-0000C1700000}"/>
    <cellStyle name="Currency 2 8 3 2 3 2" xfId="45107" xr:uid="{00000000-0005-0000-0000-0000C2700000}"/>
    <cellStyle name="Currency 2 8 3 2 4" xfId="35409" xr:uid="{00000000-0005-0000-0000-0000C3700000}"/>
    <cellStyle name="Currency 2 8 3 3" xfId="18890" xr:uid="{00000000-0005-0000-0000-0000C4700000}"/>
    <cellStyle name="Currency 2 8 3 3 2" xfId="29258" xr:uid="{00000000-0005-0000-0000-0000C5700000}"/>
    <cellStyle name="Currency 2 8 3 3 2 2" xfId="48447" xr:uid="{00000000-0005-0000-0000-0000C6700000}"/>
    <cellStyle name="Currency 2 8 3 3 3" xfId="38749" xr:uid="{00000000-0005-0000-0000-0000C7700000}"/>
    <cellStyle name="Currency 2 8 3 4" xfId="24803" xr:uid="{00000000-0005-0000-0000-0000C8700000}"/>
    <cellStyle name="Currency 2 8 3 4 2" xfId="43992" xr:uid="{00000000-0005-0000-0000-0000C9700000}"/>
    <cellStyle name="Currency 2 8 3 5" xfId="34294" xr:uid="{00000000-0005-0000-0000-0000CA700000}"/>
    <cellStyle name="Currency 2 8 4" xfId="14984" xr:uid="{00000000-0005-0000-0000-0000CB700000}"/>
    <cellStyle name="Currency 2 8 4 2" xfId="19448" xr:uid="{00000000-0005-0000-0000-0000CC700000}"/>
    <cellStyle name="Currency 2 8 4 2 2" xfId="29816" xr:uid="{00000000-0005-0000-0000-0000CD700000}"/>
    <cellStyle name="Currency 2 8 4 2 2 2" xfId="49005" xr:uid="{00000000-0005-0000-0000-0000CE700000}"/>
    <cellStyle name="Currency 2 8 4 2 3" xfId="39307" xr:uid="{00000000-0005-0000-0000-0000CF700000}"/>
    <cellStyle name="Currency 2 8 4 3" xfId="25361" xr:uid="{00000000-0005-0000-0000-0000D0700000}"/>
    <cellStyle name="Currency 2 8 4 3 2" xfId="44550" xr:uid="{00000000-0005-0000-0000-0000D1700000}"/>
    <cellStyle name="Currency 2 8 4 4" xfId="34852" xr:uid="{00000000-0005-0000-0000-0000D2700000}"/>
    <cellStyle name="Currency 2 8 5" xfId="16654" xr:uid="{00000000-0005-0000-0000-0000D3700000}"/>
    <cellStyle name="Currency 2 8 5 2" xfId="21118" xr:uid="{00000000-0005-0000-0000-0000D4700000}"/>
    <cellStyle name="Currency 2 8 5 2 2" xfId="31486" xr:uid="{00000000-0005-0000-0000-0000D5700000}"/>
    <cellStyle name="Currency 2 8 5 2 2 2" xfId="50675" xr:uid="{00000000-0005-0000-0000-0000D6700000}"/>
    <cellStyle name="Currency 2 8 5 2 3" xfId="40977" xr:uid="{00000000-0005-0000-0000-0000D7700000}"/>
    <cellStyle name="Currency 2 8 5 3" xfId="27031" xr:uid="{00000000-0005-0000-0000-0000D8700000}"/>
    <cellStyle name="Currency 2 8 5 3 2" xfId="46220" xr:uid="{00000000-0005-0000-0000-0000D9700000}"/>
    <cellStyle name="Currency 2 8 5 4" xfId="36522" xr:uid="{00000000-0005-0000-0000-0000DA700000}"/>
    <cellStyle name="Currency 2 8 6" xfId="17220" xr:uid="{00000000-0005-0000-0000-0000DB700000}"/>
    <cellStyle name="Currency 2 8 6 2" xfId="21675" xr:uid="{00000000-0005-0000-0000-0000DC700000}"/>
    <cellStyle name="Currency 2 8 6 2 2" xfId="32043" xr:uid="{00000000-0005-0000-0000-0000DD700000}"/>
    <cellStyle name="Currency 2 8 6 2 2 2" xfId="51232" xr:uid="{00000000-0005-0000-0000-0000DE700000}"/>
    <cellStyle name="Currency 2 8 6 2 3" xfId="41534" xr:uid="{00000000-0005-0000-0000-0000DF700000}"/>
    <cellStyle name="Currency 2 8 6 3" xfId="27588" xr:uid="{00000000-0005-0000-0000-0000E0700000}"/>
    <cellStyle name="Currency 2 8 6 3 2" xfId="46777" xr:uid="{00000000-0005-0000-0000-0000E1700000}"/>
    <cellStyle name="Currency 2 8 6 4" xfId="37079" xr:uid="{00000000-0005-0000-0000-0000E2700000}"/>
    <cellStyle name="Currency 2 8 7" xfId="17777" xr:uid="{00000000-0005-0000-0000-0000E3700000}"/>
    <cellStyle name="Currency 2 8 7 2" xfId="28145" xr:uid="{00000000-0005-0000-0000-0000E4700000}"/>
    <cellStyle name="Currency 2 8 7 2 2" xfId="47334" xr:uid="{00000000-0005-0000-0000-0000E5700000}"/>
    <cellStyle name="Currency 2 8 7 3" xfId="37636" xr:uid="{00000000-0005-0000-0000-0000E6700000}"/>
    <cellStyle name="Currency 2 8 8" xfId="23627" xr:uid="{00000000-0005-0000-0000-0000E7700000}"/>
    <cellStyle name="Currency 2 8 8 2" xfId="42879" xr:uid="{00000000-0005-0000-0000-0000E8700000}"/>
    <cellStyle name="Currency 2 8 9" xfId="33181" xr:uid="{00000000-0005-0000-0000-0000E9700000}"/>
    <cellStyle name="Currency 2 9" xfId="2658" xr:uid="{00000000-0005-0000-0000-0000EA700000}"/>
    <cellStyle name="Currency 2 9 2" xfId="32586" xr:uid="{00000000-0005-0000-0000-0000EB700000}"/>
    <cellStyle name="Currency 2 9 2 2" xfId="51774" xr:uid="{00000000-0005-0000-0000-0000EC700000}"/>
    <cellStyle name="Currency 2 9 2 3" xfId="54160" xr:uid="{00000000-0005-0000-0000-0000ED700000}"/>
    <cellStyle name="Currency 2 9 3" xfId="42076" xr:uid="{00000000-0005-0000-0000-0000EE700000}"/>
    <cellStyle name="Currency 2 9 4" xfId="53308" xr:uid="{00000000-0005-0000-0000-0000EF700000}"/>
    <cellStyle name="Currency 2 9 5" xfId="22227" xr:uid="{00000000-0005-0000-0000-0000F0700000}"/>
    <cellStyle name="Currency 2*" xfId="2659" xr:uid="{00000000-0005-0000-0000-0000F1700000}"/>
    <cellStyle name="Currency 2_CLdcfmodel" xfId="2660" xr:uid="{00000000-0005-0000-0000-0000F2700000}"/>
    <cellStyle name="Currency 20" xfId="2661" xr:uid="{00000000-0005-0000-0000-0000F3700000}"/>
    <cellStyle name="Currency 20 2" xfId="2662" xr:uid="{00000000-0005-0000-0000-0000F4700000}"/>
    <cellStyle name="Currency 20 2 2" xfId="2663" xr:uid="{00000000-0005-0000-0000-0000F5700000}"/>
    <cellStyle name="Currency 20 2 2 2" xfId="2664" xr:uid="{00000000-0005-0000-0000-0000F6700000}"/>
    <cellStyle name="Currency 20 2 2 2 2" xfId="2665" xr:uid="{00000000-0005-0000-0000-0000F7700000}"/>
    <cellStyle name="Currency 20 2 2 3" xfId="2666" xr:uid="{00000000-0005-0000-0000-0000F8700000}"/>
    <cellStyle name="Currency 20 2 3" xfId="2667" xr:uid="{00000000-0005-0000-0000-0000F9700000}"/>
    <cellStyle name="Currency 20 2 3 2" xfId="2668" xr:uid="{00000000-0005-0000-0000-0000FA700000}"/>
    <cellStyle name="Currency 20 2 4" xfId="2669" xr:uid="{00000000-0005-0000-0000-0000FB700000}"/>
    <cellStyle name="Currency 20 3" xfId="2670" xr:uid="{00000000-0005-0000-0000-0000FC700000}"/>
    <cellStyle name="Currency 20 3 2" xfId="2671" xr:uid="{00000000-0005-0000-0000-0000FD700000}"/>
    <cellStyle name="Currency 20 3 2 2" xfId="2672" xr:uid="{00000000-0005-0000-0000-0000FE700000}"/>
    <cellStyle name="Currency 20 3 2 2 2" xfId="2673" xr:uid="{00000000-0005-0000-0000-0000FF700000}"/>
    <cellStyle name="Currency 20 3 2 3" xfId="2674" xr:uid="{00000000-0005-0000-0000-000000710000}"/>
    <cellStyle name="Currency 20 3 3" xfId="2675" xr:uid="{00000000-0005-0000-0000-000001710000}"/>
    <cellStyle name="Currency 20 3 3 2" xfId="2676" xr:uid="{00000000-0005-0000-0000-000002710000}"/>
    <cellStyle name="Currency 20 3 4" xfId="2677" xr:uid="{00000000-0005-0000-0000-000003710000}"/>
    <cellStyle name="Currency 20 4" xfId="2678" xr:uid="{00000000-0005-0000-0000-000004710000}"/>
    <cellStyle name="Currency 20 4 2" xfId="2679" xr:uid="{00000000-0005-0000-0000-000005710000}"/>
    <cellStyle name="Currency 20 4 2 2" xfId="2680" xr:uid="{00000000-0005-0000-0000-000006710000}"/>
    <cellStyle name="Currency 20 4 3" xfId="2681" xr:uid="{00000000-0005-0000-0000-000007710000}"/>
    <cellStyle name="Currency 20 5" xfId="2682" xr:uid="{00000000-0005-0000-0000-000008710000}"/>
    <cellStyle name="Currency 20 5 2" xfId="2683" xr:uid="{00000000-0005-0000-0000-000009710000}"/>
    <cellStyle name="Currency 20 6" xfId="2684" xr:uid="{00000000-0005-0000-0000-00000A710000}"/>
    <cellStyle name="Currency 21" xfId="2685" xr:uid="{00000000-0005-0000-0000-00000B710000}"/>
    <cellStyle name="Currency 21 2" xfId="2686" xr:uid="{00000000-0005-0000-0000-00000C710000}"/>
    <cellStyle name="Currency 21 2 2" xfId="2687" xr:uid="{00000000-0005-0000-0000-00000D710000}"/>
    <cellStyle name="Currency 21 2 2 2" xfId="2688" xr:uid="{00000000-0005-0000-0000-00000E710000}"/>
    <cellStyle name="Currency 21 2 2 2 2" xfId="2689" xr:uid="{00000000-0005-0000-0000-00000F710000}"/>
    <cellStyle name="Currency 21 2 2 3" xfId="2690" xr:uid="{00000000-0005-0000-0000-000010710000}"/>
    <cellStyle name="Currency 21 2 3" xfId="2691" xr:uid="{00000000-0005-0000-0000-000011710000}"/>
    <cellStyle name="Currency 21 2 3 2" xfId="2692" xr:uid="{00000000-0005-0000-0000-000012710000}"/>
    <cellStyle name="Currency 21 2 4" xfId="2693" xr:uid="{00000000-0005-0000-0000-000013710000}"/>
    <cellStyle name="Currency 21 3" xfId="2694" xr:uid="{00000000-0005-0000-0000-000014710000}"/>
    <cellStyle name="Currency 21 3 2" xfId="2695" xr:uid="{00000000-0005-0000-0000-000015710000}"/>
    <cellStyle name="Currency 21 3 2 2" xfId="2696" xr:uid="{00000000-0005-0000-0000-000016710000}"/>
    <cellStyle name="Currency 21 3 2 2 2" xfId="2697" xr:uid="{00000000-0005-0000-0000-000017710000}"/>
    <cellStyle name="Currency 21 3 2 3" xfId="2698" xr:uid="{00000000-0005-0000-0000-000018710000}"/>
    <cellStyle name="Currency 21 3 3" xfId="2699" xr:uid="{00000000-0005-0000-0000-000019710000}"/>
    <cellStyle name="Currency 21 3 3 2" xfId="2700" xr:uid="{00000000-0005-0000-0000-00001A710000}"/>
    <cellStyle name="Currency 21 3 4" xfId="2701" xr:uid="{00000000-0005-0000-0000-00001B710000}"/>
    <cellStyle name="Currency 21 4" xfId="2702" xr:uid="{00000000-0005-0000-0000-00001C710000}"/>
    <cellStyle name="Currency 21 4 2" xfId="2703" xr:uid="{00000000-0005-0000-0000-00001D710000}"/>
    <cellStyle name="Currency 21 4 2 2" xfId="2704" xr:uid="{00000000-0005-0000-0000-00001E710000}"/>
    <cellStyle name="Currency 21 4 3" xfId="2705" xr:uid="{00000000-0005-0000-0000-00001F710000}"/>
    <cellStyle name="Currency 21 5" xfId="2706" xr:uid="{00000000-0005-0000-0000-000020710000}"/>
    <cellStyle name="Currency 21 5 2" xfId="2707" xr:uid="{00000000-0005-0000-0000-000021710000}"/>
    <cellStyle name="Currency 21 6" xfId="2708" xr:uid="{00000000-0005-0000-0000-000022710000}"/>
    <cellStyle name="Currency 22" xfId="2709" xr:uid="{00000000-0005-0000-0000-000023710000}"/>
    <cellStyle name="Currency 22 2" xfId="2710" xr:uid="{00000000-0005-0000-0000-000024710000}"/>
    <cellStyle name="Currency 22 2 2" xfId="2711" xr:uid="{00000000-0005-0000-0000-000025710000}"/>
    <cellStyle name="Currency 22 2 2 2" xfId="2712" xr:uid="{00000000-0005-0000-0000-000026710000}"/>
    <cellStyle name="Currency 22 2 2 2 2" xfId="2713" xr:uid="{00000000-0005-0000-0000-000027710000}"/>
    <cellStyle name="Currency 22 2 2 3" xfId="2714" xr:uid="{00000000-0005-0000-0000-000028710000}"/>
    <cellStyle name="Currency 22 2 3" xfId="2715" xr:uid="{00000000-0005-0000-0000-000029710000}"/>
    <cellStyle name="Currency 22 2 3 2" xfId="2716" xr:uid="{00000000-0005-0000-0000-00002A710000}"/>
    <cellStyle name="Currency 22 2 4" xfId="2717" xr:uid="{00000000-0005-0000-0000-00002B710000}"/>
    <cellStyle name="Currency 22 3" xfId="2718" xr:uid="{00000000-0005-0000-0000-00002C710000}"/>
    <cellStyle name="Currency 22 3 2" xfId="2719" xr:uid="{00000000-0005-0000-0000-00002D710000}"/>
    <cellStyle name="Currency 22 3 2 2" xfId="2720" xr:uid="{00000000-0005-0000-0000-00002E710000}"/>
    <cellStyle name="Currency 22 3 2 2 2" xfId="2721" xr:uid="{00000000-0005-0000-0000-00002F710000}"/>
    <cellStyle name="Currency 22 3 2 3" xfId="2722" xr:uid="{00000000-0005-0000-0000-000030710000}"/>
    <cellStyle name="Currency 22 3 3" xfId="2723" xr:uid="{00000000-0005-0000-0000-000031710000}"/>
    <cellStyle name="Currency 22 3 3 2" xfId="2724" xr:uid="{00000000-0005-0000-0000-000032710000}"/>
    <cellStyle name="Currency 22 3 4" xfId="2725" xr:uid="{00000000-0005-0000-0000-000033710000}"/>
    <cellStyle name="Currency 22 4" xfId="2726" xr:uid="{00000000-0005-0000-0000-000034710000}"/>
    <cellStyle name="Currency 22 4 2" xfId="2727" xr:uid="{00000000-0005-0000-0000-000035710000}"/>
    <cellStyle name="Currency 22 4 2 2" xfId="2728" xr:uid="{00000000-0005-0000-0000-000036710000}"/>
    <cellStyle name="Currency 22 4 3" xfId="2729" xr:uid="{00000000-0005-0000-0000-000037710000}"/>
    <cellStyle name="Currency 22 5" xfId="2730" xr:uid="{00000000-0005-0000-0000-000038710000}"/>
    <cellStyle name="Currency 22 5 2" xfId="2731" xr:uid="{00000000-0005-0000-0000-000039710000}"/>
    <cellStyle name="Currency 22 6" xfId="2732" xr:uid="{00000000-0005-0000-0000-00003A710000}"/>
    <cellStyle name="Currency 23" xfId="2733" xr:uid="{00000000-0005-0000-0000-00003B710000}"/>
    <cellStyle name="Currency 23 2" xfId="2734" xr:uid="{00000000-0005-0000-0000-00003C710000}"/>
    <cellStyle name="Currency 23 2 2" xfId="2735" xr:uid="{00000000-0005-0000-0000-00003D710000}"/>
    <cellStyle name="Currency 23 2 2 2" xfId="2736" xr:uid="{00000000-0005-0000-0000-00003E710000}"/>
    <cellStyle name="Currency 23 2 2 2 2" xfId="2737" xr:uid="{00000000-0005-0000-0000-00003F710000}"/>
    <cellStyle name="Currency 23 2 2 3" xfId="2738" xr:uid="{00000000-0005-0000-0000-000040710000}"/>
    <cellStyle name="Currency 23 2 3" xfId="2739" xr:uid="{00000000-0005-0000-0000-000041710000}"/>
    <cellStyle name="Currency 23 2 3 2" xfId="2740" xr:uid="{00000000-0005-0000-0000-000042710000}"/>
    <cellStyle name="Currency 23 2 4" xfId="2741" xr:uid="{00000000-0005-0000-0000-000043710000}"/>
    <cellStyle name="Currency 23 3" xfId="2742" xr:uid="{00000000-0005-0000-0000-000044710000}"/>
    <cellStyle name="Currency 23 3 2" xfId="2743" xr:uid="{00000000-0005-0000-0000-000045710000}"/>
    <cellStyle name="Currency 23 3 2 2" xfId="2744" xr:uid="{00000000-0005-0000-0000-000046710000}"/>
    <cellStyle name="Currency 23 3 2 2 2" xfId="2745" xr:uid="{00000000-0005-0000-0000-000047710000}"/>
    <cellStyle name="Currency 23 3 2 3" xfId="2746" xr:uid="{00000000-0005-0000-0000-000048710000}"/>
    <cellStyle name="Currency 23 3 3" xfId="2747" xr:uid="{00000000-0005-0000-0000-000049710000}"/>
    <cellStyle name="Currency 23 3 3 2" xfId="2748" xr:uid="{00000000-0005-0000-0000-00004A710000}"/>
    <cellStyle name="Currency 23 3 4" xfId="2749" xr:uid="{00000000-0005-0000-0000-00004B710000}"/>
    <cellStyle name="Currency 23 4" xfId="2750" xr:uid="{00000000-0005-0000-0000-00004C710000}"/>
    <cellStyle name="Currency 23 4 2" xfId="2751" xr:uid="{00000000-0005-0000-0000-00004D710000}"/>
    <cellStyle name="Currency 23 4 2 2" xfId="2752" xr:uid="{00000000-0005-0000-0000-00004E710000}"/>
    <cellStyle name="Currency 23 4 3" xfId="2753" xr:uid="{00000000-0005-0000-0000-00004F710000}"/>
    <cellStyle name="Currency 23 5" xfId="2754" xr:uid="{00000000-0005-0000-0000-000050710000}"/>
    <cellStyle name="Currency 23 5 2" xfId="2755" xr:uid="{00000000-0005-0000-0000-000051710000}"/>
    <cellStyle name="Currency 23 6" xfId="2756" xr:uid="{00000000-0005-0000-0000-000052710000}"/>
    <cellStyle name="Currency 24" xfId="2757" xr:uid="{00000000-0005-0000-0000-000053710000}"/>
    <cellStyle name="Currency 24 2" xfId="2758" xr:uid="{00000000-0005-0000-0000-000054710000}"/>
    <cellStyle name="Currency 24 2 2" xfId="2759" xr:uid="{00000000-0005-0000-0000-000055710000}"/>
    <cellStyle name="Currency 24 2 2 2" xfId="2760" xr:uid="{00000000-0005-0000-0000-000056710000}"/>
    <cellStyle name="Currency 24 2 2 2 2" xfId="2761" xr:uid="{00000000-0005-0000-0000-000057710000}"/>
    <cellStyle name="Currency 24 2 2 3" xfId="2762" xr:uid="{00000000-0005-0000-0000-000058710000}"/>
    <cellStyle name="Currency 24 2 3" xfId="2763" xr:uid="{00000000-0005-0000-0000-000059710000}"/>
    <cellStyle name="Currency 24 2 3 2" xfId="2764" xr:uid="{00000000-0005-0000-0000-00005A710000}"/>
    <cellStyle name="Currency 24 2 4" xfId="2765" xr:uid="{00000000-0005-0000-0000-00005B710000}"/>
    <cellStyle name="Currency 24 3" xfId="2766" xr:uid="{00000000-0005-0000-0000-00005C710000}"/>
    <cellStyle name="Currency 24 3 2" xfId="2767" xr:uid="{00000000-0005-0000-0000-00005D710000}"/>
    <cellStyle name="Currency 24 3 2 2" xfId="2768" xr:uid="{00000000-0005-0000-0000-00005E710000}"/>
    <cellStyle name="Currency 24 3 2 2 2" xfId="2769" xr:uid="{00000000-0005-0000-0000-00005F710000}"/>
    <cellStyle name="Currency 24 3 2 3" xfId="2770" xr:uid="{00000000-0005-0000-0000-000060710000}"/>
    <cellStyle name="Currency 24 3 3" xfId="2771" xr:uid="{00000000-0005-0000-0000-000061710000}"/>
    <cellStyle name="Currency 24 3 3 2" xfId="2772" xr:uid="{00000000-0005-0000-0000-000062710000}"/>
    <cellStyle name="Currency 24 3 4" xfId="2773" xr:uid="{00000000-0005-0000-0000-000063710000}"/>
    <cellStyle name="Currency 24 4" xfId="2774" xr:uid="{00000000-0005-0000-0000-000064710000}"/>
    <cellStyle name="Currency 24 4 2" xfId="2775" xr:uid="{00000000-0005-0000-0000-000065710000}"/>
    <cellStyle name="Currency 24 4 2 2" xfId="2776" xr:uid="{00000000-0005-0000-0000-000066710000}"/>
    <cellStyle name="Currency 24 4 3" xfId="2777" xr:uid="{00000000-0005-0000-0000-000067710000}"/>
    <cellStyle name="Currency 24 5" xfId="2778" xr:uid="{00000000-0005-0000-0000-000068710000}"/>
    <cellStyle name="Currency 24 5 2" xfId="2779" xr:uid="{00000000-0005-0000-0000-000069710000}"/>
    <cellStyle name="Currency 24 6" xfId="2780" xr:uid="{00000000-0005-0000-0000-00006A710000}"/>
    <cellStyle name="Currency 25" xfId="5986" xr:uid="{00000000-0005-0000-0000-00006B710000}"/>
    <cellStyle name="Currency 26" xfId="2781" xr:uid="{00000000-0005-0000-0000-00006C710000}"/>
    <cellStyle name="Currency 26 2" xfId="2782" xr:uid="{00000000-0005-0000-0000-00006D710000}"/>
    <cellStyle name="Currency 26 2 2" xfId="2783" xr:uid="{00000000-0005-0000-0000-00006E710000}"/>
    <cellStyle name="Currency 26 2 2 2" xfId="2784" xr:uid="{00000000-0005-0000-0000-00006F710000}"/>
    <cellStyle name="Currency 26 2 2 2 2" xfId="2785" xr:uid="{00000000-0005-0000-0000-000070710000}"/>
    <cellStyle name="Currency 26 2 2 3" xfId="2786" xr:uid="{00000000-0005-0000-0000-000071710000}"/>
    <cellStyle name="Currency 26 2 3" xfId="2787" xr:uid="{00000000-0005-0000-0000-000072710000}"/>
    <cellStyle name="Currency 26 2 3 2" xfId="2788" xr:uid="{00000000-0005-0000-0000-000073710000}"/>
    <cellStyle name="Currency 26 2 4" xfId="2789" xr:uid="{00000000-0005-0000-0000-000074710000}"/>
    <cellStyle name="Currency 26 3" xfId="2790" xr:uid="{00000000-0005-0000-0000-000075710000}"/>
    <cellStyle name="Currency 26 3 2" xfId="2791" xr:uid="{00000000-0005-0000-0000-000076710000}"/>
    <cellStyle name="Currency 26 3 2 2" xfId="2792" xr:uid="{00000000-0005-0000-0000-000077710000}"/>
    <cellStyle name="Currency 26 3 2 2 2" xfId="2793" xr:uid="{00000000-0005-0000-0000-000078710000}"/>
    <cellStyle name="Currency 26 3 2 3" xfId="2794" xr:uid="{00000000-0005-0000-0000-000079710000}"/>
    <cellStyle name="Currency 26 3 3" xfId="2795" xr:uid="{00000000-0005-0000-0000-00007A710000}"/>
    <cellStyle name="Currency 26 3 3 2" xfId="2796" xr:uid="{00000000-0005-0000-0000-00007B710000}"/>
    <cellStyle name="Currency 26 3 4" xfId="2797" xr:uid="{00000000-0005-0000-0000-00007C710000}"/>
    <cellStyle name="Currency 26 4" xfId="2798" xr:uid="{00000000-0005-0000-0000-00007D710000}"/>
    <cellStyle name="Currency 26 4 2" xfId="2799" xr:uid="{00000000-0005-0000-0000-00007E710000}"/>
    <cellStyle name="Currency 26 4 2 2" xfId="2800" xr:uid="{00000000-0005-0000-0000-00007F710000}"/>
    <cellStyle name="Currency 26 4 3" xfId="2801" xr:uid="{00000000-0005-0000-0000-000080710000}"/>
    <cellStyle name="Currency 26 5" xfId="2802" xr:uid="{00000000-0005-0000-0000-000081710000}"/>
    <cellStyle name="Currency 26 5 2" xfId="2803" xr:uid="{00000000-0005-0000-0000-000082710000}"/>
    <cellStyle name="Currency 26 6" xfId="2804" xr:uid="{00000000-0005-0000-0000-000083710000}"/>
    <cellStyle name="Currency 27" xfId="2805" xr:uid="{00000000-0005-0000-0000-000084710000}"/>
    <cellStyle name="Currency 27 2" xfId="2806" xr:uid="{00000000-0005-0000-0000-000085710000}"/>
    <cellStyle name="Currency 27 2 2" xfId="2807" xr:uid="{00000000-0005-0000-0000-000086710000}"/>
    <cellStyle name="Currency 27 2 2 2" xfId="2808" xr:uid="{00000000-0005-0000-0000-000087710000}"/>
    <cellStyle name="Currency 27 2 2 2 2" xfId="2809" xr:uid="{00000000-0005-0000-0000-000088710000}"/>
    <cellStyle name="Currency 27 2 2 3" xfId="2810" xr:uid="{00000000-0005-0000-0000-000089710000}"/>
    <cellStyle name="Currency 27 2 3" xfId="2811" xr:uid="{00000000-0005-0000-0000-00008A710000}"/>
    <cellStyle name="Currency 27 2 3 2" xfId="2812" xr:uid="{00000000-0005-0000-0000-00008B710000}"/>
    <cellStyle name="Currency 27 2 4" xfId="2813" xr:uid="{00000000-0005-0000-0000-00008C710000}"/>
    <cellStyle name="Currency 27 3" xfId="2814" xr:uid="{00000000-0005-0000-0000-00008D710000}"/>
    <cellStyle name="Currency 27 3 2" xfId="2815" xr:uid="{00000000-0005-0000-0000-00008E710000}"/>
    <cellStyle name="Currency 27 3 2 2" xfId="2816" xr:uid="{00000000-0005-0000-0000-00008F710000}"/>
    <cellStyle name="Currency 27 3 2 2 2" xfId="2817" xr:uid="{00000000-0005-0000-0000-000090710000}"/>
    <cellStyle name="Currency 27 3 2 3" xfId="2818" xr:uid="{00000000-0005-0000-0000-000091710000}"/>
    <cellStyle name="Currency 27 3 3" xfId="2819" xr:uid="{00000000-0005-0000-0000-000092710000}"/>
    <cellStyle name="Currency 27 3 3 2" xfId="2820" xr:uid="{00000000-0005-0000-0000-000093710000}"/>
    <cellStyle name="Currency 27 3 4" xfId="2821" xr:uid="{00000000-0005-0000-0000-000094710000}"/>
    <cellStyle name="Currency 27 4" xfId="2822" xr:uid="{00000000-0005-0000-0000-000095710000}"/>
    <cellStyle name="Currency 27 4 2" xfId="2823" xr:uid="{00000000-0005-0000-0000-000096710000}"/>
    <cellStyle name="Currency 27 4 2 2" xfId="2824" xr:uid="{00000000-0005-0000-0000-000097710000}"/>
    <cellStyle name="Currency 27 4 3" xfId="2825" xr:uid="{00000000-0005-0000-0000-000098710000}"/>
    <cellStyle name="Currency 27 5" xfId="2826" xr:uid="{00000000-0005-0000-0000-000099710000}"/>
    <cellStyle name="Currency 27 5 2" xfId="2827" xr:uid="{00000000-0005-0000-0000-00009A710000}"/>
    <cellStyle name="Currency 27 6" xfId="2828" xr:uid="{00000000-0005-0000-0000-00009B710000}"/>
    <cellStyle name="Currency 28" xfId="2829" xr:uid="{00000000-0005-0000-0000-00009C710000}"/>
    <cellStyle name="Currency 28 2" xfId="2830" xr:uid="{00000000-0005-0000-0000-00009D710000}"/>
    <cellStyle name="Currency 28 2 2" xfId="2831" xr:uid="{00000000-0005-0000-0000-00009E710000}"/>
    <cellStyle name="Currency 28 2 2 2" xfId="2832" xr:uid="{00000000-0005-0000-0000-00009F710000}"/>
    <cellStyle name="Currency 28 2 2 2 2" xfId="2833" xr:uid="{00000000-0005-0000-0000-0000A0710000}"/>
    <cellStyle name="Currency 28 2 2 3" xfId="2834" xr:uid="{00000000-0005-0000-0000-0000A1710000}"/>
    <cellStyle name="Currency 28 2 3" xfId="2835" xr:uid="{00000000-0005-0000-0000-0000A2710000}"/>
    <cellStyle name="Currency 28 2 3 2" xfId="2836" xr:uid="{00000000-0005-0000-0000-0000A3710000}"/>
    <cellStyle name="Currency 28 2 4" xfId="2837" xr:uid="{00000000-0005-0000-0000-0000A4710000}"/>
    <cellStyle name="Currency 28 3" xfId="2838" xr:uid="{00000000-0005-0000-0000-0000A5710000}"/>
    <cellStyle name="Currency 28 3 2" xfId="2839" xr:uid="{00000000-0005-0000-0000-0000A6710000}"/>
    <cellStyle name="Currency 28 3 2 2" xfId="2840" xr:uid="{00000000-0005-0000-0000-0000A7710000}"/>
    <cellStyle name="Currency 28 3 2 2 2" xfId="2841" xr:uid="{00000000-0005-0000-0000-0000A8710000}"/>
    <cellStyle name="Currency 28 3 2 3" xfId="2842" xr:uid="{00000000-0005-0000-0000-0000A9710000}"/>
    <cellStyle name="Currency 28 3 3" xfId="2843" xr:uid="{00000000-0005-0000-0000-0000AA710000}"/>
    <cellStyle name="Currency 28 3 3 2" xfId="2844" xr:uid="{00000000-0005-0000-0000-0000AB710000}"/>
    <cellStyle name="Currency 28 3 4" xfId="2845" xr:uid="{00000000-0005-0000-0000-0000AC710000}"/>
    <cellStyle name="Currency 28 4" xfId="2846" xr:uid="{00000000-0005-0000-0000-0000AD710000}"/>
    <cellStyle name="Currency 28 4 2" xfId="2847" xr:uid="{00000000-0005-0000-0000-0000AE710000}"/>
    <cellStyle name="Currency 28 4 2 2" xfId="2848" xr:uid="{00000000-0005-0000-0000-0000AF710000}"/>
    <cellStyle name="Currency 28 4 3" xfId="2849" xr:uid="{00000000-0005-0000-0000-0000B0710000}"/>
    <cellStyle name="Currency 28 5" xfId="2850" xr:uid="{00000000-0005-0000-0000-0000B1710000}"/>
    <cellStyle name="Currency 28 5 2" xfId="2851" xr:uid="{00000000-0005-0000-0000-0000B2710000}"/>
    <cellStyle name="Currency 28 6" xfId="2852" xr:uid="{00000000-0005-0000-0000-0000B3710000}"/>
    <cellStyle name="Currency 29" xfId="2853" xr:uid="{00000000-0005-0000-0000-0000B4710000}"/>
    <cellStyle name="Currency 29 2" xfId="2854" xr:uid="{00000000-0005-0000-0000-0000B5710000}"/>
    <cellStyle name="Currency 29 2 2" xfId="2855" xr:uid="{00000000-0005-0000-0000-0000B6710000}"/>
    <cellStyle name="Currency 29 2 2 2" xfId="2856" xr:uid="{00000000-0005-0000-0000-0000B7710000}"/>
    <cellStyle name="Currency 29 2 2 2 2" xfId="2857" xr:uid="{00000000-0005-0000-0000-0000B8710000}"/>
    <cellStyle name="Currency 29 2 2 3" xfId="2858" xr:uid="{00000000-0005-0000-0000-0000B9710000}"/>
    <cellStyle name="Currency 29 2 3" xfId="2859" xr:uid="{00000000-0005-0000-0000-0000BA710000}"/>
    <cellStyle name="Currency 29 2 3 2" xfId="2860" xr:uid="{00000000-0005-0000-0000-0000BB710000}"/>
    <cellStyle name="Currency 29 2 4" xfId="2861" xr:uid="{00000000-0005-0000-0000-0000BC710000}"/>
    <cellStyle name="Currency 29 3" xfId="2862" xr:uid="{00000000-0005-0000-0000-0000BD710000}"/>
    <cellStyle name="Currency 29 3 2" xfId="2863" xr:uid="{00000000-0005-0000-0000-0000BE710000}"/>
    <cellStyle name="Currency 29 3 2 2" xfId="2864" xr:uid="{00000000-0005-0000-0000-0000BF710000}"/>
    <cellStyle name="Currency 29 3 2 2 2" xfId="2865" xr:uid="{00000000-0005-0000-0000-0000C0710000}"/>
    <cellStyle name="Currency 29 3 2 3" xfId="2866" xr:uid="{00000000-0005-0000-0000-0000C1710000}"/>
    <cellStyle name="Currency 29 3 3" xfId="2867" xr:uid="{00000000-0005-0000-0000-0000C2710000}"/>
    <cellStyle name="Currency 29 3 3 2" xfId="2868" xr:uid="{00000000-0005-0000-0000-0000C3710000}"/>
    <cellStyle name="Currency 29 3 4" xfId="2869" xr:uid="{00000000-0005-0000-0000-0000C4710000}"/>
    <cellStyle name="Currency 29 4" xfId="2870" xr:uid="{00000000-0005-0000-0000-0000C5710000}"/>
    <cellStyle name="Currency 29 4 2" xfId="2871" xr:uid="{00000000-0005-0000-0000-0000C6710000}"/>
    <cellStyle name="Currency 29 4 2 2" xfId="2872" xr:uid="{00000000-0005-0000-0000-0000C7710000}"/>
    <cellStyle name="Currency 29 4 3" xfId="2873" xr:uid="{00000000-0005-0000-0000-0000C8710000}"/>
    <cellStyle name="Currency 29 5" xfId="2874" xr:uid="{00000000-0005-0000-0000-0000C9710000}"/>
    <cellStyle name="Currency 29 5 2" xfId="2875" xr:uid="{00000000-0005-0000-0000-0000CA710000}"/>
    <cellStyle name="Currency 29 6" xfId="2876" xr:uid="{00000000-0005-0000-0000-0000CB710000}"/>
    <cellStyle name="Currency 3" xfId="575" xr:uid="{00000000-0005-0000-0000-0000CC710000}"/>
    <cellStyle name="Currency 3 2" xfId="576" xr:uid="{00000000-0005-0000-0000-0000CD710000}"/>
    <cellStyle name="Currency 3 2 2" xfId="2879" xr:uid="{00000000-0005-0000-0000-0000CE710000}"/>
    <cellStyle name="Currency 3 2 2 2" xfId="2880" xr:uid="{00000000-0005-0000-0000-0000CF710000}"/>
    <cellStyle name="Currency 3 2 2 3" xfId="13441" xr:uid="{00000000-0005-0000-0000-0000D0710000}"/>
    <cellStyle name="Currency 3 2 3" xfId="2881" xr:uid="{00000000-0005-0000-0000-0000D1710000}"/>
    <cellStyle name="Currency 3 2 4" xfId="2882" xr:uid="{00000000-0005-0000-0000-0000D2710000}"/>
    <cellStyle name="Currency 3 2 5" xfId="2883" xr:uid="{00000000-0005-0000-0000-0000D3710000}"/>
    <cellStyle name="Currency 3 2 6" xfId="2878" xr:uid="{00000000-0005-0000-0000-0000D4710000}"/>
    <cellStyle name="Currency 3 2 7" xfId="12743" xr:uid="{00000000-0005-0000-0000-0000D5710000}"/>
    <cellStyle name="Currency 3 3" xfId="577" xr:uid="{00000000-0005-0000-0000-0000D6710000}"/>
    <cellStyle name="Currency 3 3 2" xfId="2884" xr:uid="{00000000-0005-0000-0000-0000D7710000}"/>
    <cellStyle name="Currency 3 4" xfId="578" xr:uid="{00000000-0005-0000-0000-0000D8710000}"/>
    <cellStyle name="Currency 3 4 2" xfId="2885" xr:uid="{00000000-0005-0000-0000-0000D9710000}"/>
    <cellStyle name="Currency 3 4 2 2" xfId="22603" xr:uid="{00000000-0005-0000-0000-0000DA710000}"/>
    <cellStyle name="Currency 3 4 3" xfId="23403" xr:uid="{00000000-0005-0000-0000-0000DB710000}"/>
    <cellStyle name="Currency 3 4 4" xfId="12388" xr:uid="{00000000-0005-0000-0000-0000DC710000}"/>
    <cellStyle name="Currency 3 5" xfId="2886" xr:uid="{00000000-0005-0000-0000-0000DD710000}"/>
    <cellStyle name="Currency 3 6" xfId="2887" xr:uid="{00000000-0005-0000-0000-0000DE710000}"/>
    <cellStyle name="Currency 3 7" xfId="2877" xr:uid="{00000000-0005-0000-0000-0000DF710000}"/>
    <cellStyle name="Currency 3 8" xfId="11984" xr:uid="{00000000-0005-0000-0000-0000E0710000}"/>
    <cellStyle name="Currency 30" xfId="6026" xr:uid="{00000000-0005-0000-0000-0000E1710000}"/>
    <cellStyle name="Currency 31" xfId="6027" xr:uid="{00000000-0005-0000-0000-0000E2710000}"/>
    <cellStyle name="Currency 32" xfId="11950" xr:uid="{00000000-0005-0000-0000-0000E3710000}"/>
    <cellStyle name="Currency 4" xfId="579" xr:uid="{00000000-0005-0000-0000-0000E4710000}"/>
    <cellStyle name="Currency 4 10" xfId="2889" xr:uid="{00000000-0005-0000-0000-0000E5710000}"/>
    <cellStyle name="Currency 4 11" xfId="2888" xr:uid="{00000000-0005-0000-0000-0000E6710000}"/>
    <cellStyle name="Currency 4 12" xfId="6305" xr:uid="{00000000-0005-0000-0000-0000E7710000}"/>
    <cellStyle name="Currency 4 13" xfId="12389" xr:uid="{00000000-0005-0000-0000-0000E8710000}"/>
    <cellStyle name="Currency 4 2" xfId="2890" xr:uid="{00000000-0005-0000-0000-0000E9710000}"/>
    <cellStyle name="Currency 4 2 2" xfId="2891" xr:uid="{00000000-0005-0000-0000-0000EA710000}"/>
    <cellStyle name="Currency 4 2 2 2" xfId="2892" xr:uid="{00000000-0005-0000-0000-0000EB710000}"/>
    <cellStyle name="Currency 4 2 2 2 2" xfId="2893" xr:uid="{00000000-0005-0000-0000-0000EC710000}"/>
    <cellStyle name="Currency 4 2 2 3" xfId="2894" xr:uid="{00000000-0005-0000-0000-0000ED710000}"/>
    <cellStyle name="Currency 4 2 2 4" xfId="52621" xr:uid="{00000000-0005-0000-0000-0000EE710000}"/>
    <cellStyle name="Currency 4 2 3" xfId="2895" xr:uid="{00000000-0005-0000-0000-0000EF710000}"/>
    <cellStyle name="Currency 4 2 3 2" xfId="2896" xr:uid="{00000000-0005-0000-0000-0000F0710000}"/>
    <cellStyle name="Currency 4 2 4" xfId="2897" xr:uid="{00000000-0005-0000-0000-0000F1710000}"/>
    <cellStyle name="Currency 4 2 5" xfId="12740" xr:uid="{00000000-0005-0000-0000-0000F2710000}"/>
    <cellStyle name="Currency 4 3" xfId="2898" xr:uid="{00000000-0005-0000-0000-0000F3710000}"/>
    <cellStyle name="Currency 4 3 2" xfId="2899" xr:uid="{00000000-0005-0000-0000-0000F4710000}"/>
    <cellStyle name="Currency 4 3 2 2" xfId="2900" xr:uid="{00000000-0005-0000-0000-0000F5710000}"/>
    <cellStyle name="Currency 4 3 2 2 2" xfId="2901" xr:uid="{00000000-0005-0000-0000-0000F6710000}"/>
    <cellStyle name="Currency 4 3 2 3" xfId="2902" xr:uid="{00000000-0005-0000-0000-0000F7710000}"/>
    <cellStyle name="Currency 4 3 3" xfId="2903" xr:uid="{00000000-0005-0000-0000-0000F8710000}"/>
    <cellStyle name="Currency 4 3 3 2" xfId="2904" xr:uid="{00000000-0005-0000-0000-0000F9710000}"/>
    <cellStyle name="Currency 4 3 4" xfId="2905" xr:uid="{00000000-0005-0000-0000-0000FA710000}"/>
    <cellStyle name="Currency 4 3 5" xfId="52477" xr:uid="{00000000-0005-0000-0000-0000FB710000}"/>
    <cellStyle name="Currency 4 4" xfId="2906" xr:uid="{00000000-0005-0000-0000-0000FC710000}"/>
    <cellStyle name="Currency 4 4 2" xfId="2907" xr:uid="{00000000-0005-0000-0000-0000FD710000}"/>
    <cellStyle name="Currency 4 4 2 2" xfId="2908" xr:uid="{00000000-0005-0000-0000-0000FE710000}"/>
    <cellStyle name="Currency 4 4 3" xfId="2909" xr:uid="{00000000-0005-0000-0000-0000FF710000}"/>
    <cellStyle name="Currency 4 5" xfId="2910" xr:uid="{00000000-0005-0000-0000-000000720000}"/>
    <cellStyle name="Currency 4 5 2" xfId="2911" xr:uid="{00000000-0005-0000-0000-000001720000}"/>
    <cellStyle name="Currency 4 5 2 2" xfId="2912" xr:uid="{00000000-0005-0000-0000-000002720000}"/>
    <cellStyle name="Currency 4 5 3" xfId="2913" xr:uid="{00000000-0005-0000-0000-000003720000}"/>
    <cellStyle name="Currency 4 6" xfId="2914" xr:uid="{00000000-0005-0000-0000-000004720000}"/>
    <cellStyle name="Currency 4 6 2" xfId="2915" xr:uid="{00000000-0005-0000-0000-000005720000}"/>
    <cellStyle name="Currency 4 6 2 2" xfId="2916" xr:uid="{00000000-0005-0000-0000-000006720000}"/>
    <cellStyle name="Currency 4 6 3" xfId="2917" xr:uid="{00000000-0005-0000-0000-000007720000}"/>
    <cellStyle name="Currency 4 7" xfId="2918" xr:uid="{00000000-0005-0000-0000-000008720000}"/>
    <cellStyle name="Currency 4 7 2" xfId="2919" xr:uid="{00000000-0005-0000-0000-000009720000}"/>
    <cellStyle name="Currency 4 8" xfId="2920" xr:uid="{00000000-0005-0000-0000-00000A720000}"/>
    <cellStyle name="Currency 4 9" xfId="2921" xr:uid="{00000000-0005-0000-0000-00000B720000}"/>
    <cellStyle name="Currency 5" xfId="580" xr:uid="{00000000-0005-0000-0000-00000C720000}"/>
    <cellStyle name="Currency 5 2" xfId="2923" xr:uid="{00000000-0005-0000-0000-00000D720000}"/>
    <cellStyle name="Currency 5 2 10" xfId="52719" xr:uid="{00000000-0005-0000-0000-00000E720000}"/>
    <cellStyle name="Currency 5 2 11" xfId="13258" xr:uid="{00000000-0005-0000-0000-00000F720000}"/>
    <cellStyle name="Currency 5 2 2" xfId="2924" xr:uid="{00000000-0005-0000-0000-000010720000}"/>
    <cellStyle name="Currency 5 2 2 2" xfId="2925" xr:uid="{00000000-0005-0000-0000-000011720000}"/>
    <cellStyle name="Currency 5 2 2 2 2" xfId="2926" xr:uid="{00000000-0005-0000-0000-000012720000}"/>
    <cellStyle name="Currency 5 2 2 2 2 2" xfId="31270" xr:uid="{00000000-0005-0000-0000-000013720000}"/>
    <cellStyle name="Currency 5 2 2 2 2 2 2" xfId="50459" xr:uid="{00000000-0005-0000-0000-000014720000}"/>
    <cellStyle name="Currency 5 2 2 2 2 3" xfId="40761" xr:uid="{00000000-0005-0000-0000-000015720000}"/>
    <cellStyle name="Currency 5 2 2 2 2 4" xfId="20902" xr:uid="{00000000-0005-0000-0000-000016720000}"/>
    <cellStyle name="Currency 5 2 2 2 3" xfId="26815" xr:uid="{00000000-0005-0000-0000-000017720000}"/>
    <cellStyle name="Currency 5 2 2 2 3 2" xfId="46004" xr:uid="{00000000-0005-0000-0000-000018720000}"/>
    <cellStyle name="Currency 5 2 2 2 4" xfId="36306" xr:uid="{00000000-0005-0000-0000-000019720000}"/>
    <cellStyle name="Currency 5 2 2 2 5" xfId="54000" xr:uid="{00000000-0005-0000-0000-00001A720000}"/>
    <cellStyle name="Currency 5 2 2 2 6" xfId="16438" xr:uid="{00000000-0005-0000-0000-00001B720000}"/>
    <cellStyle name="Currency 5 2 2 3" xfId="2927" xr:uid="{00000000-0005-0000-0000-00001C720000}"/>
    <cellStyle name="Currency 5 2 2 3 2" xfId="29042" xr:uid="{00000000-0005-0000-0000-00001D720000}"/>
    <cellStyle name="Currency 5 2 2 3 2 2" xfId="48231" xr:uid="{00000000-0005-0000-0000-00001E720000}"/>
    <cellStyle name="Currency 5 2 2 3 3" xfId="38533" xr:uid="{00000000-0005-0000-0000-00001F720000}"/>
    <cellStyle name="Currency 5 2 2 3 4" xfId="18674" xr:uid="{00000000-0005-0000-0000-000020720000}"/>
    <cellStyle name="Currency 5 2 2 4" xfId="24582" xr:uid="{00000000-0005-0000-0000-000021720000}"/>
    <cellStyle name="Currency 5 2 2 4 2" xfId="43776" xr:uid="{00000000-0005-0000-0000-000022720000}"/>
    <cellStyle name="Currency 5 2 2 5" xfId="34078" xr:uid="{00000000-0005-0000-0000-000023720000}"/>
    <cellStyle name="Currency 5 2 2 6" xfId="53147" xr:uid="{00000000-0005-0000-0000-000024720000}"/>
    <cellStyle name="Currency 5 2 2 7" xfId="14174" xr:uid="{00000000-0005-0000-0000-000025720000}"/>
    <cellStyle name="Currency 5 2 3" xfId="2928" xr:uid="{00000000-0005-0000-0000-000026720000}"/>
    <cellStyle name="Currency 5 2 3 2" xfId="2929" xr:uid="{00000000-0005-0000-0000-000027720000}"/>
    <cellStyle name="Currency 5 2 3 2 2" xfId="20346" xr:uid="{00000000-0005-0000-0000-000028720000}"/>
    <cellStyle name="Currency 5 2 3 2 2 2" xfId="30714" xr:uid="{00000000-0005-0000-0000-000029720000}"/>
    <cellStyle name="Currency 5 2 3 2 2 2 2" xfId="49903" xr:uid="{00000000-0005-0000-0000-00002A720000}"/>
    <cellStyle name="Currency 5 2 3 2 2 3" xfId="40205" xr:uid="{00000000-0005-0000-0000-00002B720000}"/>
    <cellStyle name="Currency 5 2 3 2 3" xfId="26259" xr:uid="{00000000-0005-0000-0000-00002C720000}"/>
    <cellStyle name="Currency 5 2 3 2 3 2" xfId="45448" xr:uid="{00000000-0005-0000-0000-00002D720000}"/>
    <cellStyle name="Currency 5 2 3 2 4" xfId="35750" xr:uid="{00000000-0005-0000-0000-00002E720000}"/>
    <cellStyle name="Currency 5 2 3 2 5" xfId="15882" xr:uid="{00000000-0005-0000-0000-00002F720000}"/>
    <cellStyle name="Currency 5 2 3 3" xfId="19231" xr:uid="{00000000-0005-0000-0000-000030720000}"/>
    <cellStyle name="Currency 5 2 3 3 2" xfId="29599" xr:uid="{00000000-0005-0000-0000-000031720000}"/>
    <cellStyle name="Currency 5 2 3 3 2 2" xfId="48788" xr:uid="{00000000-0005-0000-0000-000032720000}"/>
    <cellStyle name="Currency 5 2 3 3 3" xfId="39090" xr:uid="{00000000-0005-0000-0000-000033720000}"/>
    <cellStyle name="Currency 5 2 3 4" xfId="25144" xr:uid="{00000000-0005-0000-0000-000034720000}"/>
    <cellStyle name="Currency 5 2 3 4 2" xfId="44333" xr:uid="{00000000-0005-0000-0000-000035720000}"/>
    <cellStyle name="Currency 5 2 3 5" xfId="34635" xr:uid="{00000000-0005-0000-0000-000036720000}"/>
    <cellStyle name="Currency 5 2 3 6" xfId="53604" xr:uid="{00000000-0005-0000-0000-000037720000}"/>
    <cellStyle name="Currency 5 2 3 7" xfId="14753" xr:uid="{00000000-0005-0000-0000-000038720000}"/>
    <cellStyle name="Currency 5 2 4" xfId="2930" xr:uid="{00000000-0005-0000-0000-000039720000}"/>
    <cellStyle name="Currency 5 2 4 2" xfId="19789" xr:uid="{00000000-0005-0000-0000-00003A720000}"/>
    <cellStyle name="Currency 5 2 4 2 2" xfId="30157" xr:uid="{00000000-0005-0000-0000-00003B720000}"/>
    <cellStyle name="Currency 5 2 4 2 2 2" xfId="49346" xr:uid="{00000000-0005-0000-0000-00003C720000}"/>
    <cellStyle name="Currency 5 2 4 2 3" xfId="39648" xr:uid="{00000000-0005-0000-0000-00003D720000}"/>
    <cellStyle name="Currency 5 2 4 3" xfId="25702" xr:uid="{00000000-0005-0000-0000-00003E720000}"/>
    <cellStyle name="Currency 5 2 4 3 2" xfId="44891" xr:uid="{00000000-0005-0000-0000-00003F720000}"/>
    <cellStyle name="Currency 5 2 4 4" xfId="35193" xr:uid="{00000000-0005-0000-0000-000040720000}"/>
    <cellStyle name="Currency 5 2 4 5" xfId="15325" xr:uid="{00000000-0005-0000-0000-000041720000}"/>
    <cellStyle name="Currency 5 2 5" xfId="16995" xr:uid="{00000000-0005-0000-0000-000042720000}"/>
    <cellStyle name="Currency 5 2 5 2" xfId="21459" xr:uid="{00000000-0005-0000-0000-000043720000}"/>
    <cellStyle name="Currency 5 2 5 2 2" xfId="31827" xr:uid="{00000000-0005-0000-0000-000044720000}"/>
    <cellStyle name="Currency 5 2 5 2 2 2" xfId="51016" xr:uid="{00000000-0005-0000-0000-000045720000}"/>
    <cellStyle name="Currency 5 2 5 2 3" xfId="41318" xr:uid="{00000000-0005-0000-0000-000046720000}"/>
    <cellStyle name="Currency 5 2 5 3" xfId="27372" xr:uid="{00000000-0005-0000-0000-000047720000}"/>
    <cellStyle name="Currency 5 2 5 3 2" xfId="46561" xr:uid="{00000000-0005-0000-0000-000048720000}"/>
    <cellStyle name="Currency 5 2 5 4" xfId="36863" xr:uid="{00000000-0005-0000-0000-000049720000}"/>
    <cellStyle name="Currency 5 2 6" xfId="17561" xr:uid="{00000000-0005-0000-0000-00004A720000}"/>
    <cellStyle name="Currency 5 2 6 2" xfId="22016" xr:uid="{00000000-0005-0000-0000-00004B720000}"/>
    <cellStyle name="Currency 5 2 6 2 2" xfId="32384" xr:uid="{00000000-0005-0000-0000-00004C720000}"/>
    <cellStyle name="Currency 5 2 6 2 2 2" xfId="51573" xr:uid="{00000000-0005-0000-0000-00004D720000}"/>
    <cellStyle name="Currency 5 2 6 2 3" xfId="41875" xr:uid="{00000000-0005-0000-0000-00004E720000}"/>
    <cellStyle name="Currency 5 2 6 3" xfId="27929" xr:uid="{00000000-0005-0000-0000-00004F720000}"/>
    <cellStyle name="Currency 5 2 6 3 2" xfId="47118" xr:uid="{00000000-0005-0000-0000-000050720000}"/>
    <cellStyle name="Currency 5 2 6 4" xfId="37420" xr:uid="{00000000-0005-0000-0000-000051720000}"/>
    <cellStyle name="Currency 5 2 7" xfId="18118" xr:uid="{00000000-0005-0000-0000-000052720000}"/>
    <cellStyle name="Currency 5 2 7 2" xfId="28486" xr:uid="{00000000-0005-0000-0000-000053720000}"/>
    <cellStyle name="Currency 5 2 7 2 2" xfId="47675" xr:uid="{00000000-0005-0000-0000-000054720000}"/>
    <cellStyle name="Currency 5 2 7 3" xfId="37977" xr:uid="{00000000-0005-0000-0000-000055720000}"/>
    <cellStyle name="Currency 5 2 8" xfId="23981" xr:uid="{00000000-0005-0000-0000-000056720000}"/>
    <cellStyle name="Currency 5 2 8 2" xfId="43220" xr:uid="{00000000-0005-0000-0000-000057720000}"/>
    <cellStyle name="Currency 5 2 9" xfId="33522" xr:uid="{00000000-0005-0000-0000-000058720000}"/>
    <cellStyle name="Currency 5 3" xfId="2931" xr:uid="{00000000-0005-0000-0000-000059720000}"/>
    <cellStyle name="Currency 5 3 10" xfId="52929" xr:uid="{00000000-0005-0000-0000-00005A720000}"/>
    <cellStyle name="Currency 5 3 11" xfId="13259" xr:uid="{00000000-0005-0000-0000-00005B720000}"/>
    <cellStyle name="Currency 5 3 2" xfId="2932" xr:uid="{00000000-0005-0000-0000-00005C720000}"/>
    <cellStyle name="Currency 5 3 2 2" xfId="2933" xr:uid="{00000000-0005-0000-0000-00005D720000}"/>
    <cellStyle name="Currency 5 3 2 2 2" xfId="2934" xr:uid="{00000000-0005-0000-0000-00005E720000}"/>
    <cellStyle name="Currency 5 3 2 2 2 2" xfId="31271" xr:uid="{00000000-0005-0000-0000-00005F720000}"/>
    <cellStyle name="Currency 5 3 2 2 2 2 2" xfId="50460" xr:uid="{00000000-0005-0000-0000-000060720000}"/>
    <cellStyle name="Currency 5 3 2 2 2 3" xfId="40762" xr:uid="{00000000-0005-0000-0000-000061720000}"/>
    <cellStyle name="Currency 5 3 2 2 2 4" xfId="20903" xr:uid="{00000000-0005-0000-0000-000062720000}"/>
    <cellStyle name="Currency 5 3 2 2 3" xfId="26816" xr:uid="{00000000-0005-0000-0000-000063720000}"/>
    <cellStyle name="Currency 5 3 2 2 3 2" xfId="46005" xr:uid="{00000000-0005-0000-0000-000064720000}"/>
    <cellStyle name="Currency 5 3 2 2 4" xfId="36307" xr:uid="{00000000-0005-0000-0000-000065720000}"/>
    <cellStyle name="Currency 5 3 2 2 5" xfId="16439" xr:uid="{00000000-0005-0000-0000-000066720000}"/>
    <cellStyle name="Currency 5 3 2 3" xfId="2935" xr:uid="{00000000-0005-0000-0000-000067720000}"/>
    <cellStyle name="Currency 5 3 2 3 2" xfId="29043" xr:uid="{00000000-0005-0000-0000-000068720000}"/>
    <cellStyle name="Currency 5 3 2 3 2 2" xfId="48232" xr:uid="{00000000-0005-0000-0000-000069720000}"/>
    <cellStyle name="Currency 5 3 2 3 3" xfId="38534" xr:uid="{00000000-0005-0000-0000-00006A720000}"/>
    <cellStyle name="Currency 5 3 2 3 4" xfId="18675" xr:uid="{00000000-0005-0000-0000-00006B720000}"/>
    <cellStyle name="Currency 5 3 2 4" xfId="24583" xr:uid="{00000000-0005-0000-0000-00006C720000}"/>
    <cellStyle name="Currency 5 3 2 4 2" xfId="43777" xr:uid="{00000000-0005-0000-0000-00006D720000}"/>
    <cellStyle name="Currency 5 3 2 5" xfId="34079" xr:uid="{00000000-0005-0000-0000-00006E720000}"/>
    <cellStyle name="Currency 5 3 2 6" xfId="53804" xr:uid="{00000000-0005-0000-0000-00006F720000}"/>
    <cellStyle name="Currency 5 3 2 7" xfId="14175" xr:uid="{00000000-0005-0000-0000-000070720000}"/>
    <cellStyle name="Currency 5 3 3" xfId="2936" xr:uid="{00000000-0005-0000-0000-000071720000}"/>
    <cellStyle name="Currency 5 3 3 2" xfId="2937" xr:uid="{00000000-0005-0000-0000-000072720000}"/>
    <cellStyle name="Currency 5 3 3 2 2" xfId="20347" xr:uid="{00000000-0005-0000-0000-000073720000}"/>
    <cellStyle name="Currency 5 3 3 2 2 2" xfId="30715" xr:uid="{00000000-0005-0000-0000-000074720000}"/>
    <cellStyle name="Currency 5 3 3 2 2 2 2" xfId="49904" xr:uid="{00000000-0005-0000-0000-000075720000}"/>
    <cellStyle name="Currency 5 3 3 2 2 3" xfId="40206" xr:uid="{00000000-0005-0000-0000-000076720000}"/>
    <cellStyle name="Currency 5 3 3 2 3" xfId="26260" xr:uid="{00000000-0005-0000-0000-000077720000}"/>
    <cellStyle name="Currency 5 3 3 2 3 2" xfId="45449" xr:uid="{00000000-0005-0000-0000-000078720000}"/>
    <cellStyle name="Currency 5 3 3 2 4" xfId="35751" xr:uid="{00000000-0005-0000-0000-000079720000}"/>
    <cellStyle name="Currency 5 3 3 2 5" xfId="15883" xr:uid="{00000000-0005-0000-0000-00007A720000}"/>
    <cellStyle name="Currency 5 3 3 3" xfId="19232" xr:uid="{00000000-0005-0000-0000-00007B720000}"/>
    <cellStyle name="Currency 5 3 3 3 2" xfId="29600" xr:uid="{00000000-0005-0000-0000-00007C720000}"/>
    <cellStyle name="Currency 5 3 3 3 2 2" xfId="48789" xr:uid="{00000000-0005-0000-0000-00007D720000}"/>
    <cellStyle name="Currency 5 3 3 3 3" xfId="39091" xr:uid="{00000000-0005-0000-0000-00007E720000}"/>
    <cellStyle name="Currency 5 3 3 4" xfId="25145" xr:uid="{00000000-0005-0000-0000-00007F720000}"/>
    <cellStyle name="Currency 5 3 3 4 2" xfId="44334" xr:uid="{00000000-0005-0000-0000-000080720000}"/>
    <cellStyle name="Currency 5 3 3 5" xfId="34636" xr:uid="{00000000-0005-0000-0000-000081720000}"/>
    <cellStyle name="Currency 5 3 3 6" xfId="14754" xr:uid="{00000000-0005-0000-0000-000082720000}"/>
    <cellStyle name="Currency 5 3 4" xfId="2938" xr:uid="{00000000-0005-0000-0000-000083720000}"/>
    <cellStyle name="Currency 5 3 4 2" xfId="19790" xr:uid="{00000000-0005-0000-0000-000084720000}"/>
    <cellStyle name="Currency 5 3 4 2 2" xfId="30158" xr:uid="{00000000-0005-0000-0000-000085720000}"/>
    <cellStyle name="Currency 5 3 4 2 2 2" xfId="49347" xr:uid="{00000000-0005-0000-0000-000086720000}"/>
    <cellStyle name="Currency 5 3 4 2 3" xfId="39649" xr:uid="{00000000-0005-0000-0000-000087720000}"/>
    <cellStyle name="Currency 5 3 4 3" xfId="25703" xr:uid="{00000000-0005-0000-0000-000088720000}"/>
    <cellStyle name="Currency 5 3 4 3 2" xfId="44892" xr:uid="{00000000-0005-0000-0000-000089720000}"/>
    <cellStyle name="Currency 5 3 4 4" xfId="35194" xr:uid="{00000000-0005-0000-0000-00008A720000}"/>
    <cellStyle name="Currency 5 3 4 5" xfId="15326" xr:uid="{00000000-0005-0000-0000-00008B720000}"/>
    <cellStyle name="Currency 5 3 5" xfId="16996" xr:uid="{00000000-0005-0000-0000-00008C720000}"/>
    <cellStyle name="Currency 5 3 5 2" xfId="21460" xr:uid="{00000000-0005-0000-0000-00008D720000}"/>
    <cellStyle name="Currency 5 3 5 2 2" xfId="31828" xr:uid="{00000000-0005-0000-0000-00008E720000}"/>
    <cellStyle name="Currency 5 3 5 2 2 2" xfId="51017" xr:uid="{00000000-0005-0000-0000-00008F720000}"/>
    <cellStyle name="Currency 5 3 5 2 3" xfId="41319" xr:uid="{00000000-0005-0000-0000-000090720000}"/>
    <cellStyle name="Currency 5 3 5 3" xfId="27373" xr:uid="{00000000-0005-0000-0000-000091720000}"/>
    <cellStyle name="Currency 5 3 5 3 2" xfId="46562" xr:uid="{00000000-0005-0000-0000-000092720000}"/>
    <cellStyle name="Currency 5 3 5 4" xfId="36864" xr:uid="{00000000-0005-0000-0000-000093720000}"/>
    <cellStyle name="Currency 5 3 6" xfId="17562" xr:uid="{00000000-0005-0000-0000-000094720000}"/>
    <cellStyle name="Currency 5 3 6 2" xfId="22017" xr:uid="{00000000-0005-0000-0000-000095720000}"/>
    <cellStyle name="Currency 5 3 6 2 2" xfId="32385" xr:uid="{00000000-0005-0000-0000-000096720000}"/>
    <cellStyle name="Currency 5 3 6 2 2 2" xfId="51574" xr:uid="{00000000-0005-0000-0000-000097720000}"/>
    <cellStyle name="Currency 5 3 6 2 3" xfId="41876" xr:uid="{00000000-0005-0000-0000-000098720000}"/>
    <cellStyle name="Currency 5 3 6 3" xfId="27930" xr:uid="{00000000-0005-0000-0000-000099720000}"/>
    <cellStyle name="Currency 5 3 6 3 2" xfId="47119" xr:uid="{00000000-0005-0000-0000-00009A720000}"/>
    <cellStyle name="Currency 5 3 6 4" xfId="37421" xr:uid="{00000000-0005-0000-0000-00009B720000}"/>
    <cellStyle name="Currency 5 3 7" xfId="18119" xr:uid="{00000000-0005-0000-0000-00009C720000}"/>
    <cellStyle name="Currency 5 3 7 2" xfId="28487" xr:uid="{00000000-0005-0000-0000-00009D720000}"/>
    <cellStyle name="Currency 5 3 7 2 2" xfId="47676" xr:uid="{00000000-0005-0000-0000-00009E720000}"/>
    <cellStyle name="Currency 5 3 7 3" xfId="37978" xr:uid="{00000000-0005-0000-0000-00009F720000}"/>
    <cellStyle name="Currency 5 3 8" xfId="23982" xr:uid="{00000000-0005-0000-0000-0000A0720000}"/>
    <cellStyle name="Currency 5 3 8 2" xfId="43221" xr:uid="{00000000-0005-0000-0000-0000A1720000}"/>
    <cellStyle name="Currency 5 3 9" xfId="33523" xr:uid="{00000000-0005-0000-0000-0000A2720000}"/>
    <cellStyle name="Currency 5 4" xfId="2939" xr:uid="{00000000-0005-0000-0000-0000A3720000}"/>
    <cellStyle name="Currency 5 4 10" xfId="53408" xr:uid="{00000000-0005-0000-0000-0000A4720000}"/>
    <cellStyle name="Currency 5 4 11" xfId="13260" xr:uid="{00000000-0005-0000-0000-0000A5720000}"/>
    <cellStyle name="Currency 5 4 2" xfId="2940" xr:uid="{00000000-0005-0000-0000-0000A6720000}"/>
    <cellStyle name="Currency 5 4 2 2" xfId="2941" xr:uid="{00000000-0005-0000-0000-0000A7720000}"/>
    <cellStyle name="Currency 5 4 2 2 2" xfId="20904" xr:uid="{00000000-0005-0000-0000-0000A8720000}"/>
    <cellStyle name="Currency 5 4 2 2 2 2" xfId="31272" xr:uid="{00000000-0005-0000-0000-0000A9720000}"/>
    <cellStyle name="Currency 5 4 2 2 2 2 2" xfId="50461" xr:uid="{00000000-0005-0000-0000-0000AA720000}"/>
    <cellStyle name="Currency 5 4 2 2 2 3" xfId="40763" xr:uid="{00000000-0005-0000-0000-0000AB720000}"/>
    <cellStyle name="Currency 5 4 2 2 3" xfId="26817" xr:uid="{00000000-0005-0000-0000-0000AC720000}"/>
    <cellStyle name="Currency 5 4 2 2 3 2" xfId="46006" xr:uid="{00000000-0005-0000-0000-0000AD720000}"/>
    <cellStyle name="Currency 5 4 2 2 4" xfId="36308" xr:uid="{00000000-0005-0000-0000-0000AE720000}"/>
    <cellStyle name="Currency 5 4 2 2 5" xfId="16440" xr:uid="{00000000-0005-0000-0000-0000AF720000}"/>
    <cellStyle name="Currency 5 4 2 3" xfId="18676" xr:uid="{00000000-0005-0000-0000-0000B0720000}"/>
    <cellStyle name="Currency 5 4 2 3 2" xfId="29044" xr:uid="{00000000-0005-0000-0000-0000B1720000}"/>
    <cellStyle name="Currency 5 4 2 3 2 2" xfId="48233" xr:uid="{00000000-0005-0000-0000-0000B2720000}"/>
    <cellStyle name="Currency 5 4 2 3 3" xfId="38535" xr:uid="{00000000-0005-0000-0000-0000B3720000}"/>
    <cellStyle name="Currency 5 4 2 4" xfId="24584" xr:uid="{00000000-0005-0000-0000-0000B4720000}"/>
    <cellStyle name="Currency 5 4 2 4 2" xfId="43778" xr:uid="{00000000-0005-0000-0000-0000B5720000}"/>
    <cellStyle name="Currency 5 4 2 5" xfId="34080" xr:uid="{00000000-0005-0000-0000-0000B6720000}"/>
    <cellStyle name="Currency 5 4 2 6" xfId="14176" xr:uid="{00000000-0005-0000-0000-0000B7720000}"/>
    <cellStyle name="Currency 5 4 3" xfId="2942" xr:uid="{00000000-0005-0000-0000-0000B8720000}"/>
    <cellStyle name="Currency 5 4 3 2" xfId="15884" xr:uid="{00000000-0005-0000-0000-0000B9720000}"/>
    <cellStyle name="Currency 5 4 3 2 2" xfId="20348" xr:uid="{00000000-0005-0000-0000-0000BA720000}"/>
    <cellStyle name="Currency 5 4 3 2 2 2" xfId="30716" xr:uid="{00000000-0005-0000-0000-0000BB720000}"/>
    <cellStyle name="Currency 5 4 3 2 2 2 2" xfId="49905" xr:uid="{00000000-0005-0000-0000-0000BC720000}"/>
    <cellStyle name="Currency 5 4 3 2 2 3" xfId="40207" xr:uid="{00000000-0005-0000-0000-0000BD720000}"/>
    <cellStyle name="Currency 5 4 3 2 3" xfId="26261" xr:uid="{00000000-0005-0000-0000-0000BE720000}"/>
    <cellStyle name="Currency 5 4 3 2 3 2" xfId="45450" xr:uid="{00000000-0005-0000-0000-0000BF720000}"/>
    <cellStyle name="Currency 5 4 3 2 4" xfId="35752" xr:uid="{00000000-0005-0000-0000-0000C0720000}"/>
    <cellStyle name="Currency 5 4 3 3" xfId="19233" xr:uid="{00000000-0005-0000-0000-0000C1720000}"/>
    <cellStyle name="Currency 5 4 3 3 2" xfId="29601" xr:uid="{00000000-0005-0000-0000-0000C2720000}"/>
    <cellStyle name="Currency 5 4 3 3 2 2" xfId="48790" xr:uid="{00000000-0005-0000-0000-0000C3720000}"/>
    <cellStyle name="Currency 5 4 3 3 3" xfId="39092" xr:uid="{00000000-0005-0000-0000-0000C4720000}"/>
    <cellStyle name="Currency 5 4 3 4" xfId="25146" xr:uid="{00000000-0005-0000-0000-0000C5720000}"/>
    <cellStyle name="Currency 5 4 3 4 2" xfId="44335" xr:uid="{00000000-0005-0000-0000-0000C6720000}"/>
    <cellStyle name="Currency 5 4 3 5" xfId="34637" xr:uid="{00000000-0005-0000-0000-0000C7720000}"/>
    <cellStyle name="Currency 5 4 3 6" xfId="14755" xr:uid="{00000000-0005-0000-0000-0000C8720000}"/>
    <cellStyle name="Currency 5 4 4" xfId="15327" xr:uid="{00000000-0005-0000-0000-0000C9720000}"/>
    <cellStyle name="Currency 5 4 4 2" xfId="19791" xr:uid="{00000000-0005-0000-0000-0000CA720000}"/>
    <cellStyle name="Currency 5 4 4 2 2" xfId="30159" xr:uid="{00000000-0005-0000-0000-0000CB720000}"/>
    <cellStyle name="Currency 5 4 4 2 2 2" xfId="49348" xr:uid="{00000000-0005-0000-0000-0000CC720000}"/>
    <cellStyle name="Currency 5 4 4 2 3" xfId="39650" xr:uid="{00000000-0005-0000-0000-0000CD720000}"/>
    <cellStyle name="Currency 5 4 4 3" xfId="25704" xr:uid="{00000000-0005-0000-0000-0000CE720000}"/>
    <cellStyle name="Currency 5 4 4 3 2" xfId="44893" xr:uid="{00000000-0005-0000-0000-0000CF720000}"/>
    <cellStyle name="Currency 5 4 4 4" xfId="35195" xr:uid="{00000000-0005-0000-0000-0000D0720000}"/>
    <cellStyle name="Currency 5 4 5" xfId="16997" xr:uid="{00000000-0005-0000-0000-0000D1720000}"/>
    <cellStyle name="Currency 5 4 5 2" xfId="21461" xr:uid="{00000000-0005-0000-0000-0000D2720000}"/>
    <cellStyle name="Currency 5 4 5 2 2" xfId="31829" xr:uid="{00000000-0005-0000-0000-0000D3720000}"/>
    <cellStyle name="Currency 5 4 5 2 2 2" xfId="51018" xr:uid="{00000000-0005-0000-0000-0000D4720000}"/>
    <cellStyle name="Currency 5 4 5 2 3" xfId="41320" xr:uid="{00000000-0005-0000-0000-0000D5720000}"/>
    <cellStyle name="Currency 5 4 5 3" xfId="27374" xr:uid="{00000000-0005-0000-0000-0000D6720000}"/>
    <cellStyle name="Currency 5 4 5 3 2" xfId="46563" xr:uid="{00000000-0005-0000-0000-0000D7720000}"/>
    <cellStyle name="Currency 5 4 5 4" xfId="36865" xr:uid="{00000000-0005-0000-0000-0000D8720000}"/>
    <cellStyle name="Currency 5 4 6" xfId="17563" xr:uid="{00000000-0005-0000-0000-0000D9720000}"/>
    <cellStyle name="Currency 5 4 6 2" xfId="22018" xr:uid="{00000000-0005-0000-0000-0000DA720000}"/>
    <cellStyle name="Currency 5 4 6 2 2" xfId="32386" xr:uid="{00000000-0005-0000-0000-0000DB720000}"/>
    <cellStyle name="Currency 5 4 6 2 2 2" xfId="51575" xr:uid="{00000000-0005-0000-0000-0000DC720000}"/>
    <cellStyle name="Currency 5 4 6 2 3" xfId="41877" xr:uid="{00000000-0005-0000-0000-0000DD720000}"/>
    <cellStyle name="Currency 5 4 6 3" xfId="27931" xr:uid="{00000000-0005-0000-0000-0000DE720000}"/>
    <cellStyle name="Currency 5 4 6 3 2" xfId="47120" xr:uid="{00000000-0005-0000-0000-0000DF720000}"/>
    <cellStyle name="Currency 5 4 6 4" xfId="37422" xr:uid="{00000000-0005-0000-0000-0000E0720000}"/>
    <cellStyle name="Currency 5 4 7" xfId="18120" xr:uid="{00000000-0005-0000-0000-0000E1720000}"/>
    <cellStyle name="Currency 5 4 7 2" xfId="28488" xr:uid="{00000000-0005-0000-0000-0000E2720000}"/>
    <cellStyle name="Currency 5 4 7 2 2" xfId="47677" xr:uid="{00000000-0005-0000-0000-0000E3720000}"/>
    <cellStyle name="Currency 5 4 7 3" xfId="37979" xr:uid="{00000000-0005-0000-0000-0000E4720000}"/>
    <cellStyle name="Currency 5 4 8" xfId="23983" xr:uid="{00000000-0005-0000-0000-0000E5720000}"/>
    <cellStyle name="Currency 5 4 8 2" xfId="43222" xr:uid="{00000000-0005-0000-0000-0000E6720000}"/>
    <cellStyle name="Currency 5 4 9" xfId="33524" xr:uid="{00000000-0005-0000-0000-0000E7720000}"/>
    <cellStyle name="Currency 5 5" xfId="2943" xr:uid="{00000000-0005-0000-0000-0000E8720000}"/>
    <cellStyle name="Currency 5 5 2" xfId="2944" xr:uid="{00000000-0005-0000-0000-0000E9720000}"/>
    <cellStyle name="Currency 5 5 3" xfId="13550" xr:uid="{00000000-0005-0000-0000-0000EA720000}"/>
    <cellStyle name="Currency 5 6" xfId="2945" xr:uid="{00000000-0005-0000-0000-0000EB720000}"/>
    <cellStyle name="Currency 5 6 2" xfId="23404" xr:uid="{00000000-0005-0000-0000-0000EC720000}"/>
    <cellStyle name="Currency 5 7" xfId="2922" xr:uid="{00000000-0005-0000-0000-0000ED720000}"/>
    <cellStyle name="Currency 5 7 2" xfId="52516" xr:uid="{00000000-0005-0000-0000-0000EE720000}"/>
    <cellStyle name="Currency 5 8" xfId="12390" xr:uid="{00000000-0005-0000-0000-0000EF720000}"/>
    <cellStyle name="Currency 6" xfId="2946" xr:uid="{00000000-0005-0000-0000-0000F0720000}"/>
    <cellStyle name="Currency 6 2" xfId="2947" xr:uid="{00000000-0005-0000-0000-0000F1720000}"/>
    <cellStyle name="Currency 6 2 10" xfId="52786" xr:uid="{00000000-0005-0000-0000-0000F2720000}"/>
    <cellStyle name="Currency 6 2 11" xfId="13261" xr:uid="{00000000-0005-0000-0000-0000F3720000}"/>
    <cellStyle name="Currency 6 2 2" xfId="2948" xr:uid="{00000000-0005-0000-0000-0000F4720000}"/>
    <cellStyle name="Currency 6 2 2 2" xfId="2949" xr:uid="{00000000-0005-0000-0000-0000F5720000}"/>
    <cellStyle name="Currency 6 2 2 2 2" xfId="2950" xr:uid="{00000000-0005-0000-0000-0000F6720000}"/>
    <cellStyle name="Currency 6 2 2 2 2 2" xfId="31273" xr:uid="{00000000-0005-0000-0000-0000F7720000}"/>
    <cellStyle name="Currency 6 2 2 2 2 2 2" xfId="50462" xr:uid="{00000000-0005-0000-0000-0000F8720000}"/>
    <cellStyle name="Currency 6 2 2 2 2 3" xfId="40764" xr:uid="{00000000-0005-0000-0000-0000F9720000}"/>
    <cellStyle name="Currency 6 2 2 2 2 4" xfId="20905" xr:uid="{00000000-0005-0000-0000-0000FA720000}"/>
    <cellStyle name="Currency 6 2 2 2 3" xfId="26818" xr:uid="{00000000-0005-0000-0000-0000FB720000}"/>
    <cellStyle name="Currency 6 2 2 2 3 2" xfId="46007" xr:uid="{00000000-0005-0000-0000-0000FC720000}"/>
    <cellStyle name="Currency 6 2 2 2 4" xfId="36309" xr:uid="{00000000-0005-0000-0000-0000FD720000}"/>
    <cellStyle name="Currency 6 2 2 2 5" xfId="54067" xr:uid="{00000000-0005-0000-0000-0000FE720000}"/>
    <cellStyle name="Currency 6 2 2 2 6" xfId="16441" xr:uid="{00000000-0005-0000-0000-0000FF720000}"/>
    <cellStyle name="Currency 6 2 2 3" xfId="2951" xr:uid="{00000000-0005-0000-0000-000000730000}"/>
    <cellStyle name="Currency 6 2 2 3 2" xfId="29045" xr:uid="{00000000-0005-0000-0000-000001730000}"/>
    <cellStyle name="Currency 6 2 2 3 2 2" xfId="48234" xr:uid="{00000000-0005-0000-0000-000002730000}"/>
    <cellStyle name="Currency 6 2 2 3 3" xfId="38536" xr:uid="{00000000-0005-0000-0000-000003730000}"/>
    <cellStyle name="Currency 6 2 2 3 4" xfId="18677" xr:uid="{00000000-0005-0000-0000-000004730000}"/>
    <cellStyle name="Currency 6 2 2 4" xfId="24585" xr:uid="{00000000-0005-0000-0000-000005730000}"/>
    <cellStyle name="Currency 6 2 2 4 2" xfId="43779" xr:uid="{00000000-0005-0000-0000-000006730000}"/>
    <cellStyle name="Currency 6 2 2 5" xfId="34081" xr:uid="{00000000-0005-0000-0000-000007730000}"/>
    <cellStyle name="Currency 6 2 2 6" xfId="53214" xr:uid="{00000000-0005-0000-0000-000008730000}"/>
    <cellStyle name="Currency 6 2 2 7" xfId="14177" xr:uid="{00000000-0005-0000-0000-000009730000}"/>
    <cellStyle name="Currency 6 2 3" xfId="2952" xr:uid="{00000000-0005-0000-0000-00000A730000}"/>
    <cellStyle name="Currency 6 2 3 2" xfId="2953" xr:uid="{00000000-0005-0000-0000-00000B730000}"/>
    <cellStyle name="Currency 6 2 3 2 2" xfId="20349" xr:uid="{00000000-0005-0000-0000-00000C730000}"/>
    <cellStyle name="Currency 6 2 3 2 2 2" xfId="30717" xr:uid="{00000000-0005-0000-0000-00000D730000}"/>
    <cellStyle name="Currency 6 2 3 2 2 2 2" xfId="49906" xr:uid="{00000000-0005-0000-0000-00000E730000}"/>
    <cellStyle name="Currency 6 2 3 2 2 3" xfId="40208" xr:uid="{00000000-0005-0000-0000-00000F730000}"/>
    <cellStyle name="Currency 6 2 3 2 3" xfId="26262" xr:uid="{00000000-0005-0000-0000-000010730000}"/>
    <cellStyle name="Currency 6 2 3 2 3 2" xfId="45451" xr:uid="{00000000-0005-0000-0000-000011730000}"/>
    <cellStyle name="Currency 6 2 3 2 4" xfId="35753" xr:uid="{00000000-0005-0000-0000-000012730000}"/>
    <cellStyle name="Currency 6 2 3 2 5" xfId="15885" xr:uid="{00000000-0005-0000-0000-000013730000}"/>
    <cellStyle name="Currency 6 2 3 3" xfId="19234" xr:uid="{00000000-0005-0000-0000-000014730000}"/>
    <cellStyle name="Currency 6 2 3 3 2" xfId="29602" xr:uid="{00000000-0005-0000-0000-000015730000}"/>
    <cellStyle name="Currency 6 2 3 3 2 2" xfId="48791" xr:uid="{00000000-0005-0000-0000-000016730000}"/>
    <cellStyle name="Currency 6 2 3 3 3" xfId="39093" xr:uid="{00000000-0005-0000-0000-000017730000}"/>
    <cellStyle name="Currency 6 2 3 4" xfId="25147" xr:uid="{00000000-0005-0000-0000-000018730000}"/>
    <cellStyle name="Currency 6 2 3 4 2" xfId="44336" xr:uid="{00000000-0005-0000-0000-000019730000}"/>
    <cellStyle name="Currency 6 2 3 5" xfId="34638" xr:uid="{00000000-0005-0000-0000-00001A730000}"/>
    <cellStyle name="Currency 6 2 3 6" xfId="53671" xr:uid="{00000000-0005-0000-0000-00001B730000}"/>
    <cellStyle name="Currency 6 2 3 7" xfId="14756" xr:uid="{00000000-0005-0000-0000-00001C730000}"/>
    <cellStyle name="Currency 6 2 4" xfId="2954" xr:uid="{00000000-0005-0000-0000-00001D730000}"/>
    <cellStyle name="Currency 6 2 4 2" xfId="19792" xr:uid="{00000000-0005-0000-0000-00001E730000}"/>
    <cellStyle name="Currency 6 2 4 2 2" xfId="30160" xr:uid="{00000000-0005-0000-0000-00001F730000}"/>
    <cellStyle name="Currency 6 2 4 2 2 2" xfId="49349" xr:uid="{00000000-0005-0000-0000-000020730000}"/>
    <cellStyle name="Currency 6 2 4 2 3" xfId="39651" xr:uid="{00000000-0005-0000-0000-000021730000}"/>
    <cellStyle name="Currency 6 2 4 3" xfId="25705" xr:uid="{00000000-0005-0000-0000-000022730000}"/>
    <cellStyle name="Currency 6 2 4 3 2" xfId="44894" xr:uid="{00000000-0005-0000-0000-000023730000}"/>
    <cellStyle name="Currency 6 2 4 4" xfId="35196" xr:uid="{00000000-0005-0000-0000-000024730000}"/>
    <cellStyle name="Currency 6 2 4 5" xfId="15328" xr:uid="{00000000-0005-0000-0000-000025730000}"/>
    <cellStyle name="Currency 6 2 5" xfId="16998" xr:uid="{00000000-0005-0000-0000-000026730000}"/>
    <cellStyle name="Currency 6 2 5 2" xfId="21462" xr:uid="{00000000-0005-0000-0000-000027730000}"/>
    <cellStyle name="Currency 6 2 5 2 2" xfId="31830" xr:uid="{00000000-0005-0000-0000-000028730000}"/>
    <cellStyle name="Currency 6 2 5 2 2 2" xfId="51019" xr:uid="{00000000-0005-0000-0000-000029730000}"/>
    <cellStyle name="Currency 6 2 5 2 3" xfId="41321" xr:uid="{00000000-0005-0000-0000-00002A730000}"/>
    <cellStyle name="Currency 6 2 5 3" xfId="27375" xr:uid="{00000000-0005-0000-0000-00002B730000}"/>
    <cellStyle name="Currency 6 2 5 3 2" xfId="46564" xr:uid="{00000000-0005-0000-0000-00002C730000}"/>
    <cellStyle name="Currency 6 2 5 4" xfId="36866" xr:uid="{00000000-0005-0000-0000-00002D730000}"/>
    <cellStyle name="Currency 6 2 6" xfId="17564" xr:uid="{00000000-0005-0000-0000-00002E730000}"/>
    <cellStyle name="Currency 6 2 6 2" xfId="22019" xr:uid="{00000000-0005-0000-0000-00002F730000}"/>
    <cellStyle name="Currency 6 2 6 2 2" xfId="32387" xr:uid="{00000000-0005-0000-0000-000030730000}"/>
    <cellStyle name="Currency 6 2 6 2 2 2" xfId="51576" xr:uid="{00000000-0005-0000-0000-000031730000}"/>
    <cellStyle name="Currency 6 2 6 2 3" xfId="41878" xr:uid="{00000000-0005-0000-0000-000032730000}"/>
    <cellStyle name="Currency 6 2 6 3" xfId="27932" xr:uid="{00000000-0005-0000-0000-000033730000}"/>
    <cellStyle name="Currency 6 2 6 3 2" xfId="47121" xr:uid="{00000000-0005-0000-0000-000034730000}"/>
    <cellStyle name="Currency 6 2 6 4" xfId="37423" xr:uid="{00000000-0005-0000-0000-000035730000}"/>
    <cellStyle name="Currency 6 2 7" xfId="18121" xr:uid="{00000000-0005-0000-0000-000036730000}"/>
    <cellStyle name="Currency 6 2 7 2" xfId="28489" xr:uid="{00000000-0005-0000-0000-000037730000}"/>
    <cellStyle name="Currency 6 2 7 2 2" xfId="47678" xr:uid="{00000000-0005-0000-0000-000038730000}"/>
    <cellStyle name="Currency 6 2 7 3" xfId="37980" xr:uid="{00000000-0005-0000-0000-000039730000}"/>
    <cellStyle name="Currency 6 2 8" xfId="23984" xr:uid="{00000000-0005-0000-0000-00003A730000}"/>
    <cellStyle name="Currency 6 2 8 2" xfId="43223" xr:uid="{00000000-0005-0000-0000-00003B730000}"/>
    <cellStyle name="Currency 6 2 9" xfId="33525" xr:uid="{00000000-0005-0000-0000-00003C730000}"/>
    <cellStyle name="Currency 6 3" xfId="2955" xr:uid="{00000000-0005-0000-0000-00003D730000}"/>
    <cellStyle name="Currency 6 3 2" xfId="2956" xr:uid="{00000000-0005-0000-0000-00003E730000}"/>
    <cellStyle name="Currency 6 3 2 2" xfId="2957" xr:uid="{00000000-0005-0000-0000-00003F730000}"/>
    <cellStyle name="Currency 6 3 2 2 2" xfId="2958" xr:uid="{00000000-0005-0000-0000-000040730000}"/>
    <cellStyle name="Currency 6 3 2 3" xfId="2959" xr:uid="{00000000-0005-0000-0000-000041730000}"/>
    <cellStyle name="Currency 6 3 2 4" xfId="53871" xr:uid="{00000000-0005-0000-0000-000042730000}"/>
    <cellStyle name="Currency 6 3 3" xfId="2960" xr:uid="{00000000-0005-0000-0000-000043730000}"/>
    <cellStyle name="Currency 6 3 3 2" xfId="2961" xr:uid="{00000000-0005-0000-0000-000044730000}"/>
    <cellStyle name="Currency 6 3 4" xfId="2962" xr:uid="{00000000-0005-0000-0000-000045730000}"/>
    <cellStyle name="Currency 6 3 5" xfId="52996" xr:uid="{00000000-0005-0000-0000-000046730000}"/>
    <cellStyle name="Currency 6 4" xfId="2963" xr:uid="{00000000-0005-0000-0000-000047730000}"/>
    <cellStyle name="Currency 6 4 2" xfId="2964" xr:uid="{00000000-0005-0000-0000-000048730000}"/>
    <cellStyle name="Currency 6 4 2 2" xfId="2965" xr:uid="{00000000-0005-0000-0000-000049730000}"/>
    <cellStyle name="Currency 6 4 3" xfId="2966" xr:uid="{00000000-0005-0000-0000-00004A730000}"/>
    <cellStyle name="Currency 6 4 4" xfId="53475" xr:uid="{00000000-0005-0000-0000-00004B730000}"/>
    <cellStyle name="Currency 6 5" xfId="2967" xr:uid="{00000000-0005-0000-0000-00004C730000}"/>
    <cellStyle name="Currency 6 5 2" xfId="2968" xr:uid="{00000000-0005-0000-0000-00004D730000}"/>
    <cellStyle name="Currency 6 5 3" xfId="52586" xr:uid="{00000000-0005-0000-0000-00004E730000}"/>
    <cellStyle name="Currency 6 6" xfId="2969" xr:uid="{00000000-0005-0000-0000-00004F730000}"/>
    <cellStyle name="Currency 6 7" xfId="12125" xr:uid="{00000000-0005-0000-0000-000050730000}"/>
    <cellStyle name="Currency 7" xfId="2970" xr:uid="{00000000-0005-0000-0000-000051730000}"/>
    <cellStyle name="Currency 7 2" xfId="2971" xr:uid="{00000000-0005-0000-0000-000052730000}"/>
    <cellStyle name="Currency 7 2 2" xfId="53768" xr:uid="{00000000-0005-0000-0000-000053730000}"/>
    <cellStyle name="Currency 7 3" xfId="52884" xr:uid="{00000000-0005-0000-0000-000054730000}"/>
    <cellStyle name="Currency 7 4" xfId="12605" xr:uid="{00000000-0005-0000-0000-000055730000}"/>
    <cellStyle name="Currency 8" xfId="2972" xr:uid="{00000000-0005-0000-0000-000056730000}"/>
    <cellStyle name="Currency 8 2" xfId="2973" xr:uid="{00000000-0005-0000-0000-000057730000}"/>
    <cellStyle name="Currency 8 2 2" xfId="2974" xr:uid="{00000000-0005-0000-0000-000058730000}"/>
    <cellStyle name="Currency 8 2 2 2" xfId="2975" xr:uid="{00000000-0005-0000-0000-000059730000}"/>
    <cellStyle name="Currency 8 2 2 2 2" xfId="2976" xr:uid="{00000000-0005-0000-0000-00005A730000}"/>
    <cellStyle name="Currency 8 2 2 3" xfId="2977" xr:uid="{00000000-0005-0000-0000-00005B730000}"/>
    <cellStyle name="Currency 8 2 3" xfId="2978" xr:uid="{00000000-0005-0000-0000-00005C730000}"/>
    <cellStyle name="Currency 8 2 3 2" xfId="2979" xr:uid="{00000000-0005-0000-0000-00005D730000}"/>
    <cellStyle name="Currency 8 2 4" xfId="2980" xr:uid="{00000000-0005-0000-0000-00005E730000}"/>
    <cellStyle name="Currency 8 3" xfId="2981" xr:uid="{00000000-0005-0000-0000-00005F730000}"/>
    <cellStyle name="Currency 8 3 2" xfId="2982" xr:uid="{00000000-0005-0000-0000-000060730000}"/>
    <cellStyle name="Currency 8 3 2 2" xfId="2983" xr:uid="{00000000-0005-0000-0000-000061730000}"/>
    <cellStyle name="Currency 8 3 2 2 2" xfId="2984" xr:uid="{00000000-0005-0000-0000-000062730000}"/>
    <cellStyle name="Currency 8 3 2 3" xfId="2985" xr:uid="{00000000-0005-0000-0000-000063730000}"/>
    <cellStyle name="Currency 8 3 3" xfId="2986" xr:uid="{00000000-0005-0000-0000-000064730000}"/>
    <cellStyle name="Currency 8 3 3 2" xfId="2987" xr:uid="{00000000-0005-0000-0000-000065730000}"/>
    <cellStyle name="Currency 8 3 4" xfId="2988" xr:uid="{00000000-0005-0000-0000-000066730000}"/>
    <cellStyle name="Currency 8 4" xfId="2989" xr:uid="{00000000-0005-0000-0000-000067730000}"/>
    <cellStyle name="Currency 8 4 2" xfId="2990" xr:uid="{00000000-0005-0000-0000-000068730000}"/>
    <cellStyle name="Currency 8 4 2 2" xfId="2991" xr:uid="{00000000-0005-0000-0000-000069730000}"/>
    <cellStyle name="Currency 8 4 3" xfId="2992" xr:uid="{00000000-0005-0000-0000-00006A730000}"/>
    <cellStyle name="Currency 8 5" xfId="2993" xr:uid="{00000000-0005-0000-0000-00006B730000}"/>
    <cellStyle name="Currency 8 5 2" xfId="2994" xr:uid="{00000000-0005-0000-0000-00006C730000}"/>
    <cellStyle name="Currency 8 6" xfId="2995" xr:uid="{00000000-0005-0000-0000-00006D730000}"/>
    <cellStyle name="Currency 8 7" xfId="2996" xr:uid="{00000000-0005-0000-0000-00006E730000}"/>
    <cellStyle name="Currency 8 8" xfId="12381" xr:uid="{00000000-0005-0000-0000-00006F730000}"/>
    <cellStyle name="Currency 9" xfId="2997" xr:uid="{00000000-0005-0000-0000-000070730000}"/>
    <cellStyle name="Currency 9 2" xfId="2998" xr:uid="{00000000-0005-0000-0000-000071730000}"/>
    <cellStyle name="Currency 9 2 2" xfId="2999" xr:uid="{00000000-0005-0000-0000-000072730000}"/>
    <cellStyle name="Currency 9 2 2 2" xfId="3000" xr:uid="{00000000-0005-0000-0000-000073730000}"/>
    <cellStyle name="Currency 9 2 2 2 2" xfId="3001" xr:uid="{00000000-0005-0000-0000-000074730000}"/>
    <cellStyle name="Currency 9 2 2 3" xfId="3002" xr:uid="{00000000-0005-0000-0000-000075730000}"/>
    <cellStyle name="Currency 9 2 3" xfId="3003" xr:uid="{00000000-0005-0000-0000-000076730000}"/>
    <cellStyle name="Currency 9 2 3 2" xfId="3004" xr:uid="{00000000-0005-0000-0000-000077730000}"/>
    <cellStyle name="Currency 9 2 4" xfId="3005" xr:uid="{00000000-0005-0000-0000-000078730000}"/>
    <cellStyle name="Currency 9 2 5" xfId="52173" xr:uid="{00000000-0005-0000-0000-000079730000}"/>
    <cellStyle name="Currency 9 3" xfId="3006" xr:uid="{00000000-0005-0000-0000-00007A730000}"/>
    <cellStyle name="Currency 9 3 2" xfId="3007" xr:uid="{00000000-0005-0000-0000-00007B730000}"/>
    <cellStyle name="Currency 9 3 2 2" xfId="3008" xr:uid="{00000000-0005-0000-0000-00007C730000}"/>
    <cellStyle name="Currency 9 3 2 2 2" xfId="3009" xr:uid="{00000000-0005-0000-0000-00007D730000}"/>
    <cellStyle name="Currency 9 3 2 3" xfId="3010" xr:uid="{00000000-0005-0000-0000-00007E730000}"/>
    <cellStyle name="Currency 9 3 3" xfId="3011" xr:uid="{00000000-0005-0000-0000-00007F730000}"/>
    <cellStyle name="Currency 9 3 3 2" xfId="3012" xr:uid="{00000000-0005-0000-0000-000080730000}"/>
    <cellStyle name="Currency 9 3 4" xfId="3013" xr:uid="{00000000-0005-0000-0000-000081730000}"/>
    <cellStyle name="Currency 9 4" xfId="3014" xr:uid="{00000000-0005-0000-0000-000082730000}"/>
    <cellStyle name="Currency 9 4 2" xfId="3015" xr:uid="{00000000-0005-0000-0000-000083730000}"/>
    <cellStyle name="Currency 9 4 2 2" xfId="3016" xr:uid="{00000000-0005-0000-0000-000084730000}"/>
    <cellStyle name="Currency 9 4 3" xfId="3017" xr:uid="{00000000-0005-0000-0000-000085730000}"/>
    <cellStyle name="Currency 9 5" xfId="3018" xr:uid="{00000000-0005-0000-0000-000086730000}"/>
    <cellStyle name="Currency 9 5 2" xfId="3019" xr:uid="{00000000-0005-0000-0000-000087730000}"/>
    <cellStyle name="Currency 9 6" xfId="3020" xr:uid="{00000000-0005-0000-0000-000088730000}"/>
    <cellStyle name="Currency 9 7" xfId="32987" xr:uid="{00000000-0005-0000-0000-000089730000}"/>
    <cellStyle name="Currency Per Share" xfId="3021" xr:uid="{00000000-0005-0000-0000-00008A730000}"/>
    <cellStyle name="Currency0" xfId="8" xr:uid="{00000000-0005-0000-0000-00008B730000}"/>
    <cellStyle name="Currency0 2" xfId="3022" xr:uid="{00000000-0005-0000-0000-00008C730000}"/>
    <cellStyle name="Currency0 2 2" xfId="12744" xr:uid="{00000000-0005-0000-0000-00008D730000}"/>
    <cellStyle name="Currency0 2 3" xfId="12392" xr:uid="{00000000-0005-0000-0000-00008E730000}"/>
    <cellStyle name="Currency0 3" xfId="12393" xr:uid="{00000000-0005-0000-0000-00008F730000}"/>
    <cellStyle name="Currency0 3 2" xfId="13601" xr:uid="{00000000-0005-0000-0000-000090730000}"/>
    <cellStyle name="Currency0 4" xfId="12611" xr:uid="{00000000-0005-0000-0000-000091730000}"/>
    <cellStyle name="Currency0 5" xfId="14359" xr:uid="{00000000-0005-0000-0000-000092730000}"/>
    <cellStyle name="Currency0 5 2" xfId="14940" xr:uid="{00000000-0005-0000-0000-000093730000}"/>
    <cellStyle name="Currency0 5 3" xfId="17175" xr:uid="{00000000-0005-0000-0000-000094730000}"/>
    <cellStyle name="Currency0 6" xfId="22197" xr:uid="{00000000-0005-0000-0000-000095730000}"/>
    <cellStyle name="Currency0 7" xfId="12391" xr:uid="{00000000-0005-0000-0000-000096730000}"/>
    <cellStyle name="Currency0 8" xfId="11979" xr:uid="{00000000-0005-0000-0000-000097730000}"/>
    <cellStyle name="Currency2" xfId="3023" xr:uid="{00000000-0005-0000-0000-000098730000}"/>
    <cellStyle name="CUS.Work.Area" xfId="3024" xr:uid="{00000000-0005-0000-0000-000099730000}"/>
    <cellStyle name="Dash" xfId="3025" xr:uid="{00000000-0005-0000-0000-00009A730000}"/>
    <cellStyle name="Data" xfId="3026" xr:uid="{00000000-0005-0000-0000-00009B730000}"/>
    <cellStyle name="Data 2" xfId="3027" xr:uid="{00000000-0005-0000-0000-00009C730000}"/>
    <cellStyle name="Data 3" xfId="3028" xr:uid="{00000000-0005-0000-0000-00009D730000}"/>
    <cellStyle name="Date" xfId="9" xr:uid="{00000000-0005-0000-0000-00009E730000}"/>
    <cellStyle name="Date [mm-dd-yyyy]" xfId="3030" xr:uid="{00000000-0005-0000-0000-00009F730000}"/>
    <cellStyle name="Date [mm-dd-yyyy] 2" xfId="3031" xr:uid="{00000000-0005-0000-0000-0000A0730000}"/>
    <cellStyle name="Date [mm-d-yyyy]" xfId="3032" xr:uid="{00000000-0005-0000-0000-0000A1730000}"/>
    <cellStyle name="Date [mmm-yyyy]" xfId="3033" xr:uid="{00000000-0005-0000-0000-0000A2730000}"/>
    <cellStyle name="Date 2" xfId="3029" xr:uid="{00000000-0005-0000-0000-0000A3730000}"/>
    <cellStyle name="Date 2 2" xfId="12745" xr:uid="{00000000-0005-0000-0000-0000A4730000}"/>
    <cellStyle name="Date 2 3" xfId="12395" xr:uid="{00000000-0005-0000-0000-0000A5730000}"/>
    <cellStyle name="Date 3" xfId="6000" xr:uid="{00000000-0005-0000-0000-0000A6730000}"/>
    <cellStyle name="Date 3 2" xfId="13602" xr:uid="{00000000-0005-0000-0000-0000A7730000}"/>
    <cellStyle name="Date 3 3" xfId="12396" xr:uid="{00000000-0005-0000-0000-0000A8730000}"/>
    <cellStyle name="Date 4" xfId="6011" xr:uid="{00000000-0005-0000-0000-0000A9730000}"/>
    <cellStyle name="Date 4 2" xfId="12612" xr:uid="{00000000-0005-0000-0000-0000AA730000}"/>
    <cellStyle name="Date 5" xfId="14360" xr:uid="{00000000-0005-0000-0000-0000AB730000}"/>
    <cellStyle name="Date 5 2" xfId="14941" xr:uid="{00000000-0005-0000-0000-0000AC730000}"/>
    <cellStyle name="Date 5 3" xfId="17176" xr:uid="{00000000-0005-0000-0000-0000AD730000}"/>
    <cellStyle name="Date 6" xfId="22198" xr:uid="{00000000-0005-0000-0000-0000AE730000}"/>
    <cellStyle name="Date 7" xfId="12394" xr:uid="{00000000-0005-0000-0000-0000AF730000}"/>
    <cellStyle name="Date Aligned" xfId="3034" xr:uid="{00000000-0005-0000-0000-0000B0730000}"/>
    <cellStyle name="Date Aligned*" xfId="3035" xr:uid="{00000000-0005-0000-0000-0000B1730000}"/>
    <cellStyle name="Date Aligned_comp_Integrateds" xfId="3036" xr:uid="{00000000-0005-0000-0000-0000B2730000}"/>
    <cellStyle name="Date Short" xfId="3037" xr:uid="{00000000-0005-0000-0000-0000B3730000}"/>
    <cellStyle name="date_ Pies " xfId="3038" xr:uid="{00000000-0005-0000-0000-0000B4730000}"/>
    <cellStyle name="DblLineDollarAcct" xfId="3039" xr:uid="{00000000-0005-0000-0000-0000B5730000}"/>
    <cellStyle name="DblLinePercent" xfId="3040" xr:uid="{00000000-0005-0000-0000-0000B6730000}"/>
    <cellStyle name="Dezimal [0]_A17 - 31.03.1998" xfId="3041" xr:uid="{00000000-0005-0000-0000-0000B7730000}"/>
    <cellStyle name="Dezimal_A17 - 31.03.1998" xfId="3042" xr:uid="{00000000-0005-0000-0000-0000B8730000}"/>
    <cellStyle name="Dia" xfId="3043" xr:uid="{00000000-0005-0000-0000-0000B9730000}"/>
    <cellStyle name="Dollar_ Pies " xfId="3044" xr:uid="{00000000-0005-0000-0000-0000BA730000}"/>
    <cellStyle name="DollarAccounting" xfId="3045" xr:uid="{00000000-0005-0000-0000-0000BB730000}"/>
    <cellStyle name="Dotted Line" xfId="3046" xr:uid="{00000000-0005-0000-0000-0000BC730000}"/>
    <cellStyle name="Dotted Line 2" xfId="3047" xr:uid="{00000000-0005-0000-0000-0000BD730000}"/>
    <cellStyle name="Dotted Line 3" xfId="3048" xr:uid="{00000000-0005-0000-0000-0000BE730000}"/>
    <cellStyle name="Double Accounting" xfId="3049" xr:uid="{00000000-0005-0000-0000-0000BF730000}"/>
    <cellStyle name="Duizenden" xfId="3050" xr:uid="{00000000-0005-0000-0000-0000C0730000}"/>
    <cellStyle name="Encabez1" xfId="3051" xr:uid="{00000000-0005-0000-0000-0000C1730000}"/>
    <cellStyle name="Encabez2" xfId="3052" xr:uid="{00000000-0005-0000-0000-0000C2730000}"/>
    <cellStyle name="Enter Currency (0)" xfId="3053" xr:uid="{00000000-0005-0000-0000-0000C3730000}"/>
    <cellStyle name="Enter Currency (2)" xfId="3054" xr:uid="{00000000-0005-0000-0000-0000C4730000}"/>
    <cellStyle name="Enter Units (0)" xfId="3055" xr:uid="{00000000-0005-0000-0000-0000C5730000}"/>
    <cellStyle name="Enter Units (1)" xfId="3056" xr:uid="{00000000-0005-0000-0000-0000C6730000}"/>
    <cellStyle name="Enter Units (2)" xfId="3057" xr:uid="{00000000-0005-0000-0000-0000C7730000}"/>
    <cellStyle name="Euro" xfId="3058" xr:uid="{00000000-0005-0000-0000-0000C8730000}"/>
    <cellStyle name="Excel Built-in Good" xfId="12397" xr:uid="{00000000-0005-0000-0000-0000C9730000}"/>
    <cellStyle name="Excel Built-in Good 2" xfId="13521" xr:uid="{00000000-0005-0000-0000-0000CA730000}"/>
    <cellStyle name="Excel Built-in Normal" xfId="12604" xr:uid="{00000000-0005-0000-0000-0000CB730000}"/>
    <cellStyle name="Explanatory Text 10" xfId="581" xr:uid="{00000000-0005-0000-0000-0000CC730000}"/>
    <cellStyle name="Explanatory Text 11" xfId="582" xr:uid="{00000000-0005-0000-0000-0000CD730000}"/>
    <cellStyle name="Explanatory Text 12" xfId="583" xr:uid="{00000000-0005-0000-0000-0000CE730000}"/>
    <cellStyle name="Explanatory Text 13" xfId="584" xr:uid="{00000000-0005-0000-0000-0000CF730000}"/>
    <cellStyle name="Explanatory Text 14" xfId="585" xr:uid="{00000000-0005-0000-0000-0000D0730000}"/>
    <cellStyle name="Explanatory Text 15" xfId="586" xr:uid="{00000000-0005-0000-0000-0000D1730000}"/>
    <cellStyle name="Explanatory Text 16" xfId="587" xr:uid="{00000000-0005-0000-0000-0000D2730000}"/>
    <cellStyle name="Explanatory Text 17" xfId="33140" xr:uid="{00000000-0005-0000-0000-0000D3730000}"/>
    <cellStyle name="Explanatory Text 2" xfId="588" xr:uid="{00000000-0005-0000-0000-0000D4730000}"/>
    <cellStyle name="Explanatory Text 2 10" xfId="3059" xr:uid="{00000000-0005-0000-0000-0000D5730000}"/>
    <cellStyle name="Explanatory Text 2 2" xfId="589" xr:uid="{00000000-0005-0000-0000-0000D6730000}"/>
    <cellStyle name="Explanatory Text 2 2 2" xfId="3060" xr:uid="{00000000-0005-0000-0000-0000D7730000}"/>
    <cellStyle name="Explanatory Text 2 2 2 2" xfId="12746" xr:uid="{00000000-0005-0000-0000-0000D8730000}"/>
    <cellStyle name="Explanatory Text 2 2 3" xfId="12399" xr:uid="{00000000-0005-0000-0000-0000D9730000}"/>
    <cellStyle name="Explanatory Text 2 2 4" xfId="22568" xr:uid="{00000000-0005-0000-0000-0000DA730000}"/>
    <cellStyle name="Explanatory Text 2 2 5" xfId="23316" xr:uid="{00000000-0005-0000-0000-0000DB730000}"/>
    <cellStyle name="Explanatory Text 2 2 6" xfId="12186" xr:uid="{00000000-0005-0000-0000-0000DC730000}"/>
    <cellStyle name="Explanatory Text 2 3" xfId="3061" xr:uid="{00000000-0005-0000-0000-0000DD730000}"/>
    <cellStyle name="Explanatory Text 2 3 2" xfId="13580" xr:uid="{00000000-0005-0000-0000-0000DE730000}"/>
    <cellStyle name="Explanatory Text 2 3 3" xfId="12400" xr:uid="{00000000-0005-0000-0000-0000DF730000}"/>
    <cellStyle name="Explanatory Text 2 4" xfId="3062" xr:uid="{00000000-0005-0000-0000-0000E0730000}"/>
    <cellStyle name="Explanatory Text 2 4 2" xfId="12679" xr:uid="{00000000-0005-0000-0000-0000E1730000}"/>
    <cellStyle name="Explanatory Text 2 5" xfId="3063" xr:uid="{00000000-0005-0000-0000-0000E2730000}"/>
    <cellStyle name="Explanatory Text 2 5 2" xfId="12841" xr:uid="{00000000-0005-0000-0000-0000E3730000}"/>
    <cellStyle name="Explanatory Text 2 6" xfId="3064" xr:uid="{00000000-0005-0000-0000-0000E4730000}"/>
    <cellStyle name="Explanatory Text 2 6 2" xfId="13511" xr:uid="{00000000-0005-0000-0000-0000E5730000}"/>
    <cellStyle name="Explanatory Text 2 7" xfId="3065" xr:uid="{00000000-0005-0000-0000-0000E6730000}"/>
    <cellStyle name="Explanatory Text 2 7 2" xfId="12398" xr:uid="{00000000-0005-0000-0000-0000E7730000}"/>
    <cellStyle name="Explanatory Text 2 8" xfId="3066" xr:uid="{00000000-0005-0000-0000-0000E8730000}"/>
    <cellStyle name="Explanatory Text 2 8 2" xfId="22392" xr:uid="{00000000-0005-0000-0000-0000E9730000}"/>
    <cellStyle name="Explanatory Text 2 9" xfId="3067" xr:uid="{00000000-0005-0000-0000-0000EA730000}"/>
    <cellStyle name="Explanatory Text 3" xfId="590" xr:uid="{00000000-0005-0000-0000-0000EB730000}"/>
    <cellStyle name="Explanatory Text 3 2" xfId="13262" xr:uid="{00000000-0005-0000-0000-0000EC730000}"/>
    <cellStyle name="Explanatory Text 3 3" xfId="13551" xr:uid="{00000000-0005-0000-0000-0000ED730000}"/>
    <cellStyle name="Explanatory Text 3 4" xfId="22393" xr:uid="{00000000-0005-0000-0000-0000EE730000}"/>
    <cellStyle name="Explanatory Text 3 5" xfId="23405" xr:uid="{00000000-0005-0000-0000-0000EF730000}"/>
    <cellStyle name="Explanatory Text 3 6" xfId="12401" xr:uid="{00000000-0005-0000-0000-0000F0730000}"/>
    <cellStyle name="Explanatory Text 4" xfId="591" xr:uid="{00000000-0005-0000-0000-0000F1730000}"/>
    <cellStyle name="Explanatory Text 4 2" xfId="13712" xr:uid="{00000000-0005-0000-0000-0000F2730000}"/>
    <cellStyle name="Explanatory Text 4 3" xfId="22394" xr:uid="{00000000-0005-0000-0000-0000F3730000}"/>
    <cellStyle name="Explanatory Text 4 4" xfId="23406" xr:uid="{00000000-0005-0000-0000-0000F4730000}"/>
    <cellStyle name="Explanatory Text 4 5" xfId="12402" xr:uid="{00000000-0005-0000-0000-0000F5730000}"/>
    <cellStyle name="Explanatory Text 5" xfId="592" xr:uid="{00000000-0005-0000-0000-0000F6730000}"/>
    <cellStyle name="Explanatory Text 5 2" xfId="22395" xr:uid="{00000000-0005-0000-0000-0000F7730000}"/>
    <cellStyle name="Explanatory Text 5 3" xfId="23549" xr:uid="{00000000-0005-0000-0000-0000F8730000}"/>
    <cellStyle name="Explanatory Text 5 4" xfId="12651" xr:uid="{00000000-0005-0000-0000-0000F9730000}"/>
    <cellStyle name="Explanatory Text 6" xfId="593" xr:uid="{00000000-0005-0000-0000-0000FA730000}"/>
    <cellStyle name="Explanatory Text 6 2" xfId="22396" xr:uid="{00000000-0005-0000-0000-0000FB730000}"/>
    <cellStyle name="Explanatory Text 6 3" xfId="23628" xr:uid="{00000000-0005-0000-0000-0000FC730000}"/>
    <cellStyle name="Explanatory Text 6 4" xfId="12840" xr:uid="{00000000-0005-0000-0000-0000FD730000}"/>
    <cellStyle name="Explanatory Text 7" xfId="594" xr:uid="{00000000-0005-0000-0000-0000FE730000}"/>
    <cellStyle name="Explanatory Text 8" xfId="595" xr:uid="{00000000-0005-0000-0000-0000FF730000}"/>
    <cellStyle name="Explanatory Text 9" xfId="596" xr:uid="{00000000-0005-0000-0000-000000740000}"/>
    <cellStyle name="fact" xfId="3068" xr:uid="{00000000-0005-0000-0000-000001740000}"/>
    <cellStyle name="FieldName" xfId="3069" xr:uid="{00000000-0005-0000-0000-000002740000}"/>
    <cellStyle name="FieldName 2" xfId="6009" xr:uid="{00000000-0005-0000-0000-000003740000}"/>
    <cellStyle name="Fijo" xfId="3070" xr:uid="{00000000-0005-0000-0000-000004740000}"/>
    <cellStyle name="Financiero" xfId="3071" xr:uid="{00000000-0005-0000-0000-000005740000}"/>
    <cellStyle name="fitness_general" xfId="13416" xr:uid="{00000000-0005-0000-0000-000006740000}"/>
    <cellStyle name="Fitness-header" xfId="13417" xr:uid="{00000000-0005-0000-0000-000007740000}"/>
    <cellStyle name="Fixed" xfId="10" xr:uid="{00000000-0005-0000-0000-000008740000}"/>
    <cellStyle name="Fixed 2" xfId="3072" xr:uid="{00000000-0005-0000-0000-000009740000}"/>
    <cellStyle name="Fixed 2 2" xfId="12747" xr:uid="{00000000-0005-0000-0000-00000A740000}"/>
    <cellStyle name="Fixed 2 3" xfId="12404" xr:uid="{00000000-0005-0000-0000-00000B740000}"/>
    <cellStyle name="Fixed 3" xfId="12405" xr:uid="{00000000-0005-0000-0000-00000C740000}"/>
    <cellStyle name="Fixed 3 2" xfId="13603" xr:uid="{00000000-0005-0000-0000-00000D740000}"/>
    <cellStyle name="Fixed 4" xfId="12613" xr:uid="{00000000-0005-0000-0000-00000E740000}"/>
    <cellStyle name="Fixed 5" xfId="14361" xr:uid="{00000000-0005-0000-0000-00000F740000}"/>
    <cellStyle name="Fixed 5 2" xfId="14942" xr:uid="{00000000-0005-0000-0000-000010740000}"/>
    <cellStyle name="Fixed 5 3" xfId="17177" xr:uid="{00000000-0005-0000-0000-000011740000}"/>
    <cellStyle name="Fixed 6" xfId="22199" xr:uid="{00000000-0005-0000-0000-000012740000}"/>
    <cellStyle name="Fixed 7" xfId="12403" xr:uid="{00000000-0005-0000-0000-000013740000}"/>
    <cellStyle name="Footnote" xfId="3073" xr:uid="{00000000-0005-0000-0000-000014740000}"/>
    <cellStyle name="Good 10" xfId="597" xr:uid="{00000000-0005-0000-0000-000015740000}"/>
    <cellStyle name="Good 11" xfId="598" xr:uid="{00000000-0005-0000-0000-000016740000}"/>
    <cellStyle name="Good 12" xfId="599" xr:uid="{00000000-0005-0000-0000-000017740000}"/>
    <cellStyle name="Good 13" xfId="600" xr:uid="{00000000-0005-0000-0000-000018740000}"/>
    <cellStyle name="Good 14" xfId="601" xr:uid="{00000000-0005-0000-0000-000019740000}"/>
    <cellStyle name="Good 15" xfId="602" xr:uid="{00000000-0005-0000-0000-00001A740000}"/>
    <cellStyle name="Good 16" xfId="603" xr:uid="{00000000-0005-0000-0000-00001B740000}"/>
    <cellStyle name="Good 17" xfId="33099" xr:uid="{00000000-0005-0000-0000-00001C740000}"/>
    <cellStyle name="Good 2" xfId="604" xr:uid="{00000000-0005-0000-0000-00001D740000}"/>
    <cellStyle name="Good 2 10" xfId="3074" xr:uid="{00000000-0005-0000-0000-00001E740000}"/>
    <cellStyle name="Good 2 2" xfId="605" xr:uid="{00000000-0005-0000-0000-00001F740000}"/>
    <cellStyle name="Good 2 2 2" xfId="3075" xr:uid="{00000000-0005-0000-0000-000020740000}"/>
    <cellStyle name="Good 2 2 2 2" xfId="12748" xr:uid="{00000000-0005-0000-0000-000021740000}"/>
    <cellStyle name="Good 2 2 3" xfId="12407" xr:uid="{00000000-0005-0000-0000-000022740000}"/>
    <cellStyle name="Good 2 2 4" xfId="22558" xr:uid="{00000000-0005-0000-0000-000023740000}"/>
    <cellStyle name="Good 2 2 5" xfId="23318" xr:uid="{00000000-0005-0000-0000-000024740000}"/>
    <cellStyle name="Good 2 2 6" xfId="12188" xr:uid="{00000000-0005-0000-0000-000025740000}"/>
    <cellStyle name="Good 2 3" xfId="3076" xr:uid="{00000000-0005-0000-0000-000026740000}"/>
    <cellStyle name="Good 2 3 2" xfId="13571" xr:uid="{00000000-0005-0000-0000-000027740000}"/>
    <cellStyle name="Good 2 3 3" xfId="13792" xr:uid="{00000000-0005-0000-0000-000028740000}"/>
    <cellStyle name="Good 2 3 4" xfId="14371" xr:uid="{00000000-0005-0000-0000-000029740000}"/>
    <cellStyle name="Good 2 3 5" xfId="12408" xr:uid="{00000000-0005-0000-0000-00002A740000}"/>
    <cellStyle name="Good 2 4" xfId="3077" xr:uid="{00000000-0005-0000-0000-00002B740000}"/>
    <cellStyle name="Good 2 4 2" xfId="12669" xr:uid="{00000000-0005-0000-0000-00002C740000}"/>
    <cellStyle name="Good 2 5" xfId="3078" xr:uid="{00000000-0005-0000-0000-00002D740000}"/>
    <cellStyle name="Good 2 5 2" xfId="12843" xr:uid="{00000000-0005-0000-0000-00002E740000}"/>
    <cellStyle name="Good 2 6" xfId="3079" xr:uid="{00000000-0005-0000-0000-00002F740000}"/>
    <cellStyle name="Good 2 6 2" xfId="13512" xr:uid="{00000000-0005-0000-0000-000030740000}"/>
    <cellStyle name="Good 2 7" xfId="3080" xr:uid="{00000000-0005-0000-0000-000031740000}"/>
    <cellStyle name="Good 2 7 2" xfId="12406" xr:uid="{00000000-0005-0000-0000-000032740000}"/>
    <cellStyle name="Good 2 8" xfId="3081" xr:uid="{00000000-0005-0000-0000-000033740000}"/>
    <cellStyle name="Good 2 8 2" xfId="22397" xr:uid="{00000000-0005-0000-0000-000034740000}"/>
    <cellStyle name="Good 2 9" xfId="3082" xr:uid="{00000000-0005-0000-0000-000035740000}"/>
    <cellStyle name="Good 3" xfId="606" xr:uid="{00000000-0005-0000-0000-000036740000}"/>
    <cellStyle name="Good 3 2" xfId="13263" xr:uid="{00000000-0005-0000-0000-000037740000}"/>
    <cellStyle name="Good 3 3" xfId="13552" xr:uid="{00000000-0005-0000-0000-000038740000}"/>
    <cellStyle name="Good 3 4" xfId="22398" xr:uid="{00000000-0005-0000-0000-000039740000}"/>
    <cellStyle name="Good 3 5" xfId="23407" xr:uid="{00000000-0005-0000-0000-00003A740000}"/>
    <cellStyle name="Good 3 6" xfId="12409" xr:uid="{00000000-0005-0000-0000-00003B740000}"/>
    <cellStyle name="Good 4" xfId="607" xr:uid="{00000000-0005-0000-0000-00003C740000}"/>
    <cellStyle name="Good 4 2" xfId="13713" xr:uid="{00000000-0005-0000-0000-00003D740000}"/>
    <cellStyle name="Good 4 3" xfId="22399" xr:uid="{00000000-0005-0000-0000-00003E740000}"/>
    <cellStyle name="Good 4 4" xfId="23408" xr:uid="{00000000-0005-0000-0000-00003F740000}"/>
    <cellStyle name="Good 4 5" xfId="12410" xr:uid="{00000000-0005-0000-0000-000040740000}"/>
    <cellStyle name="Good 5" xfId="608" xr:uid="{00000000-0005-0000-0000-000041740000}"/>
    <cellStyle name="Good 5 2" xfId="22400" xr:uid="{00000000-0005-0000-0000-000042740000}"/>
    <cellStyle name="Good 5 3" xfId="23550" xr:uid="{00000000-0005-0000-0000-000043740000}"/>
    <cellStyle name="Good 5 4" xfId="12652" xr:uid="{00000000-0005-0000-0000-000044740000}"/>
    <cellStyle name="Good 6" xfId="609" xr:uid="{00000000-0005-0000-0000-000045740000}"/>
    <cellStyle name="Good 6 2" xfId="22401" xr:uid="{00000000-0005-0000-0000-000046740000}"/>
    <cellStyle name="Good 6 3" xfId="23629" xr:uid="{00000000-0005-0000-0000-000047740000}"/>
    <cellStyle name="Good 6 4" xfId="12842" xr:uid="{00000000-0005-0000-0000-000048740000}"/>
    <cellStyle name="Good 7" xfId="610" xr:uid="{00000000-0005-0000-0000-000049740000}"/>
    <cellStyle name="Good 8" xfId="611" xr:uid="{00000000-0005-0000-0000-00004A740000}"/>
    <cellStyle name="Good 9" xfId="612" xr:uid="{00000000-0005-0000-0000-00004B740000}"/>
    <cellStyle name="Grey" xfId="613" xr:uid="{00000000-0005-0000-0000-00004C740000}"/>
    <cellStyle name="Grey 2" xfId="12412" xr:uid="{00000000-0005-0000-0000-00004D740000}"/>
    <cellStyle name="Grey 2 2" xfId="13635" xr:uid="{00000000-0005-0000-0000-00004E740000}"/>
    <cellStyle name="Grey 3" xfId="12844" xr:uid="{00000000-0005-0000-0000-00004F740000}"/>
    <cellStyle name="Grey 4" xfId="13513" xr:uid="{00000000-0005-0000-0000-000050740000}"/>
    <cellStyle name="Grey 5" xfId="12411" xr:uid="{00000000-0005-0000-0000-000051740000}"/>
    <cellStyle name="GWN Table Body" xfId="3083" xr:uid="{00000000-0005-0000-0000-000052740000}"/>
    <cellStyle name="GWN Table Header" xfId="3084" xr:uid="{00000000-0005-0000-0000-000053740000}"/>
    <cellStyle name="GWN Table Left Header" xfId="3085" xr:uid="{00000000-0005-0000-0000-000054740000}"/>
    <cellStyle name="GWN Table Note" xfId="3086" xr:uid="{00000000-0005-0000-0000-000055740000}"/>
    <cellStyle name="GWN Table Title" xfId="3087" xr:uid="{00000000-0005-0000-0000-000056740000}"/>
    <cellStyle name="hard no" xfId="3088" xr:uid="{00000000-0005-0000-0000-000057740000}"/>
    <cellStyle name="Hard Percent" xfId="3089" xr:uid="{00000000-0005-0000-0000-000058740000}"/>
    <cellStyle name="hardno" xfId="3090" xr:uid="{00000000-0005-0000-0000-000059740000}"/>
    <cellStyle name="Header" xfId="3091" xr:uid="{00000000-0005-0000-0000-00005A740000}"/>
    <cellStyle name="Header1" xfId="3092" xr:uid="{00000000-0005-0000-0000-00005B740000}"/>
    <cellStyle name="Header2" xfId="3093" xr:uid="{00000000-0005-0000-0000-00005C740000}"/>
    <cellStyle name="Heading" xfId="3094" xr:uid="{00000000-0005-0000-0000-00005D740000}"/>
    <cellStyle name="Heading 1 10" xfId="614" xr:uid="{00000000-0005-0000-0000-00005E740000}"/>
    <cellStyle name="Heading 1 11" xfId="615" xr:uid="{00000000-0005-0000-0000-00005F740000}"/>
    <cellStyle name="Heading 1 12" xfId="616" xr:uid="{00000000-0005-0000-0000-000060740000}"/>
    <cellStyle name="Heading 1 13" xfId="617" xr:uid="{00000000-0005-0000-0000-000061740000}"/>
    <cellStyle name="Heading 1 14" xfId="618" xr:uid="{00000000-0005-0000-0000-000062740000}"/>
    <cellStyle name="Heading 1 15" xfId="619" xr:uid="{00000000-0005-0000-0000-000063740000}"/>
    <cellStyle name="Heading 1 16" xfId="620" xr:uid="{00000000-0005-0000-0000-000064740000}"/>
    <cellStyle name="Heading 1 17" xfId="33083" xr:uid="{00000000-0005-0000-0000-000065740000}"/>
    <cellStyle name="Heading 1 2" xfId="621" xr:uid="{00000000-0005-0000-0000-000066740000}"/>
    <cellStyle name="Heading 1 2 2" xfId="622" xr:uid="{00000000-0005-0000-0000-000067740000}"/>
    <cellStyle name="Heading 1 2 2 2" xfId="3096" xr:uid="{00000000-0005-0000-0000-000068740000}"/>
    <cellStyle name="Heading 1 2 2 2 2" xfId="13568" xr:uid="{00000000-0005-0000-0000-000069740000}"/>
    <cellStyle name="Heading 1 2 2 3" xfId="12414" xr:uid="{00000000-0005-0000-0000-00006A740000}"/>
    <cellStyle name="Heading 1 2 2 4" xfId="23320" xr:uid="{00000000-0005-0000-0000-00006B740000}"/>
    <cellStyle name="Heading 1 2 2 5" xfId="12190" xr:uid="{00000000-0005-0000-0000-00006C740000}"/>
    <cellStyle name="Heading 1 2 3" xfId="3097" xr:uid="{00000000-0005-0000-0000-00006D740000}"/>
    <cellStyle name="Heading 1 2 3 2" xfId="13679" xr:uid="{00000000-0005-0000-0000-00006E740000}"/>
    <cellStyle name="Heading 1 2 3 3" xfId="12415" xr:uid="{00000000-0005-0000-0000-00006F740000}"/>
    <cellStyle name="Heading 1 2 4" xfId="3098" xr:uid="{00000000-0005-0000-0000-000070740000}"/>
    <cellStyle name="Heading 1 2 4 2" xfId="12666" xr:uid="{00000000-0005-0000-0000-000071740000}"/>
    <cellStyle name="Heading 1 2 5" xfId="3099" xr:uid="{00000000-0005-0000-0000-000072740000}"/>
    <cellStyle name="Heading 1 2 5 2" xfId="12846" xr:uid="{00000000-0005-0000-0000-000073740000}"/>
    <cellStyle name="Heading 1 2 6" xfId="3100" xr:uid="{00000000-0005-0000-0000-000074740000}"/>
    <cellStyle name="Heading 1 2 6 2" xfId="14362" xr:uid="{00000000-0005-0000-0000-000075740000}"/>
    <cellStyle name="Heading 1 2 7" xfId="3095" xr:uid="{00000000-0005-0000-0000-000076740000}"/>
    <cellStyle name="Heading 1 2 7 2" xfId="12413" xr:uid="{00000000-0005-0000-0000-000077740000}"/>
    <cellStyle name="Heading 1 2 8" xfId="22402" xr:uid="{00000000-0005-0000-0000-000078740000}"/>
    <cellStyle name="Heading 1 3" xfId="623" xr:uid="{00000000-0005-0000-0000-000079740000}"/>
    <cellStyle name="Heading 1 3 2" xfId="3101" xr:uid="{00000000-0005-0000-0000-00007A740000}"/>
    <cellStyle name="Heading 1 3 2 2" xfId="12749" xr:uid="{00000000-0005-0000-0000-00007B740000}"/>
    <cellStyle name="Heading 1 3 3" xfId="22403" xr:uid="{00000000-0005-0000-0000-00007C740000}"/>
    <cellStyle name="Heading 1 3 4" xfId="23409" xr:uid="{00000000-0005-0000-0000-00007D740000}"/>
    <cellStyle name="Heading 1 3 5" xfId="33024" xr:uid="{00000000-0005-0000-0000-00007E740000}"/>
    <cellStyle name="Heading 1 3 6" xfId="52478" xr:uid="{00000000-0005-0000-0000-00007F740000}"/>
    <cellStyle name="Heading 1 3 7" xfId="12416" xr:uid="{00000000-0005-0000-0000-000080740000}"/>
    <cellStyle name="Heading 1 4" xfId="624" xr:uid="{00000000-0005-0000-0000-000081740000}"/>
    <cellStyle name="Heading 1 4 2" xfId="13264" xr:uid="{00000000-0005-0000-0000-000082740000}"/>
    <cellStyle name="Heading 1 4 3" xfId="13553" xr:uid="{00000000-0005-0000-0000-000083740000}"/>
    <cellStyle name="Heading 1 4 4" xfId="22404" xr:uid="{00000000-0005-0000-0000-000084740000}"/>
    <cellStyle name="Heading 1 4 5" xfId="23410" xr:uid="{00000000-0005-0000-0000-000085740000}"/>
    <cellStyle name="Heading 1 4 6" xfId="12417" xr:uid="{00000000-0005-0000-0000-000086740000}"/>
    <cellStyle name="Heading 1 5" xfId="625" xr:uid="{00000000-0005-0000-0000-000087740000}"/>
    <cellStyle name="Heading 1 5 2" xfId="22405" xr:uid="{00000000-0005-0000-0000-000088740000}"/>
    <cellStyle name="Heading 1 5 3" xfId="23512" xr:uid="{00000000-0005-0000-0000-000089740000}"/>
    <cellStyle name="Heading 1 5 4" xfId="12614" xr:uid="{00000000-0005-0000-0000-00008A740000}"/>
    <cellStyle name="Heading 1 6" xfId="626" xr:uid="{00000000-0005-0000-0000-00008B740000}"/>
    <cellStyle name="Heading 1 6 2" xfId="22406" xr:uid="{00000000-0005-0000-0000-00008C740000}"/>
    <cellStyle name="Heading 1 6 3" xfId="23551" xr:uid="{00000000-0005-0000-0000-00008D740000}"/>
    <cellStyle name="Heading 1 6 4" xfId="12653" xr:uid="{00000000-0005-0000-0000-00008E740000}"/>
    <cellStyle name="Heading 1 7" xfId="627" xr:uid="{00000000-0005-0000-0000-00008F740000}"/>
    <cellStyle name="Heading 1 7 2" xfId="22407" xr:uid="{00000000-0005-0000-0000-000090740000}"/>
    <cellStyle name="Heading 1 7 3" xfId="23630" xr:uid="{00000000-0005-0000-0000-000091740000}"/>
    <cellStyle name="Heading 1 7 4" xfId="12845" xr:uid="{00000000-0005-0000-0000-000092740000}"/>
    <cellStyle name="Heading 1 8" xfId="628" xr:uid="{00000000-0005-0000-0000-000093740000}"/>
    <cellStyle name="Heading 1 9" xfId="629" xr:uid="{00000000-0005-0000-0000-000094740000}"/>
    <cellStyle name="Heading 2 10" xfId="630" xr:uid="{00000000-0005-0000-0000-000095740000}"/>
    <cellStyle name="Heading 2 11" xfId="631" xr:uid="{00000000-0005-0000-0000-000096740000}"/>
    <cellStyle name="Heading 2 12" xfId="632" xr:uid="{00000000-0005-0000-0000-000097740000}"/>
    <cellStyle name="Heading 2 13" xfId="633" xr:uid="{00000000-0005-0000-0000-000098740000}"/>
    <cellStyle name="Heading 2 14" xfId="634" xr:uid="{00000000-0005-0000-0000-000099740000}"/>
    <cellStyle name="Heading 2 15" xfId="635" xr:uid="{00000000-0005-0000-0000-00009A740000}"/>
    <cellStyle name="Heading 2 16" xfId="636" xr:uid="{00000000-0005-0000-0000-00009B740000}"/>
    <cellStyle name="Heading 2 17" xfId="33139" xr:uid="{00000000-0005-0000-0000-00009C740000}"/>
    <cellStyle name="Heading 2 2" xfId="637" xr:uid="{00000000-0005-0000-0000-00009D740000}"/>
    <cellStyle name="Heading 2 2 2" xfId="638" xr:uid="{00000000-0005-0000-0000-00009E740000}"/>
    <cellStyle name="Heading 2 2 2 2" xfId="3103" xr:uid="{00000000-0005-0000-0000-00009F740000}"/>
    <cellStyle name="Heading 2 2 2 2 2" xfId="13567" xr:uid="{00000000-0005-0000-0000-0000A0740000}"/>
    <cellStyle name="Heading 2 2 2 3" xfId="12419" xr:uid="{00000000-0005-0000-0000-0000A1740000}"/>
    <cellStyle name="Heading 2 2 2 4" xfId="23321" xr:uid="{00000000-0005-0000-0000-0000A2740000}"/>
    <cellStyle name="Heading 2 2 2 5" xfId="12192" xr:uid="{00000000-0005-0000-0000-0000A3740000}"/>
    <cellStyle name="Heading 2 2 3" xfId="3104" xr:uid="{00000000-0005-0000-0000-0000A4740000}"/>
    <cellStyle name="Heading 2 2 3 2" xfId="13680" xr:uid="{00000000-0005-0000-0000-0000A5740000}"/>
    <cellStyle name="Heading 2 2 3 3" xfId="12420" xr:uid="{00000000-0005-0000-0000-0000A6740000}"/>
    <cellStyle name="Heading 2 2 4" xfId="3105" xr:uid="{00000000-0005-0000-0000-0000A7740000}"/>
    <cellStyle name="Heading 2 2 4 2" xfId="12665" xr:uid="{00000000-0005-0000-0000-0000A8740000}"/>
    <cellStyle name="Heading 2 2 5" xfId="3106" xr:uid="{00000000-0005-0000-0000-0000A9740000}"/>
    <cellStyle name="Heading 2 2 5 2" xfId="12848" xr:uid="{00000000-0005-0000-0000-0000AA740000}"/>
    <cellStyle name="Heading 2 2 6" xfId="3107" xr:uid="{00000000-0005-0000-0000-0000AB740000}"/>
    <cellStyle name="Heading 2 2 6 2" xfId="14363" xr:uid="{00000000-0005-0000-0000-0000AC740000}"/>
    <cellStyle name="Heading 2 2 7" xfId="3102" xr:uid="{00000000-0005-0000-0000-0000AD740000}"/>
    <cellStyle name="Heading 2 2 7 2" xfId="12418" xr:uid="{00000000-0005-0000-0000-0000AE740000}"/>
    <cellStyle name="Heading 2 2 8" xfId="22408" xr:uid="{00000000-0005-0000-0000-0000AF740000}"/>
    <cellStyle name="Heading 2 3" xfId="639" xr:uid="{00000000-0005-0000-0000-0000B0740000}"/>
    <cellStyle name="Heading 2 3 2" xfId="3108" xr:uid="{00000000-0005-0000-0000-0000B1740000}"/>
    <cellStyle name="Heading 2 3 2 2" xfId="12750" xr:uid="{00000000-0005-0000-0000-0000B2740000}"/>
    <cellStyle name="Heading 2 3 3" xfId="22409" xr:uid="{00000000-0005-0000-0000-0000B3740000}"/>
    <cellStyle name="Heading 2 3 4" xfId="23411" xr:uid="{00000000-0005-0000-0000-0000B4740000}"/>
    <cellStyle name="Heading 2 3 5" xfId="33025" xr:uid="{00000000-0005-0000-0000-0000B5740000}"/>
    <cellStyle name="Heading 2 3 6" xfId="52479" xr:uid="{00000000-0005-0000-0000-0000B6740000}"/>
    <cellStyle name="Heading 2 3 7" xfId="12421" xr:uid="{00000000-0005-0000-0000-0000B7740000}"/>
    <cellStyle name="Heading 2 4" xfId="640" xr:uid="{00000000-0005-0000-0000-0000B8740000}"/>
    <cellStyle name="Heading 2 4 2" xfId="13265" xr:uid="{00000000-0005-0000-0000-0000B9740000}"/>
    <cellStyle name="Heading 2 4 3" xfId="13554" xr:uid="{00000000-0005-0000-0000-0000BA740000}"/>
    <cellStyle name="Heading 2 4 4" xfId="22410" xr:uid="{00000000-0005-0000-0000-0000BB740000}"/>
    <cellStyle name="Heading 2 4 5" xfId="23412" xr:uid="{00000000-0005-0000-0000-0000BC740000}"/>
    <cellStyle name="Heading 2 4 6" xfId="12422" xr:uid="{00000000-0005-0000-0000-0000BD740000}"/>
    <cellStyle name="Heading 2 5" xfId="641" xr:uid="{00000000-0005-0000-0000-0000BE740000}"/>
    <cellStyle name="Heading 2 5 2" xfId="22411" xr:uid="{00000000-0005-0000-0000-0000BF740000}"/>
    <cellStyle name="Heading 2 5 3" xfId="23513" xr:uid="{00000000-0005-0000-0000-0000C0740000}"/>
    <cellStyle name="Heading 2 5 4" xfId="12615" xr:uid="{00000000-0005-0000-0000-0000C1740000}"/>
    <cellStyle name="Heading 2 6" xfId="642" xr:uid="{00000000-0005-0000-0000-0000C2740000}"/>
    <cellStyle name="Heading 2 6 2" xfId="22412" xr:uid="{00000000-0005-0000-0000-0000C3740000}"/>
    <cellStyle name="Heading 2 6 3" xfId="23552" xr:uid="{00000000-0005-0000-0000-0000C4740000}"/>
    <cellStyle name="Heading 2 6 4" xfId="12654" xr:uid="{00000000-0005-0000-0000-0000C5740000}"/>
    <cellStyle name="Heading 2 7" xfId="643" xr:uid="{00000000-0005-0000-0000-0000C6740000}"/>
    <cellStyle name="Heading 2 7 2" xfId="22413" xr:uid="{00000000-0005-0000-0000-0000C7740000}"/>
    <cellStyle name="Heading 2 7 3" xfId="23631" xr:uid="{00000000-0005-0000-0000-0000C8740000}"/>
    <cellStyle name="Heading 2 7 4" xfId="12847" xr:uid="{00000000-0005-0000-0000-0000C9740000}"/>
    <cellStyle name="Heading 2 8" xfId="644" xr:uid="{00000000-0005-0000-0000-0000CA740000}"/>
    <cellStyle name="Heading 2 9" xfId="645" xr:uid="{00000000-0005-0000-0000-0000CB740000}"/>
    <cellStyle name="Heading 3 10" xfId="646" xr:uid="{00000000-0005-0000-0000-0000CC740000}"/>
    <cellStyle name="Heading 3 11" xfId="647" xr:uid="{00000000-0005-0000-0000-0000CD740000}"/>
    <cellStyle name="Heading 3 12" xfId="648" xr:uid="{00000000-0005-0000-0000-0000CE740000}"/>
    <cellStyle name="Heading 3 13" xfId="649" xr:uid="{00000000-0005-0000-0000-0000CF740000}"/>
    <cellStyle name="Heading 3 14" xfId="650" xr:uid="{00000000-0005-0000-0000-0000D0740000}"/>
    <cellStyle name="Heading 3 15" xfId="651" xr:uid="{00000000-0005-0000-0000-0000D1740000}"/>
    <cellStyle name="Heading 3 16" xfId="652" xr:uid="{00000000-0005-0000-0000-0000D2740000}"/>
    <cellStyle name="Heading 3 17" xfId="33123" xr:uid="{00000000-0005-0000-0000-0000D3740000}"/>
    <cellStyle name="Heading 3 2" xfId="653" xr:uid="{00000000-0005-0000-0000-0000D4740000}"/>
    <cellStyle name="Heading 3 2 2" xfId="654" xr:uid="{00000000-0005-0000-0000-0000D5740000}"/>
    <cellStyle name="Heading 3 2 2 2" xfId="3110" xr:uid="{00000000-0005-0000-0000-0000D6740000}"/>
    <cellStyle name="Heading 3 2 2 2 2" xfId="12751" xr:uid="{00000000-0005-0000-0000-0000D7740000}"/>
    <cellStyle name="Heading 3 2 2 3" xfId="12424" xr:uid="{00000000-0005-0000-0000-0000D8740000}"/>
    <cellStyle name="Heading 3 2 2 4" xfId="22556" xr:uid="{00000000-0005-0000-0000-0000D9740000}"/>
    <cellStyle name="Heading 3 2 2 5" xfId="23322" xr:uid="{00000000-0005-0000-0000-0000DA740000}"/>
    <cellStyle name="Heading 3 2 2 6" xfId="12194" xr:uid="{00000000-0005-0000-0000-0000DB740000}"/>
    <cellStyle name="Heading 3 2 3" xfId="3111" xr:uid="{00000000-0005-0000-0000-0000DC740000}"/>
    <cellStyle name="Heading 3 2 3 2" xfId="13569" xr:uid="{00000000-0005-0000-0000-0000DD740000}"/>
    <cellStyle name="Heading 3 2 3 3" xfId="12425" xr:uid="{00000000-0005-0000-0000-0000DE740000}"/>
    <cellStyle name="Heading 3 2 4" xfId="3112" xr:uid="{00000000-0005-0000-0000-0000DF740000}"/>
    <cellStyle name="Heading 3 2 4 2" xfId="12667" xr:uid="{00000000-0005-0000-0000-0000E0740000}"/>
    <cellStyle name="Heading 3 2 5" xfId="3113" xr:uid="{00000000-0005-0000-0000-0000E1740000}"/>
    <cellStyle name="Heading 3 2 5 2" xfId="12850" xr:uid="{00000000-0005-0000-0000-0000E2740000}"/>
    <cellStyle name="Heading 3 2 6" xfId="3114" xr:uid="{00000000-0005-0000-0000-0000E3740000}"/>
    <cellStyle name="Heading 3 2 6 2" xfId="12423" xr:uid="{00000000-0005-0000-0000-0000E4740000}"/>
    <cellStyle name="Heading 3 2 7" xfId="3115" xr:uid="{00000000-0005-0000-0000-0000E5740000}"/>
    <cellStyle name="Heading 3 2 7 2" xfId="22414" xr:uid="{00000000-0005-0000-0000-0000E6740000}"/>
    <cellStyle name="Heading 3 2 8" xfId="3109" xr:uid="{00000000-0005-0000-0000-0000E7740000}"/>
    <cellStyle name="Heading 3 3" xfId="655" xr:uid="{00000000-0005-0000-0000-0000E8740000}"/>
    <cellStyle name="Heading 3 3 2" xfId="3116" xr:uid="{00000000-0005-0000-0000-0000E9740000}"/>
    <cellStyle name="Heading 3 3 2 2" xfId="13266" xr:uid="{00000000-0005-0000-0000-0000EA740000}"/>
    <cellStyle name="Heading 3 3 3" xfId="13555" xr:uid="{00000000-0005-0000-0000-0000EB740000}"/>
    <cellStyle name="Heading 3 3 4" xfId="22415" xr:uid="{00000000-0005-0000-0000-0000EC740000}"/>
    <cellStyle name="Heading 3 3 5" xfId="23413" xr:uid="{00000000-0005-0000-0000-0000ED740000}"/>
    <cellStyle name="Heading 3 3 6" xfId="12426" xr:uid="{00000000-0005-0000-0000-0000EE740000}"/>
    <cellStyle name="Heading 3 4" xfId="656" xr:uid="{00000000-0005-0000-0000-0000EF740000}"/>
    <cellStyle name="Heading 3 4 2" xfId="13714" xr:uid="{00000000-0005-0000-0000-0000F0740000}"/>
    <cellStyle name="Heading 3 4 3" xfId="22416" xr:uid="{00000000-0005-0000-0000-0000F1740000}"/>
    <cellStyle name="Heading 3 4 4" xfId="23414" xr:uid="{00000000-0005-0000-0000-0000F2740000}"/>
    <cellStyle name="Heading 3 4 5" xfId="12427" xr:uid="{00000000-0005-0000-0000-0000F3740000}"/>
    <cellStyle name="Heading 3 5" xfId="657" xr:uid="{00000000-0005-0000-0000-0000F4740000}"/>
    <cellStyle name="Heading 3 5 2" xfId="22417" xr:uid="{00000000-0005-0000-0000-0000F5740000}"/>
    <cellStyle name="Heading 3 5 3" xfId="23553" xr:uid="{00000000-0005-0000-0000-0000F6740000}"/>
    <cellStyle name="Heading 3 5 4" xfId="12655" xr:uid="{00000000-0005-0000-0000-0000F7740000}"/>
    <cellStyle name="Heading 3 6" xfId="658" xr:uid="{00000000-0005-0000-0000-0000F8740000}"/>
    <cellStyle name="Heading 3 6 2" xfId="22418" xr:uid="{00000000-0005-0000-0000-0000F9740000}"/>
    <cellStyle name="Heading 3 6 3" xfId="23632" xr:uid="{00000000-0005-0000-0000-0000FA740000}"/>
    <cellStyle name="Heading 3 6 4" xfId="12849" xr:uid="{00000000-0005-0000-0000-0000FB740000}"/>
    <cellStyle name="Heading 3 7" xfId="659" xr:uid="{00000000-0005-0000-0000-0000FC740000}"/>
    <cellStyle name="Heading 3 8" xfId="660" xr:uid="{00000000-0005-0000-0000-0000FD740000}"/>
    <cellStyle name="Heading 3 9" xfId="661" xr:uid="{00000000-0005-0000-0000-0000FE740000}"/>
    <cellStyle name="Heading 4 10" xfId="662" xr:uid="{00000000-0005-0000-0000-0000FF740000}"/>
    <cellStyle name="Heading 4 11" xfId="663" xr:uid="{00000000-0005-0000-0000-000000750000}"/>
    <cellStyle name="Heading 4 12" xfId="664" xr:uid="{00000000-0005-0000-0000-000001750000}"/>
    <cellStyle name="Heading 4 13" xfId="665" xr:uid="{00000000-0005-0000-0000-000002750000}"/>
    <cellStyle name="Heading 4 14" xfId="666" xr:uid="{00000000-0005-0000-0000-000003750000}"/>
    <cellStyle name="Heading 4 15" xfId="667" xr:uid="{00000000-0005-0000-0000-000004750000}"/>
    <cellStyle name="Heading 4 16" xfId="668" xr:uid="{00000000-0005-0000-0000-000005750000}"/>
    <cellStyle name="Heading 4 17" xfId="33138" xr:uid="{00000000-0005-0000-0000-000006750000}"/>
    <cellStyle name="Heading 4 2" xfId="669" xr:uid="{00000000-0005-0000-0000-000007750000}"/>
    <cellStyle name="Heading 4 2 2" xfId="670" xr:uid="{00000000-0005-0000-0000-000008750000}"/>
    <cellStyle name="Heading 4 2 2 2" xfId="12752" xr:uid="{00000000-0005-0000-0000-000009750000}"/>
    <cellStyle name="Heading 4 2 2 3" xfId="12429" xr:uid="{00000000-0005-0000-0000-00000A750000}"/>
    <cellStyle name="Heading 4 2 2 4" xfId="22557" xr:uid="{00000000-0005-0000-0000-00000B750000}"/>
    <cellStyle name="Heading 4 2 2 5" xfId="23324" xr:uid="{00000000-0005-0000-0000-00000C750000}"/>
    <cellStyle name="Heading 4 2 2 6" xfId="12196" xr:uid="{00000000-0005-0000-0000-00000D750000}"/>
    <cellStyle name="Heading 4 2 3" xfId="3117" xr:uid="{00000000-0005-0000-0000-00000E750000}"/>
    <cellStyle name="Heading 4 2 3 2" xfId="13570" xr:uid="{00000000-0005-0000-0000-00000F750000}"/>
    <cellStyle name="Heading 4 2 3 3" xfId="12430" xr:uid="{00000000-0005-0000-0000-000010750000}"/>
    <cellStyle name="Heading 4 2 4" xfId="12668" xr:uid="{00000000-0005-0000-0000-000011750000}"/>
    <cellStyle name="Heading 4 2 5" xfId="12852" xr:uid="{00000000-0005-0000-0000-000012750000}"/>
    <cellStyle name="Heading 4 2 6" xfId="12428" xr:uid="{00000000-0005-0000-0000-000013750000}"/>
    <cellStyle name="Heading 4 2 7" xfId="22419" xr:uid="{00000000-0005-0000-0000-000014750000}"/>
    <cellStyle name="Heading 4 3" xfId="671" xr:uid="{00000000-0005-0000-0000-000015750000}"/>
    <cellStyle name="Heading 4 3 2" xfId="13267" xr:uid="{00000000-0005-0000-0000-000016750000}"/>
    <cellStyle name="Heading 4 3 3" xfId="13556" xr:uid="{00000000-0005-0000-0000-000017750000}"/>
    <cellStyle name="Heading 4 3 4" xfId="22420" xr:uid="{00000000-0005-0000-0000-000018750000}"/>
    <cellStyle name="Heading 4 3 5" xfId="23415" xr:uid="{00000000-0005-0000-0000-000019750000}"/>
    <cellStyle name="Heading 4 3 6" xfId="12431" xr:uid="{00000000-0005-0000-0000-00001A750000}"/>
    <cellStyle name="Heading 4 4" xfId="672" xr:uid="{00000000-0005-0000-0000-00001B750000}"/>
    <cellStyle name="Heading 4 4 2" xfId="13715" xr:uid="{00000000-0005-0000-0000-00001C750000}"/>
    <cellStyle name="Heading 4 4 3" xfId="22421" xr:uid="{00000000-0005-0000-0000-00001D750000}"/>
    <cellStyle name="Heading 4 4 4" xfId="23416" xr:uid="{00000000-0005-0000-0000-00001E750000}"/>
    <cellStyle name="Heading 4 4 5" xfId="12432" xr:uid="{00000000-0005-0000-0000-00001F750000}"/>
    <cellStyle name="Heading 4 5" xfId="673" xr:uid="{00000000-0005-0000-0000-000020750000}"/>
    <cellStyle name="Heading 4 5 2" xfId="22422" xr:uid="{00000000-0005-0000-0000-000021750000}"/>
    <cellStyle name="Heading 4 5 3" xfId="23554" xr:uid="{00000000-0005-0000-0000-000022750000}"/>
    <cellStyle name="Heading 4 5 4" xfId="12656" xr:uid="{00000000-0005-0000-0000-000023750000}"/>
    <cellStyle name="Heading 4 6" xfId="674" xr:uid="{00000000-0005-0000-0000-000024750000}"/>
    <cellStyle name="Heading 4 6 2" xfId="22423" xr:uid="{00000000-0005-0000-0000-000025750000}"/>
    <cellStyle name="Heading 4 6 3" xfId="23633" xr:uid="{00000000-0005-0000-0000-000026750000}"/>
    <cellStyle name="Heading 4 6 4" xfId="12851" xr:uid="{00000000-0005-0000-0000-000027750000}"/>
    <cellStyle name="Heading 4 7" xfId="675" xr:uid="{00000000-0005-0000-0000-000028750000}"/>
    <cellStyle name="Heading 4 8" xfId="676" xr:uid="{00000000-0005-0000-0000-000029750000}"/>
    <cellStyle name="Heading 4 9" xfId="677" xr:uid="{00000000-0005-0000-0000-00002A750000}"/>
    <cellStyle name="Heading2" xfId="3118" xr:uid="{00000000-0005-0000-0000-00002B750000}"/>
    <cellStyle name="Heading3" xfId="3119" xr:uid="{00000000-0005-0000-0000-00002C750000}"/>
    <cellStyle name="HeadingColumn" xfId="3120" xr:uid="{00000000-0005-0000-0000-00002D750000}"/>
    <cellStyle name="HeadingS" xfId="3121" xr:uid="{00000000-0005-0000-0000-00002E750000}"/>
    <cellStyle name="HeadingYear" xfId="3122" xr:uid="{00000000-0005-0000-0000-00002F750000}"/>
    <cellStyle name="HeadlineStyle" xfId="3123" xr:uid="{00000000-0005-0000-0000-000030750000}"/>
    <cellStyle name="HeadlineStyleJustified" xfId="3124" xr:uid="{00000000-0005-0000-0000-000031750000}"/>
    <cellStyle name="Hed Side_Sheet1" xfId="3125" xr:uid="{00000000-0005-0000-0000-000032750000}"/>
    <cellStyle name="Hed Top" xfId="3126" xr:uid="{00000000-0005-0000-0000-000033750000}"/>
    <cellStyle name="Hyperlink" xfId="11944" builtinId="8"/>
    <cellStyle name="Hyperlink 2" xfId="678" xr:uid="{00000000-0005-0000-0000-000035750000}"/>
    <cellStyle name="Hyperlink 2 10" xfId="3128" xr:uid="{00000000-0005-0000-0000-000036750000}"/>
    <cellStyle name="Hyperlink 2 11" xfId="3129" xr:uid="{00000000-0005-0000-0000-000037750000}"/>
    <cellStyle name="Hyperlink 2 12" xfId="3130" xr:uid="{00000000-0005-0000-0000-000038750000}"/>
    <cellStyle name="Hyperlink 2 13" xfId="3131" xr:uid="{00000000-0005-0000-0000-000039750000}"/>
    <cellStyle name="Hyperlink 2 14" xfId="3127" xr:uid="{00000000-0005-0000-0000-00003A750000}"/>
    <cellStyle name="Hyperlink 2 15" xfId="12434" xr:uid="{00000000-0005-0000-0000-00003B750000}"/>
    <cellStyle name="Hyperlink 2 2" xfId="679" xr:uid="{00000000-0005-0000-0000-00003C750000}"/>
    <cellStyle name="Hyperlink 2 2 2" xfId="3133" xr:uid="{00000000-0005-0000-0000-00003D750000}"/>
    <cellStyle name="Hyperlink 2 2 3" xfId="3132" xr:uid="{00000000-0005-0000-0000-00003E750000}"/>
    <cellStyle name="Hyperlink 2 2 4" xfId="12753" xr:uid="{00000000-0005-0000-0000-00003F750000}"/>
    <cellStyle name="Hyperlink 2 3" xfId="3134" xr:uid="{00000000-0005-0000-0000-000040750000}"/>
    <cellStyle name="Hyperlink 2 3 2" xfId="3135" xr:uid="{00000000-0005-0000-0000-000041750000}"/>
    <cellStyle name="Hyperlink 2 3 3" xfId="22609" xr:uid="{00000000-0005-0000-0000-000042750000}"/>
    <cellStyle name="Hyperlink 2 4" xfId="3136" xr:uid="{00000000-0005-0000-0000-000043750000}"/>
    <cellStyle name="Hyperlink 2 4 2" xfId="23417" xr:uid="{00000000-0005-0000-0000-000044750000}"/>
    <cellStyle name="Hyperlink 2 5" xfId="3137" xr:uid="{00000000-0005-0000-0000-000045750000}"/>
    <cellStyle name="Hyperlink 2 6" xfId="3138" xr:uid="{00000000-0005-0000-0000-000046750000}"/>
    <cellStyle name="Hyperlink 2 7" xfId="3139" xr:uid="{00000000-0005-0000-0000-000047750000}"/>
    <cellStyle name="Hyperlink 2 8" xfId="3140" xr:uid="{00000000-0005-0000-0000-000048750000}"/>
    <cellStyle name="Hyperlink 2 9" xfId="3141" xr:uid="{00000000-0005-0000-0000-000049750000}"/>
    <cellStyle name="Hyperlink 3" xfId="680" xr:uid="{00000000-0005-0000-0000-00004A750000}"/>
    <cellStyle name="Hyperlink 3 10" xfId="3143" xr:uid="{00000000-0005-0000-0000-00004B750000}"/>
    <cellStyle name="Hyperlink 3 11" xfId="3144" xr:uid="{00000000-0005-0000-0000-00004C750000}"/>
    <cellStyle name="Hyperlink 3 12" xfId="3145" xr:uid="{00000000-0005-0000-0000-00004D750000}"/>
    <cellStyle name="Hyperlink 3 13" xfId="3142" xr:uid="{00000000-0005-0000-0000-00004E750000}"/>
    <cellStyle name="Hyperlink 3 14" xfId="12435" xr:uid="{00000000-0005-0000-0000-00004F750000}"/>
    <cellStyle name="Hyperlink 3 2" xfId="3146" xr:uid="{00000000-0005-0000-0000-000050750000}"/>
    <cellStyle name="Hyperlink 3 3" xfId="3147" xr:uid="{00000000-0005-0000-0000-000051750000}"/>
    <cellStyle name="Hyperlink 3 3 2" xfId="23418" xr:uid="{00000000-0005-0000-0000-000052750000}"/>
    <cellStyle name="Hyperlink 3 4" xfId="3148" xr:uid="{00000000-0005-0000-0000-000053750000}"/>
    <cellStyle name="Hyperlink 3 4 2" xfId="52856" xr:uid="{00000000-0005-0000-0000-000054750000}"/>
    <cellStyle name="Hyperlink 3 5" xfId="3149" xr:uid="{00000000-0005-0000-0000-000055750000}"/>
    <cellStyle name="Hyperlink 3 6" xfId="3150" xr:uid="{00000000-0005-0000-0000-000056750000}"/>
    <cellStyle name="Hyperlink 3 7" xfId="3151" xr:uid="{00000000-0005-0000-0000-000057750000}"/>
    <cellStyle name="Hyperlink 3 8" xfId="3152" xr:uid="{00000000-0005-0000-0000-000058750000}"/>
    <cellStyle name="Hyperlink 3 9" xfId="3153" xr:uid="{00000000-0005-0000-0000-000059750000}"/>
    <cellStyle name="Hyperlink 4" xfId="3154" xr:uid="{00000000-0005-0000-0000-00005A750000}"/>
    <cellStyle name="Hyperlink 4 2" xfId="6775" xr:uid="{00000000-0005-0000-0000-00005B750000}"/>
    <cellStyle name="Hyperlink 4 3" xfId="12603" xr:uid="{00000000-0005-0000-0000-00005C750000}"/>
    <cellStyle name="Hyperlink 5" xfId="3155" xr:uid="{00000000-0005-0000-0000-00005D750000}"/>
    <cellStyle name="Hyperlink 5 2" xfId="12853" xr:uid="{00000000-0005-0000-0000-00005E750000}"/>
    <cellStyle name="Hyperlink 6" xfId="12433" xr:uid="{00000000-0005-0000-0000-00005F750000}"/>
    <cellStyle name="Hyperlink 7" xfId="22484" xr:uid="{00000000-0005-0000-0000-000060750000}"/>
    <cellStyle name="Hyperlink 8" xfId="33015" xr:uid="{00000000-0005-0000-0000-000061750000}"/>
    <cellStyle name="InLink_Acquis_CapitalCost " xfId="3156" xr:uid="{00000000-0005-0000-0000-000062750000}"/>
    <cellStyle name="Input (1dp#)_ Pies " xfId="3157" xr:uid="{00000000-0005-0000-0000-000063750000}"/>
    <cellStyle name="Input [yellow]" xfId="681" xr:uid="{00000000-0005-0000-0000-000064750000}"/>
    <cellStyle name="Input [yellow] 2" xfId="3158" xr:uid="{00000000-0005-0000-0000-000065750000}"/>
    <cellStyle name="Input [yellow] 2 2" xfId="13636" xr:uid="{00000000-0005-0000-0000-000066750000}"/>
    <cellStyle name="Input [yellow] 2 3" xfId="12437" xr:uid="{00000000-0005-0000-0000-000067750000}"/>
    <cellStyle name="Input [yellow] 3" xfId="6153" xr:uid="{00000000-0005-0000-0000-000068750000}"/>
    <cellStyle name="Input [yellow] 3 2" xfId="12855" xr:uid="{00000000-0005-0000-0000-000069750000}"/>
    <cellStyle name="Input [yellow] 4" xfId="12436" xr:uid="{00000000-0005-0000-0000-00006A750000}"/>
    <cellStyle name="Input [yellow] 5" xfId="11980" xr:uid="{00000000-0005-0000-0000-00006B750000}"/>
    <cellStyle name="Input 10" xfId="682" xr:uid="{00000000-0005-0000-0000-00006C750000}"/>
    <cellStyle name="Input 10 2" xfId="13651" xr:uid="{00000000-0005-0000-0000-00006D750000}"/>
    <cellStyle name="Input 10 3" xfId="22424" xr:uid="{00000000-0005-0000-0000-00006E750000}"/>
    <cellStyle name="Input 10 4" xfId="23419" xr:uid="{00000000-0005-0000-0000-00006F750000}"/>
    <cellStyle name="Input 10 5" xfId="53065" xr:uid="{00000000-0005-0000-0000-000070750000}"/>
    <cellStyle name="Input 10 6" xfId="12438" xr:uid="{00000000-0005-0000-0000-000071750000}"/>
    <cellStyle name="Input 11" xfId="683" xr:uid="{00000000-0005-0000-0000-000072750000}"/>
    <cellStyle name="Input 11 2" xfId="13650" xr:uid="{00000000-0005-0000-0000-000073750000}"/>
    <cellStyle name="Input 11 3" xfId="22425" xr:uid="{00000000-0005-0000-0000-000074750000}"/>
    <cellStyle name="Input 11 4" xfId="23420" xr:uid="{00000000-0005-0000-0000-000075750000}"/>
    <cellStyle name="Input 11 5" xfId="52889" xr:uid="{00000000-0005-0000-0000-000076750000}"/>
    <cellStyle name="Input 11 6" xfId="12439" xr:uid="{00000000-0005-0000-0000-000077750000}"/>
    <cellStyle name="Input 12" xfId="684" xr:uid="{00000000-0005-0000-0000-000078750000}"/>
    <cellStyle name="Input 12 2" xfId="13657" xr:uid="{00000000-0005-0000-0000-000079750000}"/>
    <cellStyle name="Input 12 3" xfId="22426" xr:uid="{00000000-0005-0000-0000-00007A750000}"/>
    <cellStyle name="Input 12 4" xfId="23421" xr:uid="{00000000-0005-0000-0000-00007B750000}"/>
    <cellStyle name="Input 12 5" xfId="52888" xr:uid="{00000000-0005-0000-0000-00007C750000}"/>
    <cellStyle name="Input 12 6" xfId="12440" xr:uid="{00000000-0005-0000-0000-00007D750000}"/>
    <cellStyle name="Input 13" xfId="685" xr:uid="{00000000-0005-0000-0000-00007E750000}"/>
    <cellStyle name="Input 13 2" xfId="13672" xr:uid="{00000000-0005-0000-0000-00007F750000}"/>
    <cellStyle name="Input 13 3" xfId="22427" xr:uid="{00000000-0005-0000-0000-000080750000}"/>
    <cellStyle name="Input 13 4" xfId="23422" xr:uid="{00000000-0005-0000-0000-000081750000}"/>
    <cellStyle name="Input 13 5" xfId="53073" xr:uid="{00000000-0005-0000-0000-000082750000}"/>
    <cellStyle name="Input 13 6" xfId="12441" xr:uid="{00000000-0005-0000-0000-000083750000}"/>
    <cellStyle name="Input 14" xfId="686" xr:uid="{00000000-0005-0000-0000-000084750000}"/>
    <cellStyle name="Input 14 2" xfId="13649" xr:uid="{00000000-0005-0000-0000-000085750000}"/>
    <cellStyle name="Input 14 3" xfId="22428" xr:uid="{00000000-0005-0000-0000-000086750000}"/>
    <cellStyle name="Input 14 4" xfId="23423" xr:uid="{00000000-0005-0000-0000-000087750000}"/>
    <cellStyle name="Input 14 5" xfId="53068" xr:uid="{00000000-0005-0000-0000-000088750000}"/>
    <cellStyle name="Input 14 6" xfId="12442" xr:uid="{00000000-0005-0000-0000-000089750000}"/>
    <cellStyle name="Input 15" xfId="687" xr:uid="{00000000-0005-0000-0000-00008A750000}"/>
    <cellStyle name="Input 15 2" xfId="13647" xr:uid="{00000000-0005-0000-0000-00008B750000}"/>
    <cellStyle name="Input 15 3" xfId="22429" xr:uid="{00000000-0005-0000-0000-00008C750000}"/>
    <cellStyle name="Input 15 4" xfId="23424" xr:uid="{00000000-0005-0000-0000-00008D750000}"/>
    <cellStyle name="Input 15 5" xfId="53064" xr:uid="{00000000-0005-0000-0000-00008E750000}"/>
    <cellStyle name="Input 15 6" xfId="12443" xr:uid="{00000000-0005-0000-0000-00008F750000}"/>
    <cellStyle name="Input 16" xfId="688" xr:uid="{00000000-0005-0000-0000-000090750000}"/>
    <cellStyle name="Input 16 2" xfId="6160" xr:uid="{00000000-0005-0000-0000-000091750000}"/>
    <cellStyle name="Input 16 2 2" xfId="13661" xr:uid="{00000000-0005-0000-0000-000092750000}"/>
    <cellStyle name="Input 16 3" xfId="23425" xr:uid="{00000000-0005-0000-0000-000093750000}"/>
    <cellStyle name="Input 16 4" xfId="53070" xr:uid="{00000000-0005-0000-0000-000094750000}"/>
    <cellStyle name="Input 16 5" xfId="12444" xr:uid="{00000000-0005-0000-0000-000095750000}"/>
    <cellStyle name="Input 17" xfId="689" xr:uid="{00000000-0005-0000-0000-000096750000}"/>
    <cellStyle name="Input 17 2" xfId="6221" xr:uid="{00000000-0005-0000-0000-000097750000}"/>
    <cellStyle name="Input 17 2 2" xfId="13662" xr:uid="{00000000-0005-0000-0000-000098750000}"/>
    <cellStyle name="Input 17 3" xfId="23426" xr:uid="{00000000-0005-0000-0000-000099750000}"/>
    <cellStyle name="Input 17 4" xfId="52897" xr:uid="{00000000-0005-0000-0000-00009A750000}"/>
    <cellStyle name="Input 17 5" xfId="12445" xr:uid="{00000000-0005-0000-0000-00009B750000}"/>
    <cellStyle name="Input 18" xfId="690" xr:uid="{00000000-0005-0000-0000-00009C750000}"/>
    <cellStyle name="Input 18 2" xfId="6220" xr:uid="{00000000-0005-0000-0000-00009D750000}"/>
    <cellStyle name="Input 18 2 2" xfId="13660" xr:uid="{00000000-0005-0000-0000-00009E750000}"/>
    <cellStyle name="Input 18 3" xfId="23427" xr:uid="{00000000-0005-0000-0000-00009F750000}"/>
    <cellStyle name="Input 18 4" xfId="53063" xr:uid="{00000000-0005-0000-0000-0000A0750000}"/>
    <cellStyle name="Input 18 5" xfId="12446" xr:uid="{00000000-0005-0000-0000-0000A1750000}"/>
    <cellStyle name="Input 19" xfId="691" xr:uid="{00000000-0005-0000-0000-0000A2750000}"/>
    <cellStyle name="Input 19 2" xfId="6219" xr:uid="{00000000-0005-0000-0000-0000A3750000}"/>
    <cellStyle name="Input 19 2 2" xfId="13663" xr:uid="{00000000-0005-0000-0000-0000A4750000}"/>
    <cellStyle name="Input 19 3" xfId="23428" xr:uid="{00000000-0005-0000-0000-0000A5750000}"/>
    <cellStyle name="Input 19 4" xfId="53069" xr:uid="{00000000-0005-0000-0000-0000A6750000}"/>
    <cellStyle name="Input 19 5" xfId="12447" xr:uid="{00000000-0005-0000-0000-0000A7750000}"/>
    <cellStyle name="Input 2" xfId="692" xr:uid="{00000000-0005-0000-0000-0000A8750000}"/>
    <cellStyle name="Input 2 10" xfId="3159" xr:uid="{00000000-0005-0000-0000-0000A9750000}"/>
    <cellStyle name="Input 2 11" xfId="6008" xr:uid="{00000000-0005-0000-0000-0000AA750000}"/>
    <cellStyle name="Input 2 2" xfId="693" xr:uid="{00000000-0005-0000-0000-0000AB750000}"/>
    <cellStyle name="Input 2 2 2" xfId="3161" xr:uid="{00000000-0005-0000-0000-0000AC750000}"/>
    <cellStyle name="Input 2 2 2 2" xfId="12754" xr:uid="{00000000-0005-0000-0000-0000AD750000}"/>
    <cellStyle name="Input 2 2 3" xfId="3160" xr:uid="{00000000-0005-0000-0000-0000AE750000}"/>
    <cellStyle name="Input 2 2 3 2" xfId="12449" xr:uid="{00000000-0005-0000-0000-0000AF750000}"/>
    <cellStyle name="Input 2 2 4" xfId="6007" xr:uid="{00000000-0005-0000-0000-0000B0750000}"/>
    <cellStyle name="Input 2 2 4 2" xfId="22561" xr:uid="{00000000-0005-0000-0000-0000B1750000}"/>
    <cellStyle name="Input 2 2 5" xfId="23325" xr:uid="{00000000-0005-0000-0000-0000B2750000}"/>
    <cellStyle name="Input 2 2 6" xfId="12199" xr:uid="{00000000-0005-0000-0000-0000B3750000}"/>
    <cellStyle name="Input 2 3" xfId="3162" xr:uid="{00000000-0005-0000-0000-0000B4750000}"/>
    <cellStyle name="Input 2 3 2" xfId="13574" xr:uid="{00000000-0005-0000-0000-0000B5750000}"/>
    <cellStyle name="Input 2 3 3" xfId="13793" xr:uid="{00000000-0005-0000-0000-0000B6750000}"/>
    <cellStyle name="Input 2 3 4" xfId="14372" xr:uid="{00000000-0005-0000-0000-0000B7750000}"/>
    <cellStyle name="Input 2 3 5" xfId="12450" xr:uid="{00000000-0005-0000-0000-0000B8750000}"/>
    <cellStyle name="Input 2 4" xfId="3163" xr:uid="{00000000-0005-0000-0000-0000B9750000}"/>
    <cellStyle name="Input 2 4 2" xfId="12672" xr:uid="{00000000-0005-0000-0000-0000BA750000}"/>
    <cellStyle name="Input 2 5" xfId="3164" xr:uid="{00000000-0005-0000-0000-0000BB750000}"/>
    <cellStyle name="Input 2 5 2" xfId="12856" xr:uid="{00000000-0005-0000-0000-0000BC750000}"/>
    <cellStyle name="Input 2 6" xfId="3165" xr:uid="{00000000-0005-0000-0000-0000BD750000}"/>
    <cellStyle name="Input 2 6 2" xfId="13514" xr:uid="{00000000-0005-0000-0000-0000BE750000}"/>
    <cellStyle name="Input 2 7" xfId="3166" xr:uid="{00000000-0005-0000-0000-0000BF750000}"/>
    <cellStyle name="Input 2 7 2" xfId="12448" xr:uid="{00000000-0005-0000-0000-0000C0750000}"/>
    <cellStyle name="Input 2 8" xfId="3167" xr:uid="{00000000-0005-0000-0000-0000C1750000}"/>
    <cellStyle name="Input 2 8 2" xfId="22430" xr:uid="{00000000-0005-0000-0000-0000C2750000}"/>
    <cellStyle name="Input 2 9" xfId="3168" xr:uid="{00000000-0005-0000-0000-0000C3750000}"/>
    <cellStyle name="Input 20" xfId="694" xr:uid="{00000000-0005-0000-0000-0000C4750000}"/>
    <cellStyle name="Input 20 2" xfId="6222" xr:uid="{00000000-0005-0000-0000-0000C5750000}"/>
    <cellStyle name="Input 20 2 2" xfId="13646" xr:uid="{00000000-0005-0000-0000-0000C6750000}"/>
    <cellStyle name="Input 20 3" xfId="23429" xr:uid="{00000000-0005-0000-0000-0000C7750000}"/>
    <cellStyle name="Input 20 4" xfId="53075" xr:uid="{00000000-0005-0000-0000-0000C8750000}"/>
    <cellStyle name="Input 20 5" xfId="12451" xr:uid="{00000000-0005-0000-0000-0000C9750000}"/>
    <cellStyle name="Input 21" xfId="695" xr:uid="{00000000-0005-0000-0000-0000CA750000}"/>
    <cellStyle name="Input 21 2" xfId="13666" xr:uid="{00000000-0005-0000-0000-0000CB750000}"/>
    <cellStyle name="Input 21 3" xfId="23430" xr:uid="{00000000-0005-0000-0000-0000CC750000}"/>
    <cellStyle name="Input 21 4" xfId="53071" xr:uid="{00000000-0005-0000-0000-0000CD750000}"/>
    <cellStyle name="Input 21 5" xfId="12452" xr:uid="{00000000-0005-0000-0000-0000CE750000}"/>
    <cellStyle name="Input 22" xfId="696" xr:uid="{00000000-0005-0000-0000-0000CF750000}"/>
    <cellStyle name="Input 22 2" xfId="13673" xr:uid="{00000000-0005-0000-0000-0000D0750000}"/>
    <cellStyle name="Input 22 3" xfId="23431" xr:uid="{00000000-0005-0000-0000-0000D1750000}"/>
    <cellStyle name="Input 22 4" xfId="53074" xr:uid="{00000000-0005-0000-0000-0000D2750000}"/>
    <cellStyle name="Input 22 5" xfId="12453" xr:uid="{00000000-0005-0000-0000-0000D3750000}"/>
    <cellStyle name="Input 23" xfId="697" xr:uid="{00000000-0005-0000-0000-0000D4750000}"/>
    <cellStyle name="Input 23 2" xfId="13668" xr:uid="{00000000-0005-0000-0000-0000D5750000}"/>
    <cellStyle name="Input 23 3" xfId="53072" xr:uid="{00000000-0005-0000-0000-0000D6750000}"/>
    <cellStyle name="Input 23 4" xfId="12454" xr:uid="{00000000-0005-0000-0000-0000D7750000}"/>
    <cellStyle name="Input 24" xfId="698" xr:uid="{00000000-0005-0000-0000-0000D8750000}"/>
    <cellStyle name="Input 24 2" xfId="13664" xr:uid="{00000000-0005-0000-0000-0000D9750000}"/>
    <cellStyle name="Input 24 3" xfId="53067" xr:uid="{00000000-0005-0000-0000-0000DA750000}"/>
    <cellStyle name="Input 24 4" xfId="12455" xr:uid="{00000000-0005-0000-0000-0000DB750000}"/>
    <cellStyle name="Input 25" xfId="699" xr:uid="{00000000-0005-0000-0000-0000DC750000}"/>
    <cellStyle name="Input 25 2" xfId="13667" xr:uid="{00000000-0005-0000-0000-0000DD750000}"/>
    <cellStyle name="Input 25 3" xfId="53076" xr:uid="{00000000-0005-0000-0000-0000DE750000}"/>
    <cellStyle name="Input 25 4" xfId="12456" xr:uid="{00000000-0005-0000-0000-0000DF750000}"/>
    <cellStyle name="Input 26" xfId="700" xr:uid="{00000000-0005-0000-0000-0000E0750000}"/>
    <cellStyle name="Input 26 2" xfId="13652" xr:uid="{00000000-0005-0000-0000-0000E1750000}"/>
    <cellStyle name="Input 26 3" xfId="52886" xr:uid="{00000000-0005-0000-0000-0000E2750000}"/>
    <cellStyle name="Input 26 4" xfId="12457" xr:uid="{00000000-0005-0000-0000-0000E3750000}"/>
    <cellStyle name="Input 27" xfId="12458" xr:uid="{00000000-0005-0000-0000-0000E4750000}"/>
    <cellStyle name="Input 27 2" xfId="13648" xr:uid="{00000000-0005-0000-0000-0000E5750000}"/>
    <cellStyle name="Input 27 3" xfId="53078" xr:uid="{00000000-0005-0000-0000-0000E6750000}"/>
    <cellStyle name="Input 28" xfId="12459" xr:uid="{00000000-0005-0000-0000-0000E7750000}"/>
    <cellStyle name="Input 28 2" xfId="13674" xr:uid="{00000000-0005-0000-0000-0000E8750000}"/>
    <cellStyle name="Input 28 3" xfId="53079" xr:uid="{00000000-0005-0000-0000-0000E9750000}"/>
    <cellStyle name="Input 29" xfId="12460" xr:uid="{00000000-0005-0000-0000-0000EA750000}"/>
    <cellStyle name="Input 29 2" xfId="13716" xr:uid="{00000000-0005-0000-0000-0000EB750000}"/>
    <cellStyle name="Input 29 3" xfId="53077" xr:uid="{00000000-0005-0000-0000-0000EC750000}"/>
    <cellStyle name="Input 3" xfId="701" xr:uid="{00000000-0005-0000-0000-0000ED750000}"/>
    <cellStyle name="Input 3 2" xfId="3169" xr:uid="{00000000-0005-0000-0000-0000EE750000}"/>
    <cellStyle name="Input 3 2 2" xfId="13268" xr:uid="{00000000-0005-0000-0000-0000EF750000}"/>
    <cellStyle name="Input 3 3" xfId="13557" xr:uid="{00000000-0005-0000-0000-0000F0750000}"/>
    <cellStyle name="Input 3 4" xfId="22431" xr:uid="{00000000-0005-0000-0000-0000F1750000}"/>
    <cellStyle name="Input 3 5" xfId="23432" xr:uid="{00000000-0005-0000-0000-0000F2750000}"/>
    <cellStyle name="Input 3 6" xfId="52480" xr:uid="{00000000-0005-0000-0000-0000F3750000}"/>
    <cellStyle name="Input 3 7" xfId="12461" xr:uid="{00000000-0005-0000-0000-0000F4750000}"/>
    <cellStyle name="Input 30" xfId="12657" xr:uid="{00000000-0005-0000-0000-0000F5750000}"/>
    <cellStyle name="Input 30 2" xfId="53082" xr:uid="{00000000-0005-0000-0000-0000F6750000}"/>
    <cellStyle name="Input 31" xfId="12854" xr:uid="{00000000-0005-0000-0000-0000F7750000}"/>
    <cellStyle name="Input 31 2" xfId="53084" xr:uid="{00000000-0005-0000-0000-0000F8750000}"/>
    <cellStyle name="Input 32" xfId="13418" xr:uid="{00000000-0005-0000-0000-0000F9750000}"/>
    <cellStyle name="Input 32 2" xfId="53081" xr:uid="{00000000-0005-0000-0000-0000FA750000}"/>
    <cellStyle name="Input 33" xfId="13758" xr:uid="{00000000-0005-0000-0000-0000FB750000}"/>
    <cellStyle name="Input 33 2" xfId="53083" xr:uid="{00000000-0005-0000-0000-0000FC750000}"/>
    <cellStyle name="Input 34" xfId="13759" xr:uid="{00000000-0005-0000-0000-0000FD750000}"/>
    <cellStyle name="Input 34 2" xfId="53281" xr:uid="{00000000-0005-0000-0000-0000FE750000}"/>
    <cellStyle name="Input 35" xfId="13773" xr:uid="{00000000-0005-0000-0000-0000FF750000}"/>
    <cellStyle name="Input 36" xfId="13750" xr:uid="{00000000-0005-0000-0000-000000760000}"/>
    <cellStyle name="Input 37" xfId="13762" xr:uid="{00000000-0005-0000-0000-000001760000}"/>
    <cellStyle name="Input 38" xfId="13774" xr:uid="{00000000-0005-0000-0000-000002760000}"/>
    <cellStyle name="Input 39" xfId="22204" xr:uid="{00000000-0005-0000-0000-000003760000}"/>
    <cellStyle name="Input 4" xfId="702" xr:uid="{00000000-0005-0000-0000-000004760000}"/>
    <cellStyle name="Input 4 2" xfId="13423" xr:uid="{00000000-0005-0000-0000-000005760000}"/>
    <cellStyle name="Input 4 3" xfId="13607" xr:uid="{00000000-0005-0000-0000-000006760000}"/>
    <cellStyle name="Input 4 4" xfId="22432" xr:uid="{00000000-0005-0000-0000-000007760000}"/>
    <cellStyle name="Input 4 5" xfId="23433" xr:uid="{00000000-0005-0000-0000-000008760000}"/>
    <cellStyle name="Input 4 6" xfId="52515" xr:uid="{00000000-0005-0000-0000-000009760000}"/>
    <cellStyle name="Input 4 7" xfId="12462" xr:uid="{00000000-0005-0000-0000-00000A760000}"/>
    <cellStyle name="Input 40" xfId="22232" xr:uid="{00000000-0005-0000-0000-00000B760000}"/>
    <cellStyle name="Input 41" xfId="22258" xr:uid="{00000000-0005-0000-0000-00000C760000}"/>
    <cellStyle name="Input 42" xfId="22732" xr:uid="{00000000-0005-0000-0000-00000D760000}"/>
    <cellStyle name="Input 43" xfId="23246" xr:uid="{00000000-0005-0000-0000-00000E760000}"/>
    <cellStyle name="Input 44" xfId="23089" xr:uid="{00000000-0005-0000-0000-00000F760000}"/>
    <cellStyle name="Input 45" xfId="24182" xr:uid="{00000000-0005-0000-0000-000010760000}"/>
    <cellStyle name="Input 46" xfId="33128" xr:uid="{00000000-0005-0000-0000-000011760000}"/>
    <cellStyle name="Input 47" xfId="52247" xr:uid="{00000000-0005-0000-0000-000012760000}"/>
    <cellStyle name="Input 48" xfId="52249" xr:uid="{00000000-0005-0000-0000-000013760000}"/>
    <cellStyle name="Input 49" xfId="52251" xr:uid="{00000000-0005-0000-0000-000014760000}"/>
    <cellStyle name="Input 5" xfId="703" xr:uid="{00000000-0005-0000-0000-000015760000}"/>
    <cellStyle name="Input 5 2" xfId="13492" xr:uid="{00000000-0005-0000-0000-000016760000}"/>
    <cellStyle name="Input 5 3" xfId="13608" xr:uid="{00000000-0005-0000-0000-000017760000}"/>
    <cellStyle name="Input 5 4" xfId="22433" xr:uid="{00000000-0005-0000-0000-000018760000}"/>
    <cellStyle name="Input 5 5" xfId="23434" xr:uid="{00000000-0005-0000-0000-000019760000}"/>
    <cellStyle name="Input 5 6" xfId="52887" xr:uid="{00000000-0005-0000-0000-00001A760000}"/>
    <cellStyle name="Input 5 7" xfId="12463" xr:uid="{00000000-0005-0000-0000-00001B760000}"/>
    <cellStyle name="Input 50" xfId="52254" xr:uid="{00000000-0005-0000-0000-00001C760000}"/>
    <cellStyle name="Input 51" xfId="52257" xr:uid="{00000000-0005-0000-0000-00001D760000}"/>
    <cellStyle name="Input 52" xfId="52440" xr:uid="{00000000-0005-0000-0000-00001E760000}"/>
    <cellStyle name="Input 53" xfId="11951" xr:uid="{00000000-0005-0000-0000-00001F760000}"/>
    <cellStyle name="Input 6" xfId="704" xr:uid="{00000000-0005-0000-0000-000020760000}"/>
    <cellStyle name="Input 6 2" xfId="13611" xr:uid="{00000000-0005-0000-0000-000021760000}"/>
    <cellStyle name="Input 6 3" xfId="22434" xr:uid="{00000000-0005-0000-0000-000022760000}"/>
    <cellStyle name="Input 6 4" xfId="23435" xr:uid="{00000000-0005-0000-0000-000023760000}"/>
    <cellStyle name="Input 6 5" xfId="52890" xr:uid="{00000000-0005-0000-0000-000024760000}"/>
    <cellStyle name="Input 6 6" xfId="12464" xr:uid="{00000000-0005-0000-0000-000025760000}"/>
    <cellStyle name="Input 7" xfId="705" xr:uid="{00000000-0005-0000-0000-000026760000}"/>
    <cellStyle name="Input 7 2" xfId="13612" xr:uid="{00000000-0005-0000-0000-000027760000}"/>
    <cellStyle name="Input 7 3" xfId="22435" xr:uid="{00000000-0005-0000-0000-000028760000}"/>
    <cellStyle name="Input 7 4" xfId="23436" xr:uid="{00000000-0005-0000-0000-000029760000}"/>
    <cellStyle name="Input 7 5" xfId="53066" xr:uid="{00000000-0005-0000-0000-00002A760000}"/>
    <cellStyle name="Input 7 6" xfId="12465" xr:uid="{00000000-0005-0000-0000-00002B760000}"/>
    <cellStyle name="Input 8" xfId="706" xr:uid="{00000000-0005-0000-0000-00002C760000}"/>
    <cellStyle name="Input 8 2" xfId="13616" xr:uid="{00000000-0005-0000-0000-00002D760000}"/>
    <cellStyle name="Input 8 3" xfId="22436" xr:uid="{00000000-0005-0000-0000-00002E760000}"/>
    <cellStyle name="Input 8 4" xfId="23437" xr:uid="{00000000-0005-0000-0000-00002F760000}"/>
    <cellStyle name="Input 8 5" xfId="52895" xr:uid="{00000000-0005-0000-0000-000030760000}"/>
    <cellStyle name="Input 8 6" xfId="12466" xr:uid="{00000000-0005-0000-0000-000031760000}"/>
    <cellStyle name="Input 9" xfId="707" xr:uid="{00000000-0005-0000-0000-000032760000}"/>
    <cellStyle name="Input 9 2" xfId="13617" xr:uid="{00000000-0005-0000-0000-000033760000}"/>
    <cellStyle name="Input 9 3" xfId="22437" xr:uid="{00000000-0005-0000-0000-000034760000}"/>
    <cellStyle name="Input 9 4" xfId="23438" xr:uid="{00000000-0005-0000-0000-000035760000}"/>
    <cellStyle name="Input 9 5" xfId="52896" xr:uid="{00000000-0005-0000-0000-000036760000}"/>
    <cellStyle name="Input 9 6" xfId="12467" xr:uid="{00000000-0005-0000-0000-000037760000}"/>
    <cellStyle name="InputBlueFont" xfId="3170" xr:uid="{00000000-0005-0000-0000-000038760000}"/>
    <cellStyle name="InputGen" xfId="3171" xr:uid="{00000000-0005-0000-0000-000039760000}"/>
    <cellStyle name="InputKeepColour" xfId="3172" xr:uid="{00000000-0005-0000-0000-00003A760000}"/>
    <cellStyle name="InputKeepPale" xfId="3173" xr:uid="{00000000-0005-0000-0000-00003B760000}"/>
    <cellStyle name="InputVariColour" xfId="3174" xr:uid="{00000000-0005-0000-0000-00003C760000}"/>
    <cellStyle name="Integer" xfId="3175" xr:uid="{00000000-0005-0000-0000-00003D760000}"/>
    <cellStyle name="Invisible" xfId="3176" xr:uid="{00000000-0005-0000-0000-00003E760000}"/>
    <cellStyle name="Item" xfId="3177" xr:uid="{00000000-0005-0000-0000-00003F760000}"/>
    <cellStyle name="Items_Obligatory" xfId="3178" xr:uid="{00000000-0005-0000-0000-000040760000}"/>
    <cellStyle name="ItemTypeClass" xfId="3179" xr:uid="{00000000-0005-0000-0000-000041760000}"/>
    <cellStyle name="ItemTypeClass 2" xfId="6006" xr:uid="{00000000-0005-0000-0000-000042760000}"/>
    <cellStyle name="KP_Normal" xfId="3180" xr:uid="{00000000-0005-0000-0000-000043760000}"/>
    <cellStyle name="Lien hypertexte visité_index" xfId="3181" xr:uid="{00000000-0005-0000-0000-000044760000}"/>
    <cellStyle name="Lien hypertexte_index" xfId="3182" xr:uid="{00000000-0005-0000-0000-000045760000}"/>
    <cellStyle name="ligne_detail" xfId="3183" xr:uid="{00000000-0005-0000-0000-000046760000}"/>
    <cellStyle name="Line" xfId="3184" xr:uid="{00000000-0005-0000-0000-000047760000}"/>
    <cellStyle name="Link Currency (0)" xfId="3185" xr:uid="{00000000-0005-0000-0000-000048760000}"/>
    <cellStyle name="Link Currency (2)" xfId="3186" xr:uid="{00000000-0005-0000-0000-000049760000}"/>
    <cellStyle name="Link Units (0)" xfId="3187" xr:uid="{00000000-0005-0000-0000-00004A760000}"/>
    <cellStyle name="Link Units (1)" xfId="3188" xr:uid="{00000000-0005-0000-0000-00004B760000}"/>
    <cellStyle name="Link Units (2)" xfId="3189" xr:uid="{00000000-0005-0000-0000-00004C760000}"/>
    <cellStyle name="Linked Cell 10" xfId="708" xr:uid="{00000000-0005-0000-0000-00004D760000}"/>
    <cellStyle name="Linked Cell 11" xfId="709" xr:uid="{00000000-0005-0000-0000-00004E760000}"/>
    <cellStyle name="Linked Cell 12" xfId="710" xr:uid="{00000000-0005-0000-0000-00004F760000}"/>
    <cellStyle name="Linked Cell 13" xfId="711" xr:uid="{00000000-0005-0000-0000-000050760000}"/>
    <cellStyle name="Linked Cell 14" xfId="712" xr:uid="{00000000-0005-0000-0000-000051760000}"/>
    <cellStyle name="Linked Cell 15" xfId="713" xr:uid="{00000000-0005-0000-0000-000052760000}"/>
    <cellStyle name="Linked Cell 16" xfId="714" xr:uid="{00000000-0005-0000-0000-000053760000}"/>
    <cellStyle name="Linked Cell 17" xfId="33137" xr:uid="{00000000-0005-0000-0000-000054760000}"/>
    <cellStyle name="Linked Cell 2" xfId="715" xr:uid="{00000000-0005-0000-0000-000055760000}"/>
    <cellStyle name="Linked Cell 2 10" xfId="3190" xr:uid="{00000000-0005-0000-0000-000056760000}"/>
    <cellStyle name="Linked Cell 2 2" xfId="716" xr:uid="{00000000-0005-0000-0000-000057760000}"/>
    <cellStyle name="Linked Cell 2 2 2" xfId="3191" xr:uid="{00000000-0005-0000-0000-000058760000}"/>
    <cellStyle name="Linked Cell 2 2 2 2" xfId="12755" xr:uid="{00000000-0005-0000-0000-000059760000}"/>
    <cellStyle name="Linked Cell 2 2 3" xfId="12469" xr:uid="{00000000-0005-0000-0000-00005A760000}"/>
    <cellStyle name="Linked Cell 2 2 4" xfId="22564" xr:uid="{00000000-0005-0000-0000-00005B760000}"/>
    <cellStyle name="Linked Cell 2 2 5" xfId="23326" xr:uid="{00000000-0005-0000-0000-00005C760000}"/>
    <cellStyle name="Linked Cell 2 2 6" xfId="12201" xr:uid="{00000000-0005-0000-0000-00005D760000}"/>
    <cellStyle name="Linked Cell 2 3" xfId="3192" xr:uid="{00000000-0005-0000-0000-00005E760000}"/>
    <cellStyle name="Linked Cell 2 3 2" xfId="13577" xr:uid="{00000000-0005-0000-0000-00005F760000}"/>
    <cellStyle name="Linked Cell 2 3 3" xfId="13794" xr:uid="{00000000-0005-0000-0000-000060760000}"/>
    <cellStyle name="Linked Cell 2 3 4" xfId="14373" xr:uid="{00000000-0005-0000-0000-000061760000}"/>
    <cellStyle name="Linked Cell 2 3 5" xfId="12470" xr:uid="{00000000-0005-0000-0000-000062760000}"/>
    <cellStyle name="Linked Cell 2 4" xfId="3193" xr:uid="{00000000-0005-0000-0000-000063760000}"/>
    <cellStyle name="Linked Cell 2 4 2" xfId="12675" xr:uid="{00000000-0005-0000-0000-000064760000}"/>
    <cellStyle name="Linked Cell 2 5" xfId="3194" xr:uid="{00000000-0005-0000-0000-000065760000}"/>
    <cellStyle name="Linked Cell 2 5 2" xfId="12858" xr:uid="{00000000-0005-0000-0000-000066760000}"/>
    <cellStyle name="Linked Cell 2 6" xfId="3195" xr:uid="{00000000-0005-0000-0000-000067760000}"/>
    <cellStyle name="Linked Cell 2 6 2" xfId="13515" xr:uid="{00000000-0005-0000-0000-000068760000}"/>
    <cellStyle name="Linked Cell 2 7" xfId="3196" xr:uid="{00000000-0005-0000-0000-000069760000}"/>
    <cellStyle name="Linked Cell 2 7 2" xfId="12468" xr:uid="{00000000-0005-0000-0000-00006A760000}"/>
    <cellStyle name="Linked Cell 2 8" xfId="3197" xr:uid="{00000000-0005-0000-0000-00006B760000}"/>
    <cellStyle name="Linked Cell 2 8 2" xfId="22438" xr:uid="{00000000-0005-0000-0000-00006C760000}"/>
    <cellStyle name="Linked Cell 2 9" xfId="3198" xr:uid="{00000000-0005-0000-0000-00006D760000}"/>
    <cellStyle name="Linked Cell 3" xfId="717" xr:uid="{00000000-0005-0000-0000-00006E760000}"/>
    <cellStyle name="Linked Cell 3 2" xfId="13269" xr:uid="{00000000-0005-0000-0000-00006F760000}"/>
    <cellStyle name="Linked Cell 3 3" xfId="13558" xr:uid="{00000000-0005-0000-0000-000070760000}"/>
    <cellStyle name="Linked Cell 3 4" xfId="22439" xr:uid="{00000000-0005-0000-0000-000071760000}"/>
    <cellStyle name="Linked Cell 3 5" xfId="23439" xr:uid="{00000000-0005-0000-0000-000072760000}"/>
    <cellStyle name="Linked Cell 3 6" xfId="12471" xr:uid="{00000000-0005-0000-0000-000073760000}"/>
    <cellStyle name="Linked Cell 4" xfId="718" xr:uid="{00000000-0005-0000-0000-000074760000}"/>
    <cellStyle name="Linked Cell 4 2" xfId="13717" xr:uid="{00000000-0005-0000-0000-000075760000}"/>
    <cellStyle name="Linked Cell 4 3" xfId="22440" xr:uid="{00000000-0005-0000-0000-000076760000}"/>
    <cellStyle name="Linked Cell 4 4" xfId="23440" xr:uid="{00000000-0005-0000-0000-000077760000}"/>
    <cellStyle name="Linked Cell 4 5" xfId="12472" xr:uid="{00000000-0005-0000-0000-000078760000}"/>
    <cellStyle name="Linked Cell 5" xfId="719" xr:uid="{00000000-0005-0000-0000-000079760000}"/>
    <cellStyle name="Linked Cell 5 2" xfId="22441" xr:uid="{00000000-0005-0000-0000-00007A760000}"/>
    <cellStyle name="Linked Cell 5 3" xfId="23555" xr:uid="{00000000-0005-0000-0000-00007B760000}"/>
    <cellStyle name="Linked Cell 5 4" xfId="12658" xr:uid="{00000000-0005-0000-0000-00007C760000}"/>
    <cellStyle name="Linked Cell 6" xfId="720" xr:uid="{00000000-0005-0000-0000-00007D760000}"/>
    <cellStyle name="Linked Cell 6 2" xfId="22442" xr:uid="{00000000-0005-0000-0000-00007E760000}"/>
    <cellStyle name="Linked Cell 6 3" xfId="23634" xr:uid="{00000000-0005-0000-0000-00007F760000}"/>
    <cellStyle name="Linked Cell 6 4" xfId="12857" xr:uid="{00000000-0005-0000-0000-000080760000}"/>
    <cellStyle name="Linked Cell 7" xfId="721" xr:uid="{00000000-0005-0000-0000-000081760000}"/>
    <cellStyle name="Linked Cell 8" xfId="722" xr:uid="{00000000-0005-0000-0000-000082760000}"/>
    <cellStyle name="Linked Cell 9" xfId="723" xr:uid="{00000000-0005-0000-0000-000083760000}"/>
    <cellStyle name="M" xfId="724" xr:uid="{00000000-0005-0000-0000-000084760000}"/>
    <cellStyle name="M 2" xfId="12474" xr:uid="{00000000-0005-0000-0000-000085760000}"/>
    <cellStyle name="M 2 2" xfId="13637" xr:uid="{00000000-0005-0000-0000-000086760000}"/>
    <cellStyle name="M 3" xfId="12859" xr:uid="{00000000-0005-0000-0000-000087760000}"/>
    <cellStyle name="M 4" xfId="12473" xr:uid="{00000000-0005-0000-0000-000088760000}"/>
    <cellStyle name="M.00" xfId="725" xr:uid="{00000000-0005-0000-0000-000089760000}"/>
    <cellStyle name="M.00 2" xfId="12476" xr:uid="{00000000-0005-0000-0000-00008A760000}"/>
    <cellStyle name="M.00 2 2" xfId="13638" xr:uid="{00000000-0005-0000-0000-00008B760000}"/>
    <cellStyle name="M.00 3" xfId="12860" xr:uid="{00000000-0005-0000-0000-00008C760000}"/>
    <cellStyle name="M.00 4" xfId="12475" xr:uid="{00000000-0005-0000-0000-00008D760000}"/>
    <cellStyle name="m/d/yy" xfId="3199" xr:uid="{00000000-0005-0000-0000-00008E760000}"/>
    <cellStyle name="M_9. Rev2Cost_GDPIPI" xfId="726" xr:uid="{00000000-0005-0000-0000-00008F760000}"/>
    <cellStyle name="M_9. Rev2Cost_GDPIPI 2" xfId="12478" xr:uid="{00000000-0005-0000-0000-000090760000}"/>
    <cellStyle name="M_9. Rev2Cost_GDPIPI 2 2" xfId="13639" xr:uid="{00000000-0005-0000-0000-000091760000}"/>
    <cellStyle name="M_9. Rev2Cost_GDPIPI 3" xfId="12861" xr:uid="{00000000-0005-0000-0000-000092760000}"/>
    <cellStyle name="M_9. Rev2Cost_GDPIPI 4" xfId="12477" xr:uid="{00000000-0005-0000-0000-000093760000}"/>
    <cellStyle name="M_lists" xfId="727" xr:uid="{00000000-0005-0000-0000-000094760000}"/>
    <cellStyle name="M_lists 2" xfId="12480" xr:uid="{00000000-0005-0000-0000-000095760000}"/>
    <cellStyle name="M_lists 2 2" xfId="13640" xr:uid="{00000000-0005-0000-0000-000096760000}"/>
    <cellStyle name="M_lists 3" xfId="12862" xr:uid="{00000000-0005-0000-0000-000097760000}"/>
    <cellStyle name="M_lists 4" xfId="12479" xr:uid="{00000000-0005-0000-0000-000098760000}"/>
    <cellStyle name="M_lists_4. Current Monthly Fixed Charge" xfId="728" xr:uid="{00000000-0005-0000-0000-000099760000}"/>
    <cellStyle name="M_lists_4. Current Monthly Fixed Charge 2" xfId="12482" xr:uid="{00000000-0005-0000-0000-00009A760000}"/>
    <cellStyle name="M_lists_4. Current Monthly Fixed Charge 2 2" xfId="13641" xr:uid="{00000000-0005-0000-0000-00009B760000}"/>
    <cellStyle name="M_lists_4. Current Monthly Fixed Charge 3" xfId="12863" xr:uid="{00000000-0005-0000-0000-00009C760000}"/>
    <cellStyle name="M_lists_4. Current Monthly Fixed Charge 4" xfId="12481" xr:uid="{00000000-0005-0000-0000-00009D760000}"/>
    <cellStyle name="M_Sheet4" xfId="729" xr:uid="{00000000-0005-0000-0000-00009E760000}"/>
    <cellStyle name="M_Sheet4 2" xfId="12484" xr:uid="{00000000-0005-0000-0000-00009F760000}"/>
    <cellStyle name="M_Sheet4 2 2" xfId="13642" xr:uid="{00000000-0005-0000-0000-0000A0760000}"/>
    <cellStyle name="M_Sheet4 3" xfId="12864" xr:uid="{00000000-0005-0000-0000-0000A1760000}"/>
    <cellStyle name="M_Sheet4 4" xfId="12483" xr:uid="{00000000-0005-0000-0000-0000A2760000}"/>
    <cellStyle name="m1" xfId="3200" xr:uid="{00000000-0005-0000-0000-0000A3760000}"/>
    <cellStyle name="Major item" xfId="3201" xr:uid="{00000000-0005-0000-0000-0000A4760000}"/>
    <cellStyle name="Margin" xfId="3202" xr:uid="{00000000-0005-0000-0000-0000A5760000}"/>
    <cellStyle name="Migliaia (0)_Sheet1" xfId="3203" xr:uid="{00000000-0005-0000-0000-0000A6760000}"/>
    <cellStyle name="Migliaia_piv_polio" xfId="3204" xr:uid="{00000000-0005-0000-0000-0000A7760000}"/>
    <cellStyle name="Millares [0]_Asset Mgmt " xfId="3205" xr:uid="{00000000-0005-0000-0000-0000A8760000}"/>
    <cellStyle name="Millares_2AV_M_M " xfId="3206" xr:uid="{00000000-0005-0000-0000-0000A9760000}"/>
    <cellStyle name="Milliers [0]_CANADA1" xfId="3207" xr:uid="{00000000-0005-0000-0000-0000AA760000}"/>
    <cellStyle name="Milliers 2" xfId="3208" xr:uid="{00000000-0005-0000-0000-0000AB760000}"/>
    <cellStyle name="Milliers_CANADA1" xfId="3209" xr:uid="{00000000-0005-0000-0000-0000AC760000}"/>
    <cellStyle name="mm/dd/yy" xfId="3210" xr:uid="{00000000-0005-0000-0000-0000AD760000}"/>
    <cellStyle name="mod1" xfId="3211" xr:uid="{00000000-0005-0000-0000-0000AE760000}"/>
    <cellStyle name="modelo1" xfId="3212" xr:uid="{00000000-0005-0000-0000-0000AF760000}"/>
    <cellStyle name="Moneda [0]_2AV_M_M " xfId="3213" xr:uid="{00000000-0005-0000-0000-0000B0760000}"/>
    <cellStyle name="Moneda_2AV_M_M " xfId="3214" xr:uid="{00000000-0005-0000-0000-0000B1760000}"/>
    <cellStyle name="Monétaire [0]_CANADA1" xfId="3215" xr:uid="{00000000-0005-0000-0000-0000B2760000}"/>
    <cellStyle name="Monétaire 2" xfId="3216" xr:uid="{00000000-0005-0000-0000-0000B3760000}"/>
    <cellStyle name="Monétaire_CANADA1" xfId="3217" xr:uid="{00000000-0005-0000-0000-0000B4760000}"/>
    <cellStyle name="Monetario" xfId="3218" xr:uid="{00000000-0005-0000-0000-0000B5760000}"/>
    <cellStyle name="MonthYears" xfId="3219" xr:uid="{00000000-0005-0000-0000-0000B6760000}"/>
    <cellStyle name="Multiple" xfId="3220" xr:uid="{00000000-0005-0000-0000-0000B7760000}"/>
    <cellStyle name="Multiple (no x)" xfId="3221" xr:uid="{00000000-0005-0000-0000-0000B8760000}"/>
    <cellStyle name="Multiple (x)" xfId="3222" xr:uid="{00000000-0005-0000-0000-0000B9760000}"/>
    <cellStyle name="Multiple [0]" xfId="3223" xr:uid="{00000000-0005-0000-0000-0000BA760000}"/>
    <cellStyle name="Multiple [1]" xfId="3224" xr:uid="{00000000-0005-0000-0000-0000BB760000}"/>
    <cellStyle name="Multiple [2]" xfId="3225" xr:uid="{00000000-0005-0000-0000-0000BC760000}"/>
    <cellStyle name="Multiple [3]" xfId="3226" xr:uid="{00000000-0005-0000-0000-0000BD760000}"/>
    <cellStyle name="Multiple_1030171N" xfId="3227" xr:uid="{00000000-0005-0000-0000-0000BE760000}"/>
    <cellStyle name="neg0.0_CapitalCost " xfId="3228" xr:uid="{00000000-0005-0000-0000-0000BF760000}"/>
    <cellStyle name="Neutral 10" xfId="730" xr:uid="{00000000-0005-0000-0000-0000C0760000}"/>
    <cellStyle name="Neutral 11" xfId="731" xr:uid="{00000000-0005-0000-0000-0000C1760000}"/>
    <cellStyle name="Neutral 12" xfId="732" xr:uid="{00000000-0005-0000-0000-0000C2760000}"/>
    <cellStyle name="Neutral 13" xfId="733" xr:uid="{00000000-0005-0000-0000-0000C3760000}"/>
    <cellStyle name="Neutral 14" xfId="734" xr:uid="{00000000-0005-0000-0000-0000C4760000}"/>
    <cellStyle name="Neutral 15" xfId="735" xr:uid="{00000000-0005-0000-0000-0000C5760000}"/>
    <cellStyle name="Neutral 16" xfId="736" xr:uid="{00000000-0005-0000-0000-0000C6760000}"/>
    <cellStyle name="Neutral 17" xfId="33100" xr:uid="{00000000-0005-0000-0000-0000C7760000}"/>
    <cellStyle name="Neutral 2" xfId="737" xr:uid="{00000000-0005-0000-0000-0000C8760000}"/>
    <cellStyle name="Neutral 2 10" xfId="3229" xr:uid="{00000000-0005-0000-0000-0000C9760000}"/>
    <cellStyle name="Neutral 2 2" xfId="738" xr:uid="{00000000-0005-0000-0000-0000CA760000}"/>
    <cellStyle name="Neutral 2 2 2" xfId="3230" xr:uid="{00000000-0005-0000-0000-0000CB760000}"/>
    <cellStyle name="Neutral 2 2 2 2" xfId="12756" xr:uid="{00000000-0005-0000-0000-0000CC760000}"/>
    <cellStyle name="Neutral 2 2 3" xfId="12486" xr:uid="{00000000-0005-0000-0000-0000CD760000}"/>
    <cellStyle name="Neutral 2 2 4" xfId="22560" xr:uid="{00000000-0005-0000-0000-0000CE760000}"/>
    <cellStyle name="Neutral 2 2 5" xfId="23328" xr:uid="{00000000-0005-0000-0000-0000CF760000}"/>
    <cellStyle name="Neutral 2 2 6" xfId="12203" xr:uid="{00000000-0005-0000-0000-0000D0760000}"/>
    <cellStyle name="Neutral 2 3" xfId="3231" xr:uid="{00000000-0005-0000-0000-0000D1760000}"/>
    <cellStyle name="Neutral 2 3 2" xfId="13573" xr:uid="{00000000-0005-0000-0000-0000D2760000}"/>
    <cellStyle name="Neutral 2 3 3" xfId="12487" xr:uid="{00000000-0005-0000-0000-0000D3760000}"/>
    <cellStyle name="Neutral 2 4" xfId="3232" xr:uid="{00000000-0005-0000-0000-0000D4760000}"/>
    <cellStyle name="Neutral 2 4 2" xfId="12671" xr:uid="{00000000-0005-0000-0000-0000D5760000}"/>
    <cellStyle name="Neutral 2 5" xfId="3233" xr:uid="{00000000-0005-0000-0000-0000D6760000}"/>
    <cellStyle name="Neutral 2 5 2" xfId="12866" xr:uid="{00000000-0005-0000-0000-0000D7760000}"/>
    <cellStyle name="Neutral 2 6" xfId="3234" xr:uid="{00000000-0005-0000-0000-0000D8760000}"/>
    <cellStyle name="Neutral 2 6 2" xfId="13516" xr:uid="{00000000-0005-0000-0000-0000D9760000}"/>
    <cellStyle name="Neutral 2 7" xfId="3235" xr:uid="{00000000-0005-0000-0000-0000DA760000}"/>
    <cellStyle name="Neutral 2 7 2" xfId="12485" xr:uid="{00000000-0005-0000-0000-0000DB760000}"/>
    <cellStyle name="Neutral 2 8" xfId="3236" xr:uid="{00000000-0005-0000-0000-0000DC760000}"/>
    <cellStyle name="Neutral 2 8 2" xfId="22443" xr:uid="{00000000-0005-0000-0000-0000DD760000}"/>
    <cellStyle name="Neutral 2 9" xfId="3237" xr:uid="{00000000-0005-0000-0000-0000DE760000}"/>
    <cellStyle name="Neutral 3" xfId="739" xr:uid="{00000000-0005-0000-0000-0000DF760000}"/>
    <cellStyle name="Neutral 3 2" xfId="13270" xr:uid="{00000000-0005-0000-0000-0000E0760000}"/>
    <cellStyle name="Neutral 3 3" xfId="13559" xr:uid="{00000000-0005-0000-0000-0000E1760000}"/>
    <cellStyle name="Neutral 3 4" xfId="22444" xr:uid="{00000000-0005-0000-0000-0000E2760000}"/>
    <cellStyle name="Neutral 3 5" xfId="23441" xr:uid="{00000000-0005-0000-0000-0000E3760000}"/>
    <cellStyle name="Neutral 3 6" xfId="12488" xr:uid="{00000000-0005-0000-0000-0000E4760000}"/>
    <cellStyle name="Neutral 4" xfId="740" xr:uid="{00000000-0005-0000-0000-0000E5760000}"/>
    <cellStyle name="Neutral 4 2" xfId="13718" xr:uid="{00000000-0005-0000-0000-0000E6760000}"/>
    <cellStyle name="Neutral 4 3" xfId="22445" xr:uid="{00000000-0005-0000-0000-0000E7760000}"/>
    <cellStyle name="Neutral 4 4" xfId="23442" xr:uid="{00000000-0005-0000-0000-0000E8760000}"/>
    <cellStyle name="Neutral 4 5" xfId="12489" xr:uid="{00000000-0005-0000-0000-0000E9760000}"/>
    <cellStyle name="Neutral 5" xfId="741" xr:uid="{00000000-0005-0000-0000-0000EA760000}"/>
    <cellStyle name="Neutral 5 2" xfId="22446" xr:uid="{00000000-0005-0000-0000-0000EB760000}"/>
    <cellStyle name="Neutral 5 3" xfId="23556" xr:uid="{00000000-0005-0000-0000-0000EC760000}"/>
    <cellStyle name="Neutral 5 4" xfId="12659" xr:uid="{00000000-0005-0000-0000-0000ED760000}"/>
    <cellStyle name="Neutral 6" xfId="742" xr:uid="{00000000-0005-0000-0000-0000EE760000}"/>
    <cellStyle name="Neutral 6 2" xfId="22447" xr:uid="{00000000-0005-0000-0000-0000EF760000}"/>
    <cellStyle name="Neutral 6 3" xfId="23635" xr:uid="{00000000-0005-0000-0000-0000F0760000}"/>
    <cellStyle name="Neutral 6 4" xfId="12865" xr:uid="{00000000-0005-0000-0000-0000F1760000}"/>
    <cellStyle name="Neutral 7" xfId="743" xr:uid="{00000000-0005-0000-0000-0000F2760000}"/>
    <cellStyle name="Neutral 8" xfId="744" xr:uid="{00000000-0005-0000-0000-0000F3760000}"/>
    <cellStyle name="Neutral 9" xfId="745" xr:uid="{00000000-0005-0000-0000-0000F4760000}"/>
    <cellStyle name="New" xfId="3238" xr:uid="{00000000-0005-0000-0000-0000F5760000}"/>
    <cellStyle name="Nil" xfId="3239" xr:uid="{00000000-0005-0000-0000-0000F6760000}"/>
    <cellStyle name="no dec" xfId="3240" xr:uid="{00000000-0005-0000-0000-0000F7760000}"/>
    <cellStyle name="No-definido" xfId="3241" xr:uid="{00000000-0005-0000-0000-0000F8760000}"/>
    <cellStyle name="Non_Input_Cell_Figures" xfId="3242" xr:uid="{00000000-0005-0000-0000-0000F9760000}"/>
    <cellStyle name="NonPrintingArea" xfId="3243" xr:uid="{00000000-0005-0000-0000-0000FA760000}"/>
    <cellStyle name="NORAYAS" xfId="3244" xr:uid="{00000000-0005-0000-0000-0000FB760000}"/>
    <cellStyle name="Normal" xfId="0" builtinId="0"/>
    <cellStyle name="Normal--" xfId="3245" xr:uid="{00000000-0005-0000-0000-0000FD760000}"/>
    <cellStyle name="Normal - Style1" xfId="746" xr:uid="{00000000-0005-0000-0000-0000FE760000}"/>
    <cellStyle name="Normal - Style1 2" xfId="3246" xr:uid="{00000000-0005-0000-0000-0000FF760000}"/>
    <cellStyle name="Normal - Style1 2 2" xfId="13643" xr:uid="{00000000-0005-0000-0000-000000770000}"/>
    <cellStyle name="Normal - Style1 2 3" xfId="12491" xr:uid="{00000000-0005-0000-0000-000001770000}"/>
    <cellStyle name="Normal - Style1 3" xfId="12867" xr:uid="{00000000-0005-0000-0000-000002770000}"/>
    <cellStyle name="Normal - Style1 4" xfId="12490" xr:uid="{00000000-0005-0000-0000-000003770000}"/>
    <cellStyle name="Normal [0]" xfId="3247" xr:uid="{00000000-0005-0000-0000-000004770000}"/>
    <cellStyle name="Normal [1]" xfId="3248" xr:uid="{00000000-0005-0000-0000-000005770000}"/>
    <cellStyle name="Normal [3]" xfId="3249" xr:uid="{00000000-0005-0000-0000-000006770000}"/>
    <cellStyle name="Normal [3] 2" xfId="3250" xr:uid="{00000000-0005-0000-0000-000007770000}"/>
    <cellStyle name="Normal [3] 3" xfId="3251" xr:uid="{00000000-0005-0000-0000-000008770000}"/>
    <cellStyle name="Normal 10" xfId="747" xr:uid="{00000000-0005-0000-0000-000009770000}"/>
    <cellStyle name="Normal 10 2" xfId="3253" xr:uid="{00000000-0005-0000-0000-00000A770000}"/>
    <cellStyle name="Normal 10 2 2" xfId="13472" xr:uid="{00000000-0005-0000-0000-00000B770000}"/>
    <cellStyle name="Normal 10 2 2 10" xfId="53117" xr:uid="{00000000-0005-0000-0000-00000C770000}"/>
    <cellStyle name="Normal 10 2 2 2" xfId="14329" xr:uid="{00000000-0005-0000-0000-00000D770000}"/>
    <cellStyle name="Normal 10 2 2 2 2" xfId="16592" xr:uid="{00000000-0005-0000-0000-00000E770000}"/>
    <cellStyle name="Normal 10 2 2 2 2 2" xfId="21056" xr:uid="{00000000-0005-0000-0000-00000F770000}"/>
    <cellStyle name="Normal 10 2 2 2 2 2 2" xfId="31424" xr:uid="{00000000-0005-0000-0000-000010770000}"/>
    <cellStyle name="Normal 10 2 2 2 2 2 2 2" xfId="50613" xr:uid="{00000000-0005-0000-0000-000011770000}"/>
    <cellStyle name="Normal 10 2 2 2 2 2 3" xfId="40915" xr:uid="{00000000-0005-0000-0000-000012770000}"/>
    <cellStyle name="Normal 10 2 2 2 2 3" xfId="26969" xr:uid="{00000000-0005-0000-0000-000013770000}"/>
    <cellStyle name="Normal 10 2 2 2 2 3 2" xfId="46158" xr:uid="{00000000-0005-0000-0000-000014770000}"/>
    <cellStyle name="Normal 10 2 2 2 2 4" xfId="36460" xr:uid="{00000000-0005-0000-0000-000015770000}"/>
    <cellStyle name="Normal 10 2 2 2 3" xfId="18828" xr:uid="{00000000-0005-0000-0000-000016770000}"/>
    <cellStyle name="Normal 10 2 2 2 3 2" xfId="29196" xr:uid="{00000000-0005-0000-0000-000017770000}"/>
    <cellStyle name="Normal 10 2 2 2 3 2 2" xfId="48385" xr:uid="{00000000-0005-0000-0000-000018770000}"/>
    <cellStyle name="Normal 10 2 2 2 3 3" xfId="38687" xr:uid="{00000000-0005-0000-0000-000019770000}"/>
    <cellStyle name="Normal 10 2 2 2 4" xfId="24736" xr:uid="{00000000-0005-0000-0000-00001A770000}"/>
    <cellStyle name="Normal 10 2 2 2 4 2" xfId="43930" xr:uid="{00000000-0005-0000-0000-00001B770000}"/>
    <cellStyle name="Normal 10 2 2 2 5" xfId="34232" xr:uid="{00000000-0005-0000-0000-00001C770000}"/>
    <cellStyle name="Normal 10 2 2 2 6" xfId="53970" xr:uid="{00000000-0005-0000-0000-00001D770000}"/>
    <cellStyle name="Normal 10 2 2 3" xfId="14908" xr:uid="{00000000-0005-0000-0000-00001E770000}"/>
    <cellStyle name="Normal 10 2 2 3 2" xfId="16036" xr:uid="{00000000-0005-0000-0000-00001F770000}"/>
    <cellStyle name="Normal 10 2 2 3 2 2" xfId="20500" xr:uid="{00000000-0005-0000-0000-000020770000}"/>
    <cellStyle name="Normal 10 2 2 3 2 2 2" xfId="30868" xr:uid="{00000000-0005-0000-0000-000021770000}"/>
    <cellStyle name="Normal 10 2 2 3 2 2 2 2" xfId="50057" xr:uid="{00000000-0005-0000-0000-000022770000}"/>
    <cellStyle name="Normal 10 2 2 3 2 2 3" xfId="40359" xr:uid="{00000000-0005-0000-0000-000023770000}"/>
    <cellStyle name="Normal 10 2 2 3 2 3" xfId="26413" xr:uid="{00000000-0005-0000-0000-000024770000}"/>
    <cellStyle name="Normal 10 2 2 3 2 3 2" xfId="45602" xr:uid="{00000000-0005-0000-0000-000025770000}"/>
    <cellStyle name="Normal 10 2 2 3 2 4" xfId="35904" xr:uid="{00000000-0005-0000-0000-000026770000}"/>
    <cellStyle name="Normal 10 2 2 3 3" xfId="19385" xr:uid="{00000000-0005-0000-0000-000027770000}"/>
    <cellStyle name="Normal 10 2 2 3 3 2" xfId="29753" xr:uid="{00000000-0005-0000-0000-000028770000}"/>
    <cellStyle name="Normal 10 2 2 3 3 2 2" xfId="48942" xr:uid="{00000000-0005-0000-0000-000029770000}"/>
    <cellStyle name="Normal 10 2 2 3 3 3" xfId="39244" xr:uid="{00000000-0005-0000-0000-00002A770000}"/>
    <cellStyle name="Normal 10 2 2 3 4" xfId="25298" xr:uid="{00000000-0005-0000-0000-00002B770000}"/>
    <cellStyle name="Normal 10 2 2 3 4 2" xfId="44487" xr:uid="{00000000-0005-0000-0000-00002C770000}"/>
    <cellStyle name="Normal 10 2 2 3 5" xfId="34789" xr:uid="{00000000-0005-0000-0000-00002D770000}"/>
    <cellStyle name="Normal 10 2 2 4" xfId="15479" xr:uid="{00000000-0005-0000-0000-00002E770000}"/>
    <cellStyle name="Normal 10 2 2 4 2" xfId="19943" xr:uid="{00000000-0005-0000-0000-00002F770000}"/>
    <cellStyle name="Normal 10 2 2 4 2 2" xfId="30311" xr:uid="{00000000-0005-0000-0000-000030770000}"/>
    <cellStyle name="Normal 10 2 2 4 2 2 2" xfId="49500" xr:uid="{00000000-0005-0000-0000-000031770000}"/>
    <cellStyle name="Normal 10 2 2 4 2 3" xfId="39802" xr:uid="{00000000-0005-0000-0000-000032770000}"/>
    <cellStyle name="Normal 10 2 2 4 3" xfId="25856" xr:uid="{00000000-0005-0000-0000-000033770000}"/>
    <cellStyle name="Normal 10 2 2 4 3 2" xfId="45045" xr:uid="{00000000-0005-0000-0000-000034770000}"/>
    <cellStyle name="Normal 10 2 2 4 4" xfId="35347" xr:uid="{00000000-0005-0000-0000-000035770000}"/>
    <cellStyle name="Normal 10 2 2 5" xfId="17149" xr:uid="{00000000-0005-0000-0000-000036770000}"/>
    <cellStyle name="Normal 10 2 2 5 2" xfId="21613" xr:uid="{00000000-0005-0000-0000-000037770000}"/>
    <cellStyle name="Normal 10 2 2 5 2 2" xfId="31981" xr:uid="{00000000-0005-0000-0000-000038770000}"/>
    <cellStyle name="Normal 10 2 2 5 2 2 2" xfId="51170" xr:uid="{00000000-0005-0000-0000-000039770000}"/>
    <cellStyle name="Normal 10 2 2 5 2 3" xfId="41472" xr:uid="{00000000-0005-0000-0000-00003A770000}"/>
    <cellStyle name="Normal 10 2 2 5 3" xfId="27526" xr:uid="{00000000-0005-0000-0000-00003B770000}"/>
    <cellStyle name="Normal 10 2 2 5 3 2" xfId="46715" xr:uid="{00000000-0005-0000-0000-00003C770000}"/>
    <cellStyle name="Normal 10 2 2 5 4" xfId="37017" xr:uid="{00000000-0005-0000-0000-00003D770000}"/>
    <cellStyle name="Normal 10 2 2 6" xfId="17715" xr:uid="{00000000-0005-0000-0000-00003E770000}"/>
    <cellStyle name="Normal 10 2 2 6 2" xfId="22170" xr:uid="{00000000-0005-0000-0000-00003F770000}"/>
    <cellStyle name="Normal 10 2 2 6 2 2" xfId="32538" xr:uid="{00000000-0005-0000-0000-000040770000}"/>
    <cellStyle name="Normal 10 2 2 6 2 2 2" xfId="51727" xr:uid="{00000000-0005-0000-0000-000041770000}"/>
    <cellStyle name="Normal 10 2 2 6 2 3" xfId="42029" xr:uid="{00000000-0005-0000-0000-000042770000}"/>
    <cellStyle name="Normal 10 2 2 6 3" xfId="28083" xr:uid="{00000000-0005-0000-0000-000043770000}"/>
    <cellStyle name="Normal 10 2 2 6 3 2" xfId="47272" xr:uid="{00000000-0005-0000-0000-000044770000}"/>
    <cellStyle name="Normal 10 2 2 6 4" xfId="37574" xr:uid="{00000000-0005-0000-0000-000045770000}"/>
    <cellStyle name="Normal 10 2 2 7" xfId="18272" xr:uid="{00000000-0005-0000-0000-000046770000}"/>
    <cellStyle name="Normal 10 2 2 7 2" xfId="28640" xr:uid="{00000000-0005-0000-0000-000047770000}"/>
    <cellStyle name="Normal 10 2 2 7 2 2" xfId="47829" xr:uid="{00000000-0005-0000-0000-000048770000}"/>
    <cellStyle name="Normal 10 2 2 7 3" xfId="38131" xr:uid="{00000000-0005-0000-0000-000049770000}"/>
    <cellStyle name="Normal 10 2 2 8" xfId="24154" xr:uid="{00000000-0005-0000-0000-00004A770000}"/>
    <cellStyle name="Normal 10 2 2 8 2" xfId="43374" xr:uid="{00000000-0005-0000-0000-00004B770000}"/>
    <cellStyle name="Normal 10 2 2 9" xfId="33676" xr:uid="{00000000-0005-0000-0000-00004C770000}"/>
    <cellStyle name="Normal 10 2 3" xfId="53574" xr:uid="{00000000-0005-0000-0000-00004D770000}"/>
    <cellStyle name="Normal 10 2 4" xfId="52689" xr:uid="{00000000-0005-0000-0000-00004E770000}"/>
    <cellStyle name="Normal 10 3" xfId="3254" xr:uid="{00000000-0005-0000-0000-00004F770000}"/>
    <cellStyle name="Normal 10 3 10" xfId="52899" xr:uid="{00000000-0005-0000-0000-000050770000}"/>
    <cellStyle name="Normal 10 3 11" xfId="12868" xr:uid="{00000000-0005-0000-0000-000051770000}"/>
    <cellStyle name="Normal 10 3 2" xfId="13834" xr:uid="{00000000-0005-0000-0000-000052770000}"/>
    <cellStyle name="Normal 10 3 2 2" xfId="16098" xr:uid="{00000000-0005-0000-0000-000053770000}"/>
    <cellStyle name="Normal 10 3 2 2 2" xfId="20562" xr:uid="{00000000-0005-0000-0000-000054770000}"/>
    <cellStyle name="Normal 10 3 2 2 2 2" xfId="30930" xr:uid="{00000000-0005-0000-0000-000055770000}"/>
    <cellStyle name="Normal 10 3 2 2 2 2 2" xfId="50119" xr:uid="{00000000-0005-0000-0000-000056770000}"/>
    <cellStyle name="Normal 10 3 2 2 2 3" xfId="40421" xr:uid="{00000000-0005-0000-0000-000057770000}"/>
    <cellStyle name="Normal 10 3 2 2 3" xfId="26475" xr:uid="{00000000-0005-0000-0000-000058770000}"/>
    <cellStyle name="Normal 10 3 2 2 3 2" xfId="45664" xr:uid="{00000000-0005-0000-0000-000059770000}"/>
    <cellStyle name="Normal 10 3 2 2 4" xfId="35966" xr:uid="{00000000-0005-0000-0000-00005A770000}"/>
    <cellStyle name="Normal 10 3 2 3" xfId="18334" xr:uid="{00000000-0005-0000-0000-00005B770000}"/>
    <cellStyle name="Normal 10 3 2 3 2" xfId="28702" xr:uid="{00000000-0005-0000-0000-00005C770000}"/>
    <cellStyle name="Normal 10 3 2 3 2 2" xfId="47891" xr:uid="{00000000-0005-0000-0000-00005D770000}"/>
    <cellStyle name="Normal 10 3 2 3 3" xfId="38193" xr:uid="{00000000-0005-0000-0000-00005E770000}"/>
    <cellStyle name="Normal 10 3 2 4" xfId="24242" xr:uid="{00000000-0005-0000-0000-00005F770000}"/>
    <cellStyle name="Normal 10 3 2 4 2" xfId="43436" xr:uid="{00000000-0005-0000-0000-000060770000}"/>
    <cellStyle name="Normal 10 3 2 5" xfId="33738" xr:uid="{00000000-0005-0000-0000-000061770000}"/>
    <cellStyle name="Normal 10 3 2 6" xfId="53774" xr:uid="{00000000-0005-0000-0000-000062770000}"/>
    <cellStyle name="Normal 10 3 3" xfId="14413" xr:uid="{00000000-0005-0000-0000-000063770000}"/>
    <cellStyle name="Normal 10 3 3 2" xfId="15542" xr:uid="{00000000-0005-0000-0000-000064770000}"/>
    <cellStyle name="Normal 10 3 3 2 2" xfId="20006" xr:uid="{00000000-0005-0000-0000-000065770000}"/>
    <cellStyle name="Normal 10 3 3 2 2 2" xfId="30374" xr:uid="{00000000-0005-0000-0000-000066770000}"/>
    <cellStyle name="Normal 10 3 3 2 2 2 2" xfId="49563" xr:uid="{00000000-0005-0000-0000-000067770000}"/>
    <cellStyle name="Normal 10 3 3 2 2 3" xfId="39865" xr:uid="{00000000-0005-0000-0000-000068770000}"/>
    <cellStyle name="Normal 10 3 3 2 3" xfId="25919" xr:uid="{00000000-0005-0000-0000-000069770000}"/>
    <cellStyle name="Normal 10 3 3 2 3 2" xfId="45108" xr:uid="{00000000-0005-0000-0000-00006A770000}"/>
    <cellStyle name="Normal 10 3 3 2 4" xfId="35410" xr:uid="{00000000-0005-0000-0000-00006B770000}"/>
    <cellStyle name="Normal 10 3 3 3" xfId="18891" xr:uid="{00000000-0005-0000-0000-00006C770000}"/>
    <cellStyle name="Normal 10 3 3 3 2" xfId="29259" xr:uid="{00000000-0005-0000-0000-00006D770000}"/>
    <cellStyle name="Normal 10 3 3 3 2 2" xfId="48448" xr:uid="{00000000-0005-0000-0000-00006E770000}"/>
    <cellStyle name="Normal 10 3 3 3 3" xfId="38750" xr:uid="{00000000-0005-0000-0000-00006F770000}"/>
    <cellStyle name="Normal 10 3 3 4" xfId="24804" xr:uid="{00000000-0005-0000-0000-000070770000}"/>
    <cellStyle name="Normal 10 3 3 4 2" xfId="43993" xr:uid="{00000000-0005-0000-0000-000071770000}"/>
    <cellStyle name="Normal 10 3 3 5" xfId="34295" xr:uid="{00000000-0005-0000-0000-000072770000}"/>
    <cellStyle name="Normal 10 3 4" xfId="14985" xr:uid="{00000000-0005-0000-0000-000073770000}"/>
    <cellStyle name="Normal 10 3 4 2" xfId="19449" xr:uid="{00000000-0005-0000-0000-000074770000}"/>
    <cellStyle name="Normal 10 3 4 2 2" xfId="29817" xr:uid="{00000000-0005-0000-0000-000075770000}"/>
    <cellStyle name="Normal 10 3 4 2 2 2" xfId="49006" xr:uid="{00000000-0005-0000-0000-000076770000}"/>
    <cellStyle name="Normal 10 3 4 2 3" xfId="39308" xr:uid="{00000000-0005-0000-0000-000077770000}"/>
    <cellStyle name="Normal 10 3 4 3" xfId="25362" xr:uid="{00000000-0005-0000-0000-000078770000}"/>
    <cellStyle name="Normal 10 3 4 3 2" xfId="44551" xr:uid="{00000000-0005-0000-0000-000079770000}"/>
    <cellStyle name="Normal 10 3 4 4" xfId="34853" xr:uid="{00000000-0005-0000-0000-00007A770000}"/>
    <cellStyle name="Normal 10 3 5" xfId="16655" xr:uid="{00000000-0005-0000-0000-00007B770000}"/>
    <cellStyle name="Normal 10 3 5 2" xfId="21119" xr:uid="{00000000-0005-0000-0000-00007C770000}"/>
    <cellStyle name="Normal 10 3 5 2 2" xfId="31487" xr:uid="{00000000-0005-0000-0000-00007D770000}"/>
    <cellStyle name="Normal 10 3 5 2 2 2" xfId="50676" xr:uid="{00000000-0005-0000-0000-00007E770000}"/>
    <cellStyle name="Normal 10 3 5 2 3" xfId="40978" xr:uid="{00000000-0005-0000-0000-00007F770000}"/>
    <cellStyle name="Normal 10 3 5 3" xfId="27032" xr:uid="{00000000-0005-0000-0000-000080770000}"/>
    <cellStyle name="Normal 10 3 5 3 2" xfId="46221" xr:uid="{00000000-0005-0000-0000-000081770000}"/>
    <cellStyle name="Normal 10 3 5 4" xfId="36523" xr:uid="{00000000-0005-0000-0000-000082770000}"/>
    <cellStyle name="Normal 10 3 6" xfId="17221" xr:uid="{00000000-0005-0000-0000-000083770000}"/>
    <cellStyle name="Normal 10 3 6 2" xfId="21676" xr:uid="{00000000-0005-0000-0000-000084770000}"/>
    <cellStyle name="Normal 10 3 6 2 2" xfId="32044" xr:uid="{00000000-0005-0000-0000-000085770000}"/>
    <cellStyle name="Normal 10 3 6 2 2 2" xfId="51233" xr:uid="{00000000-0005-0000-0000-000086770000}"/>
    <cellStyle name="Normal 10 3 6 2 3" xfId="41535" xr:uid="{00000000-0005-0000-0000-000087770000}"/>
    <cellStyle name="Normal 10 3 6 3" xfId="27589" xr:uid="{00000000-0005-0000-0000-000088770000}"/>
    <cellStyle name="Normal 10 3 6 3 2" xfId="46778" xr:uid="{00000000-0005-0000-0000-000089770000}"/>
    <cellStyle name="Normal 10 3 6 4" xfId="37080" xr:uid="{00000000-0005-0000-0000-00008A770000}"/>
    <cellStyle name="Normal 10 3 7" xfId="17778" xr:uid="{00000000-0005-0000-0000-00008B770000}"/>
    <cellStyle name="Normal 10 3 7 2" xfId="28146" xr:uid="{00000000-0005-0000-0000-00008C770000}"/>
    <cellStyle name="Normal 10 3 7 2 2" xfId="47335" xr:uid="{00000000-0005-0000-0000-00008D770000}"/>
    <cellStyle name="Normal 10 3 7 3" xfId="37637" xr:uid="{00000000-0005-0000-0000-00008E770000}"/>
    <cellStyle name="Normal 10 3 8" xfId="23636" xr:uid="{00000000-0005-0000-0000-00008F770000}"/>
    <cellStyle name="Normal 10 3 8 2" xfId="42880" xr:uid="{00000000-0005-0000-0000-000090770000}"/>
    <cellStyle name="Normal 10 3 9" xfId="33182" xr:uid="{00000000-0005-0000-0000-000091770000}"/>
    <cellStyle name="Normal 10 4" xfId="3255" xr:uid="{00000000-0005-0000-0000-000092770000}"/>
    <cellStyle name="Normal 10 4 2" xfId="53378" xr:uid="{00000000-0005-0000-0000-000093770000}"/>
    <cellStyle name="Normal 10 4 3" xfId="22448" xr:uid="{00000000-0005-0000-0000-000094770000}"/>
    <cellStyle name="Normal 10 5" xfId="3256" xr:uid="{00000000-0005-0000-0000-000095770000}"/>
    <cellStyle name="Normal 10 5 2" xfId="23443" xr:uid="{00000000-0005-0000-0000-000096770000}"/>
    <cellStyle name="Normal 10 6" xfId="3257" xr:uid="{00000000-0005-0000-0000-000097770000}"/>
    <cellStyle name="Normal 10 6 2" xfId="52485" xr:uid="{00000000-0005-0000-0000-000098770000}"/>
    <cellStyle name="Normal 10 7" xfId="3258" xr:uid="{00000000-0005-0000-0000-000099770000}"/>
    <cellStyle name="Normal 10 8" xfId="3252" xr:uid="{00000000-0005-0000-0000-00009A770000}"/>
    <cellStyle name="Normal 10 9" xfId="12492" xr:uid="{00000000-0005-0000-0000-00009B770000}"/>
    <cellStyle name="Normal 100" xfId="9065" xr:uid="{00000000-0005-0000-0000-00009C770000}"/>
    <cellStyle name="Normal 100 2" xfId="52233" xr:uid="{00000000-0005-0000-0000-00009D770000}"/>
    <cellStyle name="Normal 100 3" xfId="33051" xr:uid="{00000000-0005-0000-0000-00009E770000}"/>
    <cellStyle name="Normal 101" xfId="9062" xr:uid="{00000000-0005-0000-0000-00009F770000}"/>
    <cellStyle name="Normal 101 2" xfId="52165" xr:uid="{00000000-0005-0000-0000-0000A0770000}"/>
    <cellStyle name="Normal 101 3" xfId="32979" xr:uid="{00000000-0005-0000-0000-0000A1770000}"/>
    <cellStyle name="Normal 102" xfId="11942" xr:uid="{00000000-0005-0000-0000-0000A2770000}"/>
    <cellStyle name="Normal 102 2" xfId="52189" xr:uid="{00000000-0005-0000-0000-0000A3770000}"/>
    <cellStyle name="Normal 102 3" xfId="33003" xr:uid="{00000000-0005-0000-0000-0000A4770000}"/>
    <cellStyle name="Normal 103" xfId="6044" xr:uid="{00000000-0005-0000-0000-0000A5770000}"/>
    <cellStyle name="Normal 103 2" xfId="52232" xr:uid="{00000000-0005-0000-0000-0000A6770000}"/>
    <cellStyle name="Normal 103 3" xfId="33050" xr:uid="{00000000-0005-0000-0000-0000A7770000}"/>
    <cellStyle name="Normal 104" xfId="6067" xr:uid="{00000000-0005-0000-0000-0000A8770000}"/>
    <cellStyle name="Normal 104 2" xfId="52220" xr:uid="{00000000-0005-0000-0000-0000A9770000}"/>
    <cellStyle name="Normal 104 3" xfId="33038" xr:uid="{00000000-0005-0000-0000-0000AA770000}"/>
    <cellStyle name="Normal 105" xfId="11945" xr:uid="{00000000-0005-0000-0000-0000AB770000}"/>
    <cellStyle name="Normal 105 2" xfId="52235" xr:uid="{00000000-0005-0000-0000-0000AC770000}"/>
    <cellStyle name="Normal 105 3" xfId="33053" xr:uid="{00000000-0005-0000-0000-0000AD770000}"/>
    <cellStyle name="Normal 106" xfId="33055" xr:uid="{00000000-0005-0000-0000-0000AE770000}"/>
    <cellStyle name="Normal 106 2" xfId="52237" xr:uid="{00000000-0005-0000-0000-0000AF770000}"/>
    <cellStyle name="Normal 107" xfId="33056" xr:uid="{00000000-0005-0000-0000-0000B0770000}"/>
    <cellStyle name="Normal 107 2" xfId="52238" xr:uid="{00000000-0005-0000-0000-0000B1770000}"/>
    <cellStyle name="Normal 108" xfId="33057" xr:uid="{00000000-0005-0000-0000-0000B2770000}"/>
    <cellStyle name="Normal 108 2" xfId="52239" xr:uid="{00000000-0005-0000-0000-0000B3770000}"/>
    <cellStyle name="Normal 109" xfId="33058" xr:uid="{00000000-0005-0000-0000-0000B4770000}"/>
    <cellStyle name="Normal 109 2" xfId="52240" xr:uid="{00000000-0005-0000-0000-0000B5770000}"/>
    <cellStyle name="Normal 11" xfId="748" xr:uid="{00000000-0005-0000-0000-0000B6770000}"/>
    <cellStyle name="Normal 11 2" xfId="3260" xr:uid="{00000000-0005-0000-0000-0000B7770000}"/>
    <cellStyle name="Normal 11 2 10" xfId="52714" xr:uid="{00000000-0005-0000-0000-0000B8770000}"/>
    <cellStyle name="Normal 11 2 11" xfId="12869" xr:uid="{00000000-0005-0000-0000-0000B9770000}"/>
    <cellStyle name="Normal 11 2 2" xfId="3261" xr:uid="{00000000-0005-0000-0000-0000BA770000}"/>
    <cellStyle name="Normal 11 2 2 2" xfId="16099" xr:uid="{00000000-0005-0000-0000-0000BB770000}"/>
    <cellStyle name="Normal 11 2 2 2 2" xfId="20563" xr:uid="{00000000-0005-0000-0000-0000BC770000}"/>
    <cellStyle name="Normal 11 2 2 2 2 2" xfId="30931" xr:uid="{00000000-0005-0000-0000-0000BD770000}"/>
    <cellStyle name="Normal 11 2 2 2 2 2 2" xfId="50120" xr:uid="{00000000-0005-0000-0000-0000BE770000}"/>
    <cellStyle name="Normal 11 2 2 2 2 3" xfId="40422" xr:uid="{00000000-0005-0000-0000-0000BF770000}"/>
    <cellStyle name="Normal 11 2 2 2 3" xfId="26476" xr:uid="{00000000-0005-0000-0000-0000C0770000}"/>
    <cellStyle name="Normal 11 2 2 2 3 2" xfId="45665" xr:uid="{00000000-0005-0000-0000-0000C1770000}"/>
    <cellStyle name="Normal 11 2 2 2 4" xfId="35967" xr:uid="{00000000-0005-0000-0000-0000C2770000}"/>
    <cellStyle name="Normal 11 2 2 2 5" xfId="53995" xr:uid="{00000000-0005-0000-0000-0000C3770000}"/>
    <cellStyle name="Normal 11 2 2 3" xfId="18335" xr:uid="{00000000-0005-0000-0000-0000C4770000}"/>
    <cellStyle name="Normal 11 2 2 3 2" xfId="28703" xr:uid="{00000000-0005-0000-0000-0000C5770000}"/>
    <cellStyle name="Normal 11 2 2 3 2 2" xfId="47892" xr:uid="{00000000-0005-0000-0000-0000C6770000}"/>
    <cellStyle name="Normal 11 2 2 3 3" xfId="38194" xr:uid="{00000000-0005-0000-0000-0000C7770000}"/>
    <cellStyle name="Normal 11 2 2 4" xfId="24243" xr:uid="{00000000-0005-0000-0000-0000C8770000}"/>
    <cellStyle name="Normal 11 2 2 4 2" xfId="43437" xr:uid="{00000000-0005-0000-0000-0000C9770000}"/>
    <cellStyle name="Normal 11 2 2 5" xfId="33739" xr:uid="{00000000-0005-0000-0000-0000CA770000}"/>
    <cellStyle name="Normal 11 2 2 6" xfId="53142" xr:uid="{00000000-0005-0000-0000-0000CB770000}"/>
    <cellStyle name="Normal 11 2 2 7" xfId="13835" xr:uid="{00000000-0005-0000-0000-0000CC770000}"/>
    <cellStyle name="Normal 11 2 3" xfId="14414" xr:uid="{00000000-0005-0000-0000-0000CD770000}"/>
    <cellStyle name="Normal 11 2 3 2" xfId="15543" xr:uid="{00000000-0005-0000-0000-0000CE770000}"/>
    <cellStyle name="Normal 11 2 3 2 2" xfId="20007" xr:uid="{00000000-0005-0000-0000-0000CF770000}"/>
    <cellStyle name="Normal 11 2 3 2 2 2" xfId="30375" xr:uid="{00000000-0005-0000-0000-0000D0770000}"/>
    <cellStyle name="Normal 11 2 3 2 2 2 2" xfId="49564" xr:uid="{00000000-0005-0000-0000-0000D1770000}"/>
    <cellStyle name="Normal 11 2 3 2 2 3" xfId="39866" xr:uid="{00000000-0005-0000-0000-0000D2770000}"/>
    <cellStyle name="Normal 11 2 3 2 3" xfId="25920" xr:uid="{00000000-0005-0000-0000-0000D3770000}"/>
    <cellStyle name="Normal 11 2 3 2 3 2" xfId="45109" xr:uid="{00000000-0005-0000-0000-0000D4770000}"/>
    <cellStyle name="Normal 11 2 3 2 4" xfId="35411" xr:uid="{00000000-0005-0000-0000-0000D5770000}"/>
    <cellStyle name="Normal 11 2 3 3" xfId="18892" xr:uid="{00000000-0005-0000-0000-0000D6770000}"/>
    <cellStyle name="Normal 11 2 3 3 2" xfId="29260" xr:uid="{00000000-0005-0000-0000-0000D7770000}"/>
    <cellStyle name="Normal 11 2 3 3 2 2" xfId="48449" xr:uid="{00000000-0005-0000-0000-0000D8770000}"/>
    <cellStyle name="Normal 11 2 3 3 3" xfId="38751" xr:uid="{00000000-0005-0000-0000-0000D9770000}"/>
    <cellStyle name="Normal 11 2 3 4" xfId="24805" xr:uid="{00000000-0005-0000-0000-0000DA770000}"/>
    <cellStyle name="Normal 11 2 3 4 2" xfId="43994" xr:uid="{00000000-0005-0000-0000-0000DB770000}"/>
    <cellStyle name="Normal 11 2 3 5" xfId="34296" xr:uid="{00000000-0005-0000-0000-0000DC770000}"/>
    <cellStyle name="Normal 11 2 3 6" xfId="53599" xr:uid="{00000000-0005-0000-0000-0000DD770000}"/>
    <cellStyle name="Normal 11 2 4" xfId="14986" xr:uid="{00000000-0005-0000-0000-0000DE770000}"/>
    <cellStyle name="Normal 11 2 4 2" xfId="19450" xr:uid="{00000000-0005-0000-0000-0000DF770000}"/>
    <cellStyle name="Normal 11 2 4 2 2" xfId="29818" xr:uid="{00000000-0005-0000-0000-0000E0770000}"/>
    <cellStyle name="Normal 11 2 4 2 2 2" xfId="49007" xr:uid="{00000000-0005-0000-0000-0000E1770000}"/>
    <cellStyle name="Normal 11 2 4 2 3" xfId="39309" xr:uid="{00000000-0005-0000-0000-0000E2770000}"/>
    <cellStyle name="Normal 11 2 4 3" xfId="25363" xr:uid="{00000000-0005-0000-0000-0000E3770000}"/>
    <cellStyle name="Normal 11 2 4 3 2" xfId="44552" xr:uid="{00000000-0005-0000-0000-0000E4770000}"/>
    <cellStyle name="Normal 11 2 4 4" xfId="34854" xr:uid="{00000000-0005-0000-0000-0000E5770000}"/>
    <cellStyle name="Normal 11 2 5" xfId="16656" xr:uid="{00000000-0005-0000-0000-0000E6770000}"/>
    <cellStyle name="Normal 11 2 5 2" xfId="21120" xr:uid="{00000000-0005-0000-0000-0000E7770000}"/>
    <cellStyle name="Normal 11 2 5 2 2" xfId="31488" xr:uid="{00000000-0005-0000-0000-0000E8770000}"/>
    <cellStyle name="Normal 11 2 5 2 2 2" xfId="50677" xr:uid="{00000000-0005-0000-0000-0000E9770000}"/>
    <cellStyle name="Normal 11 2 5 2 3" xfId="40979" xr:uid="{00000000-0005-0000-0000-0000EA770000}"/>
    <cellStyle name="Normal 11 2 5 3" xfId="27033" xr:uid="{00000000-0005-0000-0000-0000EB770000}"/>
    <cellStyle name="Normal 11 2 5 3 2" xfId="46222" xr:uid="{00000000-0005-0000-0000-0000EC770000}"/>
    <cellStyle name="Normal 11 2 5 4" xfId="36524" xr:uid="{00000000-0005-0000-0000-0000ED770000}"/>
    <cellStyle name="Normal 11 2 6" xfId="17222" xr:uid="{00000000-0005-0000-0000-0000EE770000}"/>
    <cellStyle name="Normal 11 2 6 2" xfId="21677" xr:uid="{00000000-0005-0000-0000-0000EF770000}"/>
    <cellStyle name="Normal 11 2 6 2 2" xfId="32045" xr:uid="{00000000-0005-0000-0000-0000F0770000}"/>
    <cellStyle name="Normal 11 2 6 2 2 2" xfId="51234" xr:uid="{00000000-0005-0000-0000-0000F1770000}"/>
    <cellStyle name="Normal 11 2 6 2 3" xfId="41536" xr:uid="{00000000-0005-0000-0000-0000F2770000}"/>
    <cellStyle name="Normal 11 2 6 3" xfId="27590" xr:uid="{00000000-0005-0000-0000-0000F3770000}"/>
    <cellStyle name="Normal 11 2 6 3 2" xfId="46779" xr:uid="{00000000-0005-0000-0000-0000F4770000}"/>
    <cellStyle name="Normal 11 2 6 4" xfId="37081" xr:uid="{00000000-0005-0000-0000-0000F5770000}"/>
    <cellStyle name="Normal 11 2 7" xfId="17779" xr:uid="{00000000-0005-0000-0000-0000F6770000}"/>
    <cellStyle name="Normal 11 2 7 2" xfId="28147" xr:uid="{00000000-0005-0000-0000-0000F7770000}"/>
    <cellStyle name="Normal 11 2 7 2 2" xfId="47336" xr:uid="{00000000-0005-0000-0000-0000F8770000}"/>
    <cellStyle name="Normal 11 2 7 3" xfId="37638" xr:uid="{00000000-0005-0000-0000-0000F9770000}"/>
    <cellStyle name="Normal 11 2 8" xfId="23637" xr:uid="{00000000-0005-0000-0000-0000FA770000}"/>
    <cellStyle name="Normal 11 2 8 2" xfId="42881" xr:uid="{00000000-0005-0000-0000-0000FB770000}"/>
    <cellStyle name="Normal 11 2 9" xfId="33183" xr:uid="{00000000-0005-0000-0000-0000FC770000}"/>
    <cellStyle name="Normal 11 3" xfId="3262" xr:uid="{00000000-0005-0000-0000-0000FD770000}"/>
    <cellStyle name="Normal 11 3 10" xfId="52924" xr:uid="{00000000-0005-0000-0000-0000FE770000}"/>
    <cellStyle name="Normal 11 3 11" xfId="13473" xr:uid="{00000000-0005-0000-0000-0000FF770000}"/>
    <cellStyle name="Normal 11 3 2" xfId="14330" xr:uid="{00000000-0005-0000-0000-000000780000}"/>
    <cellStyle name="Normal 11 3 2 2" xfId="16593" xr:uid="{00000000-0005-0000-0000-000001780000}"/>
    <cellStyle name="Normal 11 3 2 2 2" xfId="21057" xr:uid="{00000000-0005-0000-0000-000002780000}"/>
    <cellStyle name="Normal 11 3 2 2 2 2" xfId="31425" xr:uid="{00000000-0005-0000-0000-000003780000}"/>
    <cellStyle name="Normal 11 3 2 2 2 2 2" xfId="50614" xr:uid="{00000000-0005-0000-0000-000004780000}"/>
    <cellStyle name="Normal 11 3 2 2 2 3" xfId="40916" xr:uid="{00000000-0005-0000-0000-000005780000}"/>
    <cellStyle name="Normal 11 3 2 2 3" xfId="26970" xr:uid="{00000000-0005-0000-0000-000006780000}"/>
    <cellStyle name="Normal 11 3 2 2 3 2" xfId="46159" xr:uid="{00000000-0005-0000-0000-000007780000}"/>
    <cellStyle name="Normal 11 3 2 2 4" xfId="36461" xr:uid="{00000000-0005-0000-0000-000008780000}"/>
    <cellStyle name="Normal 11 3 2 3" xfId="18829" xr:uid="{00000000-0005-0000-0000-000009780000}"/>
    <cellStyle name="Normal 11 3 2 3 2" xfId="29197" xr:uid="{00000000-0005-0000-0000-00000A780000}"/>
    <cellStyle name="Normal 11 3 2 3 2 2" xfId="48386" xr:uid="{00000000-0005-0000-0000-00000B780000}"/>
    <cellStyle name="Normal 11 3 2 3 3" xfId="38688" xr:uid="{00000000-0005-0000-0000-00000C780000}"/>
    <cellStyle name="Normal 11 3 2 4" xfId="24737" xr:uid="{00000000-0005-0000-0000-00000D780000}"/>
    <cellStyle name="Normal 11 3 2 4 2" xfId="43931" xr:uid="{00000000-0005-0000-0000-00000E780000}"/>
    <cellStyle name="Normal 11 3 2 5" xfId="34233" xr:uid="{00000000-0005-0000-0000-00000F780000}"/>
    <cellStyle name="Normal 11 3 2 6" xfId="53799" xr:uid="{00000000-0005-0000-0000-000010780000}"/>
    <cellStyle name="Normal 11 3 3" xfId="14909" xr:uid="{00000000-0005-0000-0000-000011780000}"/>
    <cellStyle name="Normal 11 3 3 2" xfId="16037" xr:uid="{00000000-0005-0000-0000-000012780000}"/>
    <cellStyle name="Normal 11 3 3 2 2" xfId="20501" xr:uid="{00000000-0005-0000-0000-000013780000}"/>
    <cellStyle name="Normal 11 3 3 2 2 2" xfId="30869" xr:uid="{00000000-0005-0000-0000-000014780000}"/>
    <cellStyle name="Normal 11 3 3 2 2 2 2" xfId="50058" xr:uid="{00000000-0005-0000-0000-000015780000}"/>
    <cellStyle name="Normal 11 3 3 2 2 3" xfId="40360" xr:uid="{00000000-0005-0000-0000-000016780000}"/>
    <cellStyle name="Normal 11 3 3 2 3" xfId="26414" xr:uid="{00000000-0005-0000-0000-000017780000}"/>
    <cellStyle name="Normal 11 3 3 2 3 2" xfId="45603" xr:uid="{00000000-0005-0000-0000-000018780000}"/>
    <cellStyle name="Normal 11 3 3 2 4" xfId="35905" xr:uid="{00000000-0005-0000-0000-000019780000}"/>
    <cellStyle name="Normal 11 3 3 3" xfId="19386" xr:uid="{00000000-0005-0000-0000-00001A780000}"/>
    <cellStyle name="Normal 11 3 3 3 2" xfId="29754" xr:uid="{00000000-0005-0000-0000-00001B780000}"/>
    <cellStyle name="Normal 11 3 3 3 2 2" xfId="48943" xr:uid="{00000000-0005-0000-0000-00001C780000}"/>
    <cellStyle name="Normal 11 3 3 3 3" xfId="39245" xr:uid="{00000000-0005-0000-0000-00001D780000}"/>
    <cellStyle name="Normal 11 3 3 4" xfId="25299" xr:uid="{00000000-0005-0000-0000-00001E780000}"/>
    <cellStyle name="Normal 11 3 3 4 2" xfId="44488" xr:uid="{00000000-0005-0000-0000-00001F780000}"/>
    <cellStyle name="Normal 11 3 3 5" xfId="34790" xr:uid="{00000000-0005-0000-0000-000020780000}"/>
    <cellStyle name="Normal 11 3 4" xfId="15480" xr:uid="{00000000-0005-0000-0000-000021780000}"/>
    <cellStyle name="Normal 11 3 4 2" xfId="19944" xr:uid="{00000000-0005-0000-0000-000022780000}"/>
    <cellStyle name="Normal 11 3 4 2 2" xfId="30312" xr:uid="{00000000-0005-0000-0000-000023780000}"/>
    <cellStyle name="Normal 11 3 4 2 2 2" xfId="49501" xr:uid="{00000000-0005-0000-0000-000024780000}"/>
    <cellStyle name="Normal 11 3 4 2 3" xfId="39803" xr:uid="{00000000-0005-0000-0000-000025780000}"/>
    <cellStyle name="Normal 11 3 4 3" xfId="25857" xr:uid="{00000000-0005-0000-0000-000026780000}"/>
    <cellStyle name="Normal 11 3 4 3 2" xfId="45046" xr:uid="{00000000-0005-0000-0000-000027780000}"/>
    <cellStyle name="Normal 11 3 4 4" xfId="35348" xr:uid="{00000000-0005-0000-0000-000028780000}"/>
    <cellStyle name="Normal 11 3 5" xfId="17150" xr:uid="{00000000-0005-0000-0000-000029780000}"/>
    <cellStyle name="Normal 11 3 5 2" xfId="21614" xr:uid="{00000000-0005-0000-0000-00002A780000}"/>
    <cellStyle name="Normal 11 3 5 2 2" xfId="31982" xr:uid="{00000000-0005-0000-0000-00002B780000}"/>
    <cellStyle name="Normal 11 3 5 2 2 2" xfId="51171" xr:uid="{00000000-0005-0000-0000-00002C780000}"/>
    <cellStyle name="Normal 11 3 5 2 3" xfId="41473" xr:uid="{00000000-0005-0000-0000-00002D780000}"/>
    <cellStyle name="Normal 11 3 5 3" xfId="27527" xr:uid="{00000000-0005-0000-0000-00002E780000}"/>
    <cellStyle name="Normal 11 3 5 3 2" xfId="46716" xr:uid="{00000000-0005-0000-0000-00002F780000}"/>
    <cellStyle name="Normal 11 3 5 4" xfId="37018" xr:uid="{00000000-0005-0000-0000-000030780000}"/>
    <cellStyle name="Normal 11 3 6" xfId="17716" xr:uid="{00000000-0005-0000-0000-000031780000}"/>
    <cellStyle name="Normal 11 3 6 2" xfId="22171" xr:uid="{00000000-0005-0000-0000-000032780000}"/>
    <cellStyle name="Normal 11 3 6 2 2" xfId="32539" xr:uid="{00000000-0005-0000-0000-000033780000}"/>
    <cellStyle name="Normal 11 3 6 2 2 2" xfId="51728" xr:uid="{00000000-0005-0000-0000-000034780000}"/>
    <cellStyle name="Normal 11 3 6 2 3" xfId="42030" xr:uid="{00000000-0005-0000-0000-000035780000}"/>
    <cellStyle name="Normal 11 3 6 3" xfId="28084" xr:uid="{00000000-0005-0000-0000-000036780000}"/>
    <cellStyle name="Normal 11 3 6 3 2" xfId="47273" xr:uid="{00000000-0005-0000-0000-000037780000}"/>
    <cellStyle name="Normal 11 3 6 4" xfId="37575" xr:uid="{00000000-0005-0000-0000-000038780000}"/>
    <cellStyle name="Normal 11 3 7" xfId="18273" xr:uid="{00000000-0005-0000-0000-000039780000}"/>
    <cellStyle name="Normal 11 3 7 2" xfId="28641" xr:uid="{00000000-0005-0000-0000-00003A780000}"/>
    <cellStyle name="Normal 11 3 7 2 2" xfId="47830" xr:uid="{00000000-0005-0000-0000-00003B780000}"/>
    <cellStyle name="Normal 11 3 7 3" xfId="38132" xr:uid="{00000000-0005-0000-0000-00003C780000}"/>
    <cellStyle name="Normal 11 3 8" xfId="24155" xr:uid="{00000000-0005-0000-0000-00003D780000}"/>
    <cellStyle name="Normal 11 3 8 2" xfId="43375" xr:uid="{00000000-0005-0000-0000-00003E780000}"/>
    <cellStyle name="Normal 11 3 9" xfId="33677" xr:uid="{00000000-0005-0000-0000-00003F780000}"/>
    <cellStyle name="Normal 11 4" xfId="3263" xr:uid="{00000000-0005-0000-0000-000040780000}"/>
    <cellStyle name="Normal 11 4 2" xfId="53403" xr:uid="{00000000-0005-0000-0000-000041780000}"/>
    <cellStyle name="Normal 11 4 3" xfId="22449" xr:uid="{00000000-0005-0000-0000-000042780000}"/>
    <cellStyle name="Normal 11 5" xfId="3264" xr:uid="{00000000-0005-0000-0000-000043780000}"/>
    <cellStyle name="Normal 11 5 2" xfId="23444" xr:uid="{00000000-0005-0000-0000-000044780000}"/>
    <cellStyle name="Normal 11 6" xfId="3265" xr:uid="{00000000-0005-0000-0000-000045780000}"/>
    <cellStyle name="Normal 11 6 2" xfId="52510" xr:uid="{00000000-0005-0000-0000-000046780000}"/>
    <cellStyle name="Normal 11 7" xfId="3266" xr:uid="{00000000-0005-0000-0000-000047780000}"/>
    <cellStyle name="Normal 11 8" xfId="3259" xr:uid="{00000000-0005-0000-0000-000048780000}"/>
    <cellStyle name="Normal 11 9" xfId="12493" xr:uid="{00000000-0005-0000-0000-000049780000}"/>
    <cellStyle name="Normal 110" xfId="33059" xr:uid="{00000000-0005-0000-0000-00004A780000}"/>
    <cellStyle name="Normal 110 2" xfId="52241" xr:uid="{00000000-0005-0000-0000-00004B780000}"/>
    <cellStyle name="Normal 111" xfId="33060" xr:uid="{00000000-0005-0000-0000-00004C780000}"/>
    <cellStyle name="Normal 111 2" xfId="52242" xr:uid="{00000000-0005-0000-0000-00004D780000}"/>
    <cellStyle name="Normal 112" xfId="33063" xr:uid="{00000000-0005-0000-0000-00004E780000}"/>
    <cellStyle name="Normal 112 2" xfId="52245" xr:uid="{00000000-0005-0000-0000-00004F780000}"/>
    <cellStyle name="Normal 113" xfId="33062" xr:uid="{00000000-0005-0000-0000-000050780000}"/>
    <cellStyle name="Normal 113 2" xfId="52244" xr:uid="{00000000-0005-0000-0000-000051780000}"/>
    <cellStyle name="Normal 114" xfId="33054" xr:uid="{00000000-0005-0000-0000-000052780000}"/>
    <cellStyle name="Normal 114 2" xfId="52236" xr:uid="{00000000-0005-0000-0000-000053780000}"/>
    <cellStyle name="Normal 115" xfId="32975" xr:uid="{00000000-0005-0000-0000-000054780000}"/>
    <cellStyle name="Normal 115 2" xfId="52161" xr:uid="{00000000-0005-0000-0000-000055780000}"/>
    <cellStyle name="Normal 116" xfId="33064" xr:uid="{00000000-0005-0000-0000-000056780000}"/>
    <cellStyle name="Normal 117" xfId="33112" xr:uid="{00000000-0005-0000-0000-000057780000}"/>
    <cellStyle name="Normal 118" xfId="33131" xr:uid="{00000000-0005-0000-0000-000058780000}"/>
    <cellStyle name="Normal 119" xfId="52246" xr:uid="{00000000-0005-0000-0000-000059780000}"/>
    <cellStyle name="Normal 12" xfId="749" xr:uid="{00000000-0005-0000-0000-00005A780000}"/>
    <cellStyle name="Normal 12 10" xfId="23509" xr:uid="{00000000-0005-0000-0000-00005B780000}"/>
    <cellStyle name="Normal 12 10 2" xfId="42842" xr:uid="{00000000-0005-0000-0000-00005C780000}"/>
    <cellStyle name="Normal 12 11" xfId="33144" xr:uid="{00000000-0005-0000-0000-00005D780000}"/>
    <cellStyle name="Normal 12 12" xfId="52518" xr:uid="{00000000-0005-0000-0000-00005E780000}"/>
    <cellStyle name="Normal 12 13" xfId="12607" xr:uid="{00000000-0005-0000-0000-00005F780000}"/>
    <cellStyle name="Normal 12 2" xfId="3268" xr:uid="{00000000-0005-0000-0000-000060780000}"/>
    <cellStyle name="Normal 12 2 10" xfId="52721" xr:uid="{00000000-0005-0000-0000-000061780000}"/>
    <cellStyle name="Normal 12 2 11" xfId="13474" xr:uid="{00000000-0005-0000-0000-000062780000}"/>
    <cellStyle name="Normal 12 2 2" xfId="14331" xr:uid="{00000000-0005-0000-0000-000063780000}"/>
    <cellStyle name="Normal 12 2 2 2" xfId="16594" xr:uid="{00000000-0005-0000-0000-000064780000}"/>
    <cellStyle name="Normal 12 2 2 2 2" xfId="21058" xr:uid="{00000000-0005-0000-0000-000065780000}"/>
    <cellStyle name="Normal 12 2 2 2 2 2" xfId="31426" xr:uid="{00000000-0005-0000-0000-000066780000}"/>
    <cellStyle name="Normal 12 2 2 2 2 2 2" xfId="50615" xr:uid="{00000000-0005-0000-0000-000067780000}"/>
    <cellStyle name="Normal 12 2 2 2 2 3" xfId="40917" xr:uid="{00000000-0005-0000-0000-000068780000}"/>
    <cellStyle name="Normal 12 2 2 2 3" xfId="26971" xr:uid="{00000000-0005-0000-0000-000069780000}"/>
    <cellStyle name="Normal 12 2 2 2 3 2" xfId="46160" xr:uid="{00000000-0005-0000-0000-00006A780000}"/>
    <cellStyle name="Normal 12 2 2 2 4" xfId="36462" xr:uid="{00000000-0005-0000-0000-00006B780000}"/>
    <cellStyle name="Normal 12 2 2 2 5" xfId="54002" xr:uid="{00000000-0005-0000-0000-00006C780000}"/>
    <cellStyle name="Normal 12 2 2 3" xfId="18830" xr:uid="{00000000-0005-0000-0000-00006D780000}"/>
    <cellStyle name="Normal 12 2 2 3 2" xfId="29198" xr:uid="{00000000-0005-0000-0000-00006E780000}"/>
    <cellStyle name="Normal 12 2 2 3 2 2" xfId="48387" xr:uid="{00000000-0005-0000-0000-00006F780000}"/>
    <cellStyle name="Normal 12 2 2 3 3" xfId="38689" xr:uid="{00000000-0005-0000-0000-000070780000}"/>
    <cellStyle name="Normal 12 2 2 4" xfId="24738" xr:uid="{00000000-0005-0000-0000-000071780000}"/>
    <cellStyle name="Normal 12 2 2 4 2" xfId="43932" xr:uid="{00000000-0005-0000-0000-000072780000}"/>
    <cellStyle name="Normal 12 2 2 5" xfId="34234" xr:uid="{00000000-0005-0000-0000-000073780000}"/>
    <cellStyle name="Normal 12 2 2 6" xfId="53149" xr:uid="{00000000-0005-0000-0000-000074780000}"/>
    <cellStyle name="Normal 12 2 3" xfId="14910" xr:uid="{00000000-0005-0000-0000-000075780000}"/>
    <cellStyle name="Normal 12 2 3 2" xfId="16038" xr:uid="{00000000-0005-0000-0000-000076780000}"/>
    <cellStyle name="Normal 12 2 3 2 2" xfId="20502" xr:uid="{00000000-0005-0000-0000-000077780000}"/>
    <cellStyle name="Normal 12 2 3 2 2 2" xfId="30870" xr:uid="{00000000-0005-0000-0000-000078780000}"/>
    <cellStyle name="Normal 12 2 3 2 2 2 2" xfId="50059" xr:uid="{00000000-0005-0000-0000-000079780000}"/>
    <cellStyle name="Normal 12 2 3 2 2 3" xfId="40361" xr:uid="{00000000-0005-0000-0000-00007A780000}"/>
    <cellStyle name="Normal 12 2 3 2 3" xfId="26415" xr:uid="{00000000-0005-0000-0000-00007B780000}"/>
    <cellStyle name="Normal 12 2 3 2 3 2" xfId="45604" xr:uid="{00000000-0005-0000-0000-00007C780000}"/>
    <cellStyle name="Normal 12 2 3 2 4" xfId="35906" xr:uid="{00000000-0005-0000-0000-00007D780000}"/>
    <cellStyle name="Normal 12 2 3 3" xfId="19387" xr:uid="{00000000-0005-0000-0000-00007E780000}"/>
    <cellStyle name="Normal 12 2 3 3 2" xfId="29755" xr:uid="{00000000-0005-0000-0000-00007F780000}"/>
    <cellStyle name="Normal 12 2 3 3 2 2" xfId="48944" xr:uid="{00000000-0005-0000-0000-000080780000}"/>
    <cellStyle name="Normal 12 2 3 3 3" xfId="39246" xr:uid="{00000000-0005-0000-0000-000081780000}"/>
    <cellStyle name="Normal 12 2 3 4" xfId="25300" xr:uid="{00000000-0005-0000-0000-000082780000}"/>
    <cellStyle name="Normal 12 2 3 4 2" xfId="44489" xr:uid="{00000000-0005-0000-0000-000083780000}"/>
    <cellStyle name="Normal 12 2 3 5" xfId="34791" xr:uid="{00000000-0005-0000-0000-000084780000}"/>
    <cellStyle name="Normal 12 2 3 6" xfId="53606" xr:uid="{00000000-0005-0000-0000-000085780000}"/>
    <cellStyle name="Normal 12 2 4" xfId="15481" xr:uid="{00000000-0005-0000-0000-000086780000}"/>
    <cellStyle name="Normal 12 2 4 2" xfId="19945" xr:uid="{00000000-0005-0000-0000-000087780000}"/>
    <cellStyle name="Normal 12 2 4 2 2" xfId="30313" xr:uid="{00000000-0005-0000-0000-000088780000}"/>
    <cellStyle name="Normal 12 2 4 2 2 2" xfId="49502" xr:uid="{00000000-0005-0000-0000-000089780000}"/>
    <cellStyle name="Normal 12 2 4 2 3" xfId="39804" xr:uid="{00000000-0005-0000-0000-00008A780000}"/>
    <cellStyle name="Normal 12 2 4 3" xfId="25858" xr:uid="{00000000-0005-0000-0000-00008B780000}"/>
    <cellStyle name="Normal 12 2 4 3 2" xfId="45047" xr:uid="{00000000-0005-0000-0000-00008C780000}"/>
    <cellStyle name="Normal 12 2 4 4" xfId="35349" xr:uid="{00000000-0005-0000-0000-00008D780000}"/>
    <cellStyle name="Normal 12 2 5" xfId="17151" xr:uid="{00000000-0005-0000-0000-00008E780000}"/>
    <cellStyle name="Normal 12 2 5 2" xfId="21615" xr:uid="{00000000-0005-0000-0000-00008F780000}"/>
    <cellStyle name="Normal 12 2 5 2 2" xfId="31983" xr:uid="{00000000-0005-0000-0000-000090780000}"/>
    <cellStyle name="Normal 12 2 5 2 2 2" xfId="51172" xr:uid="{00000000-0005-0000-0000-000091780000}"/>
    <cellStyle name="Normal 12 2 5 2 3" xfId="41474" xr:uid="{00000000-0005-0000-0000-000092780000}"/>
    <cellStyle name="Normal 12 2 5 3" xfId="27528" xr:uid="{00000000-0005-0000-0000-000093780000}"/>
    <cellStyle name="Normal 12 2 5 3 2" xfId="46717" xr:uid="{00000000-0005-0000-0000-000094780000}"/>
    <cellStyle name="Normal 12 2 5 4" xfId="37019" xr:uid="{00000000-0005-0000-0000-000095780000}"/>
    <cellStyle name="Normal 12 2 6" xfId="17717" xr:uid="{00000000-0005-0000-0000-000096780000}"/>
    <cellStyle name="Normal 12 2 6 2" xfId="22172" xr:uid="{00000000-0005-0000-0000-000097780000}"/>
    <cellStyle name="Normal 12 2 6 2 2" xfId="32540" xr:uid="{00000000-0005-0000-0000-000098780000}"/>
    <cellStyle name="Normal 12 2 6 2 2 2" xfId="51729" xr:uid="{00000000-0005-0000-0000-000099780000}"/>
    <cellStyle name="Normal 12 2 6 2 3" xfId="42031" xr:uid="{00000000-0005-0000-0000-00009A780000}"/>
    <cellStyle name="Normal 12 2 6 3" xfId="28085" xr:uid="{00000000-0005-0000-0000-00009B780000}"/>
    <cellStyle name="Normal 12 2 6 3 2" xfId="47274" xr:uid="{00000000-0005-0000-0000-00009C780000}"/>
    <cellStyle name="Normal 12 2 6 4" xfId="37576" xr:uid="{00000000-0005-0000-0000-00009D780000}"/>
    <cellStyle name="Normal 12 2 7" xfId="18274" xr:uid="{00000000-0005-0000-0000-00009E780000}"/>
    <cellStyle name="Normal 12 2 7 2" xfId="28642" xr:uid="{00000000-0005-0000-0000-00009F780000}"/>
    <cellStyle name="Normal 12 2 7 2 2" xfId="47831" xr:uid="{00000000-0005-0000-0000-0000A0780000}"/>
    <cellStyle name="Normal 12 2 7 3" xfId="38133" xr:uid="{00000000-0005-0000-0000-0000A1780000}"/>
    <cellStyle name="Normal 12 2 8" xfId="24156" xr:uid="{00000000-0005-0000-0000-0000A2780000}"/>
    <cellStyle name="Normal 12 2 8 2" xfId="43376" xr:uid="{00000000-0005-0000-0000-0000A3780000}"/>
    <cellStyle name="Normal 12 2 9" xfId="33678" xr:uid="{00000000-0005-0000-0000-0000A4780000}"/>
    <cellStyle name="Normal 12 3" xfId="3269" xr:uid="{00000000-0005-0000-0000-0000A5780000}"/>
    <cellStyle name="Normal 12 3 2" xfId="16060" xr:uid="{00000000-0005-0000-0000-0000A6780000}"/>
    <cellStyle name="Normal 12 3 2 2" xfId="20524" xr:uid="{00000000-0005-0000-0000-0000A7780000}"/>
    <cellStyle name="Normal 12 3 2 2 2" xfId="30892" xr:uid="{00000000-0005-0000-0000-0000A8780000}"/>
    <cellStyle name="Normal 12 3 2 2 2 2" xfId="50081" xr:uid="{00000000-0005-0000-0000-0000A9780000}"/>
    <cellStyle name="Normal 12 3 2 2 3" xfId="40383" xr:uid="{00000000-0005-0000-0000-0000AA780000}"/>
    <cellStyle name="Normal 12 3 2 3" xfId="26437" xr:uid="{00000000-0005-0000-0000-0000AB780000}"/>
    <cellStyle name="Normal 12 3 2 3 2" xfId="45626" xr:uid="{00000000-0005-0000-0000-0000AC780000}"/>
    <cellStyle name="Normal 12 3 2 4" xfId="35928" xr:uid="{00000000-0005-0000-0000-0000AD780000}"/>
    <cellStyle name="Normal 12 3 2 5" xfId="53806" xr:uid="{00000000-0005-0000-0000-0000AE780000}"/>
    <cellStyle name="Normal 12 3 3" xfId="18296" xr:uid="{00000000-0005-0000-0000-0000AF780000}"/>
    <cellStyle name="Normal 12 3 3 2" xfId="28664" xr:uid="{00000000-0005-0000-0000-0000B0780000}"/>
    <cellStyle name="Normal 12 3 3 2 2" xfId="47853" xr:uid="{00000000-0005-0000-0000-0000B1780000}"/>
    <cellStyle name="Normal 12 3 3 3" xfId="38155" xr:uid="{00000000-0005-0000-0000-0000B2780000}"/>
    <cellStyle name="Normal 12 3 4" xfId="24204" xr:uid="{00000000-0005-0000-0000-0000B3780000}"/>
    <cellStyle name="Normal 12 3 4 2" xfId="43398" xr:uid="{00000000-0005-0000-0000-0000B4780000}"/>
    <cellStyle name="Normal 12 3 5" xfId="33700" xr:uid="{00000000-0005-0000-0000-0000B5780000}"/>
    <cellStyle name="Normal 12 3 6" xfId="52931" xr:uid="{00000000-0005-0000-0000-0000B6780000}"/>
    <cellStyle name="Normal 12 3 7" xfId="13796" xr:uid="{00000000-0005-0000-0000-0000B7780000}"/>
    <cellStyle name="Normal 12 4" xfId="3270" xr:uid="{00000000-0005-0000-0000-0000B8780000}"/>
    <cellStyle name="Normal 12 4 2" xfId="15504" xr:uid="{00000000-0005-0000-0000-0000B9780000}"/>
    <cellStyle name="Normal 12 4 2 2" xfId="19968" xr:uid="{00000000-0005-0000-0000-0000BA780000}"/>
    <cellStyle name="Normal 12 4 2 2 2" xfId="30336" xr:uid="{00000000-0005-0000-0000-0000BB780000}"/>
    <cellStyle name="Normal 12 4 2 2 2 2" xfId="49525" xr:uid="{00000000-0005-0000-0000-0000BC780000}"/>
    <cellStyle name="Normal 12 4 2 2 3" xfId="39827" xr:uid="{00000000-0005-0000-0000-0000BD780000}"/>
    <cellStyle name="Normal 12 4 2 3" xfId="25881" xr:uid="{00000000-0005-0000-0000-0000BE780000}"/>
    <cellStyle name="Normal 12 4 2 3 2" xfId="45070" xr:uid="{00000000-0005-0000-0000-0000BF780000}"/>
    <cellStyle name="Normal 12 4 2 4" xfId="35372" xr:uid="{00000000-0005-0000-0000-0000C0780000}"/>
    <cellStyle name="Normal 12 4 3" xfId="18853" xr:uid="{00000000-0005-0000-0000-0000C1780000}"/>
    <cellStyle name="Normal 12 4 3 2" xfId="29221" xr:uid="{00000000-0005-0000-0000-0000C2780000}"/>
    <cellStyle name="Normal 12 4 3 2 2" xfId="48410" xr:uid="{00000000-0005-0000-0000-0000C3780000}"/>
    <cellStyle name="Normal 12 4 3 3" xfId="38712" xr:uid="{00000000-0005-0000-0000-0000C4780000}"/>
    <cellStyle name="Normal 12 4 4" xfId="24766" xr:uid="{00000000-0005-0000-0000-0000C5780000}"/>
    <cellStyle name="Normal 12 4 4 2" xfId="43955" xr:uid="{00000000-0005-0000-0000-0000C6780000}"/>
    <cellStyle name="Normal 12 4 5" xfId="34257" xr:uid="{00000000-0005-0000-0000-0000C7780000}"/>
    <cellStyle name="Normal 12 4 6" xfId="53410" xr:uid="{00000000-0005-0000-0000-0000C8780000}"/>
    <cellStyle name="Normal 12 4 7" xfId="14375" xr:uid="{00000000-0005-0000-0000-0000C9780000}"/>
    <cellStyle name="Normal 12 5" xfId="3271" xr:uid="{00000000-0005-0000-0000-0000CA780000}"/>
    <cellStyle name="Normal 12 5 2" xfId="19411" xr:uid="{00000000-0005-0000-0000-0000CB780000}"/>
    <cellStyle name="Normal 12 5 2 2" xfId="29779" xr:uid="{00000000-0005-0000-0000-0000CC780000}"/>
    <cellStyle name="Normal 12 5 2 2 2" xfId="48968" xr:uid="{00000000-0005-0000-0000-0000CD780000}"/>
    <cellStyle name="Normal 12 5 2 3" xfId="39270" xr:uid="{00000000-0005-0000-0000-0000CE780000}"/>
    <cellStyle name="Normal 12 5 3" xfId="25324" xr:uid="{00000000-0005-0000-0000-0000CF780000}"/>
    <cellStyle name="Normal 12 5 3 2" xfId="44513" xr:uid="{00000000-0005-0000-0000-0000D0780000}"/>
    <cellStyle name="Normal 12 5 4" xfId="34815" xr:uid="{00000000-0005-0000-0000-0000D1780000}"/>
    <cellStyle name="Normal 12 5 5" xfId="14947" xr:uid="{00000000-0005-0000-0000-0000D2780000}"/>
    <cellStyle name="Normal 12 6" xfId="3267" xr:uid="{00000000-0005-0000-0000-0000D3780000}"/>
    <cellStyle name="Normal 12 6 2" xfId="21081" xr:uid="{00000000-0005-0000-0000-0000D4780000}"/>
    <cellStyle name="Normal 12 6 2 2" xfId="31449" xr:uid="{00000000-0005-0000-0000-0000D5780000}"/>
    <cellStyle name="Normal 12 6 2 2 2" xfId="50638" xr:uid="{00000000-0005-0000-0000-0000D6780000}"/>
    <cellStyle name="Normal 12 6 2 3" xfId="40940" xr:uid="{00000000-0005-0000-0000-0000D7780000}"/>
    <cellStyle name="Normal 12 6 3" xfId="26994" xr:uid="{00000000-0005-0000-0000-0000D8780000}"/>
    <cellStyle name="Normal 12 6 3 2" xfId="46183" xr:uid="{00000000-0005-0000-0000-0000D9780000}"/>
    <cellStyle name="Normal 12 6 4" xfId="36485" xr:uid="{00000000-0005-0000-0000-0000DA780000}"/>
    <cellStyle name="Normal 12 6 5" xfId="16617" xr:uid="{00000000-0005-0000-0000-0000DB780000}"/>
    <cellStyle name="Normal 12 7" xfId="17183" xr:uid="{00000000-0005-0000-0000-0000DC780000}"/>
    <cellStyle name="Normal 12 7 2" xfId="21638" xr:uid="{00000000-0005-0000-0000-0000DD780000}"/>
    <cellStyle name="Normal 12 7 2 2" xfId="32006" xr:uid="{00000000-0005-0000-0000-0000DE780000}"/>
    <cellStyle name="Normal 12 7 2 2 2" xfId="51195" xr:uid="{00000000-0005-0000-0000-0000DF780000}"/>
    <cellStyle name="Normal 12 7 2 3" xfId="41497" xr:uid="{00000000-0005-0000-0000-0000E0780000}"/>
    <cellStyle name="Normal 12 7 3" xfId="27551" xr:uid="{00000000-0005-0000-0000-0000E1780000}"/>
    <cellStyle name="Normal 12 7 3 2" xfId="46740" xr:uid="{00000000-0005-0000-0000-0000E2780000}"/>
    <cellStyle name="Normal 12 7 4" xfId="37042" xr:uid="{00000000-0005-0000-0000-0000E3780000}"/>
    <cellStyle name="Normal 12 8" xfId="17740" xr:uid="{00000000-0005-0000-0000-0000E4780000}"/>
    <cellStyle name="Normal 12 8 2" xfId="28108" xr:uid="{00000000-0005-0000-0000-0000E5780000}"/>
    <cellStyle name="Normal 12 8 2 2" xfId="47297" xr:uid="{00000000-0005-0000-0000-0000E6780000}"/>
    <cellStyle name="Normal 12 8 3" xfId="37599" xr:uid="{00000000-0005-0000-0000-0000E7780000}"/>
    <cellStyle name="Normal 12 9" xfId="22450" xr:uid="{00000000-0005-0000-0000-0000E8780000}"/>
    <cellStyle name="Normal 120" xfId="52250" xr:uid="{00000000-0005-0000-0000-0000E9780000}"/>
    <cellStyle name="Normal 121" xfId="52258" xr:uid="{00000000-0005-0000-0000-0000EA780000}"/>
    <cellStyle name="Normal 122" xfId="52253" xr:uid="{00000000-0005-0000-0000-0000EB780000}"/>
    <cellStyle name="Normal 123" xfId="52256" xr:uid="{00000000-0005-0000-0000-0000EC780000}"/>
    <cellStyle name="Normal 124" xfId="33078" xr:uid="{00000000-0005-0000-0000-0000ED780000}"/>
    <cellStyle name="Normal 125" xfId="52261" xr:uid="{00000000-0005-0000-0000-0000EE780000}"/>
    <cellStyle name="Normal 126" xfId="52304" xr:uid="{00000000-0005-0000-0000-0000EF780000}"/>
    <cellStyle name="Normal 127" xfId="52309" xr:uid="{00000000-0005-0000-0000-0000F0780000}"/>
    <cellStyle name="Normal 128" xfId="52310" xr:uid="{00000000-0005-0000-0000-0000F1780000}"/>
    <cellStyle name="Normal 129" xfId="52311" xr:uid="{00000000-0005-0000-0000-0000F2780000}"/>
    <cellStyle name="Normal 13" xfId="750" xr:uid="{00000000-0005-0000-0000-0000F3780000}"/>
    <cellStyle name="Normal 13 10" xfId="22451" xr:uid="{00000000-0005-0000-0000-0000F4780000}"/>
    <cellStyle name="Normal 13 11" xfId="23511" xr:uid="{00000000-0005-0000-0000-0000F5780000}"/>
    <cellStyle name="Normal 13 11 2" xfId="42844" xr:uid="{00000000-0005-0000-0000-0000F6780000}"/>
    <cellStyle name="Normal 13 12" xfId="33146" xr:uid="{00000000-0005-0000-0000-0000F7780000}"/>
    <cellStyle name="Normal 13 13" xfId="52519" xr:uid="{00000000-0005-0000-0000-0000F8780000}"/>
    <cellStyle name="Normal 13 14" xfId="12609" xr:uid="{00000000-0005-0000-0000-0000F9780000}"/>
    <cellStyle name="Normal 13 2" xfId="3273" xr:uid="{00000000-0005-0000-0000-0000FA780000}"/>
    <cellStyle name="Normal 13 2 10" xfId="52722" xr:uid="{00000000-0005-0000-0000-0000FB780000}"/>
    <cellStyle name="Normal 13 2 11" xfId="13475" xr:uid="{00000000-0005-0000-0000-0000FC780000}"/>
    <cellStyle name="Normal 13 2 2" xfId="14332" xr:uid="{00000000-0005-0000-0000-0000FD780000}"/>
    <cellStyle name="Normal 13 2 2 2" xfId="16595" xr:uid="{00000000-0005-0000-0000-0000FE780000}"/>
    <cellStyle name="Normal 13 2 2 2 2" xfId="21059" xr:uid="{00000000-0005-0000-0000-0000FF780000}"/>
    <cellStyle name="Normal 13 2 2 2 2 2" xfId="31427" xr:uid="{00000000-0005-0000-0000-000000790000}"/>
    <cellStyle name="Normal 13 2 2 2 2 2 2" xfId="50616" xr:uid="{00000000-0005-0000-0000-000001790000}"/>
    <cellStyle name="Normal 13 2 2 2 2 3" xfId="40918" xr:uid="{00000000-0005-0000-0000-000002790000}"/>
    <cellStyle name="Normal 13 2 2 2 3" xfId="26972" xr:uid="{00000000-0005-0000-0000-000003790000}"/>
    <cellStyle name="Normal 13 2 2 2 3 2" xfId="46161" xr:uid="{00000000-0005-0000-0000-000004790000}"/>
    <cellStyle name="Normal 13 2 2 2 4" xfId="36463" xr:uid="{00000000-0005-0000-0000-000005790000}"/>
    <cellStyle name="Normal 13 2 2 2 5" xfId="54003" xr:uid="{00000000-0005-0000-0000-000006790000}"/>
    <cellStyle name="Normal 13 2 2 3" xfId="18831" xr:uid="{00000000-0005-0000-0000-000007790000}"/>
    <cellStyle name="Normal 13 2 2 3 2" xfId="29199" xr:uid="{00000000-0005-0000-0000-000008790000}"/>
    <cellStyle name="Normal 13 2 2 3 2 2" xfId="48388" xr:uid="{00000000-0005-0000-0000-000009790000}"/>
    <cellStyle name="Normal 13 2 2 3 3" xfId="38690" xr:uid="{00000000-0005-0000-0000-00000A790000}"/>
    <cellStyle name="Normal 13 2 2 4" xfId="24739" xr:uid="{00000000-0005-0000-0000-00000B790000}"/>
    <cellStyle name="Normal 13 2 2 4 2" xfId="43933" xr:uid="{00000000-0005-0000-0000-00000C790000}"/>
    <cellStyle name="Normal 13 2 2 5" xfId="34235" xr:uid="{00000000-0005-0000-0000-00000D790000}"/>
    <cellStyle name="Normal 13 2 2 6" xfId="53150" xr:uid="{00000000-0005-0000-0000-00000E790000}"/>
    <cellStyle name="Normal 13 2 3" xfId="14911" xr:uid="{00000000-0005-0000-0000-00000F790000}"/>
    <cellStyle name="Normal 13 2 3 2" xfId="16039" xr:uid="{00000000-0005-0000-0000-000010790000}"/>
    <cellStyle name="Normal 13 2 3 2 2" xfId="20503" xr:uid="{00000000-0005-0000-0000-000011790000}"/>
    <cellStyle name="Normal 13 2 3 2 2 2" xfId="30871" xr:uid="{00000000-0005-0000-0000-000012790000}"/>
    <cellStyle name="Normal 13 2 3 2 2 2 2" xfId="50060" xr:uid="{00000000-0005-0000-0000-000013790000}"/>
    <cellStyle name="Normal 13 2 3 2 2 3" xfId="40362" xr:uid="{00000000-0005-0000-0000-000014790000}"/>
    <cellStyle name="Normal 13 2 3 2 3" xfId="26416" xr:uid="{00000000-0005-0000-0000-000015790000}"/>
    <cellStyle name="Normal 13 2 3 2 3 2" xfId="45605" xr:uid="{00000000-0005-0000-0000-000016790000}"/>
    <cellStyle name="Normal 13 2 3 2 4" xfId="35907" xr:uid="{00000000-0005-0000-0000-000017790000}"/>
    <cellStyle name="Normal 13 2 3 3" xfId="19388" xr:uid="{00000000-0005-0000-0000-000018790000}"/>
    <cellStyle name="Normal 13 2 3 3 2" xfId="29756" xr:uid="{00000000-0005-0000-0000-000019790000}"/>
    <cellStyle name="Normal 13 2 3 3 2 2" xfId="48945" xr:uid="{00000000-0005-0000-0000-00001A790000}"/>
    <cellStyle name="Normal 13 2 3 3 3" xfId="39247" xr:uid="{00000000-0005-0000-0000-00001B790000}"/>
    <cellStyle name="Normal 13 2 3 4" xfId="25301" xr:uid="{00000000-0005-0000-0000-00001C790000}"/>
    <cellStyle name="Normal 13 2 3 4 2" xfId="44490" xr:uid="{00000000-0005-0000-0000-00001D790000}"/>
    <cellStyle name="Normal 13 2 3 5" xfId="34792" xr:uid="{00000000-0005-0000-0000-00001E790000}"/>
    <cellStyle name="Normal 13 2 3 6" xfId="53607" xr:uid="{00000000-0005-0000-0000-00001F790000}"/>
    <cellStyle name="Normal 13 2 4" xfId="15482" xr:uid="{00000000-0005-0000-0000-000020790000}"/>
    <cellStyle name="Normal 13 2 4 2" xfId="19946" xr:uid="{00000000-0005-0000-0000-000021790000}"/>
    <cellStyle name="Normal 13 2 4 2 2" xfId="30314" xr:uid="{00000000-0005-0000-0000-000022790000}"/>
    <cellStyle name="Normal 13 2 4 2 2 2" xfId="49503" xr:uid="{00000000-0005-0000-0000-000023790000}"/>
    <cellStyle name="Normal 13 2 4 2 3" xfId="39805" xr:uid="{00000000-0005-0000-0000-000024790000}"/>
    <cellStyle name="Normal 13 2 4 3" xfId="25859" xr:uid="{00000000-0005-0000-0000-000025790000}"/>
    <cellStyle name="Normal 13 2 4 3 2" xfId="45048" xr:uid="{00000000-0005-0000-0000-000026790000}"/>
    <cellStyle name="Normal 13 2 4 4" xfId="35350" xr:uid="{00000000-0005-0000-0000-000027790000}"/>
    <cellStyle name="Normal 13 2 5" xfId="17152" xr:uid="{00000000-0005-0000-0000-000028790000}"/>
    <cellStyle name="Normal 13 2 5 2" xfId="21616" xr:uid="{00000000-0005-0000-0000-000029790000}"/>
    <cellStyle name="Normal 13 2 5 2 2" xfId="31984" xr:uid="{00000000-0005-0000-0000-00002A790000}"/>
    <cellStyle name="Normal 13 2 5 2 2 2" xfId="51173" xr:uid="{00000000-0005-0000-0000-00002B790000}"/>
    <cellStyle name="Normal 13 2 5 2 3" xfId="41475" xr:uid="{00000000-0005-0000-0000-00002C790000}"/>
    <cellStyle name="Normal 13 2 5 3" xfId="27529" xr:uid="{00000000-0005-0000-0000-00002D790000}"/>
    <cellStyle name="Normal 13 2 5 3 2" xfId="46718" xr:uid="{00000000-0005-0000-0000-00002E790000}"/>
    <cellStyle name="Normal 13 2 5 4" xfId="37020" xr:uid="{00000000-0005-0000-0000-00002F790000}"/>
    <cellStyle name="Normal 13 2 6" xfId="17718" xr:uid="{00000000-0005-0000-0000-000030790000}"/>
    <cellStyle name="Normal 13 2 6 2" xfId="22173" xr:uid="{00000000-0005-0000-0000-000031790000}"/>
    <cellStyle name="Normal 13 2 6 2 2" xfId="32541" xr:uid="{00000000-0005-0000-0000-000032790000}"/>
    <cellStyle name="Normal 13 2 6 2 2 2" xfId="51730" xr:uid="{00000000-0005-0000-0000-000033790000}"/>
    <cellStyle name="Normal 13 2 6 2 3" xfId="42032" xr:uid="{00000000-0005-0000-0000-000034790000}"/>
    <cellStyle name="Normal 13 2 6 3" xfId="28086" xr:uid="{00000000-0005-0000-0000-000035790000}"/>
    <cellStyle name="Normal 13 2 6 3 2" xfId="47275" xr:uid="{00000000-0005-0000-0000-000036790000}"/>
    <cellStyle name="Normal 13 2 6 4" xfId="37577" xr:uid="{00000000-0005-0000-0000-000037790000}"/>
    <cellStyle name="Normal 13 2 7" xfId="18275" xr:uid="{00000000-0005-0000-0000-000038790000}"/>
    <cellStyle name="Normal 13 2 7 2" xfId="28643" xr:uid="{00000000-0005-0000-0000-000039790000}"/>
    <cellStyle name="Normal 13 2 7 2 2" xfId="47832" xr:uid="{00000000-0005-0000-0000-00003A790000}"/>
    <cellStyle name="Normal 13 2 7 3" xfId="38134" xr:uid="{00000000-0005-0000-0000-00003B790000}"/>
    <cellStyle name="Normal 13 2 8" xfId="24157" xr:uid="{00000000-0005-0000-0000-00003C790000}"/>
    <cellStyle name="Normal 13 2 8 2" xfId="43377" xr:uid="{00000000-0005-0000-0000-00003D790000}"/>
    <cellStyle name="Normal 13 2 9" xfId="33679" xr:uid="{00000000-0005-0000-0000-00003E790000}"/>
    <cellStyle name="Normal 13 3" xfId="3274" xr:uid="{00000000-0005-0000-0000-00003F790000}"/>
    <cellStyle name="Normal 13 3 2" xfId="14936" xr:uid="{00000000-0005-0000-0000-000040790000}"/>
    <cellStyle name="Normal 13 3 2 2" xfId="19408" xr:uid="{00000000-0005-0000-0000-000041790000}"/>
    <cellStyle name="Normal 13 3 2 2 2" xfId="29776" xr:uid="{00000000-0005-0000-0000-000042790000}"/>
    <cellStyle name="Normal 13 3 2 2 2 2" xfId="48965" xr:uid="{00000000-0005-0000-0000-000043790000}"/>
    <cellStyle name="Normal 13 3 2 2 3" xfId="39267" xr:uid="{00000000-0005-0000-0000-000044790000}"/>
    <cellStyle name="Normal 13 3 2 3" xfId="25321" xr:uid="{00000000-0005-0000-0000-000045790000}"/>
    <cellStyle name="Normal 13 3 2 3 2" xfId="44510" xr:uid="{00000000-0005-0000-0000-000046790000}"/>
    <cellStyle name="Normal 13 3 2 4" xfId="34812" xr:uid="{00000000-0005-0000-0000-000047790000}"/>
    <cellStyle name="Normal 13 3 2 5" xfId="53807" xr:uid="{00000000-0005-0000-0000-000048790000}"/>
    <cellStyle name="Normal 13 3 3" xfId="16059" xr:uid="{00000000-0005-0000-0000-000049790000}"/>
    <cellStyle name="Normal 13 3 3 2" xfId="20523" xr:uid="{00000000-0005-0000-0000-00004A790000}"/>
    <cellStyle name="Normal 13 3 3 2 2" xfId="30891" xr:uid="{00000000-0005-0000-0000-00004B790000}"/>
    <cellStyle name="Normal 13 3 3 2 2 2" xfId="50080" xr:uid="{00000000-0005-0000-0000-00004C790000}"/>
    <cellStyle name="Normal 13 3 3 2 3" xfId="40382" xr:uid="{00000000-0005-0000-0000-00004D790000}"/>
    <cellStyle name="Normal 13 3 3 3" xfId="26436" xr:uid="{00000000-0005-0000-0000-00004E790000}"/>
    <cellStyle name="Normal 13 3 3 3 2" xfId="45625" xr:uid="{00000000-0005-0000-0000-00004F790000}"/>
    <cellStyle name="Normal 13 3 3 4" xfId="35927" xr:uid="{00000000-0005-0000-0000-000050790000}"/>
    <cellStyle name="Normal 13 3 4" xfId="18295" xr:uid="{00000000-0005-0000-0000-000051790000}"/>
    <cellStyle name="Normal 13 3 4 2" xfId="28663" xr:uid="{00000000-0005-0000-0000-000052790000}"/>
    <cellStyle name="Normal 13 3 4 2 2" xfId="47852" xr:uid="{00000000-0005-0000-0000-000053790000}"/>
    <cellStyle name="Normal 13 3 4 3" xfId="38154" xr:uid="{00000000-0005-0000-0000-000054790000}"/>
    <cellStyle name="Normal 13 3 5" xfId="24203" xr:uid="{00000000-0005-0000-0000-000055790000}"/>
    <cellStyle name="Normal 13 3 5 2" xfId="43397" xr:uid="{00000000-0005-0000-0000-000056790000}"/>
    <cellStyle name="Normal 13 3 6" xfId="33699" xr:uid="{00000000-0005-0000-0000-000057790000}"/>
    <cellStyle name="Normal 13 3 7" xfId="52932" xr:uid="{00000000-0005-0000-0000-000058790000}"/>
    <cellStyle name="Normal 13 3 8" xfId="13790" xr:uid="{00000000-0005-0000-0000-000059790000}"/>
    <cellStyle name="Normal 13 4" xfId="3272" xr:uid="{00000000-0005-0000-0000-00005A790000}"/>
    <cellStyle name="Normal 13 4 2" xfId="16062" xr:uid="{00000000-0005-0000-0000-00005B790000}"/>
    <cellStyle name="Normal 13 4 2 2" xfId="20526" xr:uid="{00000000-0005-0000-0000-00005C790000}"/>
    <cellStyle name="Normal 13 4 2 2 2" xfId="30894" xr:uid="{00000000-0005-0000-0000-00005D790000}"/>
    <cellStyle name="Normal 13 4 2 2 2 2" xfId="50083" xr:uid="{00000000-0005-0000-0000-00005E790000}"/>
    <cellStyle name="Normal 13 4 2 2 3" xfId="40385" xr:uid="{00000000-0005-0000-0000-00005F790000}"/>
    <cellStyle name="Normal 13 4 2 3" xfId="26439" xr:uid="{00000000-0005-0000-0000-000060790000}"/>
    <cellStyle name="Normal 13 4 2 3 2" xfId="45628" xr:uid="{00000000-0005-0000-0000-000061790000}"/>
    <cellStyle name="Normal 13 4 2 4" xfId="35930" xr:uid="{00000000-0005-0000-0000-000062790000}"/>
    <cellStyle name="Normal 13 4 3" xfId="18298" xr:uid="{00000000-0005-0000-0000-000063790000}"/>
    <cellStyle name="Normal 13 4 3 2" xfId="28666" xr:uid="{00000000-0005-0000-0000-000064790000}"/>
    <cellStyle name="Normal 13 4 3 2 2" xfId="47855" xr:uid="{00000000-0005-0000-0000-000065790000}"/>
    <cellStyle name="Normal 13 4 3 3" xfId="38157" xr:uid="{00000000-0005-0000-0000-000066790000}"/>
    <cellStyle name="Normal 13 4 4" xfId="24206" xr:uid="{00000000-0005-0000-0000-000067790000}"/>
    <cellStyle name="Normal 13 4 4 2" xfId="43400" xr:uid="{00000000-0005-0000-0000-000068790000}"/>
    <cellStyle name="Normal 13 4 5" xfId="33702" xr:uid="{00000000-0005-0000-0000-000069790000}"/>
    <cellStyle name="Normal 13 4 6" xfId="53411" xr:uid="{00000000-0005-0000-0000-00006A790000}"/>
    <cellStyle name="Normal 13 4 7" xfId="13798" xr:uid="{00000000-0005-0000-0000-00006B790000}"/>
    <cellStyle name="Normal 13 5" xfId="14377" xr:uid="{00000000-0005-0000-0000-00006C790000}"/>
    <cellStyle name="Normal 13 5 2" xfId="15506" xr:uid="{00000000-0005-0000-0000-00006D790000}"/>
    <cellStyle name="Normal 13 5 2 2" xfId="19970" xr:uid="{00000000-0005-0000-0000-00006E790000}"/>
    <cellStyle name="Normal 13 5 2 2 2" xfId="30338" xr:uid="{00000000-0005-0000-0000-00006F790000}"/>
    <cellStyle name="Normal 13 5 2 2 2 2" xfId="49527" xr:uid="{00000000-0005-0000-0000-000070790000}"/>
    <cellStyle name="Normal 13 5 2 2 3" xfId="39829" xr:uid="{00000000-0005-0000-0000-000071790000}"/>
    <cellStyle name="Normal 13 5 2 3" xfId="25883" xr:uid="{00000000-0005-0000-0000-000072790000}"/>
    <cellStyle name="Normal 13 5 2 3 2" xfId="45072" xr:uid="{00000000-0005-0000-0000-000073790000}"/>
    <cellStyle name="Normal 13 5 2 4" xfId="35374" xr:uid="{00000000-0005-0000-0000-000074790000}"/>
    <cellStyle name="Normal 13 5 3" xfId="18855" xr:uid="{00000000-0005-0000-0000-000075790000}"/>
    <cellStyle name="Normal 13 5 3 2" xfId="29223" xr:uid="{00000000-0005-0000-0000-000076790000}"/>
    <cellStyle name="Normal 13 5 3 2 2" xfId="48412" xr:uid="{00000000-0005-0000-0000-000077790000}"/>
    <cellStyle name="Normal 13 5 3 3" xfId="38714" xr:uid="{00000000-0005-0000-0000-000078790000}"/>
    <cellStyle name="Normal 13 5 4" xfId="24768" xr:uid="{00000000-0005-0000-0000-000079790000}"/>
    <cellStyle name="Normal 13 5 4 2" xfId="43957" xr:uid="{00000000-0005-0000-0000-00007A790000}"/>
    <cellStyle name="Normal 13 5 5" xfId="34259" xr:uid="{00000000-0005-0000-0000-00007B790000}"/>
    <cellStyle name="Normal 13 6" xfId="14949" xr:uid="{00000000-0005-0000-0000-00007C790000}"/>
    <cellStyle name="Normal 13 6 2" xfId="19413" xr:uid="{00000000-0005-0000-0000-00007D790000}"/>
    <cellStyle name="Normal 13 6 2 2" xfId="29781" xr:uid="{00000000-0005-0000-0000-00007E790000}"/>
    <cellStyle name="Normal 13 6 2 2 2" xfId="48970" xr:uid="{00000000-0005-0000-0000-00007F790000}"/>
    <cellStyle name="Normal 13 6 2 3" xfId="39272" xr:uid="{00000000-0005-0000-0000-000080790000}"/>
    <cellStyle name="Normal 13 6 3" xfId="25326" xr:uid="{00000000-0005-0000-0000-000081790000}"/>
    <cellStyle name="Normal 13 6 3 2" xfId="44515" xr:uid="{00000000-0005-0000-0000-000082790000}"/>
    <cellStyle name="Normal 13 6 4" xfId="34817" xr:uid="{00000000-0005-0000-0000-000083790000}"/>
    <cellStyle name="Normal 13 7" xfId="16619" xr:uid="{00000000-0005-0000-0000-000084790000}"/>
    <cellStyle name="Normal 13 7 2" xfId="21083" xr:uid="{00000000-0005-0000-0000-000085790000}"/>
    <cellStyle name="Normal 13 7 2 2" xfId="31451" xr:uid="{00000000-0005-0000-0000-000086790000}"/>
    <cellStyle name="Normal 13 7 2 2 2" xfId="50640" xr:uid="{00000000-0005-0000-0000-000087790000}"/>
    <cellStyle name="Normal 13 7 2 3" xfId="40942" xr:uid="{00000000-0005-0000-0000-000088790000}"/>
    <cellStyle name="Normal 13 7 3" xfId="26996" xr:uid="{00000000-0005-0000-0000-000089790000}"/>
    <cellStyle name="Normal 13 7 3 2" xfId="46185" xr:uid="{00000000-0005-0000-0000-00008A790000}"/>
    <cellStyle name="Normal 13 7 4" xfId="36487" xr:uid="{00000000-0005-0000-0000-00008B790000}"/>
    <cellStyle name="Normal 13 8" xfId="17185" xr:uid="{00000000-0005-0000-0000-00008C790000}"/>
    <cellStyle name="Normal 13 8 2" xfId="21640" xr:uid="{00000000-0005-0000-0000-00008D790000}"/>
    <cellStyle name="Normal 13 8 2 2" xfId="32008" xr:uid="{00000000-0005-0000-0000-00008E790000}"/>
    <cellStyle name="Normal 13 8 2 2 2" xfId="51197" xr:uid="{00000000-0005-0000-0000-00008F790000}"/>
    <cellStyle name="Normal 13 8 2 3" xfId="41499" xr:uid="{00000000-0005-0000-0000-000090790000}"/>
    <cellStyle name="Normal 13 8 3" xfId="27553" xr:uid="{00000000-0005-0000-0000-000091790000}"/>
    <cellStyle name="Normal 13 8 3 2" xfId="46742" xr:uid="{00000000-0005-0000-0000-000092790000}"/>
    <cellStyle name="Normal 13 8 4" xfId="37044" xr:uid="{00000000-0005-0000-0000-000093790000}"/>
    <cellStyle name="Normal 13 9" xfId="17742" xr:uid="{00000000-0005-0000-0000-000094790000}"/>
    <cellStyle name="Normal 13 9 2" xfId="28110" xr:uid="{00000000-0005-0000-0000-000095790000}"/>
    <cellStyle name="Normal 13 9 2 2" xfId="47299" xr:uid="{00000000-0005-0000-0000-000096790000}"/>
    <cellStyle name="Normal 13 9 3" xfId="37601" xr:uid="{00000000-0005-0000-0000-000097790000}"/>
    <cellStyle name="Normal 130" xfId="52312" xr:uid="{00000000-0005-0000-0000-000098790000}"/>
    <cellStyle name="Normal 131" xfId="52288" xr:uid="{00000000-0005-0000-0000-000099790000}"/>
    <cellStyle name="Normal 132" xfId="52305" xr:uid="{00000000-0005-0000-0000-00009A790000}"/>
    <cellStyle name="Normal 133" xfId="52314" xr:uid="{00000000-0005-0000-0000-00009B790000}"/>
    <cellStyle name="Normal 134" xfId="52315" xr:uid="{00000000-0005-0000-0000-00009C790000}"/>
    <cellStyle name="Normal 135" xfId="52313" xr:uid="{00000000-0005-0000-0000-00009D790000}"/>
    <cellStyle name="Normal 136" xfId="52269" xr:uid="{00000000-0005-0000-0000-00009E790000}"/>
    <cellStyle name="Normal 137" xfId="52284" xr:uid="{00000000-0005-0000-0000-00009F790000}"/>
    <cellStyle name="Normal 138" xfId="52298" xr:uid="{00000000-0005-0000-0000-0000A0790000}"/>
    <cellStyle name="Normal 139" xfId="52306" xr:uid="{00000000-0005-0000-0000-0000A1790000}"/>
    <cellStyle name="Normal 14" xfId="751" xr:uid="{00000000-0005-0000-0000-0000A2790000}"/>
    <cellStyle name="Normal 14 2" xfId="3276" xr:uid="{00000000-0005-0000-0000-0000A3790000}"/>
    <cellStyle name="Normal 14 2 10" xfId="52726" xr:uid="{00000000-0005-0000-0000-0000A4790000}"/>
    <cellStyle name="Normal 14 2 11" xfId="13476" xr:uid="{00000000-0005-0000-0000-0000A5790000}"/>
    <cellStyle name="Normal 14 2 2" xfId="14333" xr:uid="{00000000-0005-0000-0000-0000A6790000}"/>
    <cellStyle name="Normal 14 2 2 2" xfId="16596" xr:uid="{00000000-0005-0000-0000-0000A7790000}"/>
    <cellStyle name="Normal 14 2 2 2 2" xfId="21060" xr:uid="{00000000-0005-0000-0000-0000A8790000}"/>
    <cellStyle name="Normal 14 2 2 2 2 2" xfId="31428" xr:uid="{00000000-0005-0000-0000-0000A9790000}"/>
    <cellStyle name="Normal 14 2 2 2 2 2 2" xfId="50617" xr:uid="{00000000-0005-0000-0000-0000AA790000}"/>
    <cellStyle name="Normal 14 2 2 2 2 3" xfId="40919" xr:uid="{00000000-0005-0000-0000-0000AB790000}"/>
    <cellStyle name="Normal 14 2 2 2 3" xfId="26973" xr:uid="{00000000-0005-0000-0000-0000AC790000}"/>
    <cellStyle name="Normal 14 2 2 2 3 2" xfId="46162" xr:uid="{00000000-0005-0000-0000-0000AD790000}"/>
    <cellStyle name="Normal 14 2 2 2 4" xfId="36464" xr:uid="{00000000-0005-0000-0000-0000AE790000}"/>
    <cellStyle name="Normal 14 2 2 2 5" xfId="54007" xr:uid="{00000000-0005-0000-0000-0000AF790000}"/>
    <cellStyle name="Normal 14 2 2 3" xfId="18832" xr:uid="{00000000-0005-0000-0000-0000B0790000}"/>
    <cellStyle name="Normal 14 2 2 3 2" xfId="29200" xr:uid="{00000000-0005-0000-0000-0000B1790000}"/>
    <cellStyle name="Normal 14 2 2 3 2 2" xfId="48389" xr:uid="{00000000-0005-0000-0000-0000B2790000}"/>
    <cellStyle name="Normal 14 2 2 3 3" xfId="38691" xr:uid="{00000000-0005-0000-0000-0000B3790000}"/>
    <cellStyle name="Normal 14 2 2 4" xfId="24740" xr:uid="{00000000-0005-0000-0000-0000B4790000}"/>
    <cellStyle name="Normal 14 2 2 4 2" xfId="43934" xr:uid="{00000000-0005-0000-0000-0000B5790000}"/>
    <cellStyle name="Normal 14 2 2 5" xfId="34236" xr:uid="{00000000-0005-0000-0000-0000B6790000}"/>
    <cellStyle name="Normal 14 2 2 6" xfId="53154" xr:uid="{00000000-0005-0000-0000-0000B7790000}"/>
    <cellStyle name="Normal 14 2 3" xfId="14912" xr:uid="{00000000-0005-0000-0000-0000B8790000}"/>
    <cellStyle name="Normal 14 2 3 2" xfId="16040" xr:uid="{00000000-0005-0000-0000-0000B9790000}"/>
    <cellStyle name="Normal 14 2 3 2 2" xfId="20504" xr:uid="{00000000-0005-0000-0000-0000BA790000}"/>
    <cellStyle name="Normal 14 2 3 2 2 2" xfId="30872" xr:uid="{00000000-0005-0000-0000-0000BB790000}"/>
    <cellStyle name="Normal 14 2 3 2 2 2 2" xfId="50061" xr:uid="{00000000-0005-0000-0000-0000BC790000}"/>
    <cellStyle name="Normal 14 2 3 2 2 3" xfId="40363" xr:uid="{00000000-0005-0000-0000-0000BD790000}"/>
    <cellStyle name="Normal 14 2 3 2 3" xfId="26417" xr:uid="{00000000-0005-0000-0000-0000BE790000}"/>
    <cellStyle name="Normal 14 2 3 2 3 2" xfId="45606" xr:uid="{00000000-0005-0000-0000-0000BF790000}"/>
    <cellStyle name="Normal 14 2 3 2 4" xfId="35908" xr:uid="{00000000-0005-0000-0000-0000C0790000}"/>
    <cellStyle name="Normal 14 2 3 3" xfId="19389" xr:uid="{00000000-0005-0000-0000-0000C1790000}"/>
    <cellStyle name="Normal 14 2 3 3 2" xfId="29757" xr:uid="{00000000-0005-0000-0000-0000C2790000}"/>
    <cellStyle name="Normal 14 2 3 3 2 2" xfId="48946" xr:uid="{00000000-0005-0000-0000-0000C3790000}"/>
    <cellStyle name="Normal 14 2 3 3 3" xfId="39248" xr:uid="{00000000-0005-0000-0000-0000C4790000}"/>
    <cellStyle name="Normal 14 2 3 4" xfId="25302" xr:uid="{00000000-0005-0000-0000-0000C5790000}"/>
    <cellStyle name="Normal 14 2 3 4 2" xfId="44491" xr:uid="{00000000-0005-0000-0000-0000C6790000}"/>
    <cellStyle name="Normal 14 2 3 5" xfId="34793" xr:uid="{00000000-0005-0000-0000-0000C7790000}"/>
    <cellStyle name="Normal 14 2 3 6" xfId="53611" xr:uid="{00000000-0005-0000-0000-0000C8790000}"/>
    <cellStyle name="Normal 14 2 4" xfId="15483" xr:uid="{00000000-0005-0000-0000-0000C9790000}"/>
    <cellStyle name="Normal 14 2 4 2" xfId="19947" xr:uid="{00000000-0005-0000-0000-0000CA790000}"/>
    <cellStyle name="Normal 14 2 4 2 2" xfId="30315" xr:uid="{00000000-0005-0000-0000-0000CB790000}"/>
    <cellStyle name="Normal 14 2 4 2 2 2" xfId="49504" xr:uid="{00000000-0005-0000-0000-0000CC790000}"/>
    <cellStyle name="Normal 14 2 4 2 3" xfId="39806" xr:uid="{00000000-0005-0000-0000-0000CD790000}"/>
    <cellStyle name="Normal 14 2 4 3" xfId="25860" xr:uid="{00000000-0005-0000-0000-0000CE790000}"/>
    <cellStyle name="Normal 14 2 4 3 2" xfId="45049" xr:uid="{00000000-0005-0000-0000-0000CF790000}"/>
    <cellStyle name="Normal 14 2 4 4" xfId="35351" xr:uid="{00000000-0005-0000-0000-0000D0790000}"/>
    <cellStyle name="Normal 14 2 5" xfId="17153" xr:uid="{00000000-0005-0000-0000-0000D1790000}"/>
    <cellStyle name="Normal 14 2 5 2" xfId="21617" xr:uid="{00000000-0005-0000-0000-0000D2790000}"/>
    <cellStyle name="Normal 14 2 5 2 2" xfId="31985" xr:uid="{00000000-0005-0000-0000-0000D3790000}"/>
    <cellStyle name="Normal 14 2 5 2 2 2" xfId="51174" xr:uid="{00000000-0005-0000-0000-0000D4790000}"/>
    <cellStyle name="Normal 14 2 5 2 3" xfId="41476" xr:uid="{00000000-0005-0000-0000-0000D5790000}"/>
    <cellStyle name="Normal 14 2 5 3" xfId="27530" xr:uid="{00000000-0005-0000-0000-0000D6790000}"/>
    <cellStyle name="Normal 14 2 5 3 2" xfId="46719" xr:uid="{00000000-0005-0000-0000-0000D7790000}"/>
    <cellStyle name="Normal 14 2 5 4" xfId="37021" xr:uid="{00000000-0005-0000-0000-0000D8790000}"/>
    <cellStyle name="Normal 14 2 6" xfId="17719" xr:uid="{00000000-0005-0000-0000-0000D9790000}"/>
    <cellStyle name="Normal 14 2 6 2" xfId="22174" xr:uid="{00000000-0005-0000-0000-0000DA790000}"/>
    <cellStyle name="Normal 14 2 6 2 2" xfId="32542" xr:uid="{00000000-0005-0000-0000-0000DB790000}"/>
    <cellStyle name="Normal 14 2 6 2 2 2" xfId="51731" xr:uid="{00000000-0005-0000-0000-0000DC790000}"/>
    <cellStyle name="Normal 14 2 6 2 3" xfId="42033" xr:uid="{00000000-0005-0000-0000-0000DD790000}"/>
    <cellStyle name="Normal 14 2 6 3" xfId="28087" xr:uid="{00000000-0005-0000-0000-0000DE790000}"/>
    <cellStyle name="Normal 14 2 6 3 2" xfId="47276" xr:uid="{00000000-0005-0000-0000-0000DF790000}"/>
    <cellStyle name="Normal 14 2 6 4" xfId="37578" xr:uid="{00000000-0005-0000-0000-0000E0790000}"/>
    <cellStyle name="Normal 14 2 7" xfId="18276" xr:uid="{00000000-0005-0000-0000-0000E1790000}"/>
    <cellStyle name="Normal 14 2 7 2" xfId="28644" xr:uid="{00000000-0005-0000-0000-0000E2790000}"/>
    <cellStyle name="Normal 14 2 7 2 2" xfId="47833" xr:uid="{00000000-0005-0000-0000-0000E3790000}"/>
    <cellStyle name="Normal 14 2 7 3" xfId="38135" xr:uid="{00000000-0005-0000-0000-0000E4790000}"/>
    <cellStyle name="Normal 14 2 8" xfId="24158" xr:uid="{00000000-0005-0000-0000-0000E5790000}"/>
    <cellStyle name="Normal 14 2 8 2" xfId="43378" xr:uid="{00000000-0005-0000-0000-0000E6790000}"/>
    <cellStyle name="Normal 14 2 9" xfId="33680" xr:uid="{00000000-0005-0000-0000-0000E7790000}"/>
    <cellStyle name="Normal 14 3" xfId="3277" xr:uid="{00000000-0005-0000-0000-0000E8790000}"/>
    <cellStyle name="Normal 14 3 2" xfId="53811" xr:uid="{00000000-0005-0000-0000-0000E9790000}"/>
    <cellStyle name="Normal 14 3 3" xfId="52936" xr:uid="{00000000-0005-0000-0000-0000EA790000}"/>
    <cellStyle name="Normal 14 4" xfId="3275" xr:uid="{00000000-0005-0000-0000-0000EB790000}"/>
    <cellStyle name="Normal 14 4 2" xfId="53415" xr:uid="{00000000-0005-0000-0000-0000EC790000}"/>
    <cellStyle name="Normal 14 4 3" xfId="12772" xr:uid="{00000000-0005-0000-0000-0000ED790000}"/>
    <cellStyle name="Normal 14 5" xfId="22452" xr:uid="{00000000-0005-0000-0000-0000EE790000}"/>
    <cellStyle name="Normal 14 6" xfId="23275" xr:uid="{00000000-0005-0000-0000-0000EF790000}"/>
    <cellStyle name="Normal 14 7" xfId="52524" xr:uid="{00000000-0005-0000-0000-0000F0790000}"/>
    <cellStyle name="Normal 140" xfId="52264" xr:uid="{00000000-0005-0000-0000-0000F1790000}"/>
    <cellStyle name="Normal 141" xfId="52301" xr:uid="{00000000-0005-0000-0000-0000F2790000}"/>
    <cellStyle name="Normal 142" xfId="52316" xr:uid="{00000000-0005-0000-0000-0000F3790000}"/>
    <cellStyle name="Normal 143" xfId="52350" xr:uid="{00000000-0005-0000-0000-0000F4790000}"/>
    <cellStyle name="Normal 144" xfId="52355" xr:uid="{00000000-0005-0000-0000-0000F5790000}"/>
    <cellStyle name="Normal 145" xfId="52360" xr:uid="{00000000-0005-0000-0000-0000F6790000}"/>
    <cellStyle name="Normal 146" xfId="52324" xr:uid="{00000000-0005-0000-0000-0000F7790000}"/>
    <cellStyle name="Normal 147" xfId="52327" xr:uid="{00000000-0005-0000-0000-0000F8790000}"/>
    <cellStyle name="Normal 148" xfId="52363" xr:uid="{00000000-0005-0000-0000-0000F9790000}"/>
    <cellStyle name="Normal 149" xfId="52353" xr:uid="{00000000-0005-0000-0000-0000FA790000}"/>
    <cellStyle name="Normal 15" xfId="752" xr:uid="{00000000-0005-0000-0000-0000FB790000}"/>
    <cellStyle name="Normal 15 10" xfId="23654" xr:uid="{00000000-0005-0000-0000-0000FC790000}"/>
    <cellStyle name="Normal 15 10 2" xfId="42893" xr:uid="{00000000-0005-0000-0000-0000FD790000}"/>
    <cellStyle name="Normal 15 11" xfId="33195" xr:uid="{00000000-0005-0000-0000-0000FE790000}"/>
    <cellStyle name="Normal 15 12" xfId="52527" xr:uid="{00000000-0005-0000-0000-0000FF790000}"/>
    <cellStyle name="Normal 15 13" xfId="12891" xr:uid="{00000000-0005-0000-0000-0000007A0000}"/>
    <cellStyle name="Normal 15 2" xfId="3279" xr:uid="{00000000-0005-0000-0000-0000017A0000}"/>
    <cellStyle name="Normal 15 2 10" xfId="13477" xr:uid="{00000000-0005-0000-0000-0000027A0000}"/>
    <cellStyle name="Normal 15 2 2" xfId="3280" xr:uid="{00000000-0005-0000-0000-0000037A0000}"/>
    <cellStyle name="Normal 15 2 2 2" xfId="16597" xr:uid="{00000000-0005-0000-0000-0000047A0000}"/>
    <cellStyle name="Normal 15 2 2 2 2" xfId="21061" xr:uid="{00000000-0005-0000-0000-0000057A0000}"/>
    <cellStyle name="Normal 15 2 2 2 2 2" xfId="31429" xr:uid="{00000000-0005-0000-0000-0000067A0000}"/>
    <cellStyle name="Normal 15 2 2 2 2 2 2" xfId="50618" xr:uid="{00000000-0005-0000-0000-0000077A0000}"/>
    <cellStyle name="Normal 15 2 2 2 2 3" xfId="40920" xr:uid="{00000000-0005-0000-0000-0000087A0000}"/>
    <cellStyle name="Normal 15 2 2 2 3" xfId="26974" xr:uid="{00000000-0005-0000-0000-0000097A0000}"/>
    <cellStyle name="Normal 15 2 2 2 3 2" xfId="46163" xr:uid="{00000000-0005-0000-0000-00000A7A0000}"/>
    <cellStyle name="Normal 15 2 2 2 4" xfId="36465" xr:uid="{00000000-0005-0000-0000-00000B7A0000}"/>
    <cellStyle name="Normal 15 2 2 3" xfId="18833" xr:uid="{00000000-0005-0000-0000-00000C7A0000}"/>
    <cellStyle name="Normal 15 2 2 3 2" xfId="29201" xr:uid="{00000000-0005-0000-0000-00000D7A0000}"/>
    <cellStyle name="Normal 15 2 2 3 2 2" xfId="48390" xr:uid="{00000000-0005-0000-0000-00000E7A0000}"/>
    <cellStyle name="Normal 15 2 2 3 3" xfId="38692" xr:uid="{00000000-0005-0000-0000-00000F7A0000}"/>
    <cellStyle name="Normal 15 2 2 4" xfId="24741" xr:uid="{00000000-0005-0000-0000-0000107A0000}"/>
    <cellStyle name="Normal 15 2 2 4 2" xfId="43935" xr:uid="{00000000-0005-0000-0000-0000117A0000}"/>
    <cellStyle name="Normal 15 2 2 5" xfId="34237" xr:uid="{00000000-0005-0000-0000-0000127A0000}"/>
    <cellStyle name="Normal 15 2 2 6" xfId="14334" xr:uid="{00000000-0005-0000-0000-0000137A0000}"/>
    <cellStyle name="Normal 15 2 3" xfId="14913" xr:uid="{00000000-0005-0000-0000-0000147A0000}"/>
    <cellStyle name="Normal 15 2 3 2" xfId="16041" xr:uid="{00000000-0005-0000-0000-0000157A0000}"/>
    <cellStyle name="Normal 15 2 3 2 2" xfId="20505" xr:uid="{00000000-0005-0000-0000-0000167A0000}"/>
    <cellStyle name="Normal 15 2 3 2 2 2" xfId="30873" xr:uid="{00000000-0005-0000-0000-0000177A0000}"/>
    <cellStyle name="Normal 15 2 3 2 2 2 2" xfId="50062" xr:uid="{00000000-0005-0000-0000-0000187A0000}"/>
    <cellStyle name="Normal 15 2 3 2 2 3" xfId="40364" xr:uid="{00000000-0005-0000-0000-0000197A0000}"/>
    <cellStyle name="Normal 15 2 3 2 3" xfId="26418" xr:uid="{00000000-0005-0000-0000-00001A7A0000}"/>
    <cellStyle name="Normal 15 2 3 2 3 2" xfId="45607" xr:uid="{00000000-0005-0000-0000-00001B7A0000}"/>
    <cellStyle name="Normal 15 2 3 2 4" xfId="35909" xr:uid="{00000000-0005-0000-0000-00001C7A0000}"/>
    <cellStyle name="Normal 15 2 3 3" xfId="19390" xr:uid="{00000000-0005-0000-0000-00001D7A0000}"/>
    <cellStyle name="Normal 15 2 3 3 2" xfId="29758" xr:uid="{00000000-0005-0000-0000-00001E7A0000}"/>
    <cellStyle name="Normal 15 2 3 3 2 2" xfId="48947" xr:uid="{00000000-0005-0000-0000-00001F7A0000}"/>
    <cellStyle name="Normal 15 2 3 3 3" xfId="39249" xr:uid="{00000000-0005-0000-0000-0000207A0000}"/>
    <cellStyle name="Normal 15 2 3 4" xfId="25303" xr:uid="{00000000-0005-0000-0000-0000217A0000}"/>
    <cellStyle name="Normal 15 2 3 4 2" xfId="44492" xr:uid="{00000000-0005-0000-0000-0000227A0000}"/>
    <cellStyle name="Normal 15 2 3 5" xfId="34794" xr:uid="{00000000-0005-0000-0000-0000237A0000}"/>
    <cellStyle name="Normal 15 2 4" xfId="15484" xr:uid="{00000000-0005-0000-0000-0000247A0000}"/>
    <cellStyle name="Normal 15 2 4 2" xfId="19948" xr:uid="{00000000-0005-0000-0000-0000257A0000}"/>
    <cellStyle name="Normal 15 2 4 2 2" xfId="30316" xr:uid="{00000000-0005-0000-0000-0000267A0000}"/>
    <cellStyle name="Normal 15 2 4 2 2 2" xfId="49505" xr:uid="{00000000-0005-0000-0000-0000277A0000}"/>
    <cellStyle name="Normal 15 2 4 2 3" xfId="39807" xr:uid="{00000000-0005-0000-0000-0000287A0000}"/>
    <cellStyle name="Normal 15 2 4 3" xfId="25861" xr:uid="{00000000-0005-0000-0000-0000297A0000}"/>
    <cellStyle name="Normal 15 2 4 3 2" xfId="45050" xr:uid="{00000000-0005-0000-0000-00002A7A0000}"/>
    <cellStyle name="Normal 15 2 4 4" xfId="35352" xr:uid="{00000000-0005-0000-0000-00002B7A0000}"/>
    <cellStyle name="Normal 15 2 5" xfId="17154" xr:uid="{00000000-0005-0000-0000-00002C7A0000}"/>
    <cellStyle name="Normal 15 2 5 2" xfId="21618" xr:uid="{00000000-0005-0000-0000-00002D7A0000}"/>
    <cellStyle name="Normal 15 2 5 2 2" xfId="31986" xr:uid="{00000000-0005-0000-0000-00002E7A0000}"/>
    <cellStyle name="Normal 15 2 5 2 2 2" xfId="51175" xr:uid="{00000000-0005-0000-0000-00002F7A0000}"/>
    <cellStyle name="Normal 15 2 5 2 3" xfId="41477" xr:uid="{00000000-0005-0000-0000-0000307A0000}"/>
    <cellStyle name="Normal 15 2 5 3" xfId="27531" xr:uid="{00000000-0005-0000-0000-0000317A0000}"/>
    <cellStyle name="Normal 15 2 5 3 2" xfId="46720" xr:uid="{00000000-0005-0000-0000-0000327A0000}"/>
    <cellStyle name="Normal 15 2 5 4" xfId="37022" xr:uid="{00000000-0005-0000-0000-0000337A0000}"/>
    <cellStyle name="Normal 15 2 6" xfId="17720" xr:uid="{00000000-0005-0000-0000-0000347A0000}"/>
    <cellStyle name="Normal 15 2 6 2" xfId="22175" xr:uid="{00000000-0005-0000-0000-0000357A0000}"/>
    <cellStyle name="Normal 15 2 6 2 2" xfId="32543" xr:uid="{00000000-0005-0000-0000-0000367A0000}"/>
    <cellStyle name="Normal 15 2 6 2 2 2" xfId="51732" xr:uid="{00000000-0005-0000-0000-0000377A0000}"/>
    <cellStyle name="Normal 15 2 6 2 3" xfId="42034" xr:uid="{00000000-0005-0000-0000-0000387A0000}"/>
    <cellStyle name="Normal 15 2 6 3" xfId="28088" xr:uid="{00000000-0005-0000-0000-0000397A0000}"/>
    <cellStyle name="Normal 15 2 6 3 2" xfId="47277" xr:uid="{00000000-0005-0000-0000-00003A7A0000}"/>
    <cellStyle name="Normal 15 2 6 4" xfId="37579" xr:uid="{00000000-0005-0000-0000-00003B7A0000}"/>
    <cellStyle name="Normal 15 2 7" xfId="18277" xr:uid="{00000000-0005-0000-0000-00003C7A0000}"/>
    <cellStyle name="Normal 15 2 7 2" xfId="28645" xr:uid="{00000000-0005-0000-0000-00003D7A0000}"/>
    <cellStyle name="Normal 15 2 7 2 2" xfId="47834" xr:uid="{00000000-0005-0000-0000-00003E7A0000}"/>
    <cellStyle name="Normal 15 2 7 3" xfId="38136" xr:uid="{00000000-0005-0000-0000-00003F7A0000}"/>
    <cellStyle name="Normal 15 2 8" xfId="24159" xr:uid="{00000000-0005-0000-0000-0000407A0000}"/>
    <cellStyle name="Normal 15 2 8 2" xfId="43379" xr:uid="{00000000-0005-0000-0000-0000417A0000}"/>
    <cellStyle name="Normal 15 2 9" xfId="33681" xr:uid="{00000000-0005-0000-0000-0000427A0000}"/>
    <cellStyle name="Normal 15 3" xfId="3281" xr:uid="{00000000-0005-0000-0000-0000437A0000}"/>
    <cellStyle name="Normal 15 3 2" xfId="16111" xr:uid="{00000000-0005-0000-0000-0000447A0000}"/>
    <cellStyle name="Normal 15 3 2 2" xfId="20575" xr:uid="{00000000-0005-0000-0000-0000457A0000}"/>
    <cellStyle name="Normal 15 3 2 2 2" xfId="30943" xr:uid="{00000000-0005-0000-0000-0000467A0000}"/>
    <cellStyle name="Normal 15 3 2 2 2 2" xfId="50132" xr:uid="{00000000-0005-0000-0000-0000477A0000}"/>
    <cellStyle name="Normal 15 3 2 2 3" xfId="40434" xr:uid="{00000000-0005-0000-0000-0000487A0000}"/>
    <cellStyle name="Normal 15 3 2 3" xfId="26488" xr:uid="{00000000-0005-0000-0000-0000497A0000}"/>
    <cellStyle name="Normal 15 3 2 3 2" xfId="45677" xr:uid="{00000000-0005-0000-0000-00004A7A0000}"/>
    <cellStyle name="Normal 15 3 2 4" xfId="35979" xr:uid="{00000000-0005-0000-0000-00004B7A0000}"/>
    <cellStyle name="Normal 15 3 3" xfId="18347" xr:uid="{00000000-0005-0000-0000-00004C7A0000}"/>
    <cellStyle name="Normal 15 3 3 2" xfId="28715" xr:uid="{00000000-0005-0000-0000-00004D7A0000}"/>
    <cellStyle name="Normal 15 3 3 2 2" xfId="47904" xr:uid="{00000000-0005-0000-0000-00004E7A0000}"/>
    <cellStyle name="Normal 15 3 3 3" xfId="38206" xr:uid="{00000000-0005-0000-0000-00004F7A0000}"/>
    <cellStyle name="Normal 15 3 4" xfId="24255" xr:uid="{00000000-0005-0000-0000-0000507A0000}"/>
    <cellStyle name="Normal 15 3 4 2" xfId="43449" xr:uid="{00000000-0005-0000-0000-0000517A0000}"/>
    <cellStyle name="Normal 15 3 5" xfId="33751" xr:uid="{00000000-0005-0000-0000-0000527A0000}"/>
    <cellStyle name="Normal 15 3 6" xfId="13847" xr:uid="{00000000-0005-0000-0000-0000537A0000}"/>
    <cellStyle name="Normal 15 4" xfId="3282" xr:uid="{00000000-0005-0000-0000-0000547A0000}"/>
    <cellStyle name="Normal 15 4 2" xfId="15555" xr:uid="{00000000-0005-0000-0000-0000557A0000}"/>
    <cellStyle name="Normal 15 4 2 2" xfId="20019" xr:uid="{00000000-0005-0000-0000-0000567A0000}"/>
    <cellStyle name="Normal 15 4 2 2 2" xfId="30387" xr:uid="{00000000-0005-0000-0000-0000577A0000}"/>
    <cellStyle name="Normal 15 4 2 2 2 2" xfId="49576" xr:uid="{00000000-0005-0000-0000-0000587A0000}"/>
    <cellStyle name="Normal 15 4 2 2 3" xfId="39878" xr:uid="{00000000-0005-0000-0000-0000597A0000}"/>
    <cellStyle name="Normal 15 4 2 3" xfId="25932" xr:uid="{00000000-0005-0000-0000-00005A7A0000}"/>
    <cellStyle name="Normal 15 4 2 3 2" xfId="45121" xr:uid="{00000000-0005-0000-0000-00005B7A0000}"/>
    <cellStyle name="Normal 15 4 2 4" xfId="35423" xr:uid="{00000000-0005-0000-0000-00005C7A0000}"/>
    <cellStyle name="Normal 15 4 3" xfId="18904" xr:uid="{00000000-0005-0000-0000-00005D7A0000}"/>
    <cellStyle name="Normal 15 4 3 2" xfId="29272" xr:uid="{00000000-0005-0000-0000-00005E7A0000}"/>
    <cellStyle name="Normal 15 4 3 2 2" xfId="48461" xr:uid="{00000000-0005-0000-0000-00005F7A0000}"/>
    <cellStyle name="Normal 15 4 3 3" xfId="38763" xr:uid="{00000000-0005-0000-0000-0000607A0000}"/>
    <cellStyle name="Normal 15 4 4" xfId="24817" xr:uid="{00000000-0005-0000-0000-0000617A0000}"/>
    <cellStyle name="Normal 15 4 4 2" xfId="44006" xr:uid="{00000000-0005-0000-0000-0000627A0000}"/>
    <cellStyle name="Normal 15 4 5" xfId="34308" xr:uid="{00000000-0005-0000-0000-0000637A0000}"/>
    <cellStyle name="Normal 15 4 6" xfId="14426" xr:uid="{00000000-0005-0000-0000-0000647A0000}"/>
    <cellStyle name="Normal 15 5" xfId="3278" xr:uid="{00000000-0005-0000-0000-0000657A0000}"/>
    <cellStyle name="Normal 15 5 2" xfId="19462" xr:uid="{00000000-0005-0000-0000-0000667A0000}"/>
    <cellStyle name="Normal 15 5 2 2" xfId="29830" xr:uid="{00000000-0005-0000-0000-0000677A0000}"/>
    <cellStyle name="Normal 15 5 2 2 2" xfId="49019" xr:uid="{00000000-0005-0000-0000-0000687A0000}"/>
    <cellStyle name="Normal 15 5 2 3" xfId="39321" xr:uid="{00000000-0005-0000-0000-0000697A0000}"/>
    <cellStyle name="Normal 15 5 3" xfId="25375" xr:uid="{00000000-0005-0000-0000-00006A7A0000}"/>
    <cellStyle name="Normal 15 5 3 2" xfId="44564" xr:uid="{00000000-0005-0000-0000-00006B7A0000}"/>
    <cellStyle name="Normal 15 5 4" xfId="34866" xr:uid="{00000000-0005-0000-0000-00006C7A0000}"/>
    <cellStyle name="Normal 15 5 5" xfId="14998" xr:uid="{00000000-0005-0000-0000-00006D7A0000}"/>
    <cellStyle name="Normal 15 6" xfId="16668" xr:uid="{00000000-0005-0000-0000-00006E7A0000}"/>
    <cellStyle name="Normal 15 6 2" xfId="21132" xr:uid="{00000000-0005-0000-0000-00006F7A0000}"/>
    <cellStyle name="Normal 15 6 2 2" xfId="31500" xr:uid="{00000000-0005-0000-0000-0000707A0000}"/>
    <cellStyle name="Normal 15 6 2 2 2" xfId="50689" xr:uid="{00000000-0005-0000-0000-0000717A0000}"/>
    <cellStyle name="Normal 15 6 2 3" xfId="40991" xr:uid="{00000000-0005-0000-0000-0000727A0000}"/>
    <cellStyle name="Normal 15 6 3" xfId="27045" xr:uid="{00000000-0005-0000-0000-0000737A0000}"/>
    <cellStyle name="Normal 15 6 3 2" xfId="46234" xr:uid="{00000000-0005-0000-0000-0000747A0000}"/>
    <cellStyle name="Normal 15 6 4" xfId="36536" xr:uid="{00000000-0005-0000-0000-0000757A0000}"/>
    <cellStyle name="Normal 15 7" xfId="17234" xr:uid="{00000000-0005-0000-0000-0000767A0000}"/>
    <cellStyle name="Normal 15 7 2" xfId="21689" xr:uid="{00000000-0005-0000-0000-0000777A0000}"/>
    <cellStyle name="Normal 15 7 2 2" xfId="32057" xr:uid="{00000000-0005-0000-0000-0000787A0000}"/>
    <cellStyle name="Normal 15 7 2 2 2" xfId="51246" xr:uid="{00000000-0005-0000-0000-0000797A0000}"/>
    <cellStyle name="Normal 15 7 2 3" xfId="41548" xr:uid="{00000000-0005-0000-0000-00007A7A0000}"/>
    <cellStyle name="Normal 15 7 3" xfId="27602" xr:uid="{00000000-0005-0000-0000-00007B7A0000}"/>
    <cellStyle name="Normal 15 7 3 2" xfId="46791" xr:uid="{00000000-0005-0000-0000-00007C7A0000}"/>
    <cellStyle name="Normal 15 7 4" xfId="37093" xr:uid="{00000000-0005-0000-0000-00007D7A0000}"/>
    <cellStyle name="Normal 15 8" xfId="17791" xr:uid="{00000000-0005-0000-0000-00007E7A0000}"/>
    <cellStyle name="Normal 15 8 2" xfId="28159" xr:uid="{00000000-0005-0000-0000-00007F7A0000}"/>
    <cellStyle name="Normal 15 8 2 2" xfId="47348" xr:uid="{00000000-0005-0000-0000-0000807A0000}"/>
    <cellStyle name="Normal 15 8 3" xfId="37650" xr:uid="{00000000-0005-0000-0000-0000817A0000}"/>
    <cellStyle name="Normal 15 9" xfId="22453" xr:uid="{00000000-0005-0000-0000-0000827A0000}"/>
    <cellStyle name="Normal 150" xfId="52370" xr:uid="{00000000-0005-0000-0000-0000837A0000}"/>
    <cellStyle name="Normal 151" xfId="52368" xr:uid="{00000000-0005-0000-0000-0000847A0000}"/>
    <cellStyle name="Normal 152" xfId="52317" xr:uid="{00000000-0005-0000-0000-0000857A0000}"/>
    <cellStyle name="Normal 153" xfId="52323" xr:uid="{00000000-0005-0000-0000-0000867A0000}"/>
    <cellStyle name="Normal 154" xfId="52340" xr:uid="{00000000-0005-0000-0000-0000877A0000}"/>
    <cellStyle name="Normal 155" xfId="52369" xr:uid="{00000000-0005-0000-0000-0000887A0000}"/>
    <cellStyle name="Normal 156" xfId="52341" xr:uid="{00000000-0005-0000-0000-0000897A0000}"/>
    <cellStyle name="Normal 157" xfId="52367" xr:uid="{00000000-0005-0000-0000-00008A7A0000}"/>
    <cellStyle name="Normal 158" xfId="52352" xr:uid="{00000000-0005-0000-0000-00008B7A0000}"/>
    <cellStyle name="Normal 159" xfId="52371" xr:uid="{00000000-0005-0000-0000-00008C7A0000}"/>
    <cellStyle name="Normal 16" xfId="753" xr:uid="{00000000-0005-0000-0000-00008D7A0000}"/>
    <cellStyle name="Normal 16 10" xfId="754" xr:uid="{00000000-0005-0000-0000-00008E7A0000}"/>
    <cellStyle name="Normal 16 10 2" xfId="7215" xr:uid="{00000000-0005-0000-0000-00008F7A0000}"/>
    <cellStyle name="Normal 16 10 2 2" xfId="8692" xr:uid="{00000000-0005-0000-0000-0000907A0000}"/>
    <cellStyle name="Normal 16 10 2 2 2" xfId="11589" xr:uid="{00000000-0005-0000-0000-0000917A0000}"/>
    <cellStyle name="Normal 16 10 2 3" xfId="10149" xr:uid="{00000000-0005-0000-0000-0000927A0000}"/>
    <cellStyle name="Normal 16 10 2 4" xfId="43224" xr:uid="{00000000-0005-0000-0000-0000937A0000}"/>
    <cellStyle name="Normal 16 10 3" xfId="8034" xr:uid="{00000000-0005-0000-0000-0000947A0000}"/>
    <cellStyle name="Normal 16 10 3 2" xfId="10931" xr:uid="{00000000-0005-0000-0000-0000957A0000}"/>
    <cellStyle name="Normal 16 10 4" xfId="9491" xr:uid="{00000000-0005-0000-0000-0000967A0000}"/>
    <cellStyle name="Normal 16 10 5" xfId="6539" xr:uid="{00000000-0005-0000-0000-0000977A0000}"/>
    <cellStyle name="Normal 16 10 6" xfId="23985" xr:uid="{00000000-0005-0000-0000-0000987A0000}"/>
    <cellStyle name="Normal 16 11" xfId="755" xr:uid="{00000000-0005-0000-0000-0000997A0000}"/>
    <cellStyle name="Normal 16 11 2" xfId="6982" xr:uid="{00000000-0005-0000-0000-00009A7A0000}"/>
    <cellStyle name="Normal 16 11 2 2" xfId="8459" xr:uid="{00000000-0005-0000-0000-00009B7A0000}"/>
    <cellStyle name="Normal 16 11 2 2 2" xfId="11356" xr:uid="{00000000-0005-0000-0000-00009C7A0000}"/>
    <cellStyle name="Normal 16 11 2 3" xfId="9916" xr:uid="{00000000-0005-0000-0000-00009D7A0000}"/>
    <cellStyle name="Normal 16 11 2 4" xfId="42461" xr:uid="{00000000-0005-0000-0000-00009E7A0000}"/>
    <cellStyle name="Normal 16 11 3" xfId="7800" xr:uid="{00000000-0005-0000-0000-00009F7A0000}"/>
    <cellStyle name="Normal 16 11 3 2" xfId="10698" xr:uid="{00000000-0005-0000-0000-0000A07A0000}"/>
    <cellStyle name="Normal 16 11 4" xfId="9258" xr:uid="{00000000-0005-0000-0000-0000A17A0000}"/>
    <cellStyle name="Normal 16 11 5" xfId="6297" xr:uid="{00000000-0005-0000-0000-0000A27A0000}"/>
    <cellStyle name="Normal 16 11 6" xfId="22890" xr:uid="{00000000-0005-0000-0000-0000A37A0000}"/>
    <cellStyle name="Normal 16 12" xfId="3283" xr:uid="{00000000-0005-0000-0000-0000A47A0000}"/>
    <cellStyle name="Normal 16 12 2" xfId="8922" xr:uid="{00000000-0005-0000-0000-0000A57A0000}"/>
    <cellStyle name="Normal 16 12 2 2" xfId="11819" xr:uid="{00000000-0005-0000-0000-0000A67A0000}"/>
    <cellStyle name="Normal 16 12 3" xfId="10379" xr:uid="{00000000-0005-0000-0000-0000A77A0000}"/>
    <cellStyle name="Normal 16 12 4" xfId="7446" xr:uid="{00000000-0005-0000-0000-0000A87A0000}"/>
    <cellStyle name="Normal 16 12 5" xfId="33526" xr:uid="{00000000-0005-0000-0000-0000A97A0000}"/>
    <cellStyle name="Normal 16 13" xfId="7506" xr:uid="{00000000-0005-0000-0000-0000AA7A0000}"/>
    <cellStyle name="Normal 16 13 2" xfId="8979" xr:uid="{00000000-0005-0000-0000-0000AB7A0000}"/>
    <cellStyle name="Normal 16 13 2 2" xfId="11876" xr:uid="{00000000-0005-0000-0000-0000AC7A0000}"/>
    <cellStyle name="Normal 16 13 3" xfId="10436" xr:uid="{00000000-0005-0000-0000-0000AD7A0000}"/>
    <cellStyle name="Normal 16 13 4" xfId="52523" xr:uid="{00000000-0005-0000-0000-0000AE7A0000}"/>
    <cellStyle name="Normal 16 14" xfId="6781" xr:uid="{00000000-0005-0000-0000-0000AF7A0000}"/>
    <cellStyle name="Normal 16 14 2" xfId="8264" xr:uid="{00000000-0005-0000-0000-0000B07A0000}"/>
    <cellStyle name="Normal 16 14 2 2" xfId="11161" xr:uid="{00000000-0005-0000-0000-0000B17A0000}"/>
    <cellStyle name="Normal 16 14 3" xfId="9721" xr:uid="{00000000-0005-0000-0000-0000B27A0000}"/>
    <cellStyle name="Normal 16 15" xfId="7603" xr:uid="{00000000-0005-0000-0000-0000B37A0000}"/>
    <cellStyle name="Normal 16 15 2" xfId="10504" xr:uid="{00000000-0005-0000-0000-0000B47A0000}"/>
    <cellStyle name="Normal 16 16" xfId="9063" xr:uid="{00000000-0005-0000-0000-0000B57A0000}"/>
    <cellStyle name="Normal 16 17" xfId="11943" xr:uid="{00000000-0005-0000-0000-0000B67A0000}"/>
    <cellStyle name="Normal 16 18" xfId="6059" xr:uid="{00000000-0005-0000-0000-0000B77A0000}"/>
    <cellStyle name="Normal 16 19" xfId="13271" xr:uid="{00000000-0005-0000-0000-0000B87A0000}"/>
    <cellStyle name="Normal 16 2" xfId="756" xr:uid="{00000000-0005-0000-0000-0000B97A0000}"/>
    <cellStyle name="Normal 16 2 10" xfId="3284" xr:uid="{00000000-0005-0000-0000-0000BA7A0000}"/>
    <cellStyle name="Normal 16 2 10 2" xfId="8925" xr:uid="{00000000-0005-0000-0000-0000BB7A0000}"/>
    <cellStyle name="Normal 16 2 10 2 2" xfId="11822" xr:uid="{00000000-0005-0000-0000-0000BC7A0000}"/>
    <cellStyle name="Normal 16 2 10 2 3" xfId="42466" xr:uid="{00000000-0005-0000-0000-0000BD7A0000}"/>
    <cellStyle name="Normal 16 2 10 3" xfId="10382" xr:uid="{00000000-0005-0000-0000-0000BE7A0000}"/>
    <cellStyle name="Normal 16 2 10 4" xfId="7451" xr:uid="{00000000-0005-0000-0000-0000BF7A0000}"/>
    <cellStyle name="Normal 16 2 10 5" xfId="22897" xr:uid="{00000000-0005-0000-0000-0000C07A0000}"/>
    <cellStyle name="Normal 16 2 11" xfId="7510" xr:uid="{00000000-0005-0000-0000-0000C17A0000}"/>
    <cellStyle name="Normal 16 2 11 2" xfId="8982" xr:uid="{00000000-0005-0000-0000-0000C27A0000}"/>
    <cellStyle name="Normal 16 2 11 2 2" xfId="11879" xr:uid="{00000000-0005-0000-0000-0000C37A0000}"/>
    <cellStyle name="Normal 16 2 11 3" xfId="10439" xr:uid="{00000000-0005-0000-0000-0000C47A0000}"/>
    <cellStyle name="Normal 16 2 11 4" xfId="33527" xr:uid="{00000000-0005-0000-0000-0000C57A0000}"/>
    <cellStyle name="Normal 16 2 12" xfId="6788" xr:uid="{00000000-0005-0000-0000-0000C67A0000}"/>
    <cellStyle name="Normal 16 2 12 2" xfId="8269" xr:uid="{00000000-0005-0000-0000-0000C77A0000}"/>
    <cellStyle name="Normal 16 2 12 2 2" xfId="11166" xr:uid="{00000000-0005-0000-0000-0000C87A0000}"/>
    <cellStyle name="Normal 16 2 12 3" xfId="9726" xr:uid="{00000000-0005-0000-0000-0000C97A0000}"/>
    <cellStyle name="Normal 16 2 13" xfId="7609" xr:uid="{00000000-0005-0000-0000-0000CA7A0000}"/>
    <cellStyle name="Normal 16 2 13 2" xfId="10509" xr:uid="{00000000-0005-0000-0000-0000CB7A0000}"/>
    <cellStyle name="Normal 16 2 14" xfId="9069" xr:uid="{00000000-0005-0000-0000-0000CC7A0000}"/>
    <cellStyle name="Normal 16 2 15" xfId="6072" xr:uid="{00000000-0005-0000-0000-0000CD7A0000}"/>
    <cellStyle name="Normal 16 2 16" xfId="13272" xr:uid="{00000000-0005-0000-0000-0000CE7A0000}"/>
    <cellStyle name="Normal 16 2 2" xfId="757" xr:uid="{00000000-0005-0000-0000-0000CF7A0000}"/>
    <cellStyle name="Normal 16 2 2 10" xfId="7616" xr:uid="{00000000-0005-0000-0000-0000D07A0000}"/>
    <cellStyle name="Normal 16 2 2 10 2" xfId="10516" xr:uid="{00000000-0005-0000-0000-0000D17A0000}"/>
    <cellStyle name="Normal 16 2 2 11" xfId="9076" xr:uid="{00000000-0005-0000-0000-0000D27A0000}"/>
    <cellStyle name="Normal 16 2 2 12" xfId="6081" xr:uid="{00000000-0005-0000-0000-0000D37A0000}"/>
    <cellStyle name="Normal 16 2 2 13" xfId="14179" xr:uid="{00000000-0005-0000-0000-0000D47A0000}"/>
    <cellStyle name="Normal 16 2 2 2" xfId="758" xr:uid="{00000000-0005-0000-0000-0000D57A0000}"/>
    <cellStyle name="Normal 16 2 2 2 10" xfId="9106" xr:uid="{00000000-0005-0000-0000-0000D67A0000}"/>
    <cellStyle name="Normal 16 2 2 2 11" xfId="6118" xr:uid="{00000000-0005-0000-0000-0000D77A0000}"/>
    <cellStyle name="Normal 16 2 2 2 12" xfId="16443" xr:uid="{00000000-0005-0000-0000-0000D87A0000}"/>
    <cellStyle name="Normal 16 2 2 2 2" xfId="759" xr:uid="{00000000-0005-0000-0000-0000D97A0000}"/>
    <cellStyle name="Normal 16 2 2 2 2 2" xfId="760" xr:uid="{00000000-0005-0000-0000-0000DA7A0000}"/>
    <cellStyle name="Normal 16 2 2 2 2 2 2" xfId="761" xr:uid="{00000000-0005-0000-0000-0000DB7A0000}"/>
    <cellStyle name="Normal 16 2 2 2 2 2 2 2" xfId="7431" xr:uid="{00000000-0005-0000-0000-0000DC7A0000}"/>
    <cellStyle name="Normal 16 2 2 2 2 2 2 2 2" xfId="8908" xr:uid="{00000000-0005-0000-0000-0000DD7A0000}"/>
    <cellStyle name="Normal 16 2 2 2 2 2 2 2 2 2" xfId="11805" xr:uid="{00000000-0005-0000-0000-0000DE7A0000}"/>
    <cellStyle name="Normal 16 2 2 2 2 2 2 2 3" xfId="10365" xr:uid="{00000000-0005-0000-0000-0000DF7A0000}"/>
    <cellStyle name="Normal 16 2 2 2 2 2 2 2 4" xfId="51930" xr:uid="{00000000-0005-0000-0000-0000E07A0000}"/>
    <cellStyle name="Normal 16 2 2 2 2 2 2 3" xfId="8250" xr:uid="{00000000-0005-0000-0000-0000E17A0000}"/>
    <cellStyle name="Normal 16 2 2 2 2 2 2 3 2" xfId="11147" xr:uid="{00000000-0005-0000-0000-0000E27A0000}"/>
    <cellStyle name="Normal 16 2 2 2 2 2 2 4" xfId="9707" xr:uid="{00000000-0005-0000-0000-0000E37A0000}"/>
    <cellStyle name="Normal 16 2 2 2 2 2 2 5" xfId="6755" xr:uid="{00000000-0005-0000-0000-0000E47A0000}"/>
    <cellStyle name="Normal 16 2 2 2 2 2 2 6" xfId="32743" xr:uid="{00000000-0005-0000-0000-0000E57A0000}"/>
    <cellStyle name="Normal 16 2 2 2 2 2 3" xfId="7198" xr:uid="{00000000-0005-0000-0000-0000E67A0000}"/>
    <cellStyle name="Normal 16 2 2 2 2 2 3 2" xfId="8675" xr:uid="{00000000-0005-0000-0000-0000E77A0000}"/>
    <cellStyle name="Normal 16 2 2 2 2 2 3 2 2" xfId="11572" xr:uid="{00000000-0005-0000-0000-0000E87A0000}"/>
    <cellStyle name="Normal 16 2 2 2 2 2 3 3" xfId="10132" xr:uid="{00000000-0005-0000-0000-0000E97A0000}"/>
    <cellStyle name="Normal 16 2 2 2 2 2 3 4" xfId="42232" xr:uid="{00000000-0005-0000-0000-0000EA7A0000}"/>
    <cellStyle name="Normal 16 2 2 2 2 2 4" xfId="8017" xr:uid="{00000000-0005-0000-0000-0000EB7A0000}"/>
    <cellStyle name="Normal 16 2 2 2 2 2 4 2" xfId="10914" xr:uid="{00000000-0005-0000-0000-0000EC7A0000}"/>
    <cellStyle name="Normal 16 2 2 2 2 2 5" xfId="9474" xr:uid="{00000000-0005-0000-0000-0000ED7A0000}"/>
    <cellStyle name="Normal 16 2 2 2 2 2 6" xfId="6522" xr:uid="{00000000-0005-0000-0000-0000EE7A0000}"/>
    <cellStyle name="Normal 16 2 2 2 2 2 7" xfId="22655" xr:uid="{00000000-0005-0000-0000-0000EF7A0000}"/>
    <cellStyle name="Normal 16 2 2 2 2 3" xfId="762" xr:uid="{00000000-0005-0000-0000-0000F07A0000}"/>
    <cellStyle name="Normal 16 2 2 2 2 3 2" xfId="7315" xr:uid="{00000000-0005-0000-0000-0000F17A0000}"/>
    <cellStyle name="Normal 16 2 2 2 2 3 2 2" xfId="8792" xr:uid="{00000000-0005-0000-0000-0000F27A0000}"/>
    <cellStyle name="Normal 16 2 2 2 2 3 2 2 2" xfId="11689" xr:uid="{00000000-0005-0000-0000-0000F37A0000}"/>
    <cellStyle name="Normal 16 2 2 2 2 3 2 3" xfId="10249" xr:uid="{00000000-0005-0000-0000-0000F47A0000}"/>
    <cellStyle name="Normal 16 2 2 2 2 3 2 4" xfId="50464" xr:uid="{00000000-0005-0000-0000-0000F57A0000}"/>
    <cellStyle name="Normal 16 2 2 2 2 3 3" xfId="8134" xr:uid="{00000000-0005-0000-0000-0000F67A0000}"/>
    <cellStyle name="Normal 16 2 2 2 2 3 3 2" xfId="11031" xr:uid="{00000000-0005-0000-0000-0000F77A0000}"/>
    <cellStyle name="Normal 16 2 2 2 2 3 4" xfId="9591" xr:uid="{00000000-0005-0000-0000-0000F87A0000}"/>
    <cellStyle name="Normal 16 2 2 2 2 3 5" xfId="6639" xr:uid="{00000000-0005-0000-0000-0000F97A0000}"/>
    <cellStyle name="Normal 16 2 2 2 2 3 6" xfId="31275" xr:uid="{00000000-0005-0000-0000-0000FA7A0000}"/>
    <cellStyle name="Normal 16 2 2 2 2 4" xfId="763" xr:uid="{00000000-0005-0000-0000-0000FB7A0000}"/>
    <cellStyle name="Normal 16 2 2 2 2 4 2" xfId="7082" xr:uid="{00000000-0005-0000-0000-0000FC7A0000}"/>
    <cellStyle name="Normal 16 2 2 2 2 4 2 2" xfId="8559" xr:uid="{00000000-0005-0000-0000-0000FD7A0000}"/>
    <cellStyle name="Normal 16 2 2 2 2 4 2 2 2" xfId="11456" xr:uid="{00000000-0005-0000-0000-0000FE7A0000}"/>
    <cellStyle name="Normal 16 2 2 2 2 4 2 3" xfId="10016" xr:uid="{00000000-0005-0000-0000-0000FF7A0000}"/>
    <cellStyle name="Normal 16 2 2 2 2 4 2 4" xfId="42585" xr:uid="{00000000-0005-0000-0000-0000007B0000}"/>
    <cellStyle name="Normal 16 2 2 2 2 4 3" xfId="7900" xr:uid="{00000000-0005-0000-0000-0000017B0000}"/>
    <cellStyle name="Normal 16 2 2 2 2 4 3 2" xfId="10798" xr:uid="{00000000-0005-0000-0000-0000027B0000}"/>
    <cellStyle name="Normal 16 2 2 2 2 4 4" xfId="9358" xr:uid="{00000000-0005-0000-0000-0000037B0000}"/>
    <cellStyle name="Normal 16 2 2 2 2 4 5" xfId="6403" xr:uid="{00000000-0005-0000-0000-0000047B0000}"/>
    <cellStyle name="Normal 16 2 2 2 2 4 6" xfId="23016" xr:uid="{00000000-0005-0000-0000-0000057B0000}"/>
    <cellStyle name="Normal 16 2 2 2 2 5" xfId="6910" xr:uid="{00000000-0005-0000-0000-0000067B0000}"/>
    <cellStyle name="Normal 16 2 2 2 2 5 2" xfId="8388" xr:uid="{00000000-0005-0000-0000-0000077B0000}"/>
    <cellStyle name="Normal 16 2 2 2 2 5 2 2" xfId="11285" xr:uid="{00000000-0005-0000-0000-0000087B0000}"/>
    <cellStyle name="Normal 16 2 2 2 2 5 3" xfId="9845" xr:uid="{00000000-0005-0000-0000-0000097B0000}"/>
    <cellStyle name="Normal 16 2 2 2 2 5 4" xfId="40766" xr:uid="{00000000-0005-0000-0000-00000A7B0000}"/>
    <cellStyle name="Normal 16 2 2 2 2 6" xfId="7727" xr:uid="{00000000-0005-0000-0000-00000B7B0000}"/>
    <cellStyle name="Normal 16 2 2 2 2 6 2" xfId="10627" xr:uid="{00000000-0005-0000-0000-00000C7B0000}"/>
    <cellStyle name="Normal 16 2 2 2 2 7" xfId="9187" xr:uid="{00000000-0005-0000-0000-00000D7B0000}"/>
    <cellStyle name="Normal 16 2 2 2 2 8" xfId="6206" xr:uid="{00000000-0005-0000-0000-00000E7B0000}"/>
    <cellStyle name="Normal 16 2 2 2 2 9" xfId="20907" xr:uid="{00000000-0005-0000-0000-00000F7B0000}"/>
    <cellStyle name="Normal 16 2 2 2 3" xfId="764" xr:uid="{00000000-0005-0000-0000-0000107B0000}"/>
    <cellStyle name="Normal 16 2 2 2 3 2" xfId="765" xr:uid="{00000000-0005-0000-0000-0000117B0000}"/>
    <cellStyle name="Normal 16 2 2 2 3 2 2" xfId="7375" xr:uid="{00000000-0005-0000-0000-0000127B0000}"/>
    <cellStyle name="Normal 16 2 2 2 3 2 2 2" xfId="8852" xr:uid="{00000000-0005-0000-0000-0000137B0000}"/>
    <cellStyle name="Normal 16 2 2 2 3 2 2 2 2" xfId="11749" xr:uid="{00000000-0005-0000-0000-0000147B0000}"/>
    <cellStyle name="Normal 16 2 2 2 3 2 2 3" xfId="10309" xr:uid="{00000000-0005-0000-0000-0000157B0000}"/>
    <cellStyle name="Normal 16 2 2 2 3 2 2 4" xfId="51986" xr:uid="{00000000-0005-0000-0000-0000167B0000}"/>
    <cellStyle name="Normal 16 2 2 2 3 2 3" xfId="8194" xr:uid="{00000000-0005-0000-0000-0000177B0000}"/>
    <cellStyle name="Normal 16 2 2 2 3 2 3 2" xfId="11091" xr:uid="{00000000-0005-0000-0000-0000187B0000}"/>
    <cellStyle name="Normal 16 2 2 2 3 2 4" xfId="9651" xr:uid="{00000000-0005-0000-0000-0000197B0000}"/>
    <cellStyle name="Normal 16 2 2 2 3 2 5" xfId="6699" xr:uid="{00000000-0005-0000-0000-00001A7B0000}"/>
    <cellStyle name="Normal 16 2 2 2 3 2 6" xfId="32799" xr:uid="{00000000-0005-0000-0000-00001B7B0000}"/>
    <cellStyle name="Normal 16 2 2 2 3 3" xfId="766" xr:uid="{00000000-0005-0000-0000-00001C7B0000}"/>
    <cellStyle name="Normal 16 2 2 2 3 3 2" xfId="7142" xr:uid="{00000000-0005-0000-0000-00001D7B0000}"/>
    <cellStyle name="Normal 16 2 2 2 3 3 2 2" xfId="8619" xr:uid="{00000000-0005-0000-0000-00001E7B0000}"/>
    <cellStyle name="Normal 16 2 2 2 3 3 2 2 2" xfId="11516" xr:uid="{00000000-0005-0000-0000-00001F7B0000}"/>
    <cellStyle name="Normal 16 2 2 2 3 3 2 3" xfId="10076" xr:uid="{00000000-0005-0000-0000-0000207B0000}"/>
    <cellStyle name="Normal 16 2 2 2 3 3 2 4" xfId="42641" xr:uid="{00000000-0005-0000-0000-0000217B0000}"/>
    <cellStyle name="Normal 16 2 2 2 3 3 3" xfId="7961" xr:uid="{00000000-0005-0000-0000-0000227B0000}"/>
    <cellStyle name="Normal 16 2 2 2 3 3 3 2" xfId="10858" xr:uid="{00000000-0005-0000-0000-0000237B0000}"/>
    <cellStyle name="Normal 16 2 2 2 3 3 4" xfId="9418" xr:uid="{00000000-0005-0000-0000-0000247B0000}"/>
    <cellStyle name="Normal 16 2 2 2 3 3 5" xfId="6466" xr:uid="{00000000-0005-0000-0000-0000257B0000}"/>
    <cellStyle name="Normal 16 2 2 2 3 3 6" xfId="23072" xr:uid="{00000000-0005-0000-0000-0000267B0000}"/>
    <cellStyle name="Normal 16 2 2 2 3 4" xfId="6967" xr:uid="{00000000-0005-0000-0000-0000277B0000}"/>
    <cellStyle name="Normal 16 2 2 2 3 4 2" xfId="8444" xr:uid="{00000000-0005-0000-0000-0000287B0000}"/>
    <cellStyle name="Normal 16 2 2 2 3 4 2 2" xfId="11341" xr:uid="{00000000-0005-0000-0000-0000297B0000}"/>
    <cellStyle name="Normal 16 2 2 2 3 4 3" xfId="9901" xr:uid="{00000000-0005-0000-0000-00002A7B0000}"/>
    <cellStyle name="Normal 16 2 2 2 3 4 4" xfId="42288" xr:uid="{00000000-0005-0000-0000-00002B7B0000}"/>
    <cellStyle name="Normal 16 2 2 2 3 5" xfId="7784" xr:uid="{00000000-0005-0000-0000-00002C7B0000}"/>
    <cellStyle name="Normal 16 2 2 2 3 5 2" xfId="10683" xr:uid="{00000000-0005-0000-0000-00002D7B0000}"/>
    <cellStyle name="Normal 16 2 2 2 3 6" xfId="9243" xr:uid="{00000000-0005-0000-0000-00002E7B0000}"/>
    <cellStyle name="Normal 16 2 2 2 3 7" xfId="6268" xr:uid="{00000000-0005-0000-0000-00002F7B0000}"/>
    <cellStyle name="Normal 16 2 2 2 3 8" xfId="22713" xr:uid="{00000000-0005-0000-0000-0000307B0000}"/>
    <cellStyle name="Normal 16 2 2 2 4" xfId="767" xr:uid="{00000000-0005-0000-0000-0000317B0000}"/>
    <cellStyle name="Normal 16 2 2 2 4 2" xfId="7259" xr:uid="{00000000-0005-0000-0000-0000327B0000}"/>
    <cellStyle name="Normal 16 2 2 2 4 2 2" xfId="8736" xr:uid="{00000000-0005-0000-0000-0000337B0000}"/>
    <cellStyle name="Normal 16 2 2 2 4 2 2 2" xfId="11633" xr:uid="{00000000-0005-0000-0000-0000347B0000}"/>
    <cellStyle name="Normal 16 2 2 2 4 2 2 3" xfId="51849" xr:uid="{00000000-0005-0000-0000-0000357B0000}"/>
    <cellStyle name="Normal 16 2 2 2 4 2 3" xfId="10193" xr:uid="{00000000-0005-0000-0000-0000367B0000}"/>
    <cellStyle name="Normal 16 2 2 2 4 2 4" xfId="32662" xr:uid="{00000000-0005-0000-0000-0000377B0000}"/>
    <cellStyle name="Normal 16 2 2 2 4 3" xfId="8078" xr:uid="{00000000-0005-0000-0000-0000387B0000}"/>
    <cellStyle name="Normal 16 2 2 2 4 3 2" xfId="10975" xr:uid="{00000000-0005-0000-0000-0000397B0000}"/>
    <cellStyle name="Normal 16 2 2 2 4 3 3" xfId="42151" xr:uid="{00000000-0005-0000-0000-00003A7B0000}"/>
    <cellStyle name="Normal 16 2 2 2 4 4" xfId="9535" xr:uid="{00000000-0005-0000-0000-00003B7B0000}"/>
    <cellStyle name="Normal 16 2 2 2 4 5" xfId="6583" xr:uid="{00000000-0005-0000-0000-00003C7B0000}"/>
    <cellStyle name="Normal 16 2 2 2 4 6" xfId="22540" xr:uid="{00000000-0005-0000-0000-00003D7B0000}"/>
    <cellStyle name="Normal 16 2 2 2 5" xfId="768" xr:uid="{00000000-0005-0000-0000-00003E7B0000}"/>
    <cellStyle name="Normal 16 2 2 2 5 2" xfId="7026" xr:uid="{00000000-0005-0000-0000-00003F7B0000}"/>
    <cellStyle name="Normal 16 2 2 2 5 2 2" xfId="8503" xr:uid="{00000000-0005-0000-0000-0000407B0000}"/>
    <cellStyle name="Normal 16 2 2 2 5 2 2 2" xfId="11400" xr:uid="{00000000-0005-0000-0000-0000417B0000}"/>
    <cellStyle name="Normal 16 2 2 2 5 2 3" xfId="9960" xr:uid="{00000000-0005-0000-0000-0000427B0000}"/>
    <cellStyle name="Normal 16 2 2 2 5 2 4" xfId="46009" xr:uid="{00000000-0005-0000-0000-0000437B0000}"/>
    <cellStyle name="Normal 16 2 2 2 5 3" xfId="7844" xr:uid="{00000000-0005-0000-0000-0000447B0000}"/>
    <cellStyle name="Normal 16 2 2 2 5 3 2" xfId="10742" xr:uid="{00000000-0005-0000-0000-0000457B0000}"/>
    <cellStyle name="Normal 16 2 2 2 5 4" xfId="9302" xr:uid="{00000000-0005-0000-0000-0000467B0000}"/>
    <cellStyle name="Normal 16 2 2 2 5 5" xfId="6347" xr:uid="{00000000-0005-0000-0000-0000477B0000}"/>
    <cellStyle name="Normal 16 2 2 2 5 6" xfId="26820" xr:uid="{00000000-0005-0000-0000-0000487B0000}"/>
    <cellStyle name="Normal 16 2 2 2 6" xfId="7492" xr:uid="{00000000-0005-0000-0000-0000497B0000}"/>
    <cellStyle name="Normal 16 2 2 2 6 2" xfId="8966" xr:uid="{00000000-0005-0000-0000-00004A7B0000}"/>
    <cellStyle name="Normal 16 2 2 2 6 2 2" xfId="11863" xr:uid="{00000000-0005-0000-0000-00004B7B0000}"/>
    <cellStyle name="Normal 16 2 2 2 6 2 3" xfId="42504" xr:uid="{00000000-0005-0000-0000-00004C7B0000}"/>
    <cellStyle name="Normal 16 2 2 2 6 3" xfId="10423" xr:uid="{00000000-0005-0000-0000-00004D7B0000}"/>
    <cellStyle name="Normal 16 2 2 2 6 4" xfId="22935" xr:uid="{00000000-0005-0000-0000-00004E7B0000}"/>
    <cellStyle name="Normal 16 2 2 2 7" xfId="7551" xr:uid="{00000000-0005-0000-0000-00004F7B0000}"/>
    <cellStyle name="Normal 16 2 2 2 7 2" xfId="9023" xr:uid="{00000000-0005-0000-0000-0000507B0000}"/>
    <cellStyle name="Normal 16 2 2 2 7 2 2" xfId="11920" xr:uid="{00000000-0005-0000-0000-0000517B0000}"/>
    <cellStyle name="Normal 16 2 2 2 7 3" xfId="10480" xr:uid="{00000000-0005-0000-0000-0000527B0000}"/>
    <cellStyle name="Normal 16 2 2 2 7 4" xfId="36311" xr:uid="{00000000-0005-0000-0000-0000537B0000}"/>
    <cellStyle name="Normal 16 2 2 2 8" xfId="6827" xr:uid="{00000000-0005-0000-0000-0000547B0000}"/>
    <cellStyle name="Normal 16 2 2 2 8 2" xfId="8307" xr:uid="{00000000-0005-0000-0000-0000557B0000}"/>
    <cellStyle name="Normal 16 2 2 2 8 2 2" xfId="11204" xr:uid="{00000000-0005-0000-0000-0000567B0000}"/>
    <cellStyle name="Normal 16 2 2 2 8 3" xfId="9764" xr:uid="{00000000-0005-0000-0000-0000577B0000}"/>
    <cellStyle name="Normal 16 2 2 2 9" xfId="7646" xr:uid="{00000000-0005-0000-0000-0000587B0000}"/>
    <cellStyle name="Normal 16 2 2 2 9 2" xfId="10546" xr:uid="{00000000-0005-0000-0000-0000597B0000}"/>
    <cellStyle name="Normal 16 2 2 3" xfId="769" xr:uid="{00000000-0005-0000-0000-00005A7B0000}"/>
    <cellStyle name="Normal 16 2 2 3 2" xfId="770" xr:uid="{00000000-0005-0000-0000-00005B7B0000}"/>
    <cellStyle name="Normal 16 2 2 3 2 2" xfId="771" xr:uid="{00000000-0005-0000-0000-00005C7B0000}"/>
    <cellStyle name="Normal 16 2 2 3 2 2 2" xfId="7401" xr:uid="{00000000-0005-0000-0000-00005D7B0000}"/>
    <cellStyle name="Normal 16 2 2 3 2 2 2 2" xfId="8878" xr:uid="{00000000-0005-0000-0000-00005E7B0000}"/>
    <cellStyle name="Normal 16 2 2 3 2 2 2 2 2" xfId="11775" xr:uid="{00000000-0005-0000-0000-00005F7B0000}"/>
    <cellStyle name="Normal 16 2 2 3 2 2 2 3" xfId="10335" xr:uid="{00000000-0005-0000-0000-0000607B0000}"/>
    <cellStyle name="Normal 16 2 2 3 2 2 2 4" xfId="51900" xr:uid="{00000000-0005-0000-0000-0000617B0000}"/>
    <cellStyle name="Normal 16 2 2 3 2 2 3" xfId="8220" xr:uid="{00000000-0005-0000-0000-0000627B0000}"/>
    <cellStyle name="Normal 16 2 2 3 2 2 3 2" xfId="11117" xr:uid="{00000000-0005-0000-0000-0000637B0000}"/>
    <cellStyle name="Normal 16 2 2 3 2 2 4" xfId="9677" xr:uid="{00000000-0005-0000-0000-0000647B0000}"/>
    <cellStyle name="Normal 16 2 2 3 2 2 5" xfId="6725" xr:uid="{00000000-0005-0000-0000-0000657B0000}"/>
    <cellStyle name="Normal 16 2 2 3 2 2 6" xfId="32713" xr:uid="{00000000-0005-0000-0000-0000667B0000}"/>
    <cellStyle name="Normal 16 2 2 3 2 3" xfId="7168" xr:uid="{00000000-0005-0000-0000-0000677B0000}"/>
    <cellStyle name="Normal 16 2 2 3 2 3 2" xfId="8645" xr:uid="{00000000-0005-0000-0000-0000687B0000}"/>
    <cellStyle name="Normal 16 2 2 3 2 3 2 2" xfId="11542" xr:uid="{00000000-0005-0000-0000-0000697B0000}"/>
    <cellStyle name="Normal 16 2 2 3 2 3 3" xfId="10102" xr:uid="{00000000-0005-0000-0000-00006A7B0000}"/>
    <cellStyle name="Normal 16 2 2 3 2 3 4" xfId="42202" xr:uid="{00000000-0005-0000-0000-00006B7B0000}"/>
    <cellStyle name="Normal 16 2 2 3 2 4" xfId="7987" xr:uid="{00000000-0005-0000-0000-00006C7B0000}"/>
    <cellStyle name="Normal 16 2 2 3 2 4 2" xfId="10884" xr:uid="{00000000-0005-0000-0000-00006D7B0000}"/>
    <cellStyle name="Normal 16 2 2 3 2 5" xfId="9444" xr:uid="{00000000-0005-0000-0000-00006E7B0000}"/>
    <cellStyle name="Normal 16 2 2 3 2 6" xfId="6492" xr:uid="{00000000-0005-0000-0000-00006F7B0000}"/>
    <cellStyle name="Normal 16 2 2 3 2 7" xfId="22624" xr:uid="{00000000-0005-0000-0000-0000707B0000}"/>
    <cellStyle name="Normal 16 2 2 3 3" xfId="772" xr:uid="{00000000-0005-0000-0000-0000717B0000}"/>
    <cellStyle name="Normal 16 2 2 3 3 2" xfId="7285" xr:uid="{00000000-0005-0000-0000-0000727B0000}"/>
    <cellStyle name="Normal 16 2 2 3 3 2 2" xfId="8762" xr:uid="{00000000-0005-0000-0000-0000737B0000}"/>
    <cellStyle name="Normal 16 2 2 3 3 2 2 2" xfId="11659" xr:uid="{00000000-0005-0000-0000-0000747B0000}"/>
    <cellStyle name="Normal 16 2 2 3 3 2 3" xfId="10219" xr:uid="{00000000-0005-0000-0000-0000757B0000}"/>
    <cellStyle name="Normal 16 2 2 3 3 2 4" xfId="48236" xr:uid="{00000000-0005-0000-0000-0000767B0000}"/>
    <cellStyle name="Normal 16 2 2 3 3 3" xfId="8104" xr:uid="{00000000-0005-0000-0000-0000777B0000}"/>
    <cellStyle name="Normal 16 2 2 3 3 3 2" xfId="11001" xr:uid="{00000000-0005-0000-0000-0000787B0000}"/>
    <cellStyle name="Normal 16 2 2 3 3 4" xfId="9561" xr:uid="{00000000-0005-0000-0000-0000797B0000}"/>
    <cellStyle name="Normal 16 2 2 3 3 5" xfId="6609" xr:uid="{00000000-0005-0000-0000-00007A7B0000}"/>
    <cellStyle name="Normal 16 2 2 3 3 6" xfId="29047" xr:uid="{00000000-0005-0000-0000-00007B7B0000}"/>
    <cellStyle name="Normal 16 2 2 3 4" xfId="773" xr:uid="{00000000-0005-0000-0000-00007C7B0000}"/>
    <cellStyle name="Normal 16 2 2 3 4 2" xfId="7052" xr:uid="{00000000-0005-0000-0000-00007D7B0000}"/>
    <cellStyle name="Normal 16 2 2 3 4 2 2" xfId="8529" xr:uid="{00000000-0005-0000-0000-00007E7B0000}"/>
    <cellStyle name="Normal 16 2 2 3 4 2 2 2" xfId="11426" xr:uid="{00000000-0005-0000-0000-00007F7B0000}"/>
    <cellStyle name="Normal 16 2 2 3 4 2 3" xfId="9986" xr:uid="{00000000-0005-0000-0000-0000807B0000}"/>
    <cellStyle name="Normal 16 2 2 3 4 2 4" xfId="42555" xr:uid="{00000000-0005-0000-0000-0000817B0000}"/>
    <cellStyle name="Normal 16 2 2 3 4 3" xfId="7870" xr:uid="{00000000-0005-0000-0000-0000827B0000}"/>
    <cellStyle name="Normal 16 2 2 3 4 3 2" xfId="10768" xr:uid="{00000000-0005-0000-0000-0000837B0000}"/>
    <cellStyle name="Normal 16 2 2 3 4 4" xfId="9328" xr:uid="{00000000-0005-0000-0000-0000847B0000}"/>
    <cellStyle name="Normal 16 2 2 3 4 5" xfId="6373" xr:uid="{00000000-0005-0000-0000-0000857B0000}"/>
    <cellStyle name="Normal 16 2 2 3 4 6" xfId="22986" xr:uid="{00000000-0005-0000-0000-0000867B0000}"/>
    <cellStyle name="Normal 16 2 2 3 5" xfId="6880" xr:uid="{00000000-0005-0000-0000-0000877B0000}"/>
    <cellStyle name="Normal 16 2 2 3 5 2" xfId="8358" xr:uid="{00000000-0005-0000-0000-0000887B0000}"/>
    <cellStyle name="Normal 16 2 2 3 5 2 2" xfId="11255" xr:uid="{00000000-0005-0000-0000-0000897B0000}"/>
    <cellStyle name="Normal 16 2 2 3 5 3" xfId="9815" xr:uid="{00000000-0005-0000-0000-00008A7B0000}"/>
    <cellStyle name="Normal 16 2 2 3 5 4" xfId="38538" xr:uid="{00000000-0005-0000-0000-00008B7B0000}"/>
    <cellStyle name="Normal 16 2 2 3 6" xfId="7697" xr:uid="{00000000-0005-0000-0000-00008C7B0000}"/>
    <cellStyle name="Normal 16 2 2 3 6 2" xfId="10597" xr:uid="{00000000-0005-0000-0000-00008D7B0000}"/>
    <cellStyle name="Normal 16 2 2 3 7" xfId="9157" xr:uid="{00000000-0005-0000-0000-00008E7B0000}"/>
    <cellStyle name="Normal 16 2 2 3 8" xfId="6175" xr:uid="{00000000-0005-0000-0000-00008F7B0000}"/>
    <cellStyle name="Normal 16 2 2 3 9" xfId="18679" xr:uid="{00000000-0005-0000-0000-0000907B0000}"/>
    <cellStyle name="Normal 16 2 2 4" xfId="774" xr:uid="{00000000-0005-0000-0000-0000917B0000}"/>
    <cellStyle name="Normal 16 2 2 4 2" xfId="775" xr:uid="{00000000-0005-0000-0000-0000927B0000}"/>
    <cellStyle name="Normal 16 2 2 4 2 2" xfId="7349" xr:uid="{00000000-0005-0000-0000-0000937B0000}"/>
    <cellStyle name="Normal 16 2 2 4 2 2 2" xfId="8826" xr:uid="{00000000-0005-0000-0000-0000947B0000}"/>
    <cellStyle name="Normal 16 2 2 4 2 2 2 2" xfId="11723" xr:uid="{00000000-0005-0000-0000-0000957B0000}"/>
    <cellStyle name="Normal 16 2 2 4 2 2 3" xfId="10283" xr:uid="{00000000-0005-0000-0000-0000967B0000}"/>
    <cellStyle name="Normal 16 2 2 4 2 2 4" xfId="51956" xr:uid="{00000000-0005-0000-0000-0000977B0000}"/>
    <cellStyle name="Normal 16 2 2 4 2 3" xfId="8168" xr:uid="{00000000-0005-0000-0000-0000987B0000}"/>
    <cellStyle name="Normal 16 2 2 4 2 3 2" xfId="11065" xr:uid="{00000000-0005-0000-0000-0000997B0000}"/>
    <cellStyle name="Normal 16 2 2 4 2 4" xfId="9625" xr:uid="{00000000-0005-0000-0000-00009A7B0000}"/>
    <cellStyle name="Normal 16 2 2 4 2 5" xfId="6673" xr:uid="{00000000-0005-0000-0000-00009B7B0000}"/>
    <cellStyle name="Normal 16 2 2 4 2 6" xfId="32769" xr:uid="{00000000-0005-0000-0000-00009C7B0000}"/>
    <cellStyle name="Normal 16 2 2 4 3" xfId="776" xr:uid="{00000000-0005-0000-0000-00009D7B0000}"/>
    <cellStyle name="Normal 16 2 2 4 3 2" xfId="7116" xr:uid="{00000000-0005-0000-0000-00009E7B0000}"/>
    <cellStyle name="Normal 16 2 2 4 3 2 2" xfId="8593" xr:uid="{00000000-0005-0000-0000-00009F7B0000}"/>
    <cellStyle name="Normal 16 2 2 4 3 2 2 2" xfId="11490" xr:uid="{00000000-0005-0000-0000-0000A07B0000}"/>
    <cellStyle name="Normal 16 2 2 4 3 2 3" xfId="10050" xr:uid="{00000000-0005-0000-0000-0000A17B0000}"/>
    <cellStyle name="Normal 16 2 2 4 3 2 4" xfId="42611" xr:uid="{00000000-0005-0000-0000-0000A27B0000}"/>
    <cellStyle name="Normal 16 2 2 4 3 3" xfId="7935" xr:uid="{00000000-0005-0000-0000-0000A37B0000}"/>
    <cellStyle name="Normal 16 2 2 4 3 3 2" xfId="10832" xr:uid="{00000000-0005-0000-0000-0000A47B0000}"/>
    <cellStyle name="Normal 16 2 2 4 3 4" xfId="9392" xr:uid="{00000000-0005-0000-0000-0000A57B0000}"/>
    <cellStyle name="Normal 16 2 2 4 3 5" xfId="6440" xr:uid="{00000000-0005-0000-0000-0000A67B0000}"/>
    <cellStyle name="Normal 16 2 2 4 3 6" xfId="23042" xr:uid="{00000000-0005-0000-0000-0000A77B0000}"/>
    <cellStyle name="Normal 16 2 2 4 4" xfId="6937" xr:uid="{00000000-0005-0000-0000-0000A87B0000}"/>
    <cellStyle name="Normal 16 2 2 4 4 2" xfId="8414" xr:uid="{00000000-0005-0000-0000-0000A97B0000}"/>
    <cellStyle name="Normal 16 2 2 4 4 2 2" xfId="11311" xr:uid="{00000000-0005-0000-0000-0000AA7B0000}"/>
    <cellStyle name="Normal 16 2 2 4 4 3" xfId="9871" xr:uid="{00000000-0005-0000-0000-0000AB7B0000}"/>
    <cellStyle name="Normal 16 2 2 4 4 4" xfId="42258" xr:uid="{00000000-0005-0000-0000-0000AC7B0000}"/>
    <cellStyle name="Normal 16 2 2 4 5" xfId="7754" xr:uid="{00000000-0005-0000-0000-0000AD7B0000}"/>
    <cellStyle name="Normal 16 2 2 4 5 2" xfId="10653" xr:uid="{00000000-0005-0000-0000-0000AE7B0000}"/>
    <cellStyle name="Normal 16 2 2 4 6" xfId="9213" xr:uid="{00000000-0005-0000-0000-0000AF7B0000}"/>
    <cellStyle name="Normal 16 2 2 4 7" xfId="6238" xr:uid="{00000000-0005-0000-0000-0000B07B0000}"/>
    <cellStyle name="Normal 16 2 2 4 8" xfId="22683" xr:uid="{00000000-0005-0000-0000-0000B17B0000}"/>
    <cellStyle name="Normal 16 2 2 5" xfId="777" xr:uid="{00000000-0005-0000-0000-0000B27B0000}"/>
    <cellStyle name="Normal 16 2 2 5 2" xfId="7233" xr:uid="{00000000-0005-0000-0000-0000B37B0000}"/>
    <cellStyle name="Normal 16 2 2 5 2 2" xfId="8710" xr:uid="{00000000-0005-0000-0000-0000B47B0000}"/>
    <cellStyle name="Normal 16 2 2 5 2 2 2" xfId="11607" xr:uid="{00000000-0005-0000-0000-0000B57B0000}"/>
    <cellStyle name="Normal 16 2 2 5 2 2 3" xfId="51819" xr:uid="{00000000-0005-0000-0000-0000B67B0000}"/>
    <cellStyle name="Normal 16 2 2 5 2 3" xfId="10167" xr:uid="{00000000-0005-0000-0000-0000B77B0000}"/>
    <cellStyle name="Normal 16 2 2 5 2 4" xfId="32632" xr:uid="{00000000-0005-0000-0000-0000B87B0000}"/>
    <cellStyle name="Normal 16 2 2 5 3" xfId="8052" xr:uid="{00000000-0005-0000-0000-0000B97B0000}"/>
    <cellStyle name="Normal 16 2 2 5 3 2" xfId="10949" xr:uid="{00000000-0005-0000-0000-0000BA7B0000}"/>
    <cellStyle name="Normal 16 2 2 5 3 3" xfId="42121" xr:uid="{00000000-0005-0000-0000-0000BB7B0000}"/>
    <cellStyle name="Normal 16 2 2 5 4" xfId="9509" xr:uid="{00000000-0005-0000-0000-0000BC7B0000}"/>
    <cellStyle name="Normal 16 2 2 5 5" xfId="6557" xr:uid="{00000000-0005-0000-0000-0000BD7B0000}"/>
    <cellStyle name="Normal 16 2 2 5 6" xfId="22505" xr:uid="{00000000-0005-0000-0000-0000BE7B0000}"/>
    <cellStyle name="Normal 16 2 2 6" xfId="778" xr:uid="{00000000-0005-0000-0000-0000BF7B0000}"/>
    <cellStyle name="Normal 16 2 2 6 2" xfId="7000" xr:uid="{00000000-0005-0000-0000-0000C07B0000}"/>
    <cellStyle name="Normal 16 2 2 6 2 2" xfId="8477" xr:uid="{00000000-0005-0000-0000-0000C17B0000}"/>
    <cellStyle name="Normal 16 2 2 6 2 2 2" xfId="11374" xr:uid="{00000000-0005-0000-0000-0000C27B0000}"/>
    <cellStyle name="Normal 16 2 2 6 2 3" xfId="9934" xr:uid="{00000000-0005-0000-0000-0000C37B0000}"/>
    <cellStyle name="Normal 16 2 2 6 2 4" xfId="43781" xr:uid="{00000000-0005-0000-0000-0000C47B0000}"/>
    <cellStyle name="Normal 16 2 2 6 3" xfId="7818" xr:uid="{00000000-0005-0000-0000-0000C57B0000}"/>
    <cellStyle name="Normal 16 2 2 6 3 2" xfId="10716" xr:uid="{00000000-0005-0000-0000-0000C67B0000}"/>
    <cellStyle name="Normal 16 2 2 6 4" xfId="9276" xr:uid="{00000000-0005-0000-0000-0000C77B0000}"/>
    <cellStyle name="Normal 16 2 2 6 5" xfId="6321" xr:uid="{00000000-0005-0000-0000-0000C87B0000}"/>
    <cellStyle name="Normal 16 2 2 6 6" xfId="24587" xr:uid="{00000000-0005-0000-0000-0000C97B0000}"/>
    <cellStyle name="Normal 16 2 2 7" xfId="7466" xr:uid="{00000000-0005-0000-0000-0000CA7B0000}"/>
    <cellStyle name="Normal 16 2 2 7 2" xfId="8940" xr:uid="{00000000-0005-0000-0000-0000CB7B0000}"/>
    <cellStyle name="Normal 16 2 2 7 2 2" xfId="11837" xr:uid="{00000000-0005-0000-0000-0000CC7B0000}"/>
    <cellStyle name="Normal 16 2 2 7 2 3" xfId="42474" xr:uid="{00000000-0005-0000-0000-0000CD7B0000}"/>
    <cellStyle name="Normal 16 2 2 7 3" xfId="10397" xr:uid="{00000000-0005-0000-0000-0000CE7B0000}"/>
    <cellStyle name="Normal 16 2 2 7 4" xfId="22905" xr:uid="{00000000-0005-0000-0000-0000CF7B0000}"/>
    <cellStyle name="Normal 16 2 2 8" xfId="7525" xr:uid="{00000000-0005-0000-0000-0000D07B0000}"/>
    <cellStyle name="Normal 16 2 2 8 2" xfId="8997" xr:uid="{00000000-0005-0000-0000-0000D17B0000}"/>
    <cellStyle name="Normal 16 2 2 8 2 2" xfId="11894" xr:uid="{00000000-0005-0000-0000-0000D27B0000}"/>
    <cellStyle name="Normal 16 2 2 8 3" xfId="10454" xr:uid="{00000000-0005-0000-0000-0000D37B0000}"/>
    <cellStyle name="Normal 16 2 2 8 4" xfId="34083" xr:uid="{00000000-0005-0000-0000-0000D47B0000}"/>
    <cellStyle name="Normal 16 2 2 9" xfId="6796" xr:uid="{00000000-0005-0000-0000-0000D57B0000}"/>
    <cellStyle name="Normal 16 2 2 9 2" xfId="8277" xr:uid="{00000000-0005-0000-0000-0000D67B0000}"/>
    <cellStyle name="Normal 16 2 2 9 2 2" xfId="11174" xr:uid="{00000000-0005-0000-0000-0000D77B0000}"/>
    <cellStyle name="Normal 16 2 2 9 3" xfId="9734" xr:uid="{00000000-0005-0000-0000-0000D87B0000}"/>
    <cellStyle name="Normal 16 2 3" xfId="779" xr:uid="{00000000-0005-0000-0000-0000D97B0000}"/>
    <cellStyle name="Normal 16 2 3 10" xfId="7624" xr:uid="{00000000-0005-0000-0000-0000DA7B0000}"/>
    <cellStyle name="Normal 16 2 3 10 2" xfId="10524" xr:uid="{00000000-0005-0000-0000-0000DB7B0000}"/>
    <cellStyle name="Normal 16 2 3 11" xfId="9084" xr:uid="{00000000-0005-0000-0000-0000DC7B0000}"/>
    <cellStyle name="Normal 16 2 3 12" xfId="6089" xr:uid="{00000000-0005-0000-0000-0000DD7B0000}"/>
    <cellStyle name="Normal 16 2 3 13" xfId="14758" xr:uid="{00000000-0005-0000-0000-0000DE7B0000}"/>
    <cellStyle name="Normal 16 2 3 2" xfId="780" xr:uid="{00000000-0005-0000-0000-0000DF7B0000}"/>
    <cellStyle name="Normal 16 2 3 2 10" xfId="9114" xr:uid="{00000000-0005-0000-0000-0000E07B0000}"/>
    <cellStyle name="Normal 16 2 3 2 11" xfId="6126" xr:uid="{00000000-0005-0000-0000-0000E17B0000}"/>
    <cellStyle name="Normal 16 2 3 2 12" xfId="15887" xr:uid="{00000000-0005-0000-0000-0000E27B0000}"/>
    <cellStyle name="Normal 16 2 3 2 2" xfId="781" xr:uid="{00000000-0005-0000-0000-0000E37B0000}"/>
    <cellStyle name="Normal 16 2 3 2 2 2" xfId="782" xr:uid="{00000000-0005-0000-0000-0000E47B0000}"/>
    <cellStyle name="Normal 16 2 3 2 2 2 2" xfId="783" xr:uid="{00000000-0005-0000-0000-0000E57B0000}"/>
    <cellStyle name="Normal 16 2 3 2 2 2 2 2" xfId="7439" xr:uid="{00000000-0005-0000-0000-0000E67B0000}"/>
    <cellStyle name="Normal 16 2 3 2 2 2 2 2 2" xfId="8916" xr:uid="{00000000-0005-0000-0000-0000E77B0000}"/>
    <cellStyle name="Normal 16 2 3 2 2 2 2 2 2 2" xfId="11813" xr:uid="{00000000-0005-0000-0000-0000E87B0000}"/>
    <cellStyle name="Normal 16 2 3 2 2 2 2 2 3" xfId="10373" xr:uid="{00000000-0005-0000-0000-0000E97B0000}"/>
    <cellStyle name="Normal 16 2 3 2 2 2 2 2 4" xfId="51938" xr:uid="{00000000-0005-0000-0000-0000EA7B0000}"/>
    <cellStyle name="Normal 16 2 3 2 2 2 2 3" xfId="8258" xr:uid="{00000000-0005-0000-0000-0000EB7B0000}"/>
    <cellStyle name="Normal 16 2 3 2 2 2 2 3 2" xfId="11155" xr:uid="{00000000-0005-0000-0000-0000EC7B0000}"/>
    <cellStyle name="Normal 16 2 3 2 2 2 2 4" xfId="9715" xr:uid="{00000000-0005-0000-0000-0000ED7B0000}"/>
    <cellStyle name="Normal 16 2 3 2 2 2 2 5" xfId="6763" xr:uid="{00000000-0005-0000-0000-0000EE7B0000}"/>
    <cellStyle name="Normal 16 2 3 2 2 2 2 6" xfId="32751" xr:uid="{00000000-0005-0000-0000-0000EF7B0000}"/>
    <cellStyle name="Normal 16 2 3 2 2 2 3" xfId="7206" xr:uid="{00000000-0005-0000-0000-0000F07B0000}"/>
    <cellStyle name="Normal 16 2 3 2 2 2 3 2" xfId="8683" xr:uid="{00000000-0005-0000-0000-0000F17B0000}"/>
    <cellStyle name="Normal 16 2 3 2 2 2 3 2 2" xfId="11580" xr:uid="{00000000-0005-0000-0000-0000F27B0000}"/>
    <cellStyle name="Normal 16 2 3 2 2 2 3 3" xfId="10140" xr:uid="{00000000-0005-0000-0000-0000F37B0000}"/>
    <cellStyle name="Normal 16 2 3 2 2 2 3 4" xfId="42240" xr:uid="{00000000-0005-0000-0000-0000F47B0000}"/>
    <cellStyle name="Normal 16 2 3 2 2 2 4" xfId="8025" xr:uid="{00000000-0005-0000-0000-0000F57B0000}"/>
    <cellStyle name="Normal 16 2 3 2 2 2 4 2" xfId="10922" xr:uid="{00000000-0005-0000-0000-0000F67B0000}"/>
    <cellStyle name="Normal 16 2 3 2 2 2 5" xfId="9482" xr:uid="{00000000-0005-0000-0000-0000F77B0000}"/>
    <cellStyle name="Normal 16 2 3 2 2 2 6" xfId="6530" xr:uid="{00000000-0005-0000-0000-0000F87B0000}"/>
    <cellStyle name="Normal 16 2 3 2 2 2 7" xfId="22663" xr:uid="{00000000-0005-0000-0000-0000F97B0000}"/>
    <cellStyle name="Normal 16 2 3 2 2 3" xfId="784" xr:uid="{00000000-0005-0000-0000-0000FA7B0000}"/>
    <cellStyle name="Normal 16 2 3 2 2 3 2" xfId="7323" xr:uid="{00000000-0005-0000-0000-0000FB7B0000}"/>
    <cellStyle name="Normal 16 2 3 2 2 3 2 2" xfId="8800" xr:uid="{00000000-0005-0000-0000-0000FC7B0000}"/>
    <cellStyle name="Normal 16 2 3 2 2 3 2 2 2" xfId="11697" xr:uid="{00000000-0005-0000-0000-0000FD7B0000}"/>
    <cellStyle name="Normal 16 2 3 2 2 3 2 3" xfId="10257" xr:uid="{00000000-0005-0000-0000-0000FE7B0000}"/>
    <cellStyle name="Normal 16 2 3 2 2 3 2 4" xfId="49908" xr:uid="{00000000-0005-0000-0000-0000FF7B0000}"/>
    <cellStyle name="Normal 16 2 3 2 2 3 3" xfId="8142" xr:uid="{00000000-0005-0000-0000-0000007C0000}"/>
    <cellStyle name="Normal 16 2 3 2 2 3 3 2" xfId="11039" xr:uid="{00000000-0005-0000-0000-0000017C0000}"/>
    <cellStyle name="Normal 16 2 3 2 2 3 4" xfId="9599" xr:uid="{00000000-0005-0000-0000-0000027C0000}"/>
    <cellStyle name="Normal 16 2 3 2 2 3 5" xfId="6647" xr:uid="{00000000-0005-0000-0000-0000037C0000}"/>
    <cellStyle name="Normal 16 2 3 2 2 3 6" xfId="30719" xr:uid="{00000000-0005-0000-0000-0000047C0000}"/>
    <cellStyle name="Normal 16 2 3 2 2 4" xfId="785" xr:uid="{00000000-0005-0000-0000-0000057C0000}"/>
    <cellStyle name="Normal 16 2 3 2 2 4 2" xfId="7090" xr:uid="{00000000-0005-0000-0000-0000067C0000}"/>
    <cellStyle name="Normal 16 2 3 2 2 4 2 2" xfId="8567" xr:uid="{00000000-0005-0000-0000-0000077C0000}"/>
    <cellStyle name="Normal 16 2 3 2 2 4 2 2 2" xfId="11464" xr:uid="{00000000-0005-0000-0000-0000087C0000}"/>
    <cellStyle name="Normal 16 2 3 2 2 4 2 3" xfId="10024" xr:uid="{00000000-0005-0000-0000-0000097C0000}"/>
    <cellStyle name="Normal 16 2 3 2 2 4 2 4" xfId="42593" xr:uid="{00000000-0005-0000-0000-00000A7C0000}"/>
    <cellStyle name="Normal 16 2 3 2 2 4 3" xfId="7908" xr:uid="{00000000-0005-0000-0000-00000B7C0000}"/>
    <cellStyle name="Normal 16 2 3 2 2 4 3 2" xfId="10806" xr:uid="{00000000-0005-0000-0000-00000C7C0000}"/>
    <cellStyle name="Normal 16 2 3 2 2 4 4" xfId="9366" xr:uid="{00000000-0005-0000-0000-00000D7C0000}"/>
    <cellStyle name="Normal 16 2 3 2 2 4 5" xfId="6411" xr:uid="{00000000-0005-0000-0000-00000E7C0000}"/>
    <cellStyle name="Normal 16 2 3 2 2 4 6" xfId="23024" xr:uid="{00000000-0005-0000-0000-00000F7C0000}"/>
    <cellStyle name="Normal 16 2 3 2 2 5" xfId="6918" xr:uid="{00000000-0005-0000-0000-0000107C0000}"/>
    <cellStyle name="Normal 16 2 3 2 2 5 2" xfId="8396" xr:uid="{00000000-0005-0000-0000-0000117C0000}"/>
    <cellStyle name="Normal 16 2 3 2 2 5 2 2" xfId="11293" xr:uid="{00000000-0005-0000-0000-0000127C0000}"/>
    <cellStyle name="Normal 16 2 3 2 2 5 3" xfId="9853" xr:uid="{00000000-0005-0000-0000-0000137C0000}"/>
    <cellStyle name="Normal 16 2 3 2 2 5 4" xfId="40210" xr:uid="{00000000-0005-0000-0000-0000147C0000}"/>
    <cellStyle name="Normal 16 2 3 2 2 6" xfId="7735" xr:uid="{00000000-0005-0000-0000-0000157C0000}"/>
    <cellStyle name="Normal 16 2 3 2 2 6 2" xfId="10635" xr:uid="{00000000-0005-0000-0000-0000167C0000}"/>
    <cellStyle name="Normal 16 2 3 2 2 7" xfId="9195" xr:uid="{00000000-0005-0000-0000-0000177C0000}"/>
    <cellStyle name="Normal 16 2 3 2 2 8" xfId="6214" xr:uid="{00000000-0005-0000-0000-0000187C0000}"/>
    <cellStyle name="Normal 16 2 3 2 2 9" xfId="20351" xr:uid="{00000000-0005-0000-0000-0000197C0000}"/>
    <cellStyle name="Normal 16 2 3 2 3" xfId="786" xr:uid="{00000000-0005-0000-0000-00001A7C0000}"/>
    <cellStyle name="Normal 16 2 3 2 3 2" xfId="787" xr:uid="{00000000-0005-0000-0000-00001B7C0000}"/>
    <cellStyle name="Normal 16 2 3 2 3 2 2" xfId="7383" xr:uid="{00000000-0005-0000-0000-00001C7C0000}"/>
    <cellStyle name="Normal 16 2 3 2 3 2 2 2" xfId="8860" xr:uid="{00000000-0005-0000-0000-00001D7C0000}"/>
    <cellStyle name="Normal 16 2 3 2 3 2 2 2 2" xfId="11757" xr:uid="{00000000-0005-0000-0000-00001E7C0000}"/>
    <cellStyle name="Normal 16 2 3 2 3 2 2 3" xfId="10317" xr:uid="{00000000-0005-0000-0000-00001F7C0000}"/>
    <cellStyle name="Normal 16 2 3 2 3 2 2 4" xfId="51994" xr:uid="{00000000-0005-0000-0000-0000207C0000}"/>
    <cellStyle name="Normal 16 2 3 2 3 2 3" xfId="8202" xr:uid="{00000000-0005-0000-0000-0000217C0000}"/>
    <cellStyle name="Normal 16 2 3 2 3 2 3 2" xfId="11099" xr:uid="{00000000-0005-0000-0000-0000227C0000}"/>
    <cellStyle name="Normal 16 2 3 2 3 2 4" xfId="9659" xr:uid="{00000000-0005-0000-0000-0000237C0000}"/>
    <cellStyle name="Normal 16 2 3 2 3 2 5" xfId="6707" xr:uid="{00000000-0005-0000-0000-0000247C0000}"/>
    <cellStyle name="Normal 16 2 3 2 3 2 6" xfId="32807" xr:uid="{00000000-0005-0000-0000-0000257C0000}"/>
    <cellStyle name="Normal 16 2 3 2 3 3" xfId="788" xr:uid="{00000000-0005-0000-0000-0000267C0000}"/>
    <cellStyle name="Normal 16 2 3 2 3 3 2" xfId="7150" xr:uid="{00000000-0005-0000-0000-0000277C0000}"/>
    <cellStyle name="Normal 16 2 3 2 3 3 2 2" xfId="8627" xr:uid="{00000000-0005-0000-0000-0000287C0000}"/>
    <cellStyle name="Normal 16 2 3 2 3 3 2 2 2" xfId="11524" xr:uid="{00000000-0005-0000-0000-0000297C0000}"/>
    <cellStyle name="Normal 16 2 3 2 3 3 2 3" xfId="10084" xr:uid="{00000000-0005-0000-0000-00002A7C0000}"/>
    <cellStyle name="Normal 16 2 3 2 3 3 2 4" xfId="42649" xr:uid="{00000000-0005-0000-0000-00002B7C0000}"/>
    <cellStyle name="Normal 16 2 3 2 3 3 3" xfId="7969" xr:uid="{00000000-0005-0000-0000-00002C7C0000}"/>
    <cellStyle name="Normal 16 2 3 2 3 3 3 2" xfId="10866" xr:uid="{00000000-0005-0000-0000-00002D7C0000}"/>
    <cellStyle name="Normal 16 2 3 2 3 3 4" xfId="9426" xr:uid="{00000000-0005-0000-0000-00002E7C0000}"/>
    <cellStyle name="Normal 16 2 3 2 3 3 5" xfId="6474" xr:uid="{00000000-0005-0000-0000-00002F7C0000}"/>
    <cellStyle name="Normal 16 2 3 2 3 3 6" xfId="23080" xr:uid="{00000000-0005-0000-0000-0000307C0000}"/>
    <cellStyle name="Normal 16 2 3 2 3 4" xfId="6975" xr:uid="{00000000-0005-0000-0000-0000317C0000}"/>
    <cellStyle name="Normal 16 2 3 2 3 4 2" xfId="8452" xr:uid="{00000000-0005-0000-0000-0000327C0000}"/>
    <cellStyle name="Normal 16 2 3 2 3 4 2 2" xfId="11349" xr:uid="{00000000-0005-0000-0000-0000337C0000}"/>
    <cellStyle name="Normal 16 2 3 2 3 4 3" xfId="9909" xr:uid="{00000000-0005-0000-0000-0000347C0000}"/>
    <cellStyle name="Normal 16 2 3 2 3 4 4" xfId="42296" xr:uid="{00000000-0005-0000-0000-0000357C0000}"/>
    <cellStyle name="Normal 16 2 3 2 3 5" xfId="7792" xr:uid="{00000000-0005-0000-0000-0000367C0000}"/>
    <cellStyle name="Normal 16 2 3 2 3 5 2" xfId="10691" xr:uid="{00000000-0005-0000-0000-0000377C0000}"/>
    <cellStyle name="Normal 16 2 3 2 3 6" xfId="9251" xr:uid="{00000000-0005-0000-0000-0000387C0000}"/>
    <cellStyle name="Normal 16 2 3 2 3 7" xfId="6276" xr:uid="{00000000-0005-0000-0000-0000397C0000}"/>
    <cellStyle name="Normal 16 2 3 2 3 8" xfId="22721" xr:uid="{00000000-0005-0000-0000-00003A7C0000}"/>
    <cellStyle name="Normal 16 2 3 2 4" xfId="789" xr:uid="{00000000-0005-0000-0000-00003B7C0000}"/>
    <cellStyle name="Normal 16 2 3 2 4 2" xfId="7267" xr:uid="{00000000-0005-0000-0000-00003C7C0000}"/>
    <cellStyle name="Normal 16 2 3 2 4 2 2" xfId="8744" xr:uid="{00000000-0005-0000-0000-00003D7C0000}"/>
    <cellStyle name="Normal 16 2 3 2 4 2 2 2" xfId="11641" xr:uid="{00000000-0005-0000-0000-00003E7C0000}"/>
    <cellStyle name="Normal 16 2 3 2 4 2 2 3" xfId="51857" xr:uid="{00000000-0005-0000-0000-00003F7C0000}"/>
    <cellStyle name="Normal 16 2 3 2 4 2 3" xfId="10201" xr:uid="{00000000-0005-0000-0000-0000407C0000}"/>
    <cellStyle name="Normal 16 2 3 2 4 2 4" xfId="32670" xr:uid="{00000000-0005-0000-0000-0000417C0000}"/>
    <cellStyle name="Normal 16 2 3 2 4 3" xfId="8086" xr:uid="{00000000-0005-0000-0000-0000427C0000}"/>
    <cellStyle name="Normal 16 2 3 2 4 3 2" xfId="10983" xr:uid="{00000000-0005-0000-0000-0000437C0000}"/>
    <cellStyle name="Normal 16 2 3 2 4 3 3" xfId="42159" xr:uid="{00000000-0005-0000-0000-0000447C0000}"/>
    <cellStyle name="Normal 16 2 3 2 4 4" xfId="9543" xr:uid="{00000000-0005-0000-0000-0000457C0000}"/>
    <cellStyle name="Normal 16 2 3 2 4 5" xfId="6591" xr:uid="{00000000-0005-0000-0000-0000467C0000}"/>
    <cellStyle name="Normal 16 2 3 2 4 6" xfId="22548" xr:uid="{00000000-0005-0000-0000-0000477C0000}"/>
    <cellStyle name="Normal 16 2 3 2 5" xfId="790" xr:uid="{00000000-0005-0000-0000-0000487C0000}"/>
    <cellStyle name="Normal 16 2 3 2 5 2" xfId="7034" xr:uid="{00000000-0005-0000-0000-0000497C0000}"/>
    <cellStyle name="Normal 16 2 3 2 5 2 2" xfId="8511" xr:uid="{00000000-0005-0000-0000-00004A7C0000}"/>
    <cellStyle name="Normal 16 2 3 2 5 2 2 2" xfId="11408" xr:uid="{00000000-0005-0000-0000-00004B7C0000}"/>
    <cellStyle name="Normal 16 2 3 2 5 2 3" xfId="9968" xr:uid="{00000000-0005-0000-0000-00004C7C0000}"/>
    <cellStyle name="Normal 16 2 3 2 5 2 4" xfId="45453" xr:uid="{00000000-0005-0000-0000-00004D7C0000}"/>
    <cellStyle name="Normal 16 2 3 2 5 3" xfId="7852" xr:uid="{00000000-0005-0000-0000-00004E7C0000}"/>
    <cellStyle name="Normal 16 2 3 2 5 3 2" xfId="10750" xr:uid="{00000000-0005-0000-0000-00004F7C0000}"/>
    <cellStyle name="Normal 16 2 3 2 5 4" xfId="9310" xr:uid="{00000000-0005-0000-0000-0000507C0000}"/>
    <cellStyle name="Normal 16 2 3 2 5 5" xfId="6355" xr:uid="{00000000-0005-0000-0000-0000517C0000}"/>
    <cellStyle name="Normal 16 2 3 2 5 6" xfId="26264" xr:uid="{00000000-0005-0000-0000-0000527C0000}"/>
    <cellStyle name="Normal 16 2 3 2 6" xfId="7500" xr:uid="{00000000-0005-0000-0000-0000537C0000}"/>
    <cellStyle name="Normal 16 2 3 2 6 2" xfId="8974" xr:uid="{00000000-0005-0000-0000-0000547C0000}"/>
    <cellStyle name="Normal 16 2 3 2 6 2 2" xfId="11871" xr:uid="{00000000-0005-0000-0000-0000557C0000}"/>
    <cellStyle name="Normal 16 2 3 2 6 2 3" xfId="42512" xr:uid="{00000000-0005-0000-0000-0000567C0000}"/>
    <cellStyle name="Normal 16 2 3 2 6 3" xfId="10431" xr:uid="{00000000-0005-0000-0000-0000577C0000}"/>
    <cellStyle name="Normal 16 2 3 2 6 4" xfId="22943" xr:uid="{00000000-0005-0000-0000-0000587C0000}"/>
    <cellStyle name="Normal 16 2 3 2 7" xfId="7559" xr:uid="{00000000-0005-0000-0000-0000597C0000}"/>
    <cellStyle name="Normal 16 2 3 2 7 2" xfId="9031" xr:uid="{00000000-0005-0000-0000-00005A7C0000}"/>
    <cellStyle name="Normal 16 2 3 2 7 2 2" xfId="11928" xr:uid="{00000000-0005-0000-0000-00005B7C0000}"/>
    <cellStyle name="Normal 16 2 3 2 7 3" xfId="10488" xr:uid="{00000000-0005-0000-0000-00005C7C0000}"/>
    <cellStyle name="Normal 16 2 3 2 7 4" xfId="35755" xr:uid="{00000000-0005-0000-0000-00005D7C0000}"/>
    <cellStyle name="Normal 16 2 3 2 8" xfId="6835" xr:uid="{00000000-0005-0000-0000-00005E7C0000}"/>
    <cellStyle name="Normal 16 2 3 2 8 2" xfId="8315" xr:uid="{00000000-0005-0000-0000-00005F7C0000}"/>
    <cellStyle name="Normal 16 2 3 2 8 2 2" xfId="11212" xr:uid="{00000000-0005-0000-0000-0000607C0000}"/>
    <cellStyle name="Normal 16 2 3 2 8 3" xfId="9772" xr:uid="{00000000-0005-0000-0000-0000617C0000}"/>
    <cellStyle name="Normal 16 2 3 2 9" xfId="7654" xr:uid="{00000000-0005-0000-0000-0000627C0000}"/>
    <cellStyle name="Normal 16 2 3 2 9 2" xfId="10554" xr:uid="{00000000-0005-0000-0000-0000637C0000}"/>
    <cellStyle name="Normal 16 2 3 3" xfId="791" xr:uid="{00000000-0005-0000-0000-0000647C0000}"/>
    <cellStyle name="Normal 16 2 3 3 2" xfId="792" xr:uid="{00000000-0005-0000-0000-0000657C0000}"/>
    <cellStyle name="Normal 16 2 3 3 2 2" xfId="793" xr:uid="{00000000-0005-0000-0000-0000667C0000}"/>
    <cellStyle name="Normal 16 2 3 3 2 2 2" xfId="7409" xr:uid="{00000000-0005-0000-0000-0000677C0000}"/>
    <cellStyle name="Normal 16 2 3 3 2 2 2 2" xfId="8886" xr:uid="{00000000-0005-0000-0000-0000687C0000}"/>
    <cellStyle name="Normal 16 2 3 3 2 2 2 2 2" xfId="11783" xr:uid="{00000000-0005-0000-0000-0000697C0000}"/>
    <cellStyle name="Normal 16 2 3 3 2 2 2 3" xfId="10343" xr:uid="{00000000-0005-0000-0000-00006A7C0000}"/>
    <cellStyle name="Normal 16 2 3 3 2 2 2 4" xfId="51908" xr:uid="{00000000-0005-0000-0000-00006B7C0000}"/>
    <cellStyle name="Normal 16 2 3 3 2 2 3" xfId="8228" xr:uid="{00000000-0005-0000-0000-00006C7C0000}"/>
    <cellStyle name="Normal 16 2 3 3 2 2 3 2" xfId="11125" xr:uid="{00000000-0005-0000-0000-00006D7C0000}"/>
    <cellStyle name="Normal 16 2 3 3 2 2 4" xfId="9685" xr:uid="{00000000-0005-0000-0000-00006E7C0000}"/>
    <cellStyle name="Normal 16 2 3 3 2 2 5" xfId="6733" xr:uid="{00000000-0005-0000-0000-00006F7C0000}"/>
    <cellStyle name="Normal 16 2 3 3 2 2 6" xfId="32721" xr:uid="{00000000-0005-0000-0000-0000707C0000}"/>
    <cellStyle name="Normal 16 2 3 3 2 3" xfId="7176" xr:uid="{00000000-0005-0000-0000-0000717C0000}"/>
    <cellStyle name="Normal 16 2 3 3 2 3 2" xfId="8653" xr:uid="{00000000-0005-0000-0000-0000727C0000}"/>
    <cellStyle name="Normal 16 2 3 3 2 3 2 2" xfId="11550" xr:uid="{00000000-0005-0000-0000-0000737C0000}"/>
    <cellStyle name="Normal 16 2 3 3 2 3 3" xfId="10110" xr:uid="{00000000-0005-0000-0000-0000747C0000}"/>
    <cellStyle name="Normal 16 2 3 3 2 3 4" xfId="42210" xr:uid="{00000000-0005-0000-0000-0000757C0000}"/>
    <cellStyle name="Normal 16 2 3 3 2 4" xfId="7995" xr:uid="{00000000-0005-0000-0000-0000767C0000}"/>
    <cellStyle name="Normal 16 2 3 3 2 4 2" xfId="10892" xr:uid="{00000000-0005-0000-0000-0000777C0000}"/>
    <cellStyle name="Normal 16 2 3 3 2 5" xfId="9452" xr:uid="{00000000-0005-0000-0000-0000787C0000}"/>
    <cellStyle name="Normal 16 2 3 3 2 6" xfId="6500" xr:uid="{00000000-0005-0000-0000-0000797C0000}"/>
    <cellStyle name="Normal 16 2 3 3 2 7" xfId="22632" xr:uid="{00000000-0005-0000-0000-00007A7C0000}"/>
    <cellStyle name="Normal 16 2 3 3 3" xfId="794" xr:uid="{00000000-0005-0000-0000-00007B7C0000}"/>
    <cellStyle name="Normal 16 2 3 3 3 2" xfId="7293" xr:uid="{00000000-0005-0000-0000-00007C7C0000}"/>
    <cellStyle name="Normal 16 2 3 3 3 2 2" xfId="8770" xr:uid="{00000000-0005-0000-0000-00007D7C0000}"/>
    <cellStyle name="Normal 16 2 3 3 3 2 2 2" xfId="11667" xr:uid="{00000000-0005-0000-0000-00007E7C0000}"/>
    <cellStyle name="Normal 16 2 3 3 3 2 3" xfId="10227" xr:uid="{00000000-0005-0000-0000-00007F7C0000}"/>
    <cellStyle name="Normal 16 2 3 3 3 2 4" xfId="48793" xr:uid="{00000000-0005-0000-0000-0000807C0000}"/>
    <cellStyle name="Normal 16 2 3 3 3 3" xfId="8112" xr:uid="{00000000-0005-0000-0000-0000817C0000}"/>
    <cellStyle name="Normal 16 2 3 3 3 3 2" xfId="11009" xr:uid="{00000000-0005-0000-0000-0000827C0000}"/>
    <cellStyle name="Normal 16 2 3 3 3 4" xfId="9569" xr:uid="{00000000-0005-0000-0000-0000837C0000}"/>
    <cellStyle name="Normal 16 2 3 3 3 5" xfId="6617" xr:uid="{00000000-0005-0000-0000-0000847C0000}"/>
    <cellStyle name="Normal 16 2 3 3 3 6" xfId="29604" xr:uid="{00000000-0005-0000-0000-0000857C0000}"/>
    <cellStyle name="Normal 16 2 3 3 4" xfId="795" xr:uid="{00000000-0005-0000-0000-0000867C0000}"/>
    <cellStyle name="Normal 16 2 3 3 4 2" xfId="7060" xr:uid="{00000000-0005-0000-0000-0000877C0000}"/>
    <cellStyle name="Normal 16 2 3 3 4 2 2" xfId="8537" xr:uid="{00000000-0005-0000-0000-0000887C0000}"/>
    <cellStyle name="Normal 16 2 3 3 4 2 2 2" xfId="11434" xr:uid="{00000000-0005-0000-0000-0000897C0000}"/>
    <cellStyle name="Normal 16 2 3 3 4 2 3" xfId="9994" xr:uid="{00000000-0005-0000-0000-00008A7C0000}"/>
    <cellStyle name="Normal 16 2 3 3 4 2 4" xfId="42563" xr:uid="{00000000-0005-0000-0000-00008B7C0000}"/>
    <cellStyle name="Normal 16 2 3 3 4 3" xfId="7878" xr:uid="{00000000-0005-0000-0000-00008C7C0000}"/>
    <cellStyle name="Normal 16 2 3 3 4 3 2" xfId="10776" xr:uid="{00000000-0005-0000-0000-00008D7C0000}"/>
    <cellStyle name="Normal 16 2 3 3 4 4" xfId="9336" xr:uid="{00000000-0005-0000-0000-00008E7C0000}"/>
    <cellStyle name="Normal 16 2 3 3 4 5" xfId="6381" xr:uid="{00000000-0005-0000-0000-00008F7C0000}"/>
    <cellStyle name="Normal 16 2 3 3 4 6" xfId="22994" xr:uid="{00000000-0005-0000-0000-0000907C0000}"/>
    <cellStyle name="Normal 16 2 3 3 5" xfId="6888" xr:uid="{00000000-0005-0000-0000-0000917C0000}"/>
    <cellStyle name="Normal 16 2 3 3 5 2" xfId="8366" xr:uid="{00000000-0005-0000-0000-0000927C0000}"/>
    <cellStyle name="Normal 16 2 3 3 5 2 2" xfId="11263" xr:uid="{00000000-0005-0000-0000-0000937C0000}"/>
    <cellStyle name="Normal 16 2 3 3 5 3" xfId="9823" xr:uid="{00000000-0005-0000-0000-0000947C0000}"/>
    <cellStyle name="Normal 16 2 3 3 5 4" xfId="39095" xr:uid="{00000000-0005-0000-0000-0000957C0000}"/>
    <cellStyle name="Normal 16 2 3 3 6" xfId="7705" xr:uid="{00000000-0005-0000-0000-0000967C0000}"/>
    <cellStyle name="Normal 16 2 3 3 6 2" xfId="10605" xr:uid="{00000000-0005-0000-0000-0000977C0000}"/>
    <cellStyle name="Normal 16 2 3 3 7" xfId="9165" xr:uid="{00000000-0005-0000-0000-0000987C0000}"/>
    <cellStyle name="Normal 16 2 3 3 8" xfId="6183" xr:uid="{00000000-0005-0000-0000-0000997C0000}"/>
    <cellStyle name="Normal 16 2 3 3 9" xfId="19236" xr:uid="{00000000-0005-0000-0000-00009A7C0000}"/>
    <cellStyle name="Normal 16 2 3 4" xfId="796" xr:uid="{00000000-0005-0000-0000-00009B7C0000}"/>
    <cellStyle name="Normal 16 2 3 4 2" xfId="797" xr:uid="{00000000-0005-0000-0000-00009C7C0000}"/>
    <cellStyle name="Normal 16 2 3 4 2 2" xfId="7357" xr:uid="{00000000-0005-0000-0000-00009D7C0000}"/>
    <cellStyle name="Normal 16 2 3 4 2 2 2" xfId="8834" xr:uid="{00000000-0005-0000-0000-00009E7C0000}"/>
    <cellStyle name="Normal 16 2 3 4 2 2 2 2" xfId="11731" xr:uid="{00000000-0005-0000-0000-00009F7C0000}"/>
    <cellStyle name="Normal 16 2 3 4 2 2 3" xfId="10291" xr:uid="{00000000-0005-0000-0000-0000A07C0000}"/>
    <cellStyle name="Normal 16 2 3 4 2 2 4" xfId="51964" xr:uid="{00000000-0005-0000-0000-0000A17C0000}"/>
    <cellStyle name="Normal 16 2 3 4 2 3" xfId="8176" xr:uid="{00000000-0005-0000-0000-0000A27C0000}"/>
    <cellStyle name="Normal 16 2 3 4 2 3 2" xfId="11073" xr:uid="{00000000-0005-0000-0000-0000A37C0000}"/>
    <cellStyle name="Normal 16 2 3 4 2 4" xfId="9633" xr:uid="{00000000-0005-0000-0000-0000A47C0000}"/>
    <cellStyle name="Normal 16 2 3 4 2 5" xfId="6681" xr:uid="{00000000-0005-0000-0000-0000A57C0000}"/>
    <cellStyle name="Normal 16 2 3 4 2 6" xfId="32777" xr:uid="{00000000-0005-0000-0000-0000A67C0000}"/>
    <cellStyle name="Normal 16 2 3 4 3" xfId="798" xr:uid="{00000000-0005-0000-0000-0000A77C0000}"/>
    <cellStyle name="Normal 16 2 3 4 3 2" xfId="7124" xr:uid="{00000000-0005-0000-0000-0000A87C0000}"/>
    <cellStyle name="Normal 16 2 3 4 3 2 2" xfId="8601" xr:uid="{00000000-0005-0000-0000-0000A97C0000}"/>
    <cellStyle name="Normal 16 2 3 4 3 2 2 2" xfId="11498" xr:uid="{00000000-0005-0000-0000-0000AA7C0000}"/>
    <cellStyle name="Normal 16 2 3 4 3 2 3" xfId="10058" xr:uid="{00000000-0005-0000-0000-0000AB7C0000}"/>
    <cellStyle name="Normal 16 2 3 4 3 2 4" xfId="42619" xr:uid="{00000000-0005-0000-0000-0000AC7C0000}"/>
    <cellStyle name="Normal 16 2 3 4 3 3" xfId="7943" xr:uid="{00000000-0005-0000-0000-0000AD7C0000}"/>
    <cellStyle name="Normal 16 2 3 4 3 3 2" xfId="10840" xr:uid="{00000000-0005-0000-0000-0000AE7C0000}"/>
    <cellStyle name="Normal 16 2 3 4 3 4" xfId="9400" xr:uid="{00000000-0005-0000-0000-0000AF7C0000}"/>
    <cellStyle name="Normal 16 2 3 4 3 5" xfId="6448" xr:uid="{00000000-0005-0000-0000-0000B07C0000}"/>
    <cellStyle name="Normal 16 2 3 4 3 6" xfId="23050" xr:uid="{00000000-0005-0000-0000-0000B17C0000}"/>
    <cellStyle name="Normal 16 2 3 4 4" xfId="6945" xr:uid="{00000000-0005-0000-0000-0000B27C0000}"/>
    <cellStyle name="Normal 16 2 3 4 4 2" xfId="8422" xr:uid="{00000000-0005-0000-0000-0000B37C0000}"/>
    <cellStyle name="Normal 16 2 3 4 4 2 2" xfId="11319" xr:uid="{00000000-0005-0000-0000-0000B47C0000}"/>
    <cellStyle name="Normal 16 2 3 4 4 3" xfId="9879" xr:uid="{00000000-0005-0000-0000-0000B57C0000}"/>
    <cellStyle name="Normal 16 2 3 4 4 4" xfId="42266" xr:uid="{00000000-0005-0000-0000-0000B67C0000}"/>
    <cellStyle name="Normal 16 2 3 4 5" xfId="7762" xr:uid="{00000000-0005-0000-0000-0000B77C0000}"/>
    <cellStyle name="Normal 16 2 3 4 5 2" xfId="10661" xr:uid="{00000000-0005-0000-0000-0000B87C0000}"/>
    <cellStyle name="Normal 16 2 3 4 6" xfId="9221" xr:uid="{00000000-0005-0000-0000-0000B97C0000}"/>
    <cellStyle name="Normal 16 2 3 4 7" xfId="6246" xr:uid="{00000000-0005-0000-0000-0000BA7C0000}"/>
    <cellStyle name="Normal 16 2 3 4 8" xfId="22691" xr:uid="{00000000-0005-0000-0000-0000BB7C0000}"/>
    <cellStyle name="Normal 16 2 3 5" xfId="799" xr:uid="{00000000-0005-0000-0000-0000BC7C0000}"/>
    <cellStyle name="Normal 16 2 3 5 2" xfId="7241" xr:uid="{00000000-0005-0000-0000-0000BD7C0000}"/>
    <cellStyle name="Normal 16 2 3 5 2 2" xfId="8718" xr:uid="{00000000-0005-0000-0000-0000BE7C0000}"/>
    <cellStyle name="Normal 16 2 3 5 2 2 2" xfId="11615" xr:uid="{00000000-0005-0000-0000-0000BF7C0000}"/>
    <cellStyle name="Normal 16 2 3 5 2 2 3" xfId="51827" xr:uid="{00000000-0005-0000-0000-0000C07C0000}"/>
    <cellStyle name="Normal 16 2 3 5 2 3" xfId="10175" xr:uid="{00000000-0005-0000-0000-0000C17C0000}"/>
    <cellStyle name="Normal 16 2 3 5 2 4" xfId="32640" xr:uid="{00000000-0005-0000-0000-0000C27C0000}"/>
    <cellStyle name="Normal 16 2 3 5 3" xfId="8060" xr:uid="{00000000-0005-0000-0000-0000C37C0000}"/>
    <cellStyle name="Normal 16 2 3 5 3 2" xfId="10957" xr:uid="{00000000-0005-0000-0000-0000C47C0000}"/>
    <cellStyle name="Normal 16 2 3 5 3 3" xfId="42129" xr:uid="{00000000-0005-0000-0000-0000C57C0000}"/>
    <cellStyle name="Normal 16 2 3 5 4" xfId="9517" xr:uid="{00000000-0005-0000-0000-0000C67C0000}"/>
    <cellStyle name="Normal 16 2 3 5 5" xfId="6565" xr:uid="{00000000-0005-0000-0000-0000C77C0000}"/>
    <cellStyle name="Normal 16 2 3 5 6" xfId="22513" xr:uid="{00000000-0005-0000-0000-0000C87C0000}"/>
    <cellStyle name="Normal 16 2 3 6" xfId="800" xr:uid="{00000000-0005-0000-0000-0000C97C0000}"/>
    <cellStyle name="Normal 16 2 3 6 2" xfId="7008" xr:uid="{00000000-0005-0000-0000-0000CA7C0000}"/>
    <cellStyle name="Normal 16 2 3 6 2 2" xfId="8485" xr:uid="{00000000-0005-0000-0000-0000CB7C0000}"/>
    <cellStyle name="Normal 16 2 3 6 2 2 2" xfId="11382" xr:uid="{00000000-0005-0000-0000-0000CC7C0000}"/>
    <cellStyle name="Normal 16 2 3 6 2 3" xfId="9942" xr:uid="{00000000-0005-0000-0000-0000CD7C0000}"/>
    <cellStyle name="Normal 16 2 3 6 2 4" xfId="44338" xr:uid="{00000000-0005-0000-0000-0000CE7C0000}"/>
    <cellStyle name="Normal 16 2 3 6 3" xfId="7826" xr:uid="{00000000-0005-0000-0000-0000CF7C0000}"/>
    <cellStyle name="Normal 16 2 3 6 3 2" xfId="10724" xr:uid="{00000000-0005-0000-0000-0000D07C0000}"/>
    <cellStyle name="Normal 16 2 3 6 4" xfId="9284" xr:uid="{00000000-0005-0000-0000-0000D17C0000}"/>
    <cellStyle name="Normal 16 2 3 6 5" xfId="6329" xr:uid="{00000000-0005-0000-0000-0000D27C0000}"/>
    <cellStyle name="Normal 16 2 3 6 6" xfId="25149" xr:uid="{00000000-0005-0000-0000-0000D37C0000}"/>
    <cellStyle name="Normal 16 2 3 7" xfId="7474" xr:uid="{00000000-0005-0000-0000-0000D47C0000}"/>
    <cellStyle name="Normal 16 2 3 7 2" xfId="8948" xr:uid="{00000000-0005-0000-0000-0000D57C0000}"/>
    <cellStyle name="Normal 16 2 3 7 2 2" xfId="11845" xr:uid="{00000000-0005-0000-0000-0000D67C0000}"/>
    <cellStyle name="Normal 16 2 3 7 2 3" xfId="42482" xr:uid="{00000000-0005-0000-0000-0000D77C0000}"/>
    <cellStyle name="Normal 16 2 3 7 3" xfId="10405" xr:uid="{00000000-0005-0000-0000-0000D87C0000}"/>
    <cellStyle name="Normal 16 2 3 7 4" xfId="22913" xr:uid="{00000000-0005-0000-0000-0000D97C0000}"/>
    <cellStyle name="Normal 16 2 3 8" xfId="7533" xr:uid="{00000000-0005-0000-0000-0000DA7C0000}"/>
    <cellStyle name="Normal 16 2 3 8 2" xfId="9005" xr:uid="{00000000-0005-0000-0000-0000DB7C0000}"/>
    <cellStyle name="Normal 16 2 3 8 2 2" xfId="11902" xr:uid="{00000000-0005-0000-0000-0000DC7C0000}"/>
    <cellStyle name="Normal 16 2 3 8 3" xfId="10462" xr:uid="{00000000-0005-0000-0000-0000DD7C0000}"/>
    <cellStyle name="Normal 16 2 3 8 4" xfId="34640" xr:uid="{00000000-0005-0000-0000-0000DE7C0000}"/>
    <cellStyle name="Normal 16 2 3 9" xfId="6804" xr:uid="{00000000-0005-0000-0000-0000DF7C0000}"/>
    <cellStyle name="Normal 16 2 3 9 2" xfId="8285" xr:uid="{00000000-0005-0000-0000-0000E07C0000}"/>
    <cellStyle name="Normal 16 2 3 9 2 2" xfId="11182" xr:uid="{00000000-0005-0000-0000-0000E17C0000}"/>
    <cellStyle name="Normal 16 2 3 9 3" xfId="9742" xr:uid="{00000000-0005-0000-0000-0000E27C0000}"/>
    <cellStyle name="Normal 16 2 4" xfId="801" xr:uid="{00000000-0005-0000-0000-0000E37C0000}"/>
    <cellStyle name="Normal 16 2 4 10" xfId="9098" xr:uid="{00000000-0005-0000-0000-0000E47C0000}"/>
    <cellStyle name="Normal 16 2 4 11" xfId="6110" xr:uid="{00000000-0005-0000-0000-0000E57C0000}"/>
    <cellStyle name="Normal 16 2 4 12" xfId="15330" xr:uid="{00000000-0005-0000-0000-0000E67C0000}"/>
    <cellStyle name="Normal 16 2 4 2" xfId="802" xr:uid="{00000000-0005-0000-0000-0000E77C0000}"/>
    <cellStyle name="Normal 16 2 4 2 2" xfId="803" xr:uid="{00000000-0005-0000-0000-0000E87C0000}"/>
    <cellStyle name="Normal 16 2 4 2 2 2" xfId="804" xr:uid="{00000000-0005-0000-0000-0000E97C0000}"/>
    <cellStyle name="Normal 16 2 4 2 2 2 2" xfId="7423" xr:uid="{00000000-0005-0000-0000-0000EA7C0000}"/>
    <cellStyle name="Normal 16 2 4 2 2 2 2 2" xfId="8900" xr:uid="{00000000-0005-0000-0000-0000EB7C0000}"/>
    <cellStyle name="Normal 16 2 4 2 2 2 2 2 2" xfId="11797" xr:uid="{00000000-0005-0000-0000-0000EC7C0000}"/>
    <cellStyle name="Normal 16 2 4 2 2 2 2 3" xfId="10357" xr:uid="{00000000-0005-0000-0000-0000ED7C0000}"/>
    <cellStyle name="Normal 16 2 4 2 2 2 2 4" xfId="51922" xr:uid="{00000000-0005-0000-0000-0000EE7C0000}"/>
    <cellStyle name="Normal 16 2 4 2 2 2 3" xfId="8242" xr:uid="{00000000-0005-0000-0000-0000EF7C0000}"/>
    <cellStyle name="Normal 16 2 4 2 2 2 3 2" xfId="11139" xr:uid="{00000000-0005-0000-0000-0000F07C0000}"/>
    <cellStyle name="Normal 16 2 4 2 2 2 4" xfId="9699" xr:uid="{00000000-0005-0000-0000-0000F17C0000}"/>
    <cellStyle name="Normal 16 2 4 2 2 2 5" xfId="6747" xr:uid="{00000000-0005-0000-0000-0000F27C0000}"/>
    <cellStyle name="Normal 16 2 4 2 2 2 6" xfId="32735" xr:uid="{00000000-0005-0000-0000-0000F37C0000}"/>
    <cellStyle name="Normal 16 2 4 2 2 3" xfId="7190" xr:uid="{00000000-0005-0000-0000-0000F47C0000}"/>
    <cellStyle name="Normal 16 2 4 2 2 3 2" xfId="8667" xr:uid="{00000000-0005-0000-0000-0000F57C0000}"/>
    <cellStyle name="Normal 16 2 4 2 2 3 2 2" xfId="11564" xr:uid="{00000000-0005-0000-0000-0000F67C0000}"/>
    <cellStyle name="Normal 16 2 4 2 2 3 3" xfId="10124" xr:uid="{00000000-0005-0000-0000-0000F77C0000}"/>
    <cellStyle name="Normal 16 2 4 2 2 3 4" xfId="42224" xr:uid="{00000000-0005-0000-0000-0000F87C0000}"/>
    <cellStyle name="Normal 16 2 4 2 2 4" xfId="8009" xr:uid="{00000000-0005-0000-0000-0000F97C0000}"/>
    <cellStyle name="Normal 16 2 4 2 2 4 2" xfId="10906" xr:uid="{00000000-0005-0000-0000-0000FA7C0000}"/>
    <cellStyle name="Normal 16 2 4 2 2 5" xfId="9466" xr:uid="{00000000-0005-0000-0000-0000FB7C0000}"/>
    <cellStyle name="Normal 16 2 4 2 2 6" xfId="6514" xr:uid="{00000000-0005-0000-0000-0000FC7C0000}"/>
    <cellStyle name="Normal 16 2 4 2 2 7" xfId="22647" xr:uid="{00000000-0005-0000-0000-0000FD7C0000}"/>
    <cellStyle name="Normal 16 2 4 2 3" xfId="805" xr:uid="{00000000-0005-0000-0000-0000FE7C0000}"/>
    <cellStyle name="Normal 16 2 4 2 3 2" xfId="7307" xr:uid="{00000000-0005-0000-0000-0000FF7C0000}"/>
    <cellStyle name="Normal 16 2 4 2 3 2 2" xfId="8784" xr:uid="{00000000-0005-0000-0000-0000007D0000}"/>
    <cellStyle name="Normal 16 2 4 2 3 2 2 2" xfId="11681" xr:uid="{00000000-0005-0000-0000-0000017D0000}"/>
    <cellStyle name="Normal 16 2 4 2 3 2 3" xfId="10241" xr:uid="{00000000-0005-0000-0000-0000027D0000}"/>
    <cellStyle name="Normal 16 2 4 2 3 2 4" xfId="49351" xr:uid="{00000000-0005-0000-0000-0000037D0000}"/>
    <cellStyle name="Normal 16 2 4 2 3 3" xfId="8126" xr:uid="{00000000-0005-0000-0000-0000047D0000}"/>
    <cellStyle name="Normal 16 2 4 2 3 3 2" xfId="11023" xr:uid="{00000000-0005-0000-0000-0000057D0000}"/>
    <cellStyle name="Normal 16 2 4 2 3 4" xfId="9583" xr:uid="{00000000-0005-0000-0000-0000067D0000}"/>
    <cellStyle name="Normal 16 2 4 2 3 5" xfId="6631" xr:uid="{00000000-0005-0000-0000-0000077D0000}"/>
    <cellStyle name="Normal 16 2 4 2 3 6" xfId="30162" xr:uid="{00000000-0005-0000-0000-0000087D0000}"/>
    <cellStyle name="Normal 16 2 4 2 4" xfId="806" xr:uid="{00000000-0005-0000-0000-0000097D0000}"/>
    <cellStyle name="Normal 16 2 4 2 4 2" xfId="7074" xr:uid="{00000000-0005-0000-0000-00000A7D0000}"/>
    <cellStyle name="Normal 16 2 4 2 4 2 2" xfId="8551" xr:uid="{00000000-0005-0000-0000-00000B7D0000}"/>
    <cellStyle name="Normal 16 2 4 2 4 2 2 2" xfId="11448" xr:uid="{00000000-0005-0000-0000-00000C7D0000}"/>
    <cellStyle name="Normal 16 2 4 2 4 2 3" xfId="10008" xr:uid="{00000000-0005-0000-0000-00000D7D0000}"/>
    <cellStyle name="Normal 16 2 4 2 4 2 4" xfId="42577" xr:uid="{00000000-0005-0000-0000-00000E7D0000}"/>
    <cellStyle name="Normal 16 2 4 2 4 3" xfId="7892" xr:uid="{00000000-0005-0000-0000-00000F7D0000}"/>
    <cellStyle name="Normal 16 2 4 2 4 3 2" xfId="10790" xr:uid="{00000000-0005-0000-0000-0000107D0000}"/>
    <cellStyle name="Normal 16 2 4 2 4 4" xfId="9350" xr:uid="{00000000-0005-0000-0000-0000117D0000}"/>
    <cellStyle name="Normal 16 2 4 2 4 5" xfId="6395" xr:uid="{00000000-0005-0000-0000-0000127D0000}"/>
    <cellStyle name="Normal 16 2 4 2 4 6" xfId="23008" xr:uid="{00000000-0005-0000-0000-0000137D0000}"/>
    <cellStyle name="Normal 16 2 4 2 5" xfId="6902" xr:uid="{00000000-0005-0000-0000-0000147D0000}"/>
    <cellStyle name="Normal 16 2 4 2 5 2" xfId="8380" xr:uid="{00000000-0005-0000-0000-0000157D0000}"/>
    <cellStyle name="Normal 16 2 4 2 5 2 2" xfId="11277" xr:uid="{00000000-0005-0000-0000-0000167D0000}"/>
    <cellStyle name="Normal 16 2 4 2 5 3" xfId="9837" xr:uid="{00000000-0005-0000-0000-0000177D0000}"/>
    <cellStyle name="Normal 16 2 4 2 5 4" xfId="39653" xr:uid="{00000000-0005-0000-0000-0000187D0000}"/>
    <cellStyle name="Normal 16 2 4 2 6" xfId="7719" xr:uid="{00000000-0005-0000-0000-0000197D0000}"/>
    <cellStyle name="Normal 16 2 4 2 6 2" xfId="10619" xr:uid="{00000000-0005-0000-0000-00001A7D0000}"/>
    <cellStyle name="Normal 16 2 4 2 7" xfId="9179" xr:uid="{00000000-0005-0000-0000-00001B7D0000}"/>
    <cellStyle name="Normal 16 2 4 2 8" xfId="6198" xr:uid="{00000000-0005-0000-0000-00001C7D0000}"/>
    <cellStyle name="Normal 16 2 4 2 9" xfId="19794" xr:uid="{00000000-0005-0000-0000-00001D7D0000}"/>
    <cellStyle name="Normal 16 2 4 3" xfId="807" xr:uid="{00000000-0005-0000-0000-00001E7D0000}"/>
    <cellStyle name="Normal 16 2 4 3 2" xfId="808" xr:uid="{00000000-0005-0000-0000-00001F7D0000}"/>
    <cellStyle name="Normal 16 2 4 3 2 2" xfId="7341" xr:uid="{00000000-0005-0000-0000-0000207D0000}"/>
    <cellStyle name="Normal 16 2 4 3 2 2 2" xfId="8818" xr:uid="{00000000-0005-0000-0000-0000217D0000}"/>
    <cellStyle name="Normal 16 2 4 3 2 2 2 2" xfId="11715" xr:uid="{00000000-0005-0000-0000-0000227D0000}"/>
    <cellStyle name="Normal 16 2 4 3 2 2 3" xfId="10275" xr:uid="{00000000-0005-0000-0000-0000237D0000}"/>
    <cellStyle name="Normal 16 2 4 3 2 2 4" xfId="51978" xr:uid="{00000000-0005-0000-0000-0000247D0000}"/>
    <cellStyle name="Normal 16 2 4 3 2 3" xfId="8160" xr:uid="{00000000-0005-0000-0000-0000257D0000}"/>
    <cellStyle name="Normal 16 2 4 3 2 3 2" xfId="11057" xr:uid="{00000000-0005-0000-0000-0000267D0000}"/>
    <cellStyle name="Normal 16 2 4 3 2 4" xfId="9617" xr:uid="{00000000-0005-0000-0000-0000277D0000}"/>
    <cellStyle name="Normal 16 2 4 3 2 5" xfId="6665" xr:uid="{00000000-0005-0000-0000-0000287D0000}"/>
    <cellStyle name="Normal 16 2 4 3 2 6" xfId="32791" xr:uid="{00000000-0005-0000-0000-0000297D0000}"/>
    <cellStyle name="Normal 16 2 4 3 3" xfId="809" xr:uid="{00000000-0005-0000-0000-00002A7D0000}"/>
    <cellStyle name="Normal 16 2 4 3 3 2" xfId="7108" xr:uid="{00000000-0005-0000-0000-00002B7D0000}"/>
    <cellStyle name="Normal 16 2 4 3 3 2 2" xfId="8585" xr:uid="{00000000-0005-0000-0000-00002C7D0000}"/>
    <cellStyle name="Normal 16 2 4 3 3 2 2 2" xfId="11482" xr:uid="{00000000-0005-0000-0000-00002D7D0000}"/>
    <cellStyle name="Normal 16 2 4 3 3 2 3" xfId="10042" xr:uid="{00000000-0005-0000-0000-00002E7D0000}"/>
    <cellStyle name="Normal 16 2 4 3 3 2 4" xfId="42633" xr:uid="{00000000-0005-0000-0000-00002F7D0000}"/>
    <cellStyle name="Normal 16 2 4 3 3 3" xfId="7927" xr:uid="{00000000-0005-0000-0000-0000307D0000}"/>
    <cellStyle name="Normal 16 2 4 3 3 3 2" xfId="10824" xr:uid="{00000000-0005-0000-0000-0000317D0000}"/>
    <cellStyle name="Normal 16 2 4 3 3 4" xfId="9384" xr:uid="{00000000-0005-0000-0000-0000327D0000}"/>
    <cellStyle name="Normal 16 2 4 3 3 5" xfId="6432" xr:uid="{00000000-0005-0000-0000-0000337D0000}"/>
    <cellStyle name="Normal 16 2 4 3 3 6" xfId="23064" xr:uid="{00000000-0005-0000-0000-0000347D0000}"/>
    <cellStyle name="Normal 16 2 4 3 4" xfId="6959" xr:uid="{00000000-0005-0000-0000-0000357D0000}"/>
    <cellStyle name="Normal 16 2 4 3 4 2" xfId="8436" xr:uid="{00000000-0005-0000-0000-0000367D0000}"/>
    <cellStyle name="Normal 16 2 4 3 4 2 2" xfId="11333" xr:uid="{00000000-0005-0000-0000-0000377D0000}"/>
    <cellStyle name="Normal 16 2 4 3 4 3" xfId="9893" xr:uid="{00000000-0005-0000-0000-0000387D0000}"/>
    <cellStyle name="Normal 16 2 4 3 4 4" xfId="42280" xr:uid="{00000000-0005-0000-0000-0000397D0000}"/>
    <cellStyle name="Normal 16 2 4 3 5" xfId="7776" xr:uid="{00000000-0005-0000-0000-00003A7D0000}"/>
    <cellStyle name="Normal 16 2 4 3 5 2" xfId="10675" xr:uid="{00000000-0005-0000-0000-00003B7D0000}"/>
    <cellStyle name="Normal 16 2 4 3 6" xfId="9235" xr:uid="{00000000-0005-0000-0000-00003C7D0000}"/>
    <cellStyle name="Normal 16 2 4 3 7" xfId="6260" xr:uid="{00000000-0005-0000-0000-00003D7D0000}"/>
    <cellStyle name="Normal 16 2 4 3 8" xfId="22705" xr:uid="{00000000-0005-0000-0000-00003E7D0000}"/>
    <cellStyle name="Normal 16 2 4 4" xfId="810" xr:uid="{00000000-0005-0000-0000-00003F7D0000}"/>
    <cellStyle name="Normal 16 2 4 4 2" xfId="7225" xr:uid="{00000000-0005-0000-0000-0000407D0000}"/>
    <cellStyle name="Normal 16 2 4 4 2 2" xfId="8702" xr:uid="{00000000-0005-0000-0000-0000417D0000}"/>
    <cellStyle name="Normal 16 2 4 4 2 2 2" xfId="11599" xr:uid="{00000000-0005-0000-0000-0000427D0000}"/>
    <cellStyle name="Normal 16 2 4 4 2 2 3" xfId="51841" xr:uid="{00000000-0005-0000-0000-0000437D0000}"/>
    <cellStyle name="Normal 16 2 4 4 2 3" xfId="10159" xr:uid="{00000000-0005-0000-0000-0000447D0000}"/>
    <cellStyle name="Normal 16 2 4 4 2 4" xfId="32654" xr:uid="{00000000-0005-0000-0000-0000457D0000}"/>
    <cellStyle name="Normal 16 2 4 4 3" xfId="8044" xr:uid="{00000000-0005-0000-0000-0000467D0000}"/>
    <cellStyle name="Normal 16 2 4 4 3 2" xfId="10941" xr:uid="{00000000-0005-0000-0000-0000477D0000}"/>
    <cellStyle name="Normal 16 2 4 4 3 3" xfId="42143" xr:uid="{00000000-0005-0000-0000-0000487D0000}"/>
    <cellStyle name="Normal 16 2 4 4 4" xfId="9501" xr:uid="{00000000-0005-0000-0000-0000497D0000}"/>
    <cellStyle name="Normal 16 2 4 4 5" xfId="6549" xr:uid="{00000000-0005-0000-0000-00004A7D0000}"/>
    <cellStyle name="Normal 16 2 4 4 6" xfId="22532" xr:uid="{00000000-0005-0000-0000-00004B7D0000}"/>
    <cellStyle name="Normal 16 2 4 5" xfId="811" xr:uid="{00000000-0005-0000-0000-00004C7D0000}"/>
    <cellStyle name="Normal 16 2 4 5 2" xfId="6992" xr:uid="{00000000-0005-0000-0000-00004D7D0000}"/>
    <cellStyle name="Normal 16 2 4 5 2 2" xfId="8469" xr:uid="{00000000-0005-0000-0000-00004E7D0000}"/>
    <cellStyle name="Normal 16 2 4 5 2 2 2" xfId="11366" xr:uid="{00000000-0005-0000-0000-00004F7D0000}"/>
    <cellStyle name="Normal 16 2 4 5 2 3" xfId="9926" xr:uid="{00000000-0005-0000-0000-0000507D0000}"/>
    <cellStyle name="Normal 16 2 4 5 2 4" xfId="44896" xr:uid="{00000000-0005-0000-0000-0000517D0000}"/>
    <cellStyle name="Normal 16 2 4 5 3" xfId="7810" xr:uid="{00000000-0005-0000-0000-0000527D0000}"/>
    <cellStyle name="Normal 16 2 4 5 3 2" xfId="10708" xr:uid="{00000000-0005-0000-0000-0000537D0000}"/>
    <cellStyle name="Normal 16 2 4 5 4" xfId="9268" xr:uid="{00000000-0005-0000-0000-0000547D0000}"/>
    <cellStyle name="Normal 16 2 4 5 5" xfId="6313" xr:uid="{00000000-0005-0000-0000-0000557D0000}"/>
    <cellStyle name="Normal 16 2 4 5 6" xfId="25707" xr:uid="{00000000-0005-0000-0000-0000567D0000}"/>
    <cellStyle name="Normal 16 2 4 6" xfId="7458" xr:uid="{00000000-0005-0000-0000-0000577D0000}"/>
    <cellStyle name="Normal 16 2 4 6 2" xfId="8932" xr:uid="{00000000-0005-0000-0000-0000587D0000}"/>
    <cellStyle name="Normal 16 2 4 6 2 2" xfId="11829" xr:uid="{00000000-0005-0000-0000-0000597D0000}"/>
    <cellStyle name="Normal 16 2 4 6 2 3" xfId="42496" xr:uid="{00000000-0005-0000-0000-00005A7D0000}"/>
    <cellStyle name="Normal 16 2 4 6 3" xfId="10389" xr:uid="{00000000-0005-0000-0000-00005B7D0000}"/>
    <cellStyle name="Normal 16 2 4 6 4" xfId="22927" xr:uid="{00000000-0005-0000-0000-00005C7D0000}"/>
    <cellStyle name="Normal 16 2 4 7" xfId="7517" xr:uid="{00000000-0005-0000-0000-00005D7D0000}"/>
    <cellStyle name="Normal 16 2 4 7 2" xfId="8989" xr:uid="{00000000-0005-0000-0000-00005E7D0000}"/>
    <cellStyle name="Normal 16 2 4 7 2 2" xfId="11886" xr:uid="{00000000-0005-0000-0000-00005F7D0000}"/>
    <cellStyle name="Normal 16 2 4 7 3" xfId="10446" xr:uid="{00000000-0005-0000-0000-0000607D0000}"/>
    <cellStyle name="Normal 16 2 4 7 4" xfId="35198" xr:uid="{00000000-0005-0000-0000-0000617D0000}"/>
    <cellStyle name="Normal 16 2 4 8" xfId="6819" xr:uid="{00000000-0005-0000-0000-0000627D0000}"/>
    <cellStyle name="Normal 16 2 4 8 2" xfId="8299" xr:uid="{00000000-0005-0000-0000-0000637D0000}"/>
    <cellStyle name="Normal 16 2 4 8 2 2" xfId="11196" xr:uid="{00000000-0005-0000-0000-0000647D0000}"/>
    <cellStyle name="Normal 16 2 4 8 3" xfId="9756" xr:uid="{00000000-0005-0000-0000-0000657D0000}"/>
    <cellStyle name="Normal 16 2 4 9" xfId="7638" xr:uid="{00000000-0005-0000-0000-0000667D0000}"/>
    <cellStyle name="Normal 16 2 4 9 2" xfId="10538" xr:uid="{00000000-0005-0000-0000-0000677D0000}"/>
    <cellStyle name="Normal 16 2 5" xfId="812" xr:uid="{00000000-0005-0000-0000-0000687D0000}"/>
    <cellStyle name="Normal 16 2 5 10" xfId="6167" xr:uid="{00000000-0005-0000-0000-0000697D0000}"/>
    <cellStyle name="Normal 16 2 5 11" xfId="17000" xr:uid="{00000000-0005-0000-0000-00006A7D0000}"/>
    <cellStyle name="Normal 16 2 5 2" xfId="813" xr:uid="{00000000-0005-0000-0000-00006B7D0000}"/>
    <cellStyle name="Normal 16 2 5 2 2" xfId="814" xr:uid="{00000000-0005-0000-0000-00006C7D0000}"/>
    <cellStyle name="Normal 16 2 5 2 2 2" xfId="7367" xr:uid="{00000000-0005-0000-0000-00006D7D0000}"/>
    <cellStyle name="Normal 16 2 5 2 2 2 2" xfId="8844" xr:uid="{00000000-0005-0000-0000-00006E7D0000}"/>
    <cellStyle name="Normal 16 2 5 2 2 2 2 2" xfId="11741" xr:uid="{00000000-0005-0000-0000-00006F7D0000}"/>
    <cellStyle name="Normal 16 2 5 2 2 2 3" xfId="10301" xr:uid="{00000000-0005-0000-0000-0000707D0000}"/>
    <cellStyle name="Normal 16 2 5 2 2 2 4" xfId="51021" xr:uid="{00000000-0005-0000-0000-0000717D0000}"/>
    <cellStyle name="Normal 16 2 5 2 2 3" xfId="8186" xr:uid="{00000000-0005-0000-0000-0000727D0000}"/>
    <cellStyle name="Normal 16 2 5 2 2 3 2" xfId="11083" xr:uid="{00000000-0005-0000-0000-0000737D0000}"/>
    <cellStyle name="Normal 16 2 5 2 2 4" xfId="9643" xr:uid="{00000000-0005-0000-0000-0000747D0000}"/>
    <cellStyle name="Normal 16 2 5 2 2 5" xfId="6691" xr:uid="{00000000-0005-0000-0000-0000757D0000}"/>
    <cellStyle name="Normal 16 2 5 2 2 6" xfId="31832" xr:uid="{00000000-0005-0000-0000-0000767D0000}"/>
    <cellStyle name="Normal 16 2 5 2 3" xfId="7134" xr:uid="{00000000-0005-0000-0000-0000777D0000}"/>
    <cellStyle name="Normal 16 2 5 2 3 2" xfId="8611" xr:uid="{00000000-0005-0000-0000-0000787D0000}"/>
    <cellStyle name="Normal 16 2 5 2 3 2 2" xfId="11508" xr:uid="{00000000-0005-0000-0000-0000797D0000}"/>
    <cellStyle name="Normal 16 2 5 2 3 3" xfId="10068" xr:uid="{00000000-0005-0000-0000-00007A7D0000}"/>
    <cellStyle name="Normal 16 2 5 2 3 4" xfId="41323" xr:uid="{00000000-0005-0000-0000-00007B7D0000}"/>
    <cellStyle name="Normal 16 2 5 2 4" xfId="7953" xr:uid="{00000000-0005-0000-0000-00007C7D0000}"/>
    <cellStyle name="Normal 16 2 5 2 4 2" xfId="10850" xr:uid="{00000000-0005-0000-0000-00007D7D0000}"/>
    <cellStyle name="Normal 16 2 5 2 5" xfId="9410" xr:uid="{00000000-0005-0000-0000-00007E7D0000}"/>
    <cellStyle name="Normal 16 2 5 2 6" xfId="6458" xr:uid="{00000000-0005-0000-0000-00007F7D0000}"/>
    <cellStyle name="Normal 16 2 5 2 7" xfId="21464" xr:uid="{00000000-0005-0000-0000-0000807D0000}"/>
    <cellStyle name="Normal 16 2 5 3" xfId="815" xr:uid="{00000000-0005-0000-0000-0000817D0000}"/>
    <cellStyle name="Normal 16 2 5 3 2" xfId="7251" xr:uid="{00000000-0005-0000-0000-0000827D0000}"/>
    <cellStyle name="Normal 16 2 5 3 2 2" xfId="8728" xr:uid="{00000000-0005-0000-0000-0000837D0000}"/>
    <cellStyle name="Normal 16 2 5 3 2 2 2" xfId="11625" xr:uid="{00000000-0005-0000-0000-0000847D0000}"/>
    <cellStyle name="Normal 16 2 5 3 2 2 3" xfId="51892" xr:uid="{00000000-0005-0000-0000-0000857D0000}"/>
    <cellStyle name="Normal 16 2 5 3 2 3" xfId="10185" xr:uid="{00000000-0005-0000-0000-0000867D0000}"/>
    <cellStyle name="Normal 16 2 5 3 2 4" xfId="32705" xr:uid="{00000000-0005-0000-0000-0000877D0000}"/>
    <cellStyle name="Normal 16 2 5 3 3" xfId="8070" xr:uid="{00000000-0005-0000-0000-0000887D0000}"/>
    <cellStyle name="Normal 16 2 5 3 3 2" xfId="10967" xr:uid="{00000000-0005-0000-0000-0000897D0000}"/>
    <cellStyle name="Normal 16 2 5 3 3 3" xfId="42194" xr:uid="{00000000-0005-0000-0000-00008A7D0000}"/>
    <cellStyle name="Normal 16 2 5 3 4" xfId="9527" xr:uid="{00000000-0005-0000-0000-00008B7D0000}"/>
    <cellStyle name="Normal 16 2 5 3 5" xfId="6575" xr:uid="{00000000-0005-0000-0000-00008C7D0000}"/>
    <cellStyle name="Normal 16 2 5 3 6" xfId="22615" xr:uid="{00000000-0005-0000-0000-00008D7D0000}"/>
    <cellStyle name="Normal 16 2 5 4" xfId="816" xr:uid="{00000000-0005-0000-0000-00008E7D0000}"/>
    <cellStyle name="Normal 16 2 5 4 2" xfId="7018" xr:uid="{00000000-0005-0000-0000-00008F7D0000}"/>
    <cellStyle name="Normal 16 2 5 4 2 2" xfId="8495" xr:uid="{00000000-0005-0000-0000-0000907D0000}"/>
    <cellStyle name="Normal 16 2 5 4 2 2 2" xfId="11392" xr:uid="{00000000-0005-0000-0000-0000917D0000}"/>
    <cellStyle name="Normal 16 2 5 4 2 3" xfId="9952" xr:uid="{00000000-0005-0000-0000-0000927D0000}"/>
    <cellStyle name="Normal 16 2 5 4 2 4" xfId="46566" xr:uid="{00000000-0005-0000-0000-0000937D0000}"/>
    <cellStyle name="Normal 16 2 5 4 3" xfId="7836" xr:uid="{00000000-0005-0000-0000-0000947D0000}"/>
    <cellStyle name="Normal 16 2 5 4 3 2" xfId="10734" xr:uid="{00000000-0005-0000-0000-0000957D0000}"/>
    <cellStyle name="Normal 16 2 5 4 4" xfId="9294" xr:uid="{00000000-0005-0000-0000-0000967D0000}"/>
    <cellStyle name="Normal 16 2 5 4 5" xfId="6339" xr:uid="{00000000-0005-0000-0000-0000977D0000}"/>
    <cellStyle name="Normal 16 2 5 4 6" xfId="27377" xr:uid="{00000000-0005-0000-0000-0000987D0000}"/>
    <cellStyle name="Normal 16 2 5 5" xfId="7484" xr:uid="{00000000-0005-0000-0000-0000997D0000}"/>
    <cellStyle name="Normal 16 2 5 5 2" xfId="8958" xr:uid="{00000000-0005-0000-0000-00009A7D0000}"/>
    <cellStyle name="Normal 16 2 5 5 2 2" xfId="11855" xr:uid="{00000000-0005-0000-0000-00009B7D0000}"/>
    <cellStyle name="Normal 16 2 5 5 2 3" xfId="42547" xr:uid="{00000000-0005-0000-0000-00009C7D0000}"/>
    <cellStyle name="Normal 16 2 5 5 3" xfId="10415" xr:uid="{00000000-0005-0000-0000-00009D7D0000}"/>
    <cellStyle name="Normal 16 2 5 5 4" xfId="22978" xr:uid="{00000000-0005-0000-0000-00009E7D0000}"/>
    <cellStyle name="Normal 16 2 5 6" xfId="7543" xr:uid="{00000000-0005-0000-0000-00009F7D0000}"/>
    <cellStyle name="Normal 16 2 5 6 2" xfId="9015" xr:uid="{00000000-0005-0000-0000-0000A07D0000}"/>
    <cellStyle name="Normal 16 2 5 6 2 2" xfId="11912" xr:uid="{00000000-0005-0000-0000-0000A17D0000}"/>
    <cellStyle name="Normal 16 2 5 6 3" xfId="10472" xr:uid="{00000000-0005-0000-0000-0000A27D0000}"/>
    <cellStyle name="Normal 16 2 5 6 4" xfId="36868" xr:uid="{00000000-0005-0000-0000-0000A37D0000}"/>
    <cellStyle name="Normal 16 2 5 7" xfId="6872" xr:uid="{00000000-0005-0000-0000-0000A47D0000}"/>
    <cellStyle name="Normal 16 2 5 7 2" xfId="8350" xr:uid="{00000000-0005-0000-0000-0000A57D0000}"/>
    <cellStyle name="Normal 16 2 5 7 2 2" xfId="11247" xr:uid="{00000000-0005-0000-0000-0000A67D0000}"/>
    <cellStyle name="Normal 16 2 5 7 3" xfId="9807" xr:uid="{00000000-0005-0000-0000-0000A77D0000}"/>
    <cellStyle name="Normal 16 2 5 8" xfId="7689" xr:uid="{00000000-0005-0000-0000-0000A87D0000}"/>
    <cellStyle name="Normal 16 2 5 8 2" xfId="10589" xr:uid="{00000000-0005-0000-0000-0000A97D0000}"/>
    <cellStyle name="Normal 16 2 5 9" xfId="9149" xr:uid="{00000000-0005-0000-0000-0000AA7D0000}"/>
    <cellStyle name="Normal 16 2 6" xfId="817" xr:uid="{00000000-0005-0000-0000-0000AB7D0000}"/>
    <cellStyle name="Normal 16 2 6 2" xfId="818" xr:uid="{00000000-0005-0000-0000-0000AC7D0000}"/>
    <cellStyle name="Normal 16 2 6 2 2" xfId="819" xr:uid="{00000000-0005-0000-0000-0000AD7D0000}"/>
    <cellStyle name="Normal 16 2 6 2 2 2" xfId="7393" xr:uid="{00000000-0005-0000-0000-0000AE7D0000}"/>
    <cellStyle name="Normal 16 2 6 2 2 2 2" xfId="8870" xr:uid="{00000000-0005-0000-0000-0000AF7D0000}"/>
    <cellStyle name="Normal 16 2 6 2 2 2 2 2" xfId="11767" xr:uid="{00000000-0005-0000-0000-0000B07D0000}"/>
    <cellStyle name="Normal 16 2 6 2 2 2 3" xfId="10327" xr:uid="{00000000-0005-0000-0000-0000B17D0000}"/>
    <cellStyle name="Normal 16 2 6 2 2 2 4" xfId="51578" xr:uid="{00000000-0005-0000-0000-0000B27D0000}"/>
    <cellStyle name="Normal 16 2 6 2 2 3" xfId="8212" xr:uid="{00000000-0005-0000-0000-0000B37D0000}"/>
    <cellStyle name="Normal 16 2 6 2 2 3 2" xfId="11109" xr:uid="{00000000-0005-0000-0000-0000B47D0000}"/>
    <cellStyle name="Normal 16 2 6 2 2 4" xfId="9669" xr:uid="{00000000-0005-0000-0000-0000B57D0000}"/>
    <cellStyle name="Normal 16 2 6 2 2 5" xfId="6717" xr:uid="{00000000-0005-0000-0000-0000B67D0000}"/>
    <cellStyle name="Normal 16 2 6 2 2 6" xfId="32389" xr:uid="{00000000-0005-0000-0000-0000B77D0000}"/>
    <cellStyle name="Normal 16 2 6 2 3" xfId="7160" xr:uid="{00000000-0005-0000-0000-0000B87D0000}"/>
    <cellStyle name="Normal 16 2 6 2 3 2" xfId="8637" xr:uid="{00000000-0005-0000-0000-0000B97D0000}"/>
    <cellStyle name="Normal 16 2 6 2 3 2 2" xfId="11534" xr:uid="{00000000-0005-0000-0000-0000BA7D0000}"/>
    <cellStyle name="Normal 16 2 6 2 3 3" xfId="10094" xr:uid="{00000000-0005-0000-0000-0000BB7D0000}"/>
    <cellStyle name="Normal 16 2 6 2 3 4" xfId="41880" xr:uid="{00000000-0005-0000-0000-0000BC7D0000}"/>
    <cellStyle name="Normal 16 2 6 2 4" xfId="7979" xr:uid="{00000000-0005-0000-0000-0000BD7D0000}"/>
    <cellStyle name="Normal 16 2 6 2 4 2" xfId="10876" xr:uid="{00000000-0005-0000-0000-0000BE7D0000}"/>
    <cellStyle name="Normal 16 2 6 2 5" xfId="9436" xr:uid="{00000000-0005-0000-0000-0000BF7D0000}"/>
    <cellStyle name="Normal 16 2 6 2 6" xfId="6484" xr:uid="{00000000-0005-0000-0000-0000C07D0000}"/>
    <cellStyle name="Normal 16 2 6 2 7" xfId="22021" xr:uid="{00000000-0005-0000-0000-0000C17D0000}"/>
    <cellStyle name="Normal 16 2 6 3" xfId="820" xr:uid="{00000000-0005-0000-0000-0000C27D0000}"/>
    <cellStyle name="Normal 16 2 6 3 2" xfId="7277" xr:uid="{00000000-0005-0000-0000-0000C37D0000}"/>
    <cellStyle name="Normal 16 2 6 3 2 2" xfId="8754" xr:uid="{00000000-0005-0000-0000-0000C47D0000}"/>
    <cellStyle name="Normal 16 2 6 3 2 2 2" xfId="11651" xr:uid="{00000000-0005-0000-0000-0000C57D0000}"/>
    <cellStyle name="Normal 16 2 6 3 2 2 3" xfId="51948" xr:uid="{00000000-0005-0000-0000-0000C67D0000}"/>
    <cellStyle name="Normal 16 2 6 3 2 3" xfId="10211" xr:uid="{00000000-0005-0000-0000-0000C77D0000}"/>
    <cellStyle name="Normal 16 2 6 3 2 4" xfId="32761" xr:uid="{00000000-0005-0000-0000-0000C87D0000}"/>
    <cellStyle name="Normal 16 2 6 3 3" xfId="8096" xr:uid="{00000000-0005-0000-0000-0000C97D0000}"/>
    <cellStyle name="Normal 16 2 6 3 3 2" xfId="10993" xr:uid="{00000000-0005-0000-0000-0000CA7D0000}"/>
    <cellStyle name="Normal 16 2 6 3 3 3" xfId="42250" xr:uid="{00000000-0005-0000-0000-0000CB7D0000}"/>
    <cellStyle name="Normal 16 2 6 3 4" xfId="9553" xr:uid="{00000000-0005-0000-0000-0000CC7D0000}"/>
    <cellStyle name="Normal 16 2 6 3 5" xfId="6601" xr:uid="{00000000-0005-0000-0000-0000CD7D0000}"/>
    <cellStyle name="Normal 16 2 6 3 6" xfId="22675" xr:uid="{00000000-0005-0000-0000-0000CE7D0000}"/>
    <cellStyle name="Normal 16 2 6 4" xfId="821" xr:uid="{00000000-0005-0000-0000-0000CF7D0000}"/>
    <cellStyle name="Normal 16 2 6 4 2" xfId="7044" xr:uid="{00000000-0005-0000-0000-0000D07D0000}"/>
    <cellStyle name="Normal 16 2 6 4 2 2" xfId="8521" xr:uid="{00000000-0005-0000-0000-0000D17D0000}"/>
    <cellStyle name="Normal 16 2 6 4 2 2 2" xfId="11418" xr:uid="{00000000-0005-0000-0000-0000D27D0000}"/>
    <cellStyle name="Normal 16 2 6 4 2 3" xfId="9978" xr:uid="{00000000-0005-0000-0000-0000D37D0000}"/>
    <cellStyle name="Normal 16 2 6 4 2 4" xfId="47123" xr:uid="{00000000-0005-0000-0000-0000D47D0000}"/>
    <cellStyle name="Normal 16 2 6 4 3" xfId="7862" xr:uid="{00000000-0005-0000-0000-0000D57D0000}"/>
    <cellStyle name="Normal 16 2 6 4 3 2" xfId="10760" xr:uid="{00000000-0005-0000-0000-0000D67D0000}"/>
    <cellStyle name="Normal 16 2 6 4 4" xfId="9320" xr:uid="{00000000-0005-0000-0000-0000D77D0000}"/>
    <cellStyle name="Normal 16 2 6 4 5" xfId="6365" xr:uid="{00000000-0005-0000-0000-0000D87D0000}"/>
    <cellStyle name="Normal 16 2 6 4 6" xfId="27934" xr:uid="{00000000-0005-0000-0000-0000D97D0000}"/>
    <cellStyle name="Normal 16 2 6 5" xfId="6929" xr:uid="{00000000-0005-0000-0000-0000DA7D0000}"/>
    <cellStyle name="Normal 16 2 6 5 2" xfId="8406" xr:uid="{00000000-0005-0000-0000-0000DB7D0000}"/>
    <cellStyle name="Normal 16 2 6 5 2 2" xfId="11303" xr:uid="{00000000-0005-0000-0000-0000DC7D0000}"/>
    <cellStyle name="Normal 16 2 6 5 2 3" xfId="42603" xr:uid="{00000000-0005-0000-0000-0000DD7D0000}"/>
    <cellStyle name="Normal 16 2 6 5 3" xfId="9863" xr:uid="{00000000-0005-0000-0000-0000DE7D0000}"/>
    <cellStyle name="Normal 16 2 6 5 4" xfId="23034" xr:uid="{00000000-0005-0000-0000-0000DF7D0000}"/>
    <cellStyle name="Normal 16 2 6 6" xfId="7746" xr:uid="{00000000-0005-0000-0000-0000E07D0000}"/>
    <cellStyle name="Normal 16 2 6 6 2" xfId="10645" xr:uid="{00000000-0005-0000-0000-0000E17D0000}"/>
    <cellStyle name="Normal 16 2 6 6 3" xfId="37425" xr:uid="{00000000-0005-0000-0000-0000E27D0000}"/>
    <cellStyle name="Normal 16 2 6 7" xfId="9205" xr:uid="{00000000-0005-0000-0000-0000E37D0000}"/>
    <cellStyle name="Normal 16 2 6 8" xfId="6230" xr:uid="{00000000-0005-0000-0000-0000E47D0000}"/>
    <cellStyle name="Normal 16 2 6 9" xfId="17566" xr:uid="{00000000-0005-0000-0000-0000E57D0000}"/>
    <cellStyle name="Normal 16 2 7" xfId="822" xr:uid="{00000000-0005-0000-0000-0000E67D0000}"/>
    <cellStyle name="Normal 16 2 7 2" xfId="823" xr:uid="{00000000-0005-0000-0000-0000E77D0000}"/>
    <cellStyle name="Normal 16 2 7 2 2" xfId="7334" xr:uid="{00000000-0005-0000-0000-0000E87D0000}"/>
    <cellStyle name="Normal 16 2 7 2 2 2" xfId="8811" xr:uid="{00000000-0005-0000-0000-0000E97D0000}"/>
    <cellStyle name="Normal 16 2 7 2 2 2 2" xfId="11708" xr:uid="{00000000-0005-0000-0000-0000EA7D0000}"/>
    <cellStyle name="Normal 16 2 7 2 2 3" xfId="10268" xr:uid="{00000000-0005-0000-0000-0000EB7D0000}"/>
    <cellStyle name="Normal 16 2 7 2 2 4" xfId="47680" xr:uid="{00000000-0005-0000-0000-0000EC7D0000}"/>
    <cellStyle name="Normal 16 2 7 2 3" xfId="8153" xr:uid="{00000000-0005-0000-0000-0000ED7D0000}"/>
    <cellStyle name="Normal 16 2 7 2 3 2" xfId="11050" xr:uid="{00000000-0005-0000-0000-0000EE7D0000}"/>
    <cellStyle name="Normal 16 2 7 2 4" xfId="9610" xr:uid="{00000000-0005-0000-0000-0000EF7D0000}"/>
    <cellStyle name="Normal 16 2 7 2 5" xfId="6658" xr:uid="{00000000-0005-0000-0000-0000F07D0000}"/>
    <cellStyle name="Normal 16 2 7 2 6" xfId="28491" xr:uid="{00000000-0005-0000-0000-0000F17D0000}"/>
    <cellStyle name="Normal 16 2 7 3" xfId="7101" xr:uid="{00000000-0005-0000-0000-0000F27D0000}"/>
    <cellStyle name="Normal 16 2 7 3 2" xfId="8578" xr:uid="{00000000-0005-0000-0000-0000F37D0000}"/>
    <cellStyle name="Normal 16 2 7 3 2 2" xfId="11475" xr:uid="{00000000-0005-0000-0000-0000F47D0000}"/>
    <cellStyle name="Normal 16 2 7 3 3" xfId="10035" xr:uid="{00000000-0005-0000-0000-0000F57D0000}"/>
    <cellStyle name="Normal 16 2 7 3 4" xfId="37982" xr:uid="{00000000-0005-0000-0000-0000F67D0000}"/>
    <cellStyle name="Normal 16 2 7 4" xfId="7920" xr:uid="{00000000-0005-0000-0000-0000F77D0000}"/>
    <cellStyle name="Normal 16 2 7 4 2" xfId="10817" xr:uid="{00000000-0005-0000-0000-0000F87D0000}"/>
    <cellStyle name="Normal 16 2 7 5" xfId="9377" xr:uid="{00000000-0005-0000-0000-0000F97D0000}"/>
    <cellStyle name="Normal 16 2 7 6" xfId="6425" xr:uid="{00000000-0005-0000-0000-0000FA7D0000}"/>
    <cellStyle name="Normal 16 2 7 7" xfId="18123" xr:uid="{00000000-0005-0000-0000-0000FB7D0000}"/>
    <cellStyle name="Normal 16 2 8" xfId="824" xr:uid="{00000000-0005-0000-0000-0000FC7D0000}"/>
    <cellStyle name="Normal 16 2 8 2" xfId="7218" xr:uid="{00000000-0005-0000-0000-0000FD7D0000}"/>
    <cellStyle name="Normal 16 2 8 2 2" xfId="8695" xr:uid="{00000000-0005-0000-0000-0000FE7D0000}"/>
    <cellStyle name="Normal 16 2 8 2 2 2" xfId="11592" xr:uid="{00000000-0005-0000-0000-0000FF7D0000}"/>
    <cellStyle name="Normal 16 2 8 2 2 3" xfId="51811" xr:uid="{00000000-0005-0000-0000-0000007E0000}"/>
    <cellStyle name="Normal 16 2 8 2 3" xfId="10152" xr:uid="{00000000-0005-0000-0000-0000017E0000}"/>
    <cellStyle name="Normal 16 2 8 2 4" xfId="32624" xr:uid="{00000000-0005-0000-0000-0000027E0000}"/>
    <cellStyle name="Normal 16 2 8 3" xfId="8037" xr:uid="{00000000-0005-0000-0000-0000037E0000}"/>
    <cellStyle name="Normal 16 2 8 3 2" xfId="10934" xr:uid="{00000000-0005-0000-0000-0000047E0000}"/>
    <cellStyle name="Normal 16 2 8 3 3" xfId="42113" xr:uid="{00000000-0005-0000-0000-0000057E0000}"/>
    <cellStyle name="Normal 16 2 8 4" xfId="9494" xr:uid="{00000000-0005-0000-0000-0000067E0000}"/>
    <cellStyle name="Normal 16 2 8 5" xfId="6542" xr:uid="{00000000-0005-0000-0000-0000077E0000}"/>
    <cellStyle name="Normal 16 2 8 6" xfId="22493" xr:uid="{00000000-0005-0000-0000-0000087E0000}"/>
    <cellStyle name="Normal 16 2 9" xfId="825" xr:uid="{00000000-0005-0000-0000-0000097E0000}"/>
    <cellStyle name="Normal 16 2 9 2" xfId="6985" xr:uid="{00000000-0005-0000-0000-00000A7E0000}"/>
    <cellStyle name="Normal 16 2 9 2 2" xfId="8462" xr:uid="{00000000-0005-0000-0000-00000B7E0000}"/>
    <cellStyle name="Normal 16 2 9 2 2 2" xfId="11359" xr:uid="{00000000-0005-0000-0000-00000C7E0000}"/>
    <cellStyle name="Normal 16 2 9 2 3" xfId="9919" xr:uid="{00000000-0005-0000-0000-00000D7E0000}"/>
    <cellStyle name="Normal 16 2 9 2 4" xfId="43225" xr:uid="{00000000-0005-0000-0000-00000E7E0000}"/>
    <cellStyle name="Normal 16 2 9 3" xfId="7803" xr:uid="{00000000-0005-0000-0000-00000F7E0000}"/>
    <cellStyle name="Normal 16 2 9 3 2" xfId="10701" xr:uid="{00000000-0005-0000-0000-0000107E0000}"/>
    <cellStyle name="Normal 16 2 9 4" xfId="9261" xr:uid="{00000000-0005-0000-0000-0000117E0000}"/>
    <cellStyle name="Normal 16 2 9 5" xfId="6306" xr:uid="{00000000-0005-0000-0000-0000127E0000}"/>
    <cellStyle name="Normal 16 2 9 6" xfId="23986" xr:uid="{00000000-0005-0000-0000-0000137E0000}"/>
    <cellStyle name="Normal 16 3" xfId="826" xr:uid="{00000000-0005-0000-0000-0000147E0000}"/>
    <cellStyle name="Normal 16 3 10" xfId="7606" xr:uid="{00000000-0005-0000-0000-0000157E0000}"/>
    <cellStyle name="Normal 16 3 10 2" xfId="10506" xr:uid="{00000000-0005-0000-0000-0000167E0000}"/>
    <cellStyle name="Normal 16 3 11" xfId="9066" xr:uid="{00000000-0005-0000-0000-0000177E0000}"/>
    <cellStyle name="Normal 16 3 12" xfId="6068" xr:uid="{00000000-0005-0000-0000-0000187E0000}"/>
    <cellStyle name="Normal 16 3 13" xfId="14178" xr:uid="{00000000-0005-0000-0000-0000197E0000}"/>
    <cellStyle name="Normal 16 3 2" xfId="827" xr:uid="{00000000-0005-0000-0000-00001A7E0000}"/>
    <cellStyle name="Normal 16 3 2 10" xfId="9095" xr:uid="{00000000-0005-0000-0000-00001B7E0000}"/>
    <cellStyle name="Normal 16 3 2 11" xfId="6107" xr:uid="{00000000-0005-0000-0000-00001C7E0000}"/>
    <cellStyle name="Normal 16 3 2 12" xfId="16442" xr:uid="{00000000-0005-0000-0000-00001D7E0000}"/>
    <cellStyle name="Normal 16 3 2 2" xfId="828" xr:uid="{00000000-0005-0000-0000-00001E7E0000}"/>
    <cellStyle name="Normal 16 3 2 2 2" xfId="829" xr:uid="{00000000-0005-0000-0000-00001F7E0000}"/>
    <cellStyle name="Normal 16 3 2 2 2 2" xfId="830" xr:uid="{00000000-0005-0000-0000-0000207E0000}"/>
    <cellStyle name="Normal 16 3 2 2 2 2 2" xfId="7420" xr:uid="{00000000-0005-0000-0000-0000217E0000}"/>
    <cellStyle name="Normal 16 3 2 2 2 2 2 2" xfId="8897" xr:uid="{00000000-0005-0000-0000-0000227E0000}"/>
    <cellStyle name="Normal 16 3 2 2 2 2 2 2 2" xfId="11794" xr:uid="{00000000-0005-0000-0000-0000237E0000}"/>
    <cellStyle name="Normal 16 3 2 2 2 2 2 3" xfId="10354" xr:uid="{00000000-0005-0000-0000-0000247E0000}"/>
    <cellStyle name="Normal 16 3 2 2 2 2 2 4" xfId="51919" xr:uid="{00000000-0005-0000-0000-0000257E0000}"/>
    <cellStyle name="Normal 16 3 2 2 2 2 3" xfId="8239" xr:uid="{00000000-0005-0000-0000-0000267E0000}"/>
    <cellStyle name="Normal 16 3 2 2 2 2 3 2" xfId="11136" xr:uid="{00000000-0005-0000-0000-0000277E0000}"/>
    <cellStyle name="Normal 16 3 2 2 2 2 4" xfId="9696" xr:uid="{00000000-0005-0000-0000-0000287E0000}"/>
    <cellStyle name="Normal 16 3 2 2 2 2 5" xfId="6744" xr:uid="{00000000-0005-0000-0000-0000297E0000}"/>
    <cellStyle name="Normal 16 3 2 2 2 2 6" xfId="32732" xr:uid="{00000000-0005-0000-0000-00002A7E0000}"/>
    <cellStyle name="Normal 16 3 2 2 2 3" xfId="7187" xr:uid="{00000000-0005-0000-0000-00002B7E0000}"/>
    <cellStyle name="Normal 16 3 2 2 2 3 2" xfId="8664" xr:uid="{00000000-0005-0000-0000-00002C7E0000}"/>
    <cellStyle name="Normal 16 3 2 2 2 3 2 2" xfId="11561" xr:uid="{00000000-0005-0000-0000-00002D7E0000}"/>
    <cellStyle name="Normal 16 3 2 2 2 3 3" xfId="10121" xr:uid="{00000000-0005-0000-0000-00002E7E0000}"/>
    <cellStyle name="Normal 16 3 2 2 2 3 4" xfId="42221" xr:uid="{00000000-0005-0000-0000-00002F7E0000}"/>
    <cellStyle name="Normal 16 3 2 2 2 4" xfId="8006" xr:uid="{00000000-0005-0000-0000-0000307E0000}"/>
    <cellStyle name="Normal 16 3 2 2 2 4 2" xfId="10903" xr:uid="{00000000-0005-0000-0000-0000317E0000}"/>
    <cellStyle name="Normal 16 3 2 2 2 5" xfId="9463" xr:uid="{00000000-0005-0000-0000-0000327E0000}"/>
    <cellStyle name="Normal 16 3 2 2 2 6" xfId="6511" xr:uid="{00000000-0005-0000-0000-0000337E0000}"/>
    <cellStyle name="Normal 16 3 2 2 2 7" xfId="22644" xr:uid="{00000000-0005-0000-0000-0000347E0000}"/>
    <cellStyle name="Normal 16 3 2 2 3" xfId="831" xr:uid="{00000000-0005-0000-0000-0000357E0000}"/>
    <cellStyle name="Normal 16 3 2 2 3 2" xfId="7304" xr:uid="{00000000-0005-0000-0000-0000367E0000}"/>
    <cellStyle name="Normal 16 3 2 2 3 2 2" xfId="8781" xr:uid="{00000000-0005-0000-0000-0000377E0000}"/>
    <cellStyle name="Normal 16 3 2 2 3 2 2 2" xfId="11678" xr:uid="{00000000-0005-0000-0000-0000387E0000}"/>
    <cellStyle name="Normal 16 3 2 2 3 2 3" xfId="10238" xr:uid="{00000000-0005-0000-0000-0000397E0000}"/>
    <cellStyle name="Normal 16 3 2 2 3 2 4" xfId="50463" xr:uid="{00000000-0005-0000-0000-00003A7E0000}"/>
    <cellStyle name="Normal 16 3 2 2 3 3" xfId="8123" xr:uid="{00000000-0005-0000-0000-00003B7E0000}"/>
    <cellStyle name="Normal 16 3 2 2 3 3 2" xfId="11020" xr:uid="{00000000-0005-0000-0000-00003C7E0000}"/>
    <cellStyle name="Normal 16 3 2 2 3 4" xfId="9580" xr:uid="{00000000-0005-0000-0000-00003D7E0000}"/>
    <cellStyle name="Normal 16 3 2 2 3 5" xfId="6628" xr:uid="{00000000-0005-0000-0000-00003E7E0000}"/>
    <cellStyle name="Normal 16 3 2 2 3 6" xfId="31274" xr:uid="{00000000-0005-0000-0000-00003F7E0000}"/>
    <cellStyle name="Normal 16 3 2 2 4" xfId="832" xr:uid="{00000000-0005-0000-0000-0000407E0000}"/>
    <cellStyle name="Normal 16 3 2 2 4 2" xfId="7071" xr:uid="{00000000-0005-0000-0000-0000417E0000}"/>
    <cellStyle name="Normal 16 3 2 2 4 2 2" xfId="8548" xr:uid="{00000000-0005-0000-0000-0000427E0000}"/>
    <cellStyle name="Normal 16 3 2 2 4 2 2 2" xfId="11445" xr:uid="{00000000-0005-0000-0000-0000437E0000}"/>
    <cellStyle name="Normal 16 3 2 2 4 2 3" xfId="10005" xr:uid="{00000000-0005-0000-0000-0000447E0000}"/>
    <cellStyle name="Normal 16 3 2 2 4 2 4" xfId="42574" xr:uid="{00000000-0005-0000-0000-0000457E0000}"/>
    <cellStyle name="Normal 16 3 2 2 4 3" xfId="7889" xr:uid="{00000000-0005-0000-0000-0000467E0000}"/>
    <cellStyle name="Normal 16 3 2 2 4 3 2" xfId="10787" xr:uid="{00000000-0005-0000-0000-0000477E0000}"/>
    <cellStyle name="Normal 16 3 2 2 4 4" xfId="9347" xr:uid="{00000000-0005-0000-0000-0000487E0000}"/>
    <cellStyle name="Normal 16 3 2 2 4 5" xfId="6392" xr:uid="{00000000-0005-0000-0000-0000497E0000}"/>
    <cellStyle name="Normal 16 3 2 2 4 6" xfId="23005" xr:uid="{00000000-0005-0000-0000-00004A7E0000}"/>
    <cellStyle name="Normal 16 3 2 2 5" xfId="6899" xr:uid="{00000000-0005-0000-0000-00004B7E0000}"/>
    <cellStyle name="Normal 16 3 2 2 5 2" xfId="8377" xr:uid="{00000000-0005-0000-0000-00004C7E0000}"/>
    <cellStyle name="Normal 16 3 2 2 5 2 2" xfId="11274" xr:uid="{00000000-0005-0000-0000-00004D7E0000}"/>
    <cellStyle name="Normal 16 3 2 2 5 3" xfId="9834" xr:uid="{00000000-0005-0000-0000-00004E7E0000}"/>
    <cellStyle name="Normal 16 3 2 2 5 4" xfId="40765" xr:uid="{00000000-0005-0000-0000-00004F7E0000}"/>
    <cellStyle name="Normal 16 3 2 2 6" xfId="7716" xr:uid="{00000000-0005-0000-0000-0000507E0000}"/>
    <cellStyle name="Normal 16 3 2 2 6 2" xfId="10616" xr:uid="{00000000-0005-0000-0000-0000517E0000}"/>
    <cellStyle name="Normal 16 3 2 2 7" xfId="9176" xr:uid="{00000000-0005-0000-0000-0000527E0000}"/>
    <cellStyle name="Normal 16 3 2 2 8" xfId="6195" xr:uid="{00000000-0005-0000-0000-0000537E0000}"/>
    <cellStyle name="Normal 16 3 2 2 9" xfId="20906" xr:uid="{00000000-0005-0000-0000-0000547E0000}"/>
    <cellStyle name="Normal 16 3 2 3" xfId="833" xr:uid="{00000000-0005-0000-0000-0000557E0000}"/>
    <cellStyle name="Normal 16 3 2 3 2" xfId="834" xr:uid="{00000000-0005-0000-0000-0000567E0000}"/>
    <cellStyle name="Normal 16 3 2 3 2 2" xfId="7364" xr:uid="{00000000-0005-0000-0000-0000577E0000}"/>
    <cellStyle name="Normal 16 3 2 3 2 2 2" xfId="8841" xr:uid="{00000000-0005-0000-0000-0000587E0000}"/>
    <cellStyle name="Normal 16 3 2 3 2 2 2 2" xfId="11738" xr:uid="{00000000-0005-0000-0000-0000597E0000}"/>
    <cellStyle name="Normal 16 3 2 3 2 2 3" xfId="10298" xr:uid="{00000000-0005-0000-0000-00005A7E0000}"/>
    <cellStyle name="Normal 16 3 2 3 2 2 4" xfId="51975" xr:uid="{00000000-0005-0000-0000-00005B7E0000}"/>
    <cellStyle name="Normal 16 3 2 3 2 3" xfId="8183" xr:uid="{00000000-0005-0000-0000-00005C7E0000}"/>
    <cellStyle name="Normal 16 3 2 3 2 3 2" xfId="11080" xr:uid="{00000000-0005-0000-0000-00005D7E0000}"/>
    <cellStyle name="Normal 16 3 2 3 2 4" xfId="9640" xr:uid="{00000000-0005-0000-0000-00005E7E0000}"/>
    <cellStyle name="Normal 16 3 2 3 2 5" xfId="6688" xr:uid="{00000000-0005-0000-0000-00005F7E0000}"/>
    <cellStyle name="Normal 16 3 2 3 2 6" xfId="32788" xr:uid="{00000000-0005-0000-0000-0000607E0000}"/>
    <cellStyle name="Normal 16 3 2 3 3" xfId="835" xr:uid="{00000000-0005-0000-0000-0000617E0000}"/>
    <cellStyle name="Normal 16 3 2 3 3 2" xfId="7131" xr:uid="{00000000-0005-0000-0000-0000627E0000}"/>
    <cellStyle name="Normal 16 3 2 3 3 2 2" xfId="8608" xr:uid="{00000000-0005-0000-0000-0000637E0000}"/>
    <cellStyle name="Normal 16 3 2 3 3 2 2 2" xfId="11505" xr:uid="{00000000-0005-0000-0000-0000647E0000}"/>
    <cellStyle name="Normal 16 3 2 3 3 2 3" xfId="10065" xr:uid="{00000000-0005-0000-0000-0000657E0000}"/>
    <cellStyle name="Normal 16 3 2 3 3 2 4" xfId="42630" xr:uid="{00000000-0005-0000-0000-0000667E0000}"/>
    <cellStyle name="Normal 16 3 2 3 3 3" xfId="7950" xr:uid="{00000000-0005-0000-0000-0000677E0000}"/>
    <cellStyle name="Normal 16 3 2 3 3 3 2" xfId="10847" xr:uid="{00000000-0005-0000-0000-0000687E0000}"/>
    <cellStyle name="Normal 16 3 2 3 3 4" xfId="9407" xr:uid="{00000000-0005-0000-0000-0000697E0000}"/>
    <cellStyle name="Normal 16 3 2 3 3 5" xfId="6455" xr:uid="{00000000-0005-0000-0000-00006A7E0000}"/>
    <cellStyle name="Normal 16 3 2 3 3 6" xfId="23061" xr:uid="{00000000-0005-0000-0000-00006B7E0000}"/>
    <cellStyle name="Normal 16 3 2 3 4" xfId="6956" xr:uid="{00000000-0005-0000-0000-00006C7E0000}"/>
    <cellStyle name="Normal 16 3 2 3 4 2" xfId="8433" xr:uid="{00000000-0005-0000-0000-00006D7E0000}"/>
    <cellStyle name="Normal 16 3 2 3 4 2 2" xfId="11330" xr:uid="{00000000-0005-0000-0000-00006E7E0000}"/>
    <cellStyle name="Normal 16 3 2 3 4 3" xfId="9890" xr:uid="{00000000-0005-0000-0000-00006F7E0000}"/>
    <cellStyle name="Normal 16 3 2 3 4 4" xfId="42277" xr:uid="{00000000-0005-0000-0000-0000707E0000}"/>
    <cellStyle name="Normal 16 3 2 3 5" xfId="7773" xr:uid="{00000000-0005-0000-0000-0000717E0000}"/>
    <cellStyle name="Normal 16 3 2 3 5 2" xfId="10672" xr:uid="{00000000-0005-0000-0000-0000727E0000}"/>
    <cellStyle name="Normal 16 3 2 3 6" xfId="9232" xr:uid="{00000000-0005-0000-0000-0000737E0000}"/>
    <cellStyle name="Normal 16 3 2 3 7" xfId="6257" xr:uid="{00000000-0005-0000-0000-0000747E0000}"/>
    <cellStyle name="Normal 16 3 2 3 8" xfId="22702" xr:uid="{00000000-0005-0000-0000-0000757E0000}"/>
    <cellStyle name="Normal 16 3 2 4" xfId="836" xr:uid="{00000000-0005-0000-0000-0000767E0000}"/>
    <cellStyle name="Normal 16 3 2 4 2" xfId="7248" xr:uid="{00000000-0005-0000-0000-0000777E0000}"/>
    <cellStyle name="Normal 16 3 2 4 2 2" xfId="8725" xr:uid="{00000000-0005-0000-0000-0000787E0000}"/>
    <cellStyle name="Normal 16 3 2 4 2 2 2" xfId="11622" xr:uid="{00000000-0005-0000-0000-0000797E0000}"/>
    <cellStyle name="Normal 16 3 2 4 2 2 3" xfId="51838" xr:uid="{00000000-0005-0000-0000-00007A7E0000}"/>
    <cellStyle name="Normal 16 3 2 4 2 3" xfId="10182" xr:uid="{00000000-0005-0000-0000-00007B7E0000}"/>
    <cellStyle name="Normal 16 3 2 4 2 4" xfId="32651" xr:uid="{00000000-0005-0000-0000-00007C7E0000}"/>
    <cellStyle name="Normal 16 3 2 4 3" xfId="8067" xr:uid="{00000000-0005-0000-0000-00007D7E0000}"/>
    <cellStyle name="Normal 16 3 2 4 3 2" xfId="10964" xr:uid="{00000000-0005-0000-0000-00007E7E0000}"/>
    <cellStyle name="Normal 16 3 2 4 3 3" xfId="42140" xr:uid="{00000000-0005-0000-0000-00007F7E0000}"/>
    <cellStyle name="Normal 16 3 2 4 4" xfId="9524" xr:uid="{00000000-0005-0000-0000-0000807E0000}"/>
    <cellStyle name="Normal 16 3 2 4 5" xfId="6572" xr:uid="{00000000-0005-0000-0000-0000817E0000}"/>
    <cellStyle name="Normal 16 3 2 4 6" xfId="22529" xr:uid="{00000000-0005-0000-0000-0000827E0000}"/>
    <cellStyle name="Normal 16 3 2 5" xfId="837" xr:uid="{00000000-0005-0000-0000-0000837E0000}"/>
    <cellStyle name="Normal 16 3 2 5 2" xfId="7015" xr:uid="{00000000-0005-0000-0000-0000847E0000}"/>
    <cellStyle name="Normal 16 3 2 5 2 2" xfId="8492" xr:uid="{00000000-0005-0000-0000-0000857E0000}"/>
    <cellStyle name="Normal 16 3 2 5 2 2 2" xfId="11389" xr:uid="{00000000-0005-0000-0000-0000867E0000}"/>
    <cellStyle name="Normal 16 3 2 5 2 3" xfId="9949" xr:uid="{00000000-0005-0000-0000-0000877E0000}"/>
    <cellStyle name="Normal 16 3 2 5 2 4" xfId="46008" xr:uid="{00000000-0005-0000-0000-0000887E0000}"/>
    <cellStyle name="Normal 16 3 2 5 3" xfId="7833" xr:uid="{00000000-0005-0000-0000-0000897E0000}"/>
    <cellStyle name="Normal 16 3 2 5 3 2" xfId="10731" xr:uid="{00000000-0005-0000-0000-00008A7E0000}"/>
    <cellStyle name="Normal 16 3 2 5 4" xfId="9291" xr:uid="{00000000-0005-0000-0000-00008B7E0000}"/>
    <cellStyle name="Normal 16 3 2 5 5" xfId="6336" xr:uid="{00000000-0005-0000-0000-00008C7E0000}"/>
    <cellStyle name="Normal 16 3 2 5 6" xfId="26819" xr:uid="{00000000-0005-0000-0000-00008D7E0000}"/>
    <cellStyle name="Normal 16 3 2 6" xfId="7481" xr:uid="{00000000-0005-0000-0000-00008E7E0000}"/>
    <cellStyle name="Normal 16 3 2 6 2" xfId="8955" xr:uid="{00000000-0005-0000-0000-00008F7E0000}"/>
    <cellStyle name="Normal 16 3 2 6 2 2" xfId="11852" xr:uid="{00000000-0005-0000-0000-0000907E0000}"/>
    <cellStyle name="Normal 16 3 2 6 2 3" xfId="42493" xr:uid="{00000000-0005-0000-0000-0000917E0000}"/>
    <cellStyle name="Normal 16 3 2 6 3" xfId="10412" xr:uid="{00000000-0005-0000-0000-0000927E0000}"/>
    <cellStyle name="Normal 16 3 2 6 4" xfId="22924" xr:uid="{00000000-0005-0000-0000-0000937E0000}"/>
    <cellStyle name="Normal 16 3 2 7" xfId="7540" xr:uid="{00000000-0005-0000-0000-0000947E0000}"/>
    <cellStyle name="Normal 16 3 2 7 2" xfId="9012" xr:uid="{00000000-0005-0000-0000-0000957E0000}"/>
    <cellStyle name="Normal 16 3 2 7 2 2" xfId="11909" xr:uid="{00000000-0005-0000-0000-0000967E0000}"/>
    <cellStyle name="Normal 16 3 2 7 3" xfId="10469" xr:uid="{00000000-0005-0000-0000-0000977E0000}"/>
    <cellStyle name="Normal 16 3 2 7 4" xfId="36310" xr:uid="{00000000-0005-0000-0000-0000987E0000}"/>
    <cellStyle name="Normal 16 3 2 8" xfId="6816" xr:uid="{00000000-0005-0000-0000-0000997E0000}"/>
    <cellStyle name="Normal 16 3 2 8 2" xfId="8296" xr:uid="{00000000-0005-0000-0000-00009A7E0000}"/>
    <cellStyle name="Normal 16 3 2 8 2 2" xfId="11193" xr:uid="{00000000-0005-0000-0000-00009B7E0000}"/>
    <cellStyle name="Normal 16 3 2 8 3" xfId="9753" xr:uid="{00000000-0005-0000-0000-00009C7E0000}"/>
    <cellStyle name="Normal 16 3 2 9" xfId="7635" xr:uid="{00000000-0005-0000-0000-00009D7E0000}"/>
    <cellStyle name="Normal 16 3 2 9 2" xfId="10535" xr:uid="{00000000-0005-0000-0000-00009E7E0000}"/>
    <cellStyle name="Normal 16 3 3" xfId="838" xr:uid="{00000000-0005-0000-0000-00009F7E0000}"/>
    <cellStyle name="Normal 16 3 3 2" xfId="839" xr:uid="{00000000-0005-0000-0000-0000A07E0000}"/>
    <cellStyle name="Normal 16 3 3 2 2" xfId="840" xr:uid="{00000000-0005-0000-0000-0000A17E0000}"/>
    <cellStyle name="Normal 16 3 3 2 2 2" xfId="7390" xr:uid="{00000000-0005-0000-0000-0000A27E0000}"/>
    <cellStyle name="Normal 16 3 3 2 2 2 2" xfId="8867" xr:uid="{00000000-0005-0000-0000-0000A37E0000}"/>
    <cellStyle name="Normal 16 3 3 2 2 2 2 2" xfId="11764" xr:uid="{00000000-0005-0000-0000-0000A47E0000}"/>
    <cellStyle name="Normal 16 3 3 2 2 2 3" xfId="10324" xr:uid="{00000000-0005-0000-0000-0000A57E0000}"/>
    <cellStyle name="Normal 16 3 3 2 2 2 4" xfId="51887" xr:uid="{00000000-0005-0000-0000-0000A67E0000}"/>
    <cellStyle name="Normal 16 3 3 2 2 3" xfId="8209" xr:uid="{00000000-0005-0000-0000-0000A77E0000}"/>
    <cellStyle name="Normal 16 3 3 2 2 3 2" xfId="11106" xr:uid="{00000000-0005-0000-0000-0000A87E0000}"/>
    <cellStyle name="Normal 16 3 3 2 2 4" xfId="9666" xr:uid="{00000000-0005-0000-0000-0000A97E0000}"/>
    <cellStyle name="Normal 16 3 3 2 2 5" xfId="6714" xr:uid="{00000000-0005-0000-0000-0000AA7E0000}"/>
    <cellStyle name="Normal 16 3 3 2 2 6" xfId="32700" xr:uid="{00000000-0005-0000-0000-0000AB7E0000}"/>
    <cellStyle name="Normal 16 3 3 2 3" xfId="7157" xr:uid="{00000000-0005-0000-0000-0000AC7E0000}"/>
    <cellStyle name="Normal 16 3 3 2 3 2" xfId="8634" xr:uid="{00000000-0005-0000-0000-0000AD7E0000}"/>
    <cellStyle name="Normal 16 3 3 2 3 2 2" xfId="11531" xr:uid="{00000000-0005-0000-0000-0000AE7E0000}"/>
    <cellStyle name="Normal 16 3 3 2 3 3" xfId="10091" xr:uid="{00000000-0005-0000-0000-0000AF7E0000}"/>
    <cellStyle name="Normal 16 3 3 2 3 4" xfId="42189" xr:uid="{00000000-0005-0000-0000-0000B07E0000}"/>
    <cellStyle name="Normal 16 3 3 2 4" xfId="7976" xr:uid="{00000000-0005-0000-0000-0000B17E0000}"/>
    <cellStyle name="Normal 16 3 3 2 4 2" xfId="10873" xr:uid="{00000000-0005-0000-0000-0000B27E0000}"/>
    <cellStyle name="Normal 16 3 3 2 5" xfId="9433" xr:uid="{00000000-0005-0000-0000-0000B37E0000}"/>
    <cellStyle name="Normal 16 3 3 2 6" xfId="6481" xr:uid="{00000000-0005-0000-0000-0000B47E0000}"/>
    <cellStyle name="Normal 16 3 3 2 7" xfId="22610" xr:uid="{00000000-0005-0000-0000-0000B57E0000}"/>
    <cellStyle name="Normal 16 3 3 3" xfId="841" xr:uid="{00000000-0005-0000-0000-0000B67E0000}"/>
    <cellStyle name="Normal 16 3 3 3 2" xfId="7274" xr:uid="{00000000-0005-0000-0000-0000B77E0000}"/>
    <cellStyle name="Normal 16 3 3 3 2 2" xfId="8751" xr:uid="{00000000-0005-0000-0000-0000B87E0000}"/>
    <cellStyle name="Normal 16 3 3 3 2 2 2" xfId="11648" xr:uid="{00000000-0005-0000-0000-0000B97E0000}"/>
    <cellStyle name="Normal 16 3 3 3 2 3" xfId="10208" xr:uid="{00000000-0005-0000-0000-0000BA7E0000}"/>
    <cellStyle name="Normal 16 3 3 3 2 4" xfId="48235" xr:uid="{00000000-0005-0000-0000-0000BB7E0000}"/>
    <cellStyle name="Normal 16 3 3 3 3" xfId="8093" xr:uid="{00000000-0005-0000-0000-0000BC7E0000}"/>
    <cellStyle name="Normal 16 3 3 3 3 2" xfId="10990" xr:uid="{00000000-0005-0000-0000-0000BD7E0000}"/>
    <cellStyle name="Normal 16 3 3 3 4" xfId="9550" xr:uid="{00000000-0005-0000-0000-0000BE7E0000}"/>
    <cellStyle name="Normal 16 3 3 3 5" xfId="6598" xr:uid="{00000000-0005-0000-0000-0000BF7E0000}"/>
    <cellStyle name="Normal 16 3 3 3 6" xfId="29046" xr:uid="{00000000-0005-0000-0000-0000C07E0000}"/>
    <cellStyle name="Normal 16 3 3 4" xfId="842" xr:uid="{00000000-0005-0000-0000-0000C17E0000}"/>
    <cellStyle name="Normal 16 3 3 4 2" xfId="7041" xr:uid="{00000000-0005-0000-0000-0000C27E0000}"/>
    <cellStyle name="Normal 16 3 3 4 2 2" xfId="8518" xr:uid="{00000000-0005-0000-0000-0000C37E0000}"/>
    <cellStyle name="Normal 16 3 3 4 2 2 2" xfId="11415" xr:uid="{00000000-0005-0000-0000-0000C47E0000}"/>
    <cellStyle name="Normal 16 3 3 4 2 3" xfId="9975" xr:uid="{00000000-0005-0000-0000-0000C57E0000}"/>
    <cellStyle name="Normal 16 3 3 4 2 4" xfId="42542" xr:uid="{00000000-0005-0000-0000-0000C67E0000}"/>
    <cellStyle name="Normal 16 3 3 4 3" xfId="7859" xr:uid="{00000000-0005-0000-0000-0000C77E0000}"/>
    <cellStyle name="Normal 16 3 3 4 3 2" xfId="10757" xr:uid="{00000000-0005-0000-0000-0000C87E0000}"/>
    <cellStyle name="Normal 16 3 3 4 4" xfId="9317" xr:uid="{00000000-0005-0000-0000-0000C97E0000}"/>
    <cellStyle name="Normal 16 3 3 4 5" xfId="6362" xr:uid="{00000000-0005-0000-0000-0000CA7E0000}"/>
    <cellStyle name="Normal 16 3 3 4 6" xfId="22973" xr:uid="{00000000-0005-0000-0000-0000CB7E0000}"/>
    <cellStyle name="Normal 16 3 3 5" xfId="6867" xr:uid="{00000000-0005-0000-0000-0000CC7E0000}"/>
    <cellStyle name="Normal 16 3 3 5 2" xfId="8345" xr:uid="{00000000-0005-0000-0000-0000CD7E0000}"/>
    <cellStyle name="Normal 16 3 3 5 2 2" xfId="11242" xr:uid="{00000000-0005-0000-0000-0000CE7E0000}"/>
    <cellStyle name="Normal 16 3 3 5 3" xfId="9802" xr:uid="{00000000-0005-0000-0000-0000CF7E0000}"/>
    <cellStyle name="Normal 16 3 3 5 4" xfId="38537" xr:uid="{00000000-0005-0000-0000-0000D07E0000}"/>
    <cellStyle name="Normal 16 3 3 6" xfId="7684" xr:uid="{00000000-0005-0000-0000-0000D17E0000}"/>
    <cellStyle name="Normal 16 3 3 6 2" xfId="10584" xr:uid="{00000000-0005-0000-0000-0000D27E0000}"/>
    <cellStyle name="Normal 16 3 3 7" xfId="9144" xr:uid="{00000000-0005-0000-0000-0000D37E0000}"/>
    <cellStyle name="Normal 16 3 3 8" xfId="6162" xr:uid="{00000000-0005-0000-0000-0000D47E0000}"/>
    <cellStyle name="Normal 16 3 3 9" xfId="18678" xr:uid="{00000000-0005-0000-0000-0000D57E0000}"/>
    <cellStyle name="Normal 16 3 4" xfId="843" xr:uid="{00000000-0005-0000-0000-0000D67E0000}"/>
    <cellStyle name="Normal 16 3 4 2" xfId="844" xr:uid="{00000000-0005-0000-0000-0000D77E0000}"/>
    <cellStyle name="Normal 16 3 4 2 2" xfId="7338" xr:uid="{00000000-0005-0000-0000-0000D87E0000}"/>
    <cellStyle name="Normal 16 3 4 2 2 2" xfId="8815" xr:uid="{00000000-0005-0000-0000-0000D97E0000}"/>
    <cellStyle name="Normal 16 3 4 2 2 2 2" xfId="11712" xr:uid="{00000000-0005-0000-0000-0000DA7E0000}"/>
    <cellStyle name="Normal 16 3 4 2 2 3" xfId="10272" xr:uid="{00000000-0005-0000-0000-0000DB7E0000}"/>
    <cellStyle name="Normal 16 3 4 2 2 4" xfId="51945" xr:uid="{00000000-0005-0000-0000-0000DC7E0000}"/>
    <cellStyle name="Normal 16 3 4 2 3" xfId="8157" xr:uid="{00000000-0005-0000-0000-0000DD7E0000}"/>
    <cellStyle name="Normal 16 3 4 2 3 2" xfId="11054" xr:uid="{00000000-0005-0000-0000-0000DE7E0000}"/>
    <cellStyle name="Normal 16 3 4 2 4" xfId="9614" xr:uid="{00000000-0005-0000-0000-0000DF7E0000}"/>
    <cellStyle name="Normal 16 3 4 2 5" xfId="6662" xr:uid="{00000000-0005-0000-0000-0000E07E0000}"/>
    <cellStyle name="Normal 16 3 4 2 6" xfId="32758" xr:uid="{00000000-0005-0000-0000-0000E17E0000}"/>
    <cellStyle name="Normal 16 3 4 3" xfId="845" xr:uid="{00000000-0005-0000-0000-0000E27E0000}"/>
    <cellStyle name="Normal 16 3 4 3 2" xfId="7105" xr:uid="{00000000-0005-0000-0000-0000E37E0000}"/>
    <cellStyle name="Normal 16 3 4 3 2 2" xfId="8582" xr:uid="{00000000-0005-0000-0000-0000E47E0000}"/>
    <cellStyle name="Normal 16 3 4 3 2 2 2" xfId="11479" xr:uid="{00000000-0005-0000-0000-0000E57E0000}"/>
    <cellStyle name="Normal 16 3 4 3 2 3" xfId="10039" xr:uid="{00000000-0005-0000-0000-0000E67E0000}"/>
    <cellStyle name="Normal 16 3 4 3 2 4" xfId="42600" xr:uid="{00000000-0005-0000-0000-0000E77E0000}"/>
    <cellStyle name="Normal 16 3 4 3 3" xfId="7924" xr:uid="{00000000-0005-0000-0000-0000E87E0000}"/>
    <cellStyle name="Normal 16 3 4 3 3 2" xfId="10821" xr:uid="{00000000-0005-0000-0000-0000E97E0000}"/>
    <cellStyle name="Normal 16 3 4 3 4" xfId="9381" xr:uid="{00000000-0005-0000-0000-0000EA7E0000}"/>
    <cellStyle name="Normal 16 3 4 3 5" xfId="6429" xr:uid="{00000000-0005-0000-0000-0000EB7E0000}"/>
    <cellStyle name="Normal 16 3 4 3 6" xfId="23031" xr:uid="{00000000-0005-0000-0000-0000EC7E0000}"/>
    <cellStyle name="Normal 16 3 4 4" xfId="6926" xr:uid="{00000000-0005-0000-0000-0000ED7E0000}"/>
    <cellStyle name="Normal 16 3 4 4 2" xfId="8403" xr:uid="{00000000-0005-0000-0000-0000EE7E0000}"/>
    <cellStyle name="Normal 16 3 4 4 2 2" xfId="11300" xr:uid="{00000000-0005-0000-0000-0000EF7E0000}"/>
    <cellStyle name="Normal 16 3 4 4 3" xfId="9860" xr:uid="{00000000-0005-0000-0000-0000F07E0000}"/>
    <cellStyle name="Normal 16 3 4 4 4" xfId="42247" xr:uid="{00000000-0005-0000-0000-0000F17E0000}"/>
    <cellStyle name="Normal 16 3 4 5" xfId="7743" xr:uid="{00000000-0005-0000-0000-0000F27E0000}"/>
    <cellStyle name="Normal 16 3 4 5 2" xfId="10642" xr:uid="{00000000-0005-0000-0000-0000F37E0000}"/>
    <cellStyle name="Normal 16 3 4 6" xfId="9202" xr:uid="{00000000-0005-0000-0000-0000F47E0000}"/>
    <cellStyle name="Normal 16 3 4 7" xfId="6227" xr:uid="{00000000-0005-0000-0000-0000F57E0000}"/>
    <cellStyle name="Normal 16 3 4 8" xfId="22672" xr:uid="{00000000-0005-0000-0000-0000F67E0000}"/>
    <cellStyle name="Normal 16 3 5" xfId="846" xr:uid="{00000000-0005-0000-0000-0000F77E0000}"/>
    <cellStyle name="Normal 16 3 5 2" xfId="7222" xr:uid="{00000000-0005-0000-0000-0000F87E0000}"/>
    <cellStyle name="Normal 16 3 5 2 2" xfId="8699" xr:uid="{00000000-0005-0000-0000-0000F97E0000}"/>
    <cellStyle name="Normal 16 3 5 2 2 2" xfId="11596" xr:uid="{00000000-0005-0000-0000-0000FA7E0000}"/>
    <cellStyle name="Normal 16 3 5 2 2 3" xfId="51808" xr:uid="{00000000-0005-0000-0000-0000FB7E0000}"/>
    <cellStyle name="Normal 16 3 5 2 3" xfId="10156" xr:uid="{00000000-0005-0000-0000-0000FC7E0000}"/>
    <cellStyle name="Normal 16 3 5 2 4" xfId="32621" xr:uid="{00000000-0005-0000-0000-0000FD7E0000}"/>
    <cellStyle name="Normal 16 3 5 3" xfId="8041" xr:uid="{00000000-0005-0000-0000-0000FE7E0000}"/>
    <cellStyle name="Normal 16 3 5 3 2" xfId="10938" xr:uid="{00000000-0005-0000-0000-0000FF7E0000}"/>
    <cellStyle name="Normal 16 3 5 3 3" xfId="42110" xr:uid="{00000000-0005-0000-0000-0000007F0000}"/>
    <cellStyle name="Normal 16 3 5 4" xfId="9498" xr:uid="{00000000-0005-0000-0000-0000017F0000}"/>
    <cellStyle name="Normal 16 3 5 5" xfId="6546" xr:uid="{00000000-0005-0000-0000-0000027F0000}"/>
    <cellStyle name="Normal 16 3 5 6" xfId="22486" xr:uid="{00000000-0005-0000-0000-0000037F0000}"/>
    <cellStyle name="Normal 16 3 6" xfId="847" xr:uid="{00000000-0005-0000-0000-0000047F0000}"/>
    <cellStyle name="Normal 16 3 6 2" xfId="6989" xr:uid="{00000000-0005-0000-0000-0000057F0000}"/>
    <cellStyle name="Normal 16 3 6 2 2" xfId="8466" xr:uid="{00000000-0005-0000-0000-0000067F0000}"/>
    <cellStyle name="Normal 16 3 6 2 2 2" xfId="11363" xr:uid="{00000000-0005-0000-0000-0000077F0000}"/>
    <cellStyle name="Normal 16 3 6 2 3" xfId="9923" xr:uid="{00000000-0005-0000-0000-0000087F0000}"/>
    <cellStyle name="Normal 16 3 6 2 4" xfId="43780" xr:uid="{00000000-0005-0000-0000-0000097F0000}"/>
    <cellStyle name="Normal 16 3 6 3" xfId="7807" xr:uid="{00000000-0005-0000-0000-00000A7F0000}"/>
    <cellStyle name="Normal 16 3 6 3 2" xfId="10705" xr:uid="{00000000-0005-0000-0000-00000B7F0000}"/>
    <cellStyle name="Normal 16 3 6 4" xfId="9265" xr:uid="{00000000-0005-0000-0000-00000C7F0000}"/>
    <cellStyle name="Normal 16 3 6 5" xfId="6310" xr:uid="{00000000-0005-0000-0000-00000D7F0000}"/>
    <cellStyle name="Normal 16 3 6 6" xfId="24586" xr:uid="{00000000-0005-0000-0000-00000E7F0000}"/>
    <cellStyle name="Normal 16 3 7" xfId="3285" xr:uid="{00000000-0005-0000-0000-00000F7F0000}"/>
    <cellStyle name="Normal 16 3 7 2" xfId="8929" xr:uid="{00000000-0005-0000-0000-0000107F0000}"/>
    <cellStyle name="Normal 16 3 7 2 2" xfId="11826" xr:uid="{00000000-0005-0000-0000-0000117F0000}"/>
    <cellStyle name="Normal 16 3 7 2 3" xfId="42463" xr:uid="{00000000-0005-0000-0000-0000127F0000}"/>
    <cellStyle name="Normal 16 3 7 3" xfId="10386" xr:uid="{00000000-0005-0000-0000-0000137F0000}"/>
    <cellStyle name="Normal 16 3 7 4" xfId="7455" xr:uid="{00000000-0005-0000-0000-0000147F0000}"/>
    <cellStyle name="Normal 16 3 7 5" xfId="22894" xr:uid="{00000000-0005-0000-0000-0000157F0000}"/>
    <cellStyle name="Normal 16 3 8" xfId="7514" xr:uid="{00000000-0005-0000-0000-0000167F0000}"/>
    <cellStyle name="Normal 16 3 8 2" xfId="8986" xr:uid="{00000000-0005-0000-0000-0000177F0000}"/>
    <cellStyle name="Normal 16 3 8 2 2" xfId="11883" xr:uid="{00000000-0005-0000-0000-0000187F0000}"/>
    <cellStyle name="Normal 16 3 8 3" xfId="10443" xr:uid="{00000000-0005-0000-0000-0000197F0000}"/>
    <cellStyle name="Normal 16 3 8 4" xfId="34082" xr:uid="{00000000-0005-0000-0000-00001A7F0000}"/>
    <cellStyle name="Normal 16 3 9" xfId="6785" xr:uid="{00000000-0005-0000-0000-00001B7F0000}"/>
    <cellStyle name="Normal 16 3 9 2" xfId="8266" xr:uid="{00000000-0005-0000-0000-00001C7F0000}"/>
    <cellStyle name="Normal 16 3 9 2 2" xfId="11163" xr:uid="{00000000-0005-0000-0000-00001D7F0000}"/>
    <cellStyle name="Normal 16 3 9 3" xfId="9723" xr:uid="{00000000-0005-0000-0000-00001E7F0000}"/>
    <cellStyle name="Normal 16 4" xfId="848" xr:uid="{00000000-0005-0000-0000-00001F7F0000}"/>
    <cellStyle name="Normal 16 4 10" xfId="7613" xr:uid="{00000000-0005-0000-0000-0000207F0000}"/>
    <cellStyle name="Normal 16 4 10 2" xfId="10513" xr:uid="{00000000-0005-0000-0000-0000217F0000}"/>
    <cellStyle name="Normal 16 4 11" xfId="9073" xr:uid="{00000000-0005-0000-0000-0000227F0000}"/>
    <cellStyle name="Normal 16 4 12" xfId="6078" xr:uid="{00000000-0005-0000-0000-0000237F0000}"/>
    <cellStyle name="Normal 16 4 13" xfId="14757" xr:uid="{00000000-0005-0000-0000-0000247F0000}"/>
    <cellStyle name="Normal 16 4 2" xfId="849" xr:uid="{00000000-0005-0000-0000-0000257F0000}"/>
    <cellStyle name="Normal 16 4 2 10" xfId="9103" xr:uid="{00000000-0005-0000-0000-0000267F0000}"/>
    <cellStyle name="Normal 16 4 2 11" xfId="6115" xr:uid="{00000000-0005-0000-0000-0000277F0000}"/>
    <cellStyle name="Normal 16 4 2 12" xfId="15886" xr:uid="{00000000-0005-0000-0000-0000287F0000}"/>
    <cellStyle name="Normal 16 4 2 2" xfId="850" xr:uid="{00000000-0005-0000-0000-0000297F0000}"/>
    <cellStyle name="Normal 16 4 2 2 2" xfId="851" xr:uid="{00000000-0005-0000-0000-00002A7F0000}"/>
    <cellStyle name="Normal 16 4 2 2 2 2" xfId="852" xr:uid="{00000000-0005-0000-0000-00002B7F0000}"/>
    <cellStyle name="Normal 16 4 2 2 2 2 2" xfId="7428" xr:uid="{00000000-0005-0000-0000-00002C7F0000}"/>
    <cellStyle name="Normal 16 4 2 2 2 2 2 2" xfId="8905" xr:uid="{00000000-0005-0000-0000-00002D7F0000}"/>
    <cellStyle name="Normal 16 4 2 2 2 2 2 2 2" xfId="11802" xr:uid="{00000000-0005-0000-0000-00002E7F0000}"/>
    <cellStyle name="Normal 16 4 2 2 2 2 2 3" xfId="10362" xr:uid="{00000000-0005-0000-0000-00002F7F0000}"/>
    <cellStyle name="Normal 16 4 2 2 2 2 2 4" xfId="51927" xr:uid="{00000000-0005-0000-0000-0000307F0000}"/>
    <cellStyle name="Normal 16 4 2 2 2 2 3" xfId="8247" xr:uid="{00000000-0005-0000-0000-0000317F0000}"/>
    <cellStyle name="Normal 16 4 2 2 2 2 3 2" xfId="11144" xr:uid="{00000000-0005-0000-0000-0000327F0000}"/>
    <cellStyle name="Normal 16 4 2 2 2 2 4" xfId="9704" xr:uid="{00000000-0005-0000-0000-0000337F0000}"/>
    <cellStyle name="Normal 16 4 2 2 2 2 5" xfId="6752" xr:uid="{00000000-0005-0000-0000-0000347F0000}"/>
    <cellStyle name="Normal 16 4 2 2 2 2 6" xfId="32740" xr:uid="{00000000-0005-0000-0000-0000357F0000}"/>
    <cellStyle name="Normal 16 4 2 2 2 3" xfId="7195" xr:uid="{00000000-0005-0000-0000-0000367F0000}"/>
    <cellStyle name="Normal 16 4 2 2 2 3 2" xfId="8672" xr:uid="{00000000-0005-0000-0000-0000377F0000}"/>
    <cellStyle name="Normal 16 4 2 2 2 3 2 2" xfId="11569" xr:uid="{00000000-0005-0000-0000-0000387F0000}"/>
    <cellStyle name="Normal 16 4 2 2 2 3 3" xfId="10129" xr:uid="{00000000-0005-0000-0000-0000397F0000}"/>
    <cellStyle name="Normal 16 4 2 2 2 3 4" xfId="42229" xr:uid="{00000000-0005-0000-0000-00003A7F0000}"/>
    <cellStyle name="Normal 16 4 2 2 2 4" xfId="8014" xr:uid="{00000000-0005-0000-0000-00003B7F0000}"/>
    <cellStyle name="Normal 16 4 2 2 2 4 2" xfId="10911" xr:uid="{00000000-0005-0000-0000-00003C7F0000}"/>
    <cellStyle name="Normal 16 4 2 2 2 5" xfId="9471" xr:uid="{00000000-0005-0000-0000-00003D7F0000}"/>
    <cellStyle name="Normal 16 4 2 2 2 6" xfId="6519" xr:uid="{00000000-0005-0000-0000-00003E7F0000}"/>
    <cellStyle name="Normal 16 4 2 2 2 7" xfId="22652" xr:uid="{00000000-0005-0000-0000-00003F7F0000}"/>
    <cellStyle name="Normal 16 4 2 2 3" xfId="853" xr:uid="{00000000-0005-0000-0000-0000407F0000}"/>
    <cellStyle name="Normal 16 4 2 2 3 2" xfId="7312" xr:uid="{00000000-0005-0000-0000-0000417F0000}"/>
    <cellStyle name="Normal 16 4 2 2 3 2 2" xfId="8789" xr:uid="{00000000-0005-0000-0000-0000427F0000}"/>
    <cellStyle name="Normal 16 4 2 2 3 2 2 2" xfId="11686" xr:uid="{00000000-0005-0000-0000-0000437F0000}"/>
    <cellStyle name="Normal 16 4 2 2 3 2 3" xfId="10246" xr:uid="{00000000-0005-0000-0000-0000447F0000}"/>
    <cellStyle name="Normal 16 4 2 2 3 2 4" xfId="49907" xr:uid="{00000000-0005-0000-0000-0000457F0000}"/>
    <cellStyle name="Normal 16 4 2 2 3 3" xfId="8131" xr:uid="{00000000-0005-0000-0000-0000467F0000}"/>
    <cellStyle name="Normal 16 4 2 2 3 3 2" xfId="11028" xr:uid="{00000000-0005-0000-0000-0000477F0000}"/>
    <cellStyle name="Normal 16 4 2 2 3 4" xfId="9588" xr:uid="{00000000-0005-0000-0000-0000487F0000}"/>
    <cellStyle name="Normal 16 4 2 2 3 5" xfId="6636" xr:uid="{00000000-0005-0000-0000-0000497F0000}"/>
    <cellStyle name="Normal 16 4 2 2 3 6" xfId="30718" xr:uid="{00000000-0005-0000-0000-00004A7F0000}"/>
    <cellStyle name="Normal 16 4 2 2 4" xfId="854" xr:uid="{00000000-0005-0000-0000-00004B7F0000}"/>
    <cellStyle name="Normal 16 4 2 2 4 2" xfId="7079" xr:uid="{00000000-0005-0000-0000-00004C7F0000}"/>
    <cellStyle name="Normal 16 4 2 2 4 2 2" xfId="8556" xr:uid="{00000000-0005-0000-0000-00004D7F0000}"/>
    <cellStyle name="Normal 16 4 2 2 4 2 2 2" xfId="11453" xr:uid="{00000000-0005-0000-0000-00004E7F0000}"/>
    <cellStyle name="Normal 16 4 2 2 4 2 3" xfId="10013" xr:uid="{00000000-0005-0000-0000-00004F7F0000}"/>
    <cellStyle name="Normal 16 4 2 2 4 2 4" xfId="42582" xr:uid="{00000000-0005-0000-0000-0000507F0000}"/>
    <cellStyle name="Normal 16 4 2 2 4 3" xfId="7897" xr:uid="{00000000-0005-0000-0000-0000517F0000}"/>
    <cellStyle name="Normal 16 4 2 2 4 3 2" xfId="10795" xr:uid="{00000000-0005-0000-0000-0000527F0000}"/>
    <cellStyle name="Normal 16 4 2 2 4 4" xfId="9355" xr:uid="{00000000-0005-0000-0000-0000537F0000}"/>
    <cellStyle name="Normal 16 4 2 2 4 5" xfId="6400" xr:uid="{00000000-0005-0000-0000-0000547F0000}"/>
    <cellStyle name="Normal 16 4 2 2 4 6" xfId="23013" xr:uid="{00000000-0005-0000-0000-0000557F0000}"/>
    <cellStyle name="Normal 16 4 2 2 5" xfId="6907" xr:uid="{00000000-0005-0000-0000-0000567F0000}"/>
    <cellStyle name="Normal 16 4 2 2 5 2" xfId="8385" xr:uid="{00000000-0005-0000-0000-0000577F0000}"/>
    <cellStyle name="Normal 16 4 2 2 5 2 2" xfId="11282" xr:uid="{00000000-0005-0000-0000-0000587F0000}"/>
    <cellStyle name="Normal 16 4 2 2 5 3" xfId="9842" xr:uid="{00000000-0005-0000-0000-0000597F0000}"/>
    <cellStyle name="Normal 16 4 2 2 5 4" xfId="40209" xr:uid="{00000000-0005-0000-0000-00005A7F0000}"/>
    <cellStyle name="Normal 16 4 2 2 6" xfId="7724" xr:uid="{00000000-0005-0000-0000-00005B7F0000}"/>
    <cellStyle name="Normal 16 4 2 2 6 2" xfId="10624" xr:uid="{00000000-0005-0000-0000-00005C7F0000}"/>
    <cellStyle name="Normal 16 4 2 2 7" xfId="9184" xr:uid="{00000000-0005-0000-0000-00005D7F0000}"/>
    <cellStyle name="Normal 16 4 2 2 8" xfId="6203" xr:uid="{00000000-0005-0000-0000-00005E7F0000}"/>
    <cellStyle name="Normal 16 4 2 2 9" xfId="20350" xr:uid="{00000000-0005-0000-0000-00005F7F0000}"/>
    <cellStyle name="Normal 16 4 2 3" xfId="855" xr:uid="{00000000-0005-0000-0000-0000607F0000}"/>
    <cellStyle name="Normal 16 4 2 3 2" xfId="856" xr:uid="{00000000-0005-0000-0000-0000617F0000}"/>
    <cellStyle name="Normal 16 4 2 3 2 2" xfId="7372" xr:uid="{00000000-0005-0000-0000-0000627F0000}"/>
    <cellStyle name="Normal 16 4 2 3 2 2 2" xfId="8849" xr:uid="{00000000-0005-0000-0000-0000637F0000}"/>
    <cellStyle name="Normal 16 4 2 3 2 2 2 2" xfId="11746" xr:uid="{00000000-0005-0000-0000-0000647F0000}"/>
    <cellStyle name="Normal 16 4 2 3 2 2 3" xfId="10306" xr:uid="{00000000-0005-0000-0000-0000657F0000}"/>
    <cellStyle name="Normal 16 4 2 3 2 2 4" xfId="51983" xr:uid="{00000000-0005-0000-0000-0000667F0000}"/>
    <cellStyle name="Normal 16 4 2 3 2 3" xfId="8191" xr:uid="{00000000-0005-0000-0000-0000677F0000}"/>
    <cellStyle name="Normal 16 4 2 3 2 3 2" xfId="11088" xr:uid="{00000000-0005-0000-0000-0000687F0000}"/>
    <cellStyle name="Normal 16 4 2 3 2 4" xfId="9648" xr:uid="{00000000-0005-0000-0000-0000697F0000}"/>
    <cellStyle name="Normal 16 4 2 3 2 5" xfId="6696" xr:uid="{00000000-0005-0000-0000-00006A7F0000}"/>
    <cellStyle name="Normal 16 4 2 3 2 6" xfId="32796" xr:uid="{00000000-0005-0000-0000-00006B7F0000}"/>
    <cellStyle name="Normal 16 4 2 3 3" xfId="857" xr:uid="{00000000-0005-0000-0000-00006C7F0000}"/>
    <cellStyle name="Normal 16 4 2 3 3 2" xfId="7139" xr:uid="{00000000-0005-0000-0000-00006D7F0000}"/>
    <cellStyle name="Normal 16 4 2 3 3 2 2" xfId="8616" xr:uid="{00000000-0005-0000-0000-00006E7F0000}"/>
    <cellStyle name="Normal 16 4 2 3 3 2 2 2" xfId="11513" xr:uid="{00000000-0005-0000-0000-00006F7F0000}"/>
    <cellStyle name="Normal 16 4 2 3 3 2 3" xfId="10073" xr:uid="{00000000-0005-0000-0000-0000707F0000}"/>
    <cellStyle name="Normal 16 4 2 3 3 2 4" xfId="42638" xr:uid="{00000000-0005-0000-0000-0000717F0000}"/>
    <cellStyle name="Normal 16 4 2 3 3 3" xfId="7958" xr:uid="{00000000-0005-0000-0000-0000727F0000}"/>
    <cellStyle name="Normal 16 4 2 3 3 3 2" xfId="10855" xr:uid="{00000000-0005-0000-0000-0000737F0000}"/>
    <cellStyle name="Normal 16 4 2 3 3 4" xfId="9415" xr:uid="{00000000-0005-0000-0000-0000747F0000}"/>
    <cellStyle name="Normal 16 4 2 3 3 5" xfId="6463" xr:uid="{00000000-0005-0000-0000-0000757F0000}"/>
    <cellStyle name="Normal 16 4 2 3 3 6" xfId="23069" xr:uid="{00000000-0005-0000-0000-0000767F0000}"/>
    <cellStyle name="Normal 16 4 2 3 4" xfId="6964" xr:uid="{00000000-0005-0000-0000-0000777F0000}"/>
    <cellStyle name="Normal 16 4 2 3 4 2" xfId="8441" xr:uid="{00000000-0005-0000-0000-0000787F0000}"/>
    <cellStyle name="Normal 16 4 2 3 4 2 2" xfId="11338" xr:uid="{00000000-0005-0000-0000-0000797F0000}"/>
    <cellStyle name="Normal 16 4 2 3 4 3" xfId="9898" xr:uid="{00000000-0005-0000-0000-00007A7F0000}"/>
    <cellStyle name="Normal 16 4 2 3 4 4" xfId="42285" xr:uid="{00000000-0005-0000-0000-00007B7F0000}"/>
    <cellStyle name="Normal 16 4 2 3 5" xfId="7781" xr:uid="{00000000-0005-0000-0000-00007C7F0000}"/>
    <cellStyle name="Normal 16 4 2 3 5 2" xfId="10680" xr:uid="{00000000-0005-0000-0000-00007D7F0000}"/>
    <cellStyle name="Normal 16 4 2 3 6" xfId="9240" xr:uid="{00000000-0005-0000-0000-00007E7F0000}"/>
    <cellStyle name="Normal 16 4 2 3 7" xfId="6265" xr:uid="{00000000-0005-0000-0000-00007F7F0000}"/>
    <cellStyle name="Normal 16 4 2 3 8" xfId="22710" xr:uid="{00000000-0005-0000-0000-0000807F0000}"/>
    <cellStyle name="Normal 16 4 2 4" xfId="858" xr:uid="{00000000-0005-0000-0000-0000817F0000}"/>
    <cellStyle name="Normal 16 4 2 4 2" xfId="7256" xr:uid="{00000000-0005-0000-0000-0000827F0000}"/>
    <cellStyle name="Normal 16 4 2 4 2 2" xfId="8733" xr:uid="{00000000-0005-0000-0000-0000837F0000}"/>
    <cellStyle name="Normal 16 4 2 4 2 2 2" xfId="11630" xr:uid="{00000000-0005-0000-0000-0000847F0000}"/>
    <cellStyle name="Normal 16 4 2 4 2 2 3" xfId="51846" xr:uid="{00000000-0005-0000-0000-0000857F0000}"/>
    <cellStyle name="Normal 16 4 2 4 2 3" xfId="10190" xr:uid="{00000000-0005-0000-0000-0000867F0000}"/>
    <cellStyle name="Normal 16 4 2 4 2 4" xfId="32659" xr:uid="{00000000-0005-0000-0000-0000877F0000}"/>
    <cellStyle name="Normal 16 4 2 4 3" xfId="8075" xr:uid="{00000000-0005-0000-0000-0000887F0000}"/>
    <cellStyle name="Normal 16 4 2 4 3 2" xfId="10972" xr:uid="{00000000-0005-0000-0000-0000897F0000}"/>
    <cellStyle name="Normal 16 4 2 4 3 3" xfId="42148" xr:uid="{00000000-0005-0000-0000-00008A7F0000}"/>
    <cellStyle name="Normal 16 4 2 4 4" xfId="9532" xr:uid="{00000000-0005-0000-0000-00008B7F0000}"/>
    <cellStyle name="Normal 16 4 2 4 5" xfId="6580" xr:uid="{00000000-0005-0000-0000-00008C7F0000}"/>
    <cellStyle name="Normal 16 4 2 4 6" xfId="22537" xr:uid="{00000000-0005-0000-0000-00008D7F0000}"/>
    <cellStyle name="Normal 16 4 2 5" xfId="859" xr:uid="{00000000-0005-0000-0000-00008E7F0000}"/>
    <cellStyle name="Normal 16 4 2 5 2" xfId="7023" xr:uid="{00000000-0005-0000-0000-00008F7F0000}"/>
    <cellStyle name="Normal 16 4 2 5 2 2" xfId="8500" xr:uid="{00000000-0005-0000-0000-0000907F0000}"/>
    <cellStyle name="Normal 16 4 2 5 2 2 2" xfId="11397" xr:uid="{00000000-0005-0000-0000-0000917F0000}"/>
    <cellStyle name="Normal 16 4 2 5 2 3" xfId="9957" xr:uid="{00000000-0005-0000-0000-0000927F0000}"/>
    <cellStyle name="Normal 16 4 2 5 2 4" xfId="45452" xr:uid="{00000000-0005-0000-0000-0000937F0000}"/>
    <cellStyle name="Normal 16 4 2 5 3" xfId="7841" xr:uid="{00000000-0005-0000-0000-0000947F0000}"/>
    <cellStyle name="Normal 16 4 2 5 3 2" xfId="10739" xr:uid="{00000000-0005-0000-0000-0000957F0000}"/>
    <cellStyle name="Normal 16 4 2 5 4" xfId="9299" xr:uid="{00000000-0005-0000-0000-0000967F0000}"/>
    <cellStyle name="Normal 16 4 2 5 5" xfId="6344" xr:uid="{00000000-0005-0000-0000-0000977F0000}"/>
    <cellStyle name="Normal 16 4 2 5 6" xfId="26263" xr:uid="{00000000-0005-0000-0000-0000987F0000}"/>
    <cellStyle name="Normal 16 4 2 6" xfId="7489" xr:uid="{00000000-0005-0000-0000-0000997F0000}"/>
    <cellStyle name="Normal 16 4 2 6 2" xfId="8963" xr:uid="{00000000-0005-0000-0000-00009A7F0000}"/>
    <cellStyle name="Normal 16 4 2 6 2 2" xfId="11860" xr:uid="{00000000-0005-0000-0000-00009B7F0000}"/>
    <cellStyle name="Normal 16 4 2 6 2 3" xfId="42501" xr:uid="{00000000-0005-0000-0000-00009C7F0000}"/>
    <cellStyle name="Normal 16 4 2 6 3" xfId="10420" xr:uid="{00000000-0005-0000-0000-00009D7F0000}"/>
    <cellStyle name="Normal 16 4 2 6 4" xfId="22932" xr:uid="{00000000-0005-0000-0000-00009E7F0000}"/>
    <cellStyle name="Normal 16 4 2 7" xfId="7548" xr:uid="{00000000-0005-0000-0000-00009F7F0000}"/>
    <cellStyle name="Normal 16 4 2 7 2" xfId="9020" xr:uid="{00000000-0005-0000-0000-0000A07F0000}"/>
    <cellStyle name="Normal 16 4 2 7 2 2" xfId="11917" xr:uid="{00000000-0005-0000-0000-0000A17F0000}"/>
    <cellStyle name="Normal 16 4 2 7 3" xfId="10477" xr:uid="{00000000-0005-0000-0000-0000A27F0000}"/>
    <cellStyle name="Normal 16 4 2 7 4" xfId="35754" xr:uid="{00000000-0005-0000-0000-0000A37F0000}"/>
    <cellStyle name="Normal 16 4 2 8" xfId="6824" xr:uid="{00000000-0005-0000-0000-0000A47F0000}"/>
    <cellStyle name="Normal 16 4 2 8 2" xfId="8304" xr:uid="{00000000-0005-0000-0000-0000A57F0000}"/>
    <cellStyle name="Normal 16 4 2 8 2 2" xfId="11201" xr:uid="{00000000-0005-0000-0000-0000A67F0000}"/>
    <cellStyle name="Normal 16 4 2 8 3" xfId="9761" xr:uid="{00000000-0005-0000-0000-0000A77F0000}"/>
    <cellStyle name="Normal 16 4 2 9" xfId="7643" xr:uid="{00000000-0005-0000-0000-0000A87F0000}"/>
    <cellStyle name="Normal 16 4 2 9 2" xfId="10543" xr:uid="{00000000-0005-0000-0000-0000A97F0000}"/>
    <cellStyle name="Normal 16 4 3" xfId="860" xr:uid="{00000000-0005-0000-0000-0000AA7F0000}"/>
    <cellStyle name="Normal 16 4 3 2" xfId="861" xr:uid="{00000000-0005-0000-0000-0000AB7F0000}"/>
    <cellStyle name="Normal 16 4 3 2 2" xfId="862" xr:uid="{00000000-0005-0000-0000-0000AC7F0000}"/>
    <cellStyle name="Normal 16 4 3 2 2 2" xfId="7398" xr:uid="{00000000-0005-0000-0000-0000AD7F0000}"/>
    <cellStyle name="Normal 16 4 3 2 2 2 2" xfId="8875" xr:uid="{00000000-0005-0000-0000-0000AE7F0000}"/>
    <cellStyle name="Normal 16 4 3 2 2 2 2 2" xfId="11772" xr:uid="{00000000-0005-0000-0000-0000AF7F0000}"/>
    <cellStyle name="Normal 16 4 3 2 2 2 3" xfId="10332" xr:uid="{00000000-0005-0000-0000-0000B07F0000}"/>
    <cellStyle name="Normal 16 4 3 2 2 2 4" xfId="51897" xr:uid="{00000000-0005-0000-0000-0000B17F0000}"/>
    <cellStyle name="Normal 16 4 3 2 2 3" xfId="8217" xr:uid="{00000000-0005-0000-0000-0000B27F0000}"/>
    <cellStyle name="Normal 16 4 3 2 2 3 2" xfId="11114" xr:uid="{00000000-0005-0000-0000-0000B37F0000}"/>
    <cellStyle name="Normal 16 4 3 2 2 4" xfId="9674" xr:uid="{00000000-0005-0000-0000-0000B47F0000}"/>
    <cellStyle name="Normal 16 4 3 2 2 5" xfId="6722" xr:uid="{00000000-0005-0000-0000-0000B57F0000}"/>
    <cellStyle name="Normal 16 4 3 2 2 6" xfId="32710" xr:uid="{00000000-0005-0000-0000-0000B67F0000}"/>
    <cellStyle name="Normal 16 4 3 2 3" xfId="7165" xr:uid="{00000000-0005-0000-0000-0000B77F0000}"/>
    <cellStyle name="Normal 16 4 3 2 3 2" xfId="8642" xr:uid="{00000000-0005-0000-0000-0000B87F0000}"/>
    <cellStyle name="Normal 16 4 3 2 3 2 2" xfId="11539" xr:uid="{00000000-0005-0000-0000-0000B97F0000}"/>
    <cellStyle name="Normal 16 4 3 2 3 3" xfId="10099" xr:uid="{00000000-0005-0000-0000-0000BA7F0000}"/>
    <cellStyle name="Normal 16 4 3 2 3 4" xfId="42199" xr:uid="{00000000-0005-0000-0000-0000BB7F0000}"/>
    <cellStyle name="Normal 16 4 3 2 4" xfId="7984" xr:uid="{00000000-0005-0000-0000-0000BC7F0000}"/>
    <cellStyle name="Normal 16 4 3 2 4 2" xfId="10881" xr:uid="{00000000-0005-0000-0000-0000BD7F0000}"/>
    <cellStyle name="Normal 16 4 3 2 5" xfId="9441" xr:uid="{00000000-0005-0000-0000-0000BE7F0000}"/>
    <cellStyle name="Normal 16 4 3 2 6" xfId="6489" xr:uid="{00000000-0005-0000-0000-0000BF7F0000}"/>
    <cellStyle name="Normal 16 4 3 2 7" xfId="22621" xr:uid="{00000000-0005-0000-0000-0000C07F0000}"/>
    <cellStyle name="Normal 16 4 3 3" xfId="863" xr:uid="{00000000-0005-0000-0000-0000C17F0000}"/>
    <cellStyle name="Normal 16 4 3 3 2" xfId="7282" xr:uid="{00000000-0005-0000-0000-0000C27F0000}"/>
    <cellStyle name="Normal 16 4 3 3 2 2" xfId="8759" xr:uid="{00000000-0005-0000-0000-0000C37F0000}"/>
    <cellStyle name="Normal 16 4 3 3 2 2 2" xfId="11656" xr:uid="{00000000-0005-0000-0000-0000C47F0000}"/>
    <cellStyle name="Normal 16 4 3 3 2 3" xfId="10216" xr:uid="{00000000-0005-0000-0000-0000C57F0000}"/>
    <cellStyle name="Normal 16 4 3 3 2 4" xfId="48792" xr:uid="{00000000-0005-0000-0000-0000C67F0000}"/>
    <cellStyle name="Normal 16 4 3 3 3" xfId="8101" xr:uid="{00000000-0005-0000-0000-0000C77F0000}"/>
    <cellStyle name="Normal 16 4 3 3 3 2" xfId="10998" xr:uid="{00000000-0005-0000-0000-0000C87F0000}"/>
    <cellStyle name="Normal 16 4 3 3 4" xfId="9558" xr:uid="{00000000-0005-0000-0000-0000C97F0000}"/>
    <cellStyle name="Normal 16 4 3 3 5" xfId="6606" xr:uid="{00000000-0005-0000-0000-0000CA7F0000}"/>
    <cellStyle name="Normal 16 4 3 3 6" xfId="29603" xr:uid="{00000000-0005-0000-0000-0000CB7F0000}"/>
    <cellStyle name="Normal 16 4 3 4" xfId="864" xr:uid="{00000000-0005-0000-0000-0000CC7F0000}"/>
    <cellStyle name="Normal 16 4 3 4 2" xfId="7049" xr:uid="{00000000-0005-0000-0000-0000CD7F0000}"/>
    <cellStyle name="Normal 16 4 3 4 2 2" xfId="8526" xr:uid="{00000000-0005-0000-0000-0000CE7F0000}"/>
    <cellStyle name="Normal 16 4 3 4 2 2 2" xfId="11423" xr:uid="{00000000-0005-0000-0000-0000CF7F0000}"/>
    <cellStyle name="Normal 16 4 3 4 2 3" xfId="9983" xr:uid="{00000000-0005-0000-0000-0000D07F0000}"/>
    <cellStyle name="Normal 16 4 3 4 2 4" xfId="42552" xr:uid="{00000000-0005-0000-0000-0000D17F0000}"/>
    <cellStyle name="Normal 16 4 3 4 3" xfId="7867" xr:uid="{00000000-0005-0000-0000-0000D27F0000}"/>
    <cellStyle name="Normal 16 4 3 4 3 2" xfId="10765" xr:uid="{00000000-0005-0000-0000-0000D37F0000}"/>
    <cellStyle name="Normal 16 4 3 4 4" xfId="9325" xr:uid="{00000000-0005-0000-0000-0000D47F0000}"/>
    <cellStyle name="Normal 16 4 3 4 5" xfId="6370" xr:uid="{00000000-0005-0000-0000-0000D57F0000}"/>
    <cellStyle name="Normal 16 4 3 4 6" xfId="22983" xr:uid="{00000000-0005-0000-0000-0000D67F0000}"/>
    <cellStyle name="Normal 16 4 3 5" xfId="6877" xr:uid="{00000000-0005-0000-0000-0000D77F0000}"/>
    <cellStyle name="Normal 16 4 3 5 2" xfId="8355" xr:uid="{00000000-0005-0000-0000-0000D87F0000}"/>
    <cellStyle name="Normal 16 4 3 5 2 2" xfId="11252" xr:uid="{00000000-0005-0000-0000-0000D97F0000}"/>
    <cellStyle name="Normal 16 4 3 5 3" xfId="9812" xr:uid="{00000000-0005-0000-0000-0000DA7F0000}"/>
    <cellStyle name="Normal 16 4 3 5 4" xfId="39094" xr:uid="{00000000-0005-0000-0000-0000DB7F0000}"/>
    <cellStyle name="Normal 16 4 3 6" xfId="7694" xr:uid="{00000000-0005-0000-0000-0000DC7F0000}"/>
    <cellStyle name="Normal 16 4 3 6 2" xfId="10594" xr:uid="{00000000-0005-0000-0000-0000DD7F0000}"/>
    <cellStyle name="Normal 16 4 3 7" xfId="9154" xr:uid="{00000000-0005-0000-0000-0000DE7F0000}"/>
    <cellStyle name="Normal 16 4 3 8" xfId="6172" xr:uid="{00000000-0005-0000-0000-0000DF7F0000}"/>
    <cellStyle name="Normal 16 4 3 9" xfId="19235" xr:uid="{00000000-0005-0000-0000-0000E07F0000}"/>
    <cellStyle name="Normal 16 4 4" xfId="865" xr:uid="{00000000-0005-0000-0000-0000E17F0000}"/>
    <cellStyle name="Normal 16 4 4 2" xfId="866" xr:uid="{00000000-0005-0000-0000-0000E27F0000}"/>
    <cellStyle name="Normal 16 4 4 2 2" xfId="7346" xr:uid="{00000000-0005-0000-0000-0000E37F0000}"/>
    <cellStyle name="Normal 16 4 4 2 2 2" xfId="8823" xr:uid="{00000000-0005-0000-0000-0000E47F0000}"/>
    <cellStyle name="Normal 16 4 4 2 2 2 2" xfId="11720" xr:uid="{00000000-0005-0000-0000-0000E57F0000}"/>
    <cellStyle name="Normal 16 4 4 2 2 3" xfId="10280" xr:uid="{00000000-0005-0000-0000-0000E67F0000}"/>
    <cellStyle name="Normal 16 4 4 2 2 4" xfId="51953" xr:uid="{00000000-0005-0000-0000-0000E77F0000}"/>
    <cellStyle name="Normal 16 4 4 2 3" xfId="8165" xr:uid="{00000000-0005-0000-0000-0000E87F0000}"/>
    <cellStyle name="Normal 16 4 4 2 3 2" xfId="11062" xr:uid="{00000000-0005-0000-0000-0000E97F0000}"/>
    <cellStyle name="Normal 16 4 4 2 4" xfId="9622" xr:uid="{00000000-0005-0000-0000-0000EA7F0000}"/>
    <cellStyle name="Normal 16 4 4 2 5" xfId="6670" xr:uid="{00000000-0005-0000-0000-0000EB7F0000}"/>
    <cellStyle name="Normal 16 4 4 2 6" xfId="32766" xr:uid="{00000000-0005-0000-0000-0000EC7F0000}"/>
    <cellStyle name="Normal 16 4 4 3" xfId="867" xr:uid="{00000000-0005-0000-0000-0000ED7F0000}"/>
    <cellStyle name="Normal 16 4 4 3 2" xfId="7113" xr:uid="{00000000-0005-0000-0000-0000EE7F0000}"/>
    <cellStyle name="Normal 16 4 4 3 2 2" xfId="8590" xr:uid="{00000000-0005-0000-0000-0000EF7F0000}"/>
    <cellStyle name="Normal 16 4 4 3 2 2 2" xfId="11487" xr:uid="{00000000-0005-0000-0000-0000F07F0000}"/>
    <cellStyle name="Normal 16 4 4 3 2 3" xfId="10047" xr:uid="{00000000-0005-0000-0000-0000F17F0000}"/>
    <cellStyle name="Normal 16 4 4 3 2 4" xfId="42608" xr:uid="{00000000-0005-0000-0000-0000F27F0000}"/>
    <cellStyle name="Normal 16 4 4 3 3" xfId="7932" xr:uid="{00000000-0005-0000-0000-0000F37F0000}"/>
    <cellStyle name="Normal 16 4 4 3 3 2" xfId="10829" xr:uid="{00000000-0005-0000-0000-0000F47F0000}"/>
    <cellStyle name="Normal 16 4 4 3 4" xfId="9389" xr:uid="{00000000-0005-0000-0000-0000F57F0000}"/>
    <cellStyle name="Normal 16 4 4 3 5" xfId="6437" xr:uid="{00000000-0005-0000-0000-0000F67F0000}"/>
    <cellStyle name="Normal 16 4 4 3 6" xfId="23039" xr:uid="{00000000-0005-0000-0000-0000F77F0000}"/>
    <cellStyle name="Normal 16 4 4 4" xfId="6934" xr:uid="{00000000-0005-0000-0000-0000F87F0000}"/>
    <cellStyle name="Normal 16 4 4 4 2" xfId="8411" xr:uid="{00000000-0005-0000-0000-0000F97F0000}"/>
    <cellStyle name="Normal 16 4 4 4 2 2" xfId="11308" xr:uid="{00000000-0005-0000-0000-0000FA7F0000}"/>
    <cellStyle name="Normal 16 4 4 4 3" xfId="9868" xr:uid="{00000000-0005-0000-0000-0000FB7F0000}"/>
    <cellStyle name="Normal 16 4 4 4 4" xfId="42255" xr:uid="{00000000-0005-0000-0000-0000FC7F0000}"/>
    <cellStyle name="Normal 16 4 4 5" xfId="7751" xr:uid="{00000000-0005-0000-0000-0000FD7F0000}"/>
    <cellStyle name="Normal 16 4 4 5 2" xfId="10650" xr:uid="{00000000-0005-0000-0000-0000FE7F0000}"/>
    <cellStyle name="Normal 16 4 4 6" xfId="9210" xr:uid="{00000000-0005-0000-0000-0000FF7F0000}"/>
    <cellStyle name="Normal 16 4 4 7" xfId="6235" xr:uid="{00000000-0005-0000-0000-000000800000}"/>
    <cellStyle name="Normal 16 4 4 8" xfId="22680" xr:uid="{00000000-0005-0000-0000-000001800000}"/>
    <cellStyle name="Normal 16 4 5" xfId="868" xr:uid="{00000000-0005-0000-0000-000002800000}"/>
    <cellStyle name="Normal 16 4 5 2" xfId="7230" xr:uid="{00000000-0005-0000-0000-000003800000}"/>
    <cellStyle name="Normal 16 4 5 2 2" xfId="8707" xr:uid="{00000000-0005-0000-0000-000004800000}"/>
    <cellStyle name="Normal 16 4 5 2 2 2" xfId="11604" xr:uid="{00000000-0005-0000-0000-000005800000}"/>
    <cellStyle name="Normal 16 4 5 2 2 3" xfId="51816" xr:uid="{00000000-0005-0000-0000-000006800000}"/>
    <cellStyle name="Normal 16 4 5 2 3" xfId="10164" xr:uid="{00000000-0005-0000-0000-000007800000}"/>
    <cellStyle name="Normal 16 4 5 2 4" xfId="32629" xr:uid="{00000000-0005-0000-0000-000008800000}"/>
    <cellStyle name="Normal 16 4 5 3" xfId="8049" xr:uid="{00000000-0005-0000-0000-000009800000}"/>
    <cellStyle name="Normal 16 4 5 3 2" xfId="10946" xr:uid="{00000000-0005-0000-0000-00000A800000}"/>
    <cellStyle name="Normal 16 4 5 3 3" xfId="42118" xr:uid="{00000000-0005-0000-0000-00000B800000}"/>
    <cellStyle name="Normal 16 4 5 4" xfId="9506" xr:uid="{00000000-0005-0000-0000-00000C800000}"/>
    <cellStyle name="Normal 16 4 5 5" xfId="6554" xr:uid="{00000000-0005-0000-0000-00000D800000}"/>
    <cellStyle name="Normal 16 4 5 6" xfId="22502" xr:uid="{00000000-0005-0000-0000-00000E800000}"/>
    <cellStyle name="Normal 16 4 6" xfId="869" xr:uid="{00000000-0005-0000-0000-00000F800000}"/>
    <cellStyle name="Normal 16 4 6 2" xfId="6997" xr:uid="{00000000-0005-0000-0000-000010800000}"/>
    <cellStyle name="Normal 16 4 6 2 2" xfId="8474" xr:uid="{00000000-0005-0000-0000-000011800000}"/>
    <cellStyle name="Normal 16 4 6 2 2 2" xfId="11371" xr:uid="{00000000-0005-0000-0000-000012800000}"/>
    <cellStyle name="Normal 16 4 6 2 3" xfId="9931" xr:uid="{00000000-0005-0000-0000-000013800000}"/>
    <cellStyle name="Normal 16 4 6 2 4" xfId="44337" xr:uid="{00000000-0005-0000-0000-000014800000}"/>
    <cellStyle name="Normal 16 4 6 3" xfId="7815" xr:uid="{00000000-0005-0000-0000-000015800000}"/>
    <cellStyle name="Normal 16 4 6 3 2" xfId="10713" xr:uid="{00000000-0005-0000-0000-000016800000}"/>
    <cellStyle name="Normal 16 4 6 4" xfId="9273" xr:uid="{00000000-0005-0000-0000-000017800000}"/>
    <cellStyle name="Normal 16 4 6 5" xfId="6318" xr:uid="{00000000-0005-0000-0000-000018800000}"/>
    <cellStyle name="Normal 16 4 6 6" xfId="25148" xr:uid="{00000000-0005-0000-0000-000019800000}"/>
    <cellStyle name="Normal 16 4 7" xfId="7463" xr:uid="{00000000-0005-0000-0000-00001A800000}"/>
    <cellStyle name="Normal 16 4 7 2" xfId="8937" xr:uid="{00000000-0005-0000-0000-00001B800000}"/>
    <cellStyle name="Normal 16 4 7 2 2" xfId="11834" xr:uid="{00000000-0005-0000-0000-00001C800000}"/>
    <cellStyle name="Normal 16 4 7 2 3" xfId="42471" xr:uid="{00000000-0005-0000-0000-00001D800000}"/>
    <cellStyle name="Normal 16 4 7 3" xfId="10394" xr:uid="{00000000-0005-0000-0000-00001E800000}"/>
    <cellStyle name="Normal 16 4 7 4" xfId="22902" xr:uid="{00000000-0005-0000-0000-00001F800000}"/>
    <cellStyle name="Normal 16 4 8" xfId="7522" xr:uid="{00000000-0005-0000-0000-000020800000}"/>
    <cellStyle name="Normal 16 4 8 2" xfId="8994" xr:uid="{00000000-0005-0000-0000-000021800000}"/>
    <cellStyle name="Normal 16 4 8 2 2" xfId="11891" xr:uid="{00000000-0005-0000-0000-000022800000}"/>
    <cellStyle name="Normal 16 4 8 3" xfId="10451" xr:uid="{00000000-0005-0000-0000-000023800000}"/>
    <cellStyle name="Normal 16 4 8 4" xfId="34639" xr:uid="{00000000-0005-0000-0000-000024800000}"/>
    <cellStyle name="Normal 16 4 9" xfId="6793" xr:uid="{00000000-0005-0000-0000-000025800000}"/>
    <cellStyle name="Normal 16 4 9 2" xfId="8274" xr:uid="{00000000-0005-0000-0000-000026800000}"/>
    <cellStyle name="Normal 16 4 9 2 2" xfId="11171" xr:uid="{00000000-0005-0000-0000-000027800000}"/>
    <cellStyle name="Normal 16 4 9 3" xfId="9731" xr:uid="{00000000-0005-0000-0000-000028800000}"/>
    <cellStyle name="Normal 16 5" xfId="870" xr:uid="{00000000-0005-0000-0000-000029800000}"/>
    <cellStyle name="Normal 16 5 10" xfId="7621" xr:uid="{00000000-0005-0000-0000-00002A800000}"/>
    <cellStyle name="Normal 16 5 10 2" xfId="10521" xr:uid="{00000000-0005-0000-0000-00002B800000}"/>
    <cellStyle name="Normal 16 5 11" xfId="9081" xr:uid="{00000000-0005-0000-0000-00002C800000}"/>
    <cellStyle name="Normal 16 5 12" xfId="6086" xr:uid="{00000000-0005-0000-0000-00002D800000}"/>
    <cellStyle name="Normal 16 5 13" xfId="15329" xr:uid="{00000000-0005-0000-0000-00002E800000}"/>
    <cellStyle name="Normal 16 5 2" xfId="871" xr:uid="{00000000-0005-0000-0000-00002F800000}"/>
    <cellStyle name="Normal 16 5 2 10" xfId="9111" xr:uid="{00000000-0005-0000-0000-000030800000}"/>
    <cellStyle name="Normal 16 5 2 11" xfId="6123" xr:uid="{00000000-0005-0000-0000-000031800000}"/>
    <cellStyle name="Normal 16 5 2 12" xfId="19793" xr:uid="{00000000-0005-0000-0000-000032800000}"/>
    <cellStyle name="Normal 16 5 2 2" xfId="872" xr:uid="{00000000-0005-0000-0000-000033800000}"/>
    <cellStyle name="Normal 16 5 2 2 2" xfId="873" xr:uid="{00000000-0005-0000-0000-000034800000}"/>
    <cellStyle name="Normal 16 5 2 2 2 2" xfId="874" xr:uid="{00000000-0005-0000-0000-000035800000}"/>
    <cellStyle name="Normal 16 5 2 2 2 2 2" xfId="7436" xr:uid="{00000000-0005-0000-0000-000036800000}"/>
    <cellStyle name="Normal 16 5 2 2 2 2 2 2" xfId="8913" xr:uid="{00000000-0005-0000-0000-000037800000}"/>
    <cellStyle name="Normal 16 5 2 2 2 2 2 2 2" xfId="11810" xr:uid="{00000000-0005-0000-0000-000038800000}"/>
    <cellStyle name="Normal 16 5 2 2 2 2 2 3" xfId="10370" xr:uid="{00000000-0005-0000-0000-000039800000}"/>
    <cellStyle name="Normal 16 5 2 2 2 2 3" xfId="8255" xr:uid="{00000000-0005-0000-0000-00003A800000}"/>
    <cellStyle name="Normal 16 5 2 2 2 2 3 2" xfId="11152" xr:uid="{00000000-0005-0000-0000-00003B800000}"/>
    <cellStyle name="Normal 16 5 2 2 2 2 4" xfId="9712" xr:uid="{00000000-0005-0000-0000-00003C800000}"/>
    <cellStyle name="Normal 16 5 2 2 2 2 5" xfId="6760" xr:uid="{00000000-0005-0000-0000-00003D800000}"/>
    <cellStyle name="Normal 16 5 2 2 2 2 6" xfId="51935" xr:uid="{00000000-0005-0000-0000-00003E800000}"/>
    <cellStyle name="Normal 16 5 2 2 2 3" xfId="7203" xr:uid="{00000000-0005-0000-0000-00003F800000}"/>
    <cellStyle name="Normal 16 5 2 2 2 3 2" xfId="8680" xr:uid="{00000000-0005-0000-0000-000040800000}"/>
    <cellStyle name="Normal 16 5 2 2 2 3 2 2" xfId="11577" xr:uid="{00000000-0005-0000-0000-000041800000}"/>
    <cellStyle name="Normal 16 5 2 2 2 3 3" xfId="10137" xr:uid="{00000000-0005-0000-0000-000042800000}"/>
    <cellStyle name="Normal 16 5 2 2 2 4" xfId="8022" xr:uid="{00000000-0005-0000-0000-000043800000}"/>
    <cellStyle name="Normal 16 5 2 2 2 4 2" xfId="10919" xr:uid="{00000000-0005-0000-0000-000044800000}"/>
    <cellStyle name="Normal 16 5 2 2 2 5" xfId="9479" xr:uid="{00000000-0005-0000-0000-000045800000}"/>
    <cellStyle name="Normal 16 5 2 2 2 6" xfId="6527" xr:uid="{00000000-0005-0000-0000-000046800000}"/>
    <cellStyle name="Normal 16 5 2 2 2 7" xfId="32748" xr:uid="{00000000-0005-0000-0000-000047800000}"/>
    <cellStyle name="Normal 16 5 2 2 3" xfId="875" xr:uid="{00000000-0005-0000-0000-000048800000}"/>
    <cellStyle name="Normal 16 5 2 2 3 2" xfId="7320" xr:uid="{00000000-0005-0000-0000-000049800000}"/>
    <cellStyle name="Normal 16 5 2 2 3 2 2" xfId="8797" xr:uid="{00000000-0005-0000-0000-00004A800000}"/>
    <cellStyle name="Normal 16 5 2 2 3 2 2 2" xfId="11694" xr:uid="{00000000-0005-0000-0000-00004B800000}"/>
    <cellStyle name="Normal 16 5 2 2 3 2 3" xfId="10254" xr:uid="{00000000-0005-0000-0000-00004C800000}"/>
    <cellStyle name="Normal 16 5 2 2 3 2 4" xfId="42590" xr:uid="{00000000-0005-0000-0000-00004D800000}"/>
    <cellStyle name="Normal 16 5 2 2 3 3" xfId="8139" xr:uid="{00000000-0005-0000-0000-00004E800000}"/>
    <cellStyle name="Normal 16 5 2 2 3 3 2" xfId="11036" xr:uid="{00000000-0005-0000-0000-00004F800000}"/>
    <cellStyle name="Normal 16 5 2 2 3 4" xfId="9596" xr:uid="{00000000-0005-0000-0000-000050800000}"/>
    <cellStyle name="Normal 16 5 2 2 3 5" xfId="6644" xr:uid="{00000000-0005-0000-0000-000051800000}"/>
    <cellStyle name="Normal 16 5 2 2 3 6" xfId="23021" xr:uid="{00000000-0005-0000-0000-000052800000}"/>
    <cellStyle name="Normal 16 5 2 2 4" xfId="876" xr:uid="{00000000-0005-0000-0000-000053800000}"/>
    <cellStyle name="Normal 16 5 2 2 4 2" xfId="7087" xr:uid="{00000000-0005-0000-0000-000054800000}"/>
    <cellStyle name="Normal 16 5 2 2 4 2 2" xfId="8564" xr:uid="{00000000-0005-0000-0000-000055800000}"/>
    <cellStyle name="Normal 16 5 2 2 4 2 2 2" xfId="11461" xr:uid="{00000000-0005-0000-0000-000056800000}"/>
    <cellStyle name="Normal 16 5 2 2 4 2 3" xfId="10021" xr:uid="{00000000-0005-0000-0000-000057800000}"/>
    <cellStyle name="Normal 16 5 2 2 4 3" xfId="7905" xr:uid="{00000000-0005-0000-0000-000058800000}"/>
    <cellStyle name="Normal 16 5 2 2 4 3 2" xfId="10803" xr:uid="{00000000-0005-0000-0000-000059800000}"/>
    <cellStyle name="Normal 16 5 2 2 4 4" xfId="9363" xr:uid="{00000000-0005-0000-0000-00005A800000}"/>
    <cellStyle name="Normal 16 5 2 2 4 5" xfId="6408" xr:uid="{00000000-0005-0000-0000-00005B800000}"/>
    <cellStyle name="Normal 16 5 2 2 4 6" xfId="42237" xr:uid="{00000000-0005-0000-0000-00005C800000}"/>
    <cellStyle name="Normal 16 5 2 2 5" xfId="6915" xr:uid="{00000000-0005-0000-0000-00005D800000}"/>
    <cellStyle name="Normal 16 5 2 2 5 2" xfId="8393" xr:uid="{00000000-0005-0000-0000-00005E800000}"/>
    <cellStyle name="Normal 16 5 2 2 5 2 2" xfId="11290" xr:uid="{00000000-0005-0000-0000-00005F800000}"/>
    <cellStyle name="Normal 16 5 2 2 5 3" xfId="9850" xr:uid="{00000000-0005-0000-0000-000060800000}"/>
    <cellStyle name="Normal 16 5 2 2 6" xfId="7732" xr:uid="{00000000-0005-0000-0000-000061800000}"/>
    <cellStyle name="Normal 16 5 2 2 6 2" xfId="10632" xr:uid="{00000000-0005-0000-0000-000062800000}"/>
    <cellStyle name="Normal 16 5 2 2 7" xfId="9192" xr:uid="{00000000-0005-0000-0000-000063800000}"/>
    <cellStyle name="Normal 16 5 2 2 8" xfId="6211" xr:uid="{00000000-0005-0000-0000-000064800000}"/>
    <cellStyle name="Normal 16 5 2 2 9" xfId="22660" xr:uid="{00000000-0005-0000-0000-000065800000}"/>
    <cellStyle name="Normal 16 5 2 3" xfId="877" xr:uid="{00000000-0005-0000-0000-000066800000}"/>
    <cellStyle name="Normal 16 5 2 3 2" xfId="878" xr:uid="{00000000-0005-0000-0000-000067800000}"/>
    <cellStyle name="Normal 16 5 2 3 2 2" xfId="7380" xr:uid="{00000000-0005-0000-0000-000068800000}"/>
    <cellStyle name="Normal 16 5 2 3 2 2 2" xfId="8857" xr:uid="{00000000-0005-0000-0000-000069800000}"/>
    <cellStyle name="Normal 16 5 2 3 2 2 2 2" xfId="11754" xr:uid="{00000000-0005-0000-0000-00006A800000}"/>
    <cellStyle name="Normal 16 5 2 3 2 2 3" xfId="10314" xr:uid="{00000000-0005-0000-0000-00006B800000}"/>
    <cellStyle name="Normal 16 5 2 3 2 2 4" xfId="51991" xr:uid="{00000000-0005-0000-0000-00006C800000}"/>
    <cellStyle name="Normal 16 5 2 3 2 3" xfId="8199" xr:uid="{00000000-0005-0000-0000-00006D800000}"/>
    <cellStyle name="Normal 16 5 2 3 2 3 2" xfId="11096" xr:uid="{00000000-0005-0000-0000-00006E800000}"/>
    <cellStyle name="Normal 16 5 2 3 2 4" xfId="9656" xr:uid="{00000000-0005-0000-0000-00006F800000}"/>
    <cellStyle name="Normal 16 5 2 3 2 5" xfId="6704" xr:uid="{00000000-0005-0000-0000-000070800000}"/>
    <cellStyle name="Normal 16 5 2 3 2 6" xfId="32804" xr:uid="{00000000-0005-0000-0000-000071800000}"/>
    <cellStyle name="Normal 16 5 2 3 3" xfId="879" xr:uid="{00000000-0005-0000-0000-000072800000}"/>
    <cellStyle name="Normal 16 5 2 3 3 2" xfId="7147" xr:uid="{00000000-0005-0000-0000-000073800000}"/>
    <cellStyle name="Normal 16 5 2 3 3 2 2" xfId="8624" xr:uid="{00000000-0005-0000-0000-000074800000}"/>
    <cellStyle name="Normal 16 5 2 3 3 2 2 2" xfId="11521" xr:uid="{00000000-0005-0000-0000-000075800000}"/>
    <cellStyle name="Normal 16 5 2 3 3 2 3" xfId="10081" xr:uid="{00000000-0005-0000-0000-000076800000}"/>
    <cellStyle name="Normal 16 5 2 3 3 2 4" xfId="42646" xr:uid="{00000000-0005-0000-0000-000077800000}"/>
    <cellStyle name="Normal 16 5 2 3 3 3" xfId="7966" xr:uid="{00000000-0005-0000-0000-000078800000}"/>
    <cellStyle name="Normal 16 5 2 3 3 3 2" xfId="10863" xr:uid="{00000000-0005-0000-0000-000079800000}"/>
    <cellStyle name="Normal 16 5 2 3 3 4" xfId="9423" xr:uid="{00000000-0005-0000-0000-00007A800000}"/>
    <cellStyle name="Normal 16 5 2 3 3 5" xfId="6471" xr:uid="{00000000-0005-0000-0000-00007B800000}"/>
    <cellStyle name="Normal 16 5 2 3 3 6" xfId="23077" xr:uid="{00000000-0005-0000-0000-00007C800000}"/>
    <cellStyle name="Normal 16 5 2 3 4" xfId="6972" xr:uid="{00000000-0005-0000-0000-00007D800000}"/>
    <cellStyle name="Normal 16 5 2 3 4 2" xfId="8449" xr:uid="{00000000-0005-0000-0000-00007E800000}"/>
    <cellStyle name="Normal 16 5 2 3 4 2 2" xfId="11346" xr:uid="{00000000-0005-0000-0000-00007F800000}"/>
    <cellStyle name="Normal 16 5 2 3 4 3" xfId="9906" xr:uid="{00000000-0005-0000-0000-000080800000}"/>
    <cellStyle name="Normal 16 5 2 3 4 4" xfId="42293" xr:uid="{00000000-0005-0000-0000-000081800000}"/>
    <cellStyle name="Normal 16 5 2 3 5" xfId="7789" xr:uid="{00000000-0005-0000-0000-000082800000}"/>
    <cellStyle name="Normal 16 5 2 3 5 2" xfId="10688" xr:uid="{00000000-0005-0000-0000-000083800000}"/>
    <cellStyle name="Normal 16 5 2 3 6" xfId="9248" xr:uid="{00000000-0005-0000-0000-000084800000}"/>
    <cellStyle name="Normal 16 5 2 3 7" xfId="6273" xr:uid="{00000000-0005-0000-0000-000085800000}"/>
    <cellStyle name="Normal 16 5 2 3 8" xfId="22718" xr:uid="{00000000-0005-0000-0000-000086800000}"/>
    <cellStyle name="Normal 16 5 2 4" xfId="880" xr:uid="{00000000-0005-0000-0000-000087800000}"/>
    <cellStyle name="Normal 16 5 2 4 2" xfId="7264" xr:uid="{00000000-0005-0000-0000-000088800000}"/>
    <cellStyle name="Normal 16 5 2 4 2 2" xfId="8741" xr:uid="{00000000-0005-0000-0000-000089800000}"/>
    <cellStyle name="Normal 16 5 2 4 2 2 2" xfId="11638" xr:uid="{00000000-0005-0000-0000-00008A800000}"/>
    <cellStyle name="Normal 16 5 2 4 2 2 3" xfId="51854" xr:uid="{00000000-0005-0000-0000-00008B800000}"/>
    <cellStyle name="Normal 16 5 2 4 2 3" xfId="10198" xr:uid="{00000000-0005-0000-0000-00008C800000}"/>
    <cellStyle name="Normal 16 5 2 4 2 4" xfId="32667" xr:uid="{00000000-0005-0000-0000-00008D800000}"/>
    <cellStyle name="Normal 16 5 2 4 3" xfId="8083" xr:uid="{00000000-0005-0000-0000-00008E800000}"/>
    <cellStyle name="Normal 16 5 2 4 3 2" xfId="10980" xr:uid="{00000000-0005-0000-0000-00008F800000}"/>
    <cellStyle name="Normal 16 5 2 4 3 3" xfId="42156" xr:uid="{00000000-0005-0000-0000-000090800000}"/>
    <cellStyle name="Normal 16 5 2 4 4" xfId="9540" xr:uid="{00000000-0005-0000-0000-000091800000}"/>
    <cellStyle name="Normal 16 5 2 4 5" xfId="6588" xr:uid="{00000000-0005-0000-0000-000092800000}"/>
    <cellStyle name="Normal 16 5 2 4 6" xfId="22545" xr:uid="{00000000-0005-0000-0000-000093800000}"/>
    <cellStyle name="Normal 16 5 2 5" xfId="881" xr:uid="{00000000-0005-0000-0000-000094800000}"/>
    <cellStyle name="Normal 16 5 2 5 2" xfId="7031" xr:uid="{00000000-0005-0000-0000-000095800000}"/>
    <cellStyle name="Normal 16 5 2 5 2 2" xfId="8508" xr:uid="{00000000-0005-0000-0000-000096800000}"/>
    <cellStyle name="Normal 16 5 2 5 2 2 2" xfId="11405" xr:uid="{00000000-0005-0000-0000-000097800000}"/>
    <cellStyle name="Normal 16 5 2 5 2 3" xfId="9965" xr:uid="{00000000-0005-0000-0000-000098800000}"/>
    <cellStyle name="Normal 16 5 2 5 2 4" xfId="49350" xr:uid="{00000000-0005-0000-0000-000099800000}"/>
    <cellStyle name="Normal 16 5 2 5 3" xfId="7849" xr:uid="{00000000-0005-0000-0000-00009A800000}"/>
    <cellStyle name="Normal 16 5 2 5 3 2" xfId="10747" xr:uid="{00000000-0005-0000-0000-00009B800000}"/>
    <cellStyle name="Normal 16 5 2 5 4" xfId="9307" xr:uid="{00000000-0005-0000-0000-00009C800000}"/>
    <cellStyle name="Normal 16 5 2 5 5" xfId="6352" xr:uid="{00000000-0005-0000-0000-00009D800000}"/>
    <cellStyle name="Normal 16 5 2 5 6" xfId="30161" xr:uid="{00000000-0005-0000-0000-00009E800000}"/>
    <cellStyle name="Normal 16 5 2 6" xfId="7497" xr:uid="{00000000-0005-0000-0000-00009F800000}"/>
    <cellStyle name="Normal 16 5 2 6 2" xfId="8971" xr:uid="{00000000-0005-0000-0000-0000A0800000}"/>
    <cellStyle name="Normal 16 5 2 6 2 2" xfId="11868" xr:uid="{00000000-0005-0000-0000-0000A1800000}"/>
    <cellStyle name="Normal 16 5 2 6 2 3" xfId="42509" xr:uid="{00000000-0005-0000-0000-0000A2800000}"/>
    <cellStyle name="Normal 16 5 2 6 3" xfId="10428" xr:uid="{00000000-0005-0000-0000-0000A3800000}"/>
    <cellStyle name="Normal 16 5 2 6 4" xfId="22940" xr:uid="{00000000-0005-0000-0000-0000A4800000}"/>
    <cellStyle name="Normal 16 5 2 7" xfId="7556" xr:uid="{00000000-0005-0000-0000-0000A5800000}"/>
    <cellStyle name="Normal 16 5 2 7 2" xfId="9028" xr:uid="{00000000-0005-0000-0000-0000A6800000}"/>
    <cellStyle name="Normal 16 5 2 7 2 2" xfId="11925" xr:uid="{00000000-0005-0000-0000-0000A7800000}"/>
    <cellStyle name="Normal 16 5 2 7 3" xfId="10485" xr:uid="{00000000-0005-0000-0000-0000A8800000}"/>
    <cellStyle name="Normal 16 5 2 7 4" xfId="39652" xr:uid="{00000000-0005-0000-0000-0000A9800000}"/>
    <cellStyle name="Normal 16 5 2 8" xfId="6832" xr:uid="{00000000-0005-0000-0000-0000AA800000}"/>
    <cellStyle name="Normal 16 5 2 8 2" xfId="8312" xr:uid="{00000000-0005-0000-0000-0000AB800000}"/>
    <cellStyle name="Normal 16 5 2 8 2 2" xfId="11209" xr:uid="{00000000-0005-0000-0000-0000AC800000}"/>
    <cellStyle name="Normal 16 5 2 8 3" xfId="9769" xr:uid="{00000000-0005-0000-0000-0000AD800000}"/>
    <cellStyle name="Normal 16 5 2 9" xfId="7651" xr:uid="{00000000-0005-0000-0000-0000AE800000}"/>
    <cellStyle name="Normal 16 5 2 9 2" xfId="10551" xr:uid="{00000000-0005-0000-0000-0000AF800000}"/>
    <cellStyle name="Normal 16 5 3" xfId="882" xr:uid="{00000000-0005-0000-0000-0000B0800000}"/>
    <cellStyle name="Normal 16 5 3 2" xfId="883" xr:uid="{00000000-0005-0000-0000-0000B1800000}"/>
    <cellStyle name="Normal 16 5 3 2 2" xfId="884" xr:uid="{00000000-0005-0000-0000-0000B2800000}"/>
    <cellStyle name="Normal 16 5 3 2 2 2" xfId="7406" xr:uid="{00000000-0005-0000-0000-0000B3800000}"/>
    <cellStyle name="Normal 16 5 3 2 2 2 2" xfId="8883" xr:uid="{00000000-0005-0000-0000-0000B4800000}"/>
    <cellStyle name="Normal 16 5 3 2 2 2 2 2" xfId="11780" xr:uid="{00000000-0005-0000-0000-0000B5800000}"/>
    <cellStyle name="Normal 16 5 3 2 2 2 3" xfId="10340" xr:uid="{00000000-0005-0000-0000-0000B6800000}"/>
    <cellStyle name="Normal 16 5 3 2 2 3" xfId="8225" xr:uid="{00000000-0005-0000-0000-0000B7800000}"/>
    <cellStyle name="Normal 16 5 3 2 2 3 2" xfId="11122" xr:uid="{00000000-0005-0000-0000-0000B8800000}"/>
    <cellStyle name="Normal 16 5 3 2 2 4" xfId="9682" xr:uid="{00000000-0005-0000-0000-0000B9800000}"/>
    <cellStyle name="Normal 16 5 3 2 2 5" xfId="6730" xr:uid="{00000000-0005-0000-0000-0000BA800000}"/>
    <cellStyle name="Normal 16 5 3 2 2 6" xfId="51905" xr:uid="{00000000-0005-0000-0000-0000BB800000}"/>
    <cellStyle name="Normal 16 5 3 2 3" xfId="7173" xr:uid="{00000000-0005-0000-0000-0000BC800000}"/>
    <cellStyle name="Normal 16 5 3 2 3 2" xfId="8650" xr:uid="{00000000-0005-0000-0000-0000BD800000}"/>
    <cellStyle name="Normal 16 5 3 2 3 2 2" xfId="11547" xr:uid="{00000000-0005-0000-0000-0000BE800000}"/>
    <cellStyle name="Normal 16 5 3 2 3 3" xfId="10107" xr:uid="{00000000-0005-0000-0000-0000BF800000}"/>
    <cellStyle name="Normal 16 5 3 2 4" xfId="7992" xr:uid="{00000000-0005-0000-0000-0000C0800000}"/>
    <cellStyle name="Normal 16 5 3 2 4 2" xfId="10889" xr:uid="{00000000-0005-0000-0000-0000C1800000}"/>
    <cellStyle name="Normal 16 5 3 2 5" xfId="9449" xr:uid="{00000000-0005-0000-0000-0000C2800000}"/>
    <cellStyle name="Normal 16 5 3 2 6" xfId="6497" xr:uid="{00000000-0005-0000-0000-0000C3800000}"/>
    <cellStyle name="Normal 16 5 3 2 7" xfId="32718" xr:uid="{00000000-0005-0000-0000-0000C4800000}"/>
    <cellStyle name="Normal 16 5 3 3" xfId="885" xr:uid="{00000000-0005-0000-0000-0000C5800000}"/>
    <cellStyle name="Normal 16 5 3 3 2" xfId="7290" xr:uid="{00000000-0005-0000-0000-0000C6800000}"/>
    <cellStyle name="Normal 16 5 3 3 2 2" xfId="8767" xr:uid="{00000000-0005-0000-0000-0000C7800000}"/>
    <cellStyle name="Normal 16 5 3 3 2 2 2" xfId="11664" xr:uid="{00000000-0005-0000-0000-0000C8800000}"/>
    <cellStyle name="Normal 16 5 3 3 2 3" xfId="10224" xr:uid="{00000000-0005-0000-0000-0000C9800000}"/>
    <cellStyle name="Normal 16 5 3 3 2 4" xfId="42560" xr:uid="{00000000-0005-0000-0000-0000CA800000}"/>
    <cellStyle name="Normal 16 5 3 3 3" xfId="8109" xr:uid="{00000000-0005-0000-0000-0000CB800000}"/>
    <cellStyle name="Normal 16 5 3 3 3 2" xfId="11006" xr:uid="{00000000-0005-0000-0000-0000CC800000}"/>
    <cellStyle name="Normal 16 5 3 3 4" xfId="9566" xr:uid="{00000000-0005-0000-0000-0000CD800000}"/>
    <cellStyle name="Normal 16 5 3 3 5" xfId="6614" xr:uid="{00000000-0005-0000-0000-0000CE800000}"/>
    <cellStyle name="Normal 16 5 3 3 6" xfId="22991" xr:uid="{00000000-0005-0000-0000-0000CF800000}"/>
    <cellStyle name="Normal 16 5 3 4" xfId="886" xr:uid="{00000000-0005-0000-0000-0000D0800000}"/>
    <cellStyle name="Normal 16 5 3 4 2" xfId="7057" xr:uid="{00000000-0005-0000-0000-0000D1800000}"/>
    <cellStyle name="Normal 16 5 3 4 2 2" xfId="8534" xr:uid="{00000000-0005-0000-0000-0000D2800000}"/>
    <cellStyle name="Normal 16 5 3 4 2 2 2" xfId="11431" xr:uid="{00000000-0005-0000-0000-0000D3800000}"/>
    <cellStyle name="Normal 16 5 3 4 2 3" xfId="9991" xr:uid="{00000000-0005-0000-0000-0000D4800000}"/>
    <cellStyle name="Normal 16 5 3 4 3" xfId="7875" xr:uid="{00000000-0005-0000-0000-0000D5800000}"/>
    <cellStyle name="Normal 16 5 3 4 3 2" xfId="10773" xr:uid="{00000000-0005-0000-0000-0000D6800000}"/>
    <cellStyle name="Normal 16 5 3 4 4" xfId="9333" xr:uid="{00000000-0005-0000-0000-0000D7800000}"/>
    <cellStyle name="Normal 16 5 3 4 5" xfId="6378" xr:uid="{00000000-0005-0000-0000-0000D8800000}"/>
    <cellStyle name="Normal 16 5 3 4 6" xfId="42207" xr:uid="{00000000-0005-0000-0000-0000D9800000}"/>
    <cellStyle name="Normal 16 5 3 5" xfId="6885" xr:uid="{00000000-0005-0000-0000-0000DA800000}"/>
    <cellStyle name="Normal 16 5 3 5 2" xfId="8363" xr:uid="{00000000-0005-0000-0000-0000DB800000}"/>
    <cellStyle name="Normal 16 5 3 5 2 2" xfId="11260" xr:uid="{00000000-0005-0000-0000-0000DC800000}"/>
    <cellStyle name="Normal 16 5 3 5 3" xfId="9820" xr:uid="{00000000-0005-0000-0000-0000DD800000}"/>
    <cellStyle name="Normal 16 5 3 6" xfId="7702" xr:uid="{00000000-0005-0000-0000-0000DE800000}"/>
    <cellStyle name="Normal 16 5 3 6 2" xfId="10602" xr:uid="{00000000-0005-0000-0000-0000DF800000}"/>
    <cellStyle name="Normal 16 5 3 7" xfId="9162" xr:uid="{00000000-0005-0000-0000-0000E0800000}"/>
    <cellStyle name="Normal 16 5 3 8" xfId="6180" xr:uid="{00000000-0005-0000-0000-0000E1800000}"/>
    <cellStyle name="Normal 16 5 3 9" xfId="22629" xr:uid="{00000000-0005-0000-0000-0000E2800000}"/>
    <cellStyle name="Normal 16 5 4" xfId="887" xr:uid="{00000000-0005-0000-0000-0000E3800000}"/>
    <cellStyle name="Normal 16 5 4 2" xfId="888" xr:uid="{00000000-0005-0000-0000-0000E4800000}"/>
    <cellStyle name="Normal 16 5 4 2 2" xfId="7354" xr:uid="{00000000-0005-0000-0000-0000E5800000}"/>
    <cellStyle name="Normal 16 5 4 2 2 2" xfId="8831" xr:uid="{00000000-0005-0000-0000-0000E6800000}"/>
    <cellStyle name="Normal 16 5 4 2 2 2 2" xfId="11728" xr:uid="{00000000-0005-0000-0000-0000E7800000}"/>
    <cellStyle name="Normal 16 5 4 2 2 3" xfId="10288" xr:uid="{00000000-0005-0000-0000-0000E8800000}"/>
    <cellStyle name="Normal 16 5 4 2 2 4" xfId="51961" xr:uid="{00000000-0005-0000-0000-0000E9800000}"/>
    <cellStyle name="Normal 16 5 4 2 3" xfId="8173" xr:uid="{00000000-0005-0000-0000-0000EA800000}"/>
    <cellStyle name="Normal 16 5 4 2 3 2" xfId="11070" xr:uid="{00000000-0005-0000-0000-0000EB800000}"/>
    <cellStyle name="Normal 16 5 4 2 4" xfId="9630" xr:uid="{00000000-0005-0000-0000-0000EC800000}"/>
    <cellStyle name="Normal 16 5 4 2 5" xfId="6678" xr:uid="{00000000-0005-0000-0000-0000ED800000}"/>
    <cellStyle name="Normal 16 5 4 2 6" xfId="32774" xr:uid="{00000000-0005-0000-0000-0000EE800000}"/>
    <cellStyle name="Normal 16 5 4 3" xfId="889" xr:uid="{00000000-0005-0000-0000-0000EF800000}"/>
    <cellStyle name="Normal 16 5 4 3 2" xfId="7121" xr:uid="{00000000-0005-0000-0000-0000F0800000}"/>
    <cellStyle name="Normal 16 5 4 3 2 2" xfId="8598" xr:uid="{00000000-0005-0000-0000-0000F1800000}"/>
    <cellStyle name="Normal 16 5 4 3 2 2 2" xfId="11495" xr:uid="{00000000-0005-0000-0000-0000F2800000}"/>
    <cellStyle name="Normal 16 5 4 3 2 3" xfId="10055" xr:uid="{00000000-0005-0000-0000-0000F3800000}"/>
    <cellStyle name="Normal 16 5 4 3 2 4" xfId="42616" xr:uid="{00000000-0005-0000-0000-0000F4800000}"/>
    <cellStyle name="Normal 16 5 4 3 3" xfId="7940" xr:uid="{00000000-0005-0000-0000-0000F5800000}"/>
    <cellStyle name="Normal 16 5 4 3 3 2" xfId="10837" xr:uid="{00000000-0005-0000-0000-0000F6800000}"/>
    <cellStyle name="Normal 16 5 4 3 4" xfId="9397" xr:uid="{00000000-0005-0000-0000-0000F7800000}"/>
    <cellStyle name="Normal 16 5 4 3 5" xfId="6445" xr:uid="{00000000-0005-0000-0000-0000F8800000}"/>
    <cellStyle name="Normal 16 5 4 3 6" xfId="23047" xr:uid="{00000000-0005-0000-0000-0000F9800000}"/>
    <cellStyle name="Normal 16 5 4 4" xfId="6942" xr:uid="{00000000-0005-0000-0000-0000FA800000}"/>
    <cellStyle name="Normal 16 5 4 4 2" xfId="8419" xr:uid="{00000000-0005-0000-0000-0000FB800000}"/>
    <cellStyle name="Normal 16 5 4 4 2 2" xfId="11316" xr:uid="{00000000-0005-0000-0000-0000FC800000}"/>
    <cellStyle name="Normal 16 5 4 4 3" xfId="9876" xr:uid="{00000000-0005-0000-0000-0000FD800000}"/>
    <cellStyle name="Normal 16 5 4 4 4" xfId="42263" xr:uid="{00000000-0005-0000-0000-0000FE800000}"/>
    <cellStyle name="Normal 16 5 4 5" xfId="7759" xr:uid="{00000000-0005-0000-0000-0000FF800000}"/>
    <cellStyle name="Normal 16 5 4 5 2" xfId="10658" xr:uid="{00000000-0005-0000-0000-000000810000}"/>
    <cellStyle name="Normal 16 5 4 6" xfId="9218" xr:uid="{00000000-0005-0000-0000-000001810000}"/>
    <cellStyle name="Normal 16 5 4 7" xfId="6243" xr:uid="{00000000-0005-0000-0000-000002810000}"/>
    <cellStyle name="Normal 16 5 4 8" xfId="22688" xr:uid="{00000000-0005-0000-0000-000003810000}"/>
    <cellStyle name="Normal 16 5 5" xfId="890" xr:uid="{00000000-0005-0000-0000-000004810000}"/>
    <cellStyle name="Normal 16 5 5 2" xfId="7238" xr:uid="{00000000-0005-0000-0000-000005810000}"/>
    <cellStyle name="Normal 16 5 5 2 2" xfId="8715" xr:uid="{00000000-0005-0000-0000-000006810000}"/>
    <cellStyle name="Normal 16 5 5 2 2 2" xfId="11612" xr:uid="{00000000-0005-0000-0000-000007810000}"/>
    <cellStyle name="Normal 16 5 5 2 2 3" xfId="51824" xr:uid="{00000000-0005-0000-0000-000008810000}"/>
    <cellStyle name="Normal 16 5 5 2 3" xfId="10172" xr:uid="{00000000-0005-0000-0000-000009810000}"/>
    <cellStyle name="Normal 16 5 5 2 4" xfId="32637" xr:uid="{00000000-0005-0000-0000-00000A810000}"/>
    <cellStyle name="Normal 16 5 5 3" xfId="8057" xr:uid="{00000000-0005-0000-0000-00000B810000}"/>
    <cellStyle name="Normal 16 5 5 3 2" xfId="10954" xr:uid="{00000000-0005-0000-0000-00000C810000}"/>
    <cellStyle name="Normal 16 5 5 3 3" xfId="42126" xr:uid="{00000000-0005-0000-0000-00000D810000}"/>
    <cellStyle name="Normal 16 5 5 4" xfId="9514" xr:uid="{00000000-0005-0000-0000-00000E810000}"/>
    <cellStyle name="Normal 16 5 5 5" xfId="6562" xr:uid="{00000000-0005-0000-0000-00000F810000}"/>
    <cellStyle name="Normal 16 5 5 6" xfId="22510" xr:uid="{00000000-0005-0000-0000-000010810000}"/>
    <cellStyle name="Normal 16 5 6" xfId="891" xr:uid="{00000000-0005-0000-0000-000011810000}"/>
    <cellStyle name="Normal 16 5 6 2" xfId="7005" xr:uid="{00000000-0005-0000-0000-000012810000}"/>
    <cellStyle name="Normal 16 5 6 2 2" xfId="8482" xr:uid="{00000000-0005-0000-0000-000013810000}"/>
    <cellStyle name="Normal 16 5 6 2 2 2" xfId="11379" xr:uid="{00000000-0005-0000-0000-000014810000}"/>
    <cellStyle name="Normal 16 5 6 2 3" xfId="9939" xr:uid="{00000000-0005-0000-0000-000015810000}"/>
    <cellStyle name="Normal 16 5 6 2 4" xfId="44895" xr:uid="{00000000-0005-0000-0000-000016810000}"/>
    <cellStyle name="Normal 16 5 6 3" xfId="7823" xr:uid="{00000000-0005-0000-0000-000017810000}"/>
    <cellStyle name="Normal 16 5 6 3 2" xfId="10721" xr:uid="{00000000-0005-0000-0000-000018810000}"/>
    <cellStyle name="Normal 16 5 6 4" xfId="9281" xr:uid="{00000000-0005-0000-0000-000019810000}"/>
    <cellStyle name="Normal 16 5 6 5" xfId="6326" xr:uid="{00000000-0005-0000-0000-00001A810000}"/>
    <cellStyle name="Normal 16 5 6 6" xfId="25706" xr:uid="{00000000-0005-0000-0000-00001B810000}"/>
    <cellStyle name="Normal 16 5 7" xfId="7471" xr:uid="{00000000-0005-0000-0000-00001C810000}"/>
    <cellStyle name="Normal 16 5 7 2" xfId="8945" xr:uid="{00000000-0005-0000-0000-00001D810000}"/>
    <cellStyle name="Normal 16 5 7 2 2" xfId="11842" xr:uid="{00000000-0005-0000-0000-00001E810000}"/>
    <cellStyle name="Normal 16 5 7 2 3" xfId="42479" xr:uid="{00000000-0005-0000-0000-00001F810000}"/>
    <cellStyle name="Normal 16 5 7 3" xfId="10402" xr:uid="{00000000-0005-0000-0000-000020810000}"/>
    <cellStyle name="Normal 16 5 7 4" xfId="22910" xr:uid="{00000000-0005-0000-0000-000021810000}"/>
    <cellStyle name="Normal 16 5 8" xfId="7530" xr:uid="{00000000-0005-0000-0000-000022810000}"/>
    <cellStyle name="Normal 16 5 8 2" xfId="9002" xr:uid="{00000000-0005-0000-0000-000023810000}"/>
    <cellStyle name="Normal 16 5 8 2 2" xfId="11899" xr:uid="{00000000-0005-0000-0000-000024810000}"/>
    <cellStyle name="Normal 16 5 8 3" xfId="10459" xr:uid="{00000000-0005-0000-0000-000025810000}"/>
    <cellStyle name="Normal 16 5 8 4" xfId="35197" xr:uid="{00000000-0005-0000-0000-000026810000}"/>
    <cellStyle name="Normal 16 5 9" xfId="6801" xr:uid="{00000000-0005-0000-0000-000027810000}"/>
    <cellStyle name="Normal 16 5 9 2" xfId="8282" xr:uid="{00000000-0005-0000-0000-000028810000}"/>
    <cellStyle name="Normal 16 5 9 2 2" xfId="11179" xr:uid="{00000000-0005-0000-0000-000029810000}"/>
    <cellStyle name="Normal 16 5 9 3" xfId="9739" xr:uid="{00000000-0005-0000-0000-00002A810000}"/>
    <cellStyle name="Normal 16 6" xfId="892" xr:uid="{00000000-0005-0000-0000-00002B810000}"/>
    <cellStyle name="Normal 16 6 10" xfId="9093" xr:uid="{00000000-0005-0000-0000-00002C810000}"/>
    <cellStyle name="Normal 16 6 11" xfId="6104" xr:uid="{00000000-0005-0000-0000-00002D810000}"/>
    <cellStyle name="Normal 16 6 12" xfId="16999" xr:uid="{00000000-0005-0000-0000-00002E810000}"/>
    <cellStyle name="Normal 16 6 2" xfId="893" xr:uid="{00000000-0005-0000-0000-00002F810000}"/>
    <cellStyle name="Normal 16 6 2 2" xfId="894" xr:uid="{00000000-0005-0000-0000-000030810000}"/>
    <cellStyle name="Normal 16 6 2 2 2" xfId="895" xr:uid="{00000000-0005-0000-0000-000031810000}"/>
    <cellStyle name="Normal 16 6 2 2 2 2" xfId="7418" xr:uid="{00000000-0005-0000-0000-000032810000}"/>
    <cellStyle name="Normal 16 6 2 2 2 2 2" xfId="8895" xr:uid="{00000000-0005-0000-0000-000033810000}"/>
    <cellStyle name="Normal 16 6 2 2 2 2 2 2" xfId="11792" xr:uid="{00000000-0005-0000-0000-000034810000}"/>
    <cellStyle name="Normal 16 6 2 2 2 2 3" xfId="10352" xr:uid="{00000000-0005-0000-0000-000035810000}"/>
    <cellStyle name="Normal 16 6 2 2 2 2 4" xfId="51917" xr:uid="{00000000-0005-0000-0000-000036810000}"/>
    <cellStyle name="Normal 16 6 2 2 2 3" xfId="8237" xr:uid="{00000000-0005-0000-0000-000037810000}"/>
    <cellStyle name="Normal 16 6 2 2 2 3 2" xfId="11134" xr:uid="{00000000-0005-0000-0000-000038810000}"/>
    <cellStyle name="Normal 16 6 2 2 2 4" xfId="9694" xr:uid="{00000000-0005-0000-0000-000039810000}"/>
    <cellStyle name="Normal 16 6 2 2 2 5" xfId="6742" xr:uid="{00000000-0005-0000-0000-00003A810000}"/>
    <cellStyle name="Normal 16 6 2 2 2 6" xfId="32730" xr:uid="{00000000-0005-0000-0000-00003B810000}"/>
    <cellStyle name="Normal 16 6 2 2 3" xfId="7185" xr:uid="{00000000-0005-0000-0000-00003C810000}"/>
    <cellStyle name="Normal 16 6 2 2 3 2" xfId="8662" xr:uid="{00000000-0005-0000-0000-00003D810000}"/>
    <cellStyle name="Normal 16 6 2 2 3 2 2" xfId="11559" xr:uid="{00000000-0005-0000-0000-00003E810000}"/>
    <cellStyle name="Normal 16 6 2 2 3 3" xfId="10119" xr:uid="{00000000-0005-0000-0000-00003F810000}"/>
    <cellStyle name="Normal 16 6 2 2 3 4" xfId="42219" xr:uid="{00000000-0005-0000-0000-000040810000}"/>
    <cellStyle name="Normal 16 6 2 2 4" xfId="8004" xr:uid="{00000000-0005-0000-0000-000041810000}"/>
    <cellStyle name="Normal 16 6 2 2 4 2" xfId="10901" xr:uid="{00000000-0005-0000-0000-000042810000}"/>
    <cellStyle name="Normal 16 6 2 2 5" xfId="9461" xr:uid="{00000000-0005-0000-0000-000043810000}"/>
    <cellStyle name="Normal 16 6 2 2 6" xfId="6509" xr:uid="{00000000-0005-0000-0000-000044810000}"/>
    <cellStyle name="Normal 16 6 2 2 7" xfId="22642" xr:uid="{00000000-0005-0000-0000-000045810000}"/>
    <cellStyle name="Normal 16 6 2 3" xfId="896" xr:uid="{00000000-0005-0000-0000-000046810000}"/>
    <cellStyle name="Normal 16 6 2 3 2" xfId="7302" xr:uid="{00000000-0005-0000-0000-000047810000}"/>
    <cellStyle name="Normal 16 6 2 3 2 2" xfId="8779" xr:uid="{00000000-0005-0000-0000-000048810000}"/>
    <cellStyle name="Normal 16 6 2 3 2 2 2" xfId="11676" xr:uid="{00000000-0005-0000-0000-000049810000}"/>
    <cellStyle name="Normal 16 6 2 3 2 3" xfId="10236" xr:uid="{00000000-0005-0000-0000-00004A810000}"/>
    <cellStyle name="Normal 16 6 2 3 2 4" xfId="51020" xr:uid="{00000000-0005-0000-0000-00004B810000}"/>
    <cellStyle name="Normal 16 6 2 3 3" xfId="8121" xr:uid="{00000000-0005-0000-0000-00004C810000}"/>
    <cellStyle name="Normal 16 6 2 3 3 2" xfId="11018" xr:uid="{00000000-0005-0000-0000-00004D810000}"/>
    <cellStyle name="Normal 16 6 2 3 4" xfId="9578" xr:uid="{00000000-0005-0000-0000-00004E810000}"/>
    <cellStyle name="Normal 16 6 2 3 5" xfId="6626" xr:uid="{00000000-0005-0000-0000-00004F810000}"/>
    <cellStyle name="Normal 16 6 2 3 6" xfId="31831" xr:uid="{00000000-0005-0000-0000-000050810000}"/>
    <cellStyle name="Normal 16 6 2 4" xfId="897" xr:uid="{00000000-0005-0000-0000-000051810000}"/>
    <cellStyle name="Normal 16 6 2 4 2" xfId="7069" xr:uid="{00000000-0005-0000-0000-000052810000}"/>
    <cellStyle name="Normal 16 6 2 4 2 2" xfId="8546" xr:uid="{00000000-0005-0000-0000-000053810000}"/>
    <cellStyle name="Normal 16 6 2 4 2 2 2" xfId="11443" xr:uid="{00000000-0005-0000-0000-000054810000}"/>
    <cellStyle name="Normal 16 6 2 4 2 3" xfId="10003" xr:uid="{00000000-0005-0000-0000-000055810000}"/>
    <cellStyle name="Normal 16 6 2 4 2 4" xfId="42572" xr:uid="{00000000-0005-0000-0000-000056810000}"/>
    <cellStyle name="Normal 16 6 2 4 3" xfId="7887" xr:uid="{00000000-0005-0000-0000-000057810000}"/>
    <cellStyle name="Normal 16 6 2 4 3 2" xfId="10785" xr:uid="{00000000-0005-0000-0000-000058810000}"/>
    <cellStyle name="Normal 16 6 2 4 4" xfId="9345" xr:uid="{00000000-0005-0000-0000-000059810000}"/>
    <cellStyle name="Normal 16 6 2 4 5" xfId="6390" xr:uid="{00000000-0005-0000-0000-00005A810000}"/>
    <cellStyle name="Normal 16 6 2 4 6" xfId="23003" xr:uid="{00000000-0005-0000-0000-00005B810000}"/>
    <cellStyle name="Normal 16 6 2 5" xfId="6897" xr:uid="{00000000-0005-0000-0000-00005C810000}"/>
    <cellStyle name="Normal 16 6 2 5 2" xfId="8375" xr:uid="{00000000-0005-0000-0000-00005D810000}"/>
    <cellStyle name="Normal 16 6 2 5 2 2" xfId="11272" xr:uid="{00000000-0005-0000-0000-00005E810000}"/>
    <cellStyle name="Normal 16 6 2 5 3" xfId="9832" xr:uid="{00000000-0005-0000-0000-00005F810000}"/>
    <cellStyle name="Normal 16 6 2 5 4" xfId="41322" xr:uid="{00000000-0005-0000-0000-000060810000}"/>
    <cellStyle name="Normal 16 6 2 6" xfId="7714" xr:uid="{00000000-0005-0000-0000-000061810000}"/>
    <cellStyle name="Normal 16 6 2 6 2" xfId="10614" xr:uid="{00000000-0005-0000-0000-000062810000}"/>
    <cellStyle name="Normal 16 6 2 7" xfId="9174" xr:uid="{00000000-0005-0000-0000-000063810000}"/>
    <cellStyle name="Normal 16 6 2 8" xfId="6193" xr:uid="{00000000-0005-0000-0000-000064810000}"/>
    <cellStyle name="Normal 16 6 2 9" xfId="21463" xr:uid="{00000000-0005-0000-0000-000065810000}"/>
    <cellStyle name="Normal 16 6 3" xfId="898" xr:uid="{00000000-0005-0000-0000-000066810000}"/>
    <cellStyle name="Normal 16 6 3 2" xfId="899" xr:uid="{00000000-0005-0000-0000-000067810000}"/>
    <cellStyle name="Normal 16 6 3 2 2" xfId="7336" xr:uid="{00000000-0005-0000-0000-000068810000}"/>
    <cellStyle name="Normal 16 6 3 2 2 2" xfId="8813" xr:uid="{00000000-0005-0000-0000-000069810000}"/>
    <cellStyle name="Normal 16 6 3 2 2 2 2" xfId="11710" xr:uid="{00000000-0005-0000-0000-00006A810000}"/>
    <cellStyle name="Normal 16 6 3 2 2 3" xfId="10270" xr:uid="{00000000-0005-0000-0000-00006B810000}"/>
    <cellStyle name="Normal 16 6 3 2 2 4" xfId="51973" xr:uid="{00000000-0005-0000-0000-00006C810000}"/>
    <cellStyle name="Normal 16 6 3 2 3" xfId="8155" xr:uid="{00000000-0005-0000-0000-00006D810000}"/>
    <cellStyle name="Normal 16 6 3 2 3 2" xfId="11052" xr:uid="{00000000-0005-0000-0000-00006E810000}"/>
    <cellStyle name="Normal 16 6 3 2 4" xfId="9612" xr:uid="{00000000-0005-0000-0000-00006F810000}"/>
    <cellStyle name="Normal 16 6 3 2 5" xfId="6660" xr:uid="{00000000-0005-0000-0000-000070810000}"/>
    <cellStyle name="Normal 16 6 3 2 6" xfId="32786" xr:uid="{00000000-0005-0000-0000-000071810000}"/>
    <cellStyle name="Normal 16 6 3 3" xfId="900" xr:uid="{00000000-0005-0000-0000-000072810000}"/>
    <cellStyle name="Normal 16 6 3 3 2" xfId="7103" xr:uid="{00000000-0005-0000-0000-000073810000}"/>
    <cellStyle name="Normal 16 6 3 3 2 2" xfId="8580" xr:uid="{00000000-0005-0000-0000-000074810000}"/>
    <cellStyle name="Normal 16 6 3 3 2 2 2" xfId="11477" xr:uid="{00000000-0005-0000-0000-000075810000}"/>
    <cellStyle name="Normal 16 6 3 3 2 3" xfId="10037" xr:uid="{00000000-0005-0000-0000-000076810000}"/>
    <cellStyle name="Normal 16 6 3 3 2 4" xfId="42628" xr:uid="{00000000-0005-0000-0000-000077810000}"/>
    <cellStyle name="Normal 16 6 3 3 3" xfId="7922" xr:uid="{00000000-0005-0000-0000-000078810000}"/>
    <cellStyle name="Normal 16 6 3 3 3 2" xfId="10819" xr:uid="{00000000-0005-0000-0000-000079810000}"/>
    <cellStyle name="Normal 16 6 3 3 4" xfId="9379" xr:uid="{00000000-0005-0000-0000-00007A810000}"/>
    <cellStyle name="Normal 16 6 3 3 5" xfId="6427" xr:uid="{00000000-0005-0000-0000-00007B810000}"/>
    <cellStyle name="Normal 16 6 3 3 6" xfId="23059" xr:uid="{00000000-0005-0000-0000-00007C810000}"/>
    <cellStyle name="Normal 16 6 3 4" xfId="6954" xr:uid="{00000000-0005-0000-0000-00007D810000}"/>
    <cellStyle name="Normal 16 6 3 4 2" xfId="8431" xr:uid="{00000000-0005-0000-0000-00007E810000}"/>
    <cellStyle name="Normal 16 6 3 4 2 2" xfId="11328" xr:uid="{00000000-0005-0000-0000-00007F810000}"/>
    <cellStyle name="Normal 16 6 3 4 3" xfId="9888" xr:uid="{00000000-0005-0000-0000-000080810000}"/>
    <cellStyle name="Normal 16 6 3 4 4" xfId="42275" xr:uid="{00000000-0005-0000-0000-000081810000}"/>
    <cellStyle name="Normal 16 6 3 5" xfId="7771" xr:uid="{00000000-0005-0000-0000-000082810000}"/>
    <cellStyle name="Normal 16 6 3 5 2" xfId="10670" xr:uid="{00000000-0005-0000-0000-000083810000}"/>
    <cellStyle name="Normal 16 6 3 6" xfId="9230" xr:uid="{00000000-0005-0000-0000-000084810000}"/>
    <cellStyle name="Normal 16 6 3 7" xfId="6255" xr:uid="{00000000-0005-0000-0000-000085810000}"/>
    <cellStyle name="Normal 16 6 3 8" xfId="22700" xr:uid="{00000000-0005-0000-0000-000086810000}"/>
    <cellStyle name="Normal 16 6 4" xfId="901" xr:uid="{00000000-0005-0000-0000-000087810000}"/>
    <cellStyle name="Normal 16 6 4 2" xfId="7220" xr:uid="{00000000-0005-0000-0000-000088810000}"/>
    <cellStyle name="Normal 16 6 4 2 2" xfId="8697" xr:uid="{00000000-0005-0000-0000-000089810000}"/>
    <cellStyle name="Normal 16 6 4 2 2 2" xfId="11594" xr:uid="{00000000-0005-0000-0000-00008A810000}"/>
    <cellStyle name="Normal 16 6 4 2 2 3" xfId="51836" xr:uid="{00000000-0005-0000-0000-00008B810000}"/>
    <cellStyle name="Normal 16 6 4 2 3" xfId="10154" xr:uid="{00000000-0005-0000-0000-00008C810000}"/>
    <cellStyle name="Normal 16 6 4 2 4" xfId="32649" xr:uid="{00000000-0005-0000-0000-00008D810000}"/>
    <cellStyle name="Normal 16 6 4 3" xfId="8039" xr:uid="{00000000-0005-0000-0000-00008E810000}"/>
    <cellStyle name="Normal 16 6 4 3 2" xfId="10936" xr:uid="{00000000-0005-0000-0000-00008F810000}"/>
    <cellStyle name="Normal 16 6 4 3 3" xfId="42138" xr:uid="{00000000-0005-0000-0000-000090810000}"/>
    <cellStyle name="Normal 16 6 4 4" xfId="9496" xr:uid="{00000000-0005-0000-0000-000091810000}"/>
    <cellStyle name="Normal 16 6 4 5" xfId="6544" xr:uid="{00000000-0005-0000-0000-000092810000}"/>
    <cellStyle name="Normal 16 6 4 6" xfId="22526" xr:uid="{00000000-0005-0000-0000-000093810000}"/>
    <cellStyle name="Normal 16 6 5" xfId="902" xr:uid="{00000000-0005-0000-0000-000094810000}"/>
    <cellStyle name="Normal 16 6 5 2" xfId="6987" xr:uid="{00000000-0005-0000-0000-000095810000}"/>
    <cellStyle name="Normal 16 6 5 2 2" xfId="8464" xr:uid="{00000000-0005-0000-0000-000096810000}"/>
    <cellStyle name="Normal 16 6 5 2 2 2" xfId="11361" xr:uid="{00000000-0005-0000-0000-000097810000}"/>
    <cellStyle name="Normal 16 6 5 2 3" xfId="9921" xr:uid="{00000000-0005-0000-0000-000098810000}"/>
    <cellStyle name="Normal 16 6 5 2 4" xfId="46565" xr:uid="{00000000-0005-0000-0000-000099810000}"/>
    <cellStyle name="Normal 16 6 5 3" xfId="7805" xr:uid="{00000000-0005-0000-0000-00009A810000}"/>
    <cellStyle name="Normal 16 6 5 3 2" xfId="10703" xr:uid="{00000000-0005-0000-0000-00009B810000}"/>
    <cellStyle name="Normal 16 6 5 4" xfId="9263" xr:uid="{00000000-0005-0000-0000-00009C810000}"/>
    <cellStyle name="Normal 16 6 5 5" xfId="6308" xr:uid="{00000000-0005-0000-0000-00009D810000}"/>
    <cellStyle name="Normal 16 6 5 6" xfId="27376" xr:uid="{00000000-0005-0000-0000-00009E810000}"/>
    <cellStyle name="Normal 16 6 6" xfId="7453" xr:uid="{00000000-0005-0000-0000-00009F810000}"/>
    <cellStyle name="Normal 16 6 6 2" xfId="8927" xr:uid="{00000000-0005-0000-0000-0000A0810000}"/>
    <cellStyle name="Normal 16 6 6 2 2" xfId="11824" xr:uid="{00000000-0005-0000-0000-0000A1810000}"/>
    <cellStyle name="Normal 16 6 6 2 3" xfId="42491" xr:uid="{00000000-0005-0000-0000-0000A2810000}"/>
    <cellStyle name="Normal 16 6 6 3" xfId="10384" xr:uid="{00000000-0005-0000-0000-0000A3810000}"/>
    <cellStyle name="Normal 16 6 6 4" xfId="22922" xr:uid="{00000000-0005-0000-0000-0000A4810000}"/>
    <cellStyle name="Normal 16 6 7" xfId="7512" xr:uid="{00000000-0005-0000-0000-0000A5810000}"/>
    <cellStyle name="Normal 16 6 7 2" xfId="8984" xr:uid="{00000000-0005-0000-0000-0000A6810000}"/>
    <cellStyle name="Normal 16 6 7 2 2" xfId="11881" xr:uid="{00000000-0005-0000-0000-0000A7810000}"/>
    <cellStyle name="Normal 16 6 7 3" xfId="10441" xr:uid="{00000000-0005-0000-0000-0000A8810000}"/>
    <cellStyle name="Normal 16 6 7 4" xfId="36867" xr:uid="{00000000-0005-0000-0000-0000A9810000}"/>
    <cellStyle name="Normal 16 6 8" xfId="6814" xr:uid="{00000000-0005-0000-0000-0000AA810000}"/>
    <cellStyle name="Normal 16 6 8 2" xfId="8294" xr:uid="{00000000-0005-0000-0000-0000AB810000}"/>
    <cellStyle name="Normal 16 6 8 2 2" xfId="11191" xr:uid="{00000000-0005-0000-0000-0000AC810000}"/>
    <cellStyle name="Normal 16 6 8 3" xfId="9751" xr:uid="{00000000-0005-0000-0000-0000AD810000}"/>
    <cellStyle name="Normal 16 6 9" xfId="7633" xr:uid="{00000000-0005-0000-0000-0000AE810000}"/>
    <cellStyle name="Normal 16 6 9 2" xfId="10533" xr:uid="{00000000-0005-0000-0000-0000AF810000}"/>
    <cellStyle name="Normal 16 7" xfId="903" xr:uid="{00000000-0005-0000-0000-0000B0810000}"/>
    <cellStyle name="Normal 16 7 10" xfId="6157" xr:uid="{00000000-0005-0000-0000-0000B1810000}"/>
    <cellStyle name="Normal 16 7 11" xfId="17565" xr:uid="{00000000-0005-0000-0000-0000B2810000}"/>
    <cellStyle name="Normal 16 7 2" xfId="904" xr:uid="{00000000-0005-0000-0000-0000B3810000}"/>
    <cellStyle name="Normal 16 7 2 2" xfId="905" xr:uid="{00000000-0005-0000-0000-0000B4810000}"/>
    <cellStyle name="Normal 16 7 2 2 2" xfId="7362" xr:uid="{00000000-0005-0000-0000-0000B5810000}"/>
    <cellStyle name="Normal 16 7 2 2 2 2" xfId="8839" xr:uid="{00000000-0005-0000-0000-0000B6810000}"/>
    <cellStyle name="Normal 16 7 2 2 2 2 2" xfId="11736" xr:uid="{00000000-0005-0000-0000-0000B7810000}"/>
    <cellStyle name="Normal 16 7 2 2 2 3" xfId="10296" xr:uid="{00000000-0005-0000-0000-0000B8810000}"/>
    <cellStyle name="Normal 16 7 2 2 2 4" xfId="51577" xr:uid="{00000000-0005-0000-0000-0000B9810000}"/>
    <cellStyle name="Normal 16 7 2 2 3" xfId="8181" xr:uid="{00000000-0005-0000-0000-0000BA810000}"/>
    <cellStyle name="Normal 16 7 2 2 3 2" xfId="11078" xr:uid="{00000000-0005-0000-0000-0000BB810000}"/>
    <cellStyle name="Normal 16 7 2 2 4" xfId="9638" xr:uid="{00000000-0005-0000-0000-0000BC810000}"/>
    <cellStyle name="Normal 16 7 2 2 5" xfId="6686" xr:uid="{00000000-0005-0000-0000-0000BD810000}"/>
    <cellStyle name="Normal 16 7 2 2 6" xfId="32388" xr:uid="{00000000-0005-0000-0000-0000BE810000}"/>
    <cellStyle name="Normal 16 7 2 3" xfId="7129" xr:uid="{00000000-0005-0000-0000-0000BF810000}"/>
    <cellStyle name="Normal 16 7 2 3 2" xfId="8606" xr:uid="{00000000-0005-0000-0000-0000C0810000}"/>
    <cellStyle name="Normal 16 7 2 3 2 2" xfId="11503" xr:uid="{00000000-0005-0000-0000-0000C1810000}"/>
    <cellStyle name="Normal 16 7 2 3 3" xfId="10063" xr:uid="{00000000-0005-0000-0000-0000C2810000}"/>
    <cellStyle name="Normal 16 7 2 3 4" xfId="41879" xr:uid="{00000000-0005-0000-0000-0000C3810000}"/>
    <cellStyle name="Normal 16 7 2 4" xfId="7948" xr:uid="{00000000-0005-0000-0000-0000C4810000}"/>
    <cellStyle name="Normal 16 7 2 4 2" xfId="10845" xr:uid="{00000000-0005-0000-0000-0000C5810000}"/>
    <cellStyle name="Normal 16 7 2 5" xfId="9405" xr:uid="{00000000-0005-0000-0000-0000C6810000}"/>
    <cellStyle name="Normal 16 7 2 6" xfId="6453" xr:uid="{00000000-0005-0000-0000-0000C7810000}"/>
    <cellStyle name="Normal 16 7 2 7" xfId="22020" xr:uid="{00000000-0005-0000-0000-0000C8810000}"/>
    <cellStyle name="Normal 16 7 3" xfId="906" xr:uid="{00000000-0005-0000-0000-0000C9810000}"/>
    <cellStyle name="Normal 16 7 3 2" xfId="7246" xr:uid="{00000000-0005-0000-0000-0000CA810000}"/>
    <cellStyle name="Normal 16 7 3 2 2" xfId="8723" xr:uid="{00000000-0005-0000-0000-0000CB810000}"/>
    <cellStyle name="Normal 16 7 3 2 2 2" xfId="11620" xr:uid="{00000000-0005-0000-0000-0000CC810000}"/>
    <cellStyle name="Normal 16 7 3 2 2 3" xfId="51885" xr:uid="{00000000-0005-0000-0000-0000CD810000}"/>
    <cellStyle name="Normal 16 7 3 2 3" xfId="10180" xr:uid="{00000000-0005-0000-0000-0000CE810000}"/>
    <cellStyle name="Normal 16 7 3 2 4" xfId="32698" xr:uid="{00000000-0005-0000-0000-0000CF810000}"/>
    <cellStyle name="Normal 16 7 3 3" xfId="8065" xr:uid="{00000000-0005-0000-0000-0000D0810000}"/>
    <cellStyle name="Normal 16 7 3 3 2" xfId="10962" xr:uid="{00000000-0005-0000-0000-0000D1810000}"/>
    <cellStyle name="Normal 16 7 3 3 3" xfId="42187" xr:uid="{00000000-0005-0000-0000-0000D2810000}"/>
    <cellStyle name="Normal 16 7 3 4" xfId="9522" xr:uid="{00000000-0005-0000-0000-0000D3810000}"/>
    <cellStyle name="Normal 16 7 3 5" xfId="6570" xr:uid="{00000000-0005-0000-0000-0000D4810000}"/>
    <cellStyle name="Normal 16 7 3 6" xfId="22604" xr:uid="{00000000-0005-0000-0000-0000D5810000}"/>
    <cellStyle name="Normal 16 7 4" xfId="907" xr:uid="{00000000-0005-0000-0000-0000D6810000}"/>
    <cellStyle name="Normal 16 7 4 2" xfId="7013" xr:uid="{00000000-0005-0000-0000-0000D7810000}"/>
    <cellStyle name="Normal 16 7 4 2 2" xfId="8490" xr:uid="{00000000-0005-0000-0000-0000D8810000}"/>
    <cellStyle name="Normal 16 7 4 2 2 2" xfId="11387" xr:uid="{00000000-0005-0000-0000-0000D9810000}"/>
    <cellStyle name="Normal 16 7 4 2 3" xfId="9947" xr:uid="{00000000-0005-0000-0000-0000DA810000}"/>
    <cellStyle name="Normal 16 7 4 2 4" xfId="47122" xr:uid="{00000000-0005-0000-0000-0000DB810000}"/>
    <cellStyle name="Normal 16 7 4 3" xfId="7831" xr:uid="{00000000-0005-0000-0000-0000DC810000}"/>
    <cellStyle name="Normal 16 7 4 3 2" xfId="10729" xr:uid="{00000000-0005-0000-0000-0000DD810000}"/>
    <cellStyle name="Normal 16 7 4 4" xfId="9289" xr:uid="{00000000-0005-0000-0000-0000DE810000}"/>
    <cellStyle name="Normal 16 7 4 5" xfId="6334" xr:uid="{00000000-0005-0000-0000-0000DF810000}"/>
    <cellStyle name="Normal 16 7 4 6" xfId="27933" xr:uid="{00000000-0005-0000-0000-0000E0810000}"/>
    <cellStyle name="Normal 16 7 5" xfId="7479" xr:uid="{00000000-0005-0000-0000-0000E1810000}"/>
    <cellStyle name="Normal 16 7 5 2" xfId="8953" xr:uid="{00000000-0005-0000-0000-0000E2810000}"/>
    <cellStyle name="Normal 16 7 5 2 2" xfId="11850" xr:uid="{00000000-0005-0000-0000-0000E3810000}"/>
    <cellStyle name="Normal 16 7 5 2 3" xfId="42540" xr:uid="{00000000-0005-0000-0000-0000E4810000}"/>
    <cellStyle name="Normal 16 7 5 3" xfId="10410" xr:uid="{00000000-0005-0000-0000-0000E5810000}"/>
    <cellStyle name="Normal 16 7 5 4" xfId="22971" xr:uid="{00000000-0005-0000-0000-0000E6810000}"/>
    <cellStyle name="Normal 16 7 6" xfId="7538" xr:uid="{00000000-0005-0000-0000-0000E7810000}"/>
    <cellStyle name="Normal 16 7 6 2" xfId="9010" xr:uid="{00000000-0005-0000-0000-0000E8810000}"/>
    <cellStyle name="Normal 16 7 6 2 2" xfId="11907" xr:uid="{00000000-0005-0000-0000-0000E9810000}"/>
    <cellStyle name="Normal 16 7 6 3" xfId="10467" xr:uid="{00000000-0005-0000-0000-0000EA810000}"/>
    <cellStyle name="Normal 16 7 6 4" xfId="37424" xr:uid="{00000000-0005-0000-0000-0000EB810000}"/>
    <cellStyle name="Normal 16 7 7" xfId="6865" xr:uid="{00000000-0005-0000-0000-0000EC810000}"/>
    <cellStyle name="Normal 16 7 7 2" xfId="8343" xr:uid="{00000000-0005-0000-0000-0000ED810000}"/>
    <cellStyle name="Normal 16 7 7 2 2" xfId="11240" xr:uid="{00000000-0005-0000-0000-0000EE810000}"/>
    <cellStyle name="Normal 16 7 7 3" xfId="9800" xr:uid="{00000000-0005-0000-0000-0000EF810000}"/>
    <cellStyle name="Normal 16 7 8" xfId="7682" xr:uid="{00000000-0005-0000-0000-0000F0810000}"/>
    <cellStyle name="Normal 16 7 8 2" xfId="10582" xr:uid="{00000000-0005-0000-0000-0000F1810000}"/>
    <cellStyle name="Normal 16 7 9" xfId="9142" xr:uid="{00000000-0005-0000-0000-0000F2810000}"/>
    <cellStyle name="Normal 16 8" xfId="908" xr:uid="{00000000-0005-0000-0000-0000F3810000}"/>
    <cellStyle name="Normal 16 8 2" xfId="909" xr:uid="{00000000-0005-0000-0000-0000F4810000}"/>
    <cellStyle name="Normal 16 8 2 2" xfId="910" xr:uid="{00000000-0005-0000-0000-0000F5810000}"/>
    <cellStyle name="Normal 16 8 2 2 2" xfId="7388" xr:uid="{00000000-0005-0000-0000-0000F6810000}"/>
    <cellStyle name="Normal 16 8 2 2 2 2" xfId="8865" xr:uid="{00000000-0005-0000-0000-0000F7810000}"/>
    <cellStyle name="Normal 16 8 2 2 2 2 2" xfId="11762" xr:uid="{00000000-0005-0000-0000-0000F8810000}"/>
    <cellStyle name="Normal 16 8 2 2 2 3" xfId="10322" xr:uid="{00000000-0005-0000-0000-0000F9810000}"/>
    <cellStyle name="Normal 16 8 2 2 2 4" xfId="51943" xr:uid="{00000000-0005-0000-0000-0000FA810000}"/>
    <cellStyle name="Normal 16 8 2 2 3" xfId="8207" xr:uid="{00000000-0005-0000-0000-0000FB810000}"/>
    <cellStyle name="Normal 16 8 2 2 3 2" xfId="11104" xr:uid="{00000000-0005-0000-0000-0000FC810000}"/>
    <cellStyle name="Normal 16 8 2 2 4" xfId="9664" xr:uid="{00000000-0005-0000-0000-0000FD810000}"/>
    <cellStyle name="Normal 16 8 2 2 5" xfId="6712" xr:uid="{00000000-0005-0000-0000-0000FE810000}"/>
    <cellStyle name="Normal 16 8 2 2 6" xfId="32756" xr:uid="{00000000-0005-0000-0000-0000FF810000}"/>
    <cellStyle name="Normal 16 8 2 3" xfId="7155" xr:uid="{00000000-0005-0000-0000-000000820000}"/>
    <cellStyle name="Normal 16 8 2 3 2" xfId="8632" xr:uid="{00000000-0005-0000-0000-000001820000}"/>
    <cellStyle name="Normal 16 8 2 3 2 2" xfId="11529" xr:uid="{00000000-0005-0000-0000-000002820000}"/>
    <cellStyle name="Normal 16 8 2 3 3" xfId="10089" xr:uid="{00000000-0005-0000-0000-000003820000}"/>
    <cellStyle name="Normal 16 8 2 3 4" xfId="42245" xr:uid="{00000000-0005-0000-0000-000004820000}"/>
    <cellStyle name="Normal 16 8 2 4" xfId="7974" xr:uid="{00000000-0005-0000-0000-000005820000}"/>
    <cellStyle name="Normal 16 8 2 4 2" xfId="10871" xr:uid="{00000000-0005-0000-0000-000006820000}"/>
    <cellStyle name="Normal 16 8 2 5" xfId="9431" xr:uid="{00000000-0005-0000-0000-000007820000}"/>
    <cellStyle name="Normal 16 8 2 6" xfId="6479" xr:uid="{00000000-0005-0000-0000-000008820000}"/>
    <cellStyle name="Normal 16 8 2 7" xfId="22669" xr:uid="{00000000-0005-0000-0000-000009820000}"/>
    <cellStyle name="Normal 16 8 3" xfId="911" xr:uid="{00000000-0005-0000-0000-00000A820000}"/>
    <cellStyle name="Normal 16 8 3 2" xfId="7272" xr:uid="{00000000-0005-0000-0000-00000B820000}"/>
    <cellStyle name="Normal 16 8 3 2 2" xfId="8749" xr:uid="{00000000-0005-0000-0000-00000C820000}"/>
    <cellStyle name="Normal 16 8 3 2 2 2" xfId="11646" xr:uid="{00000000-0005-0000-0000-00000D820000}"/>
    <cellStyle name="Normal 16 8 3 2 3" xfId="10206" xr:uid="{00000000-0005-0000-0000-00000E820000}"/>
    <cellStyle name="Normal 16 8 3 2 4" xfId="47679" xr:uid="{00000000-0005-0000-0000-00000F820000}"/>
    <cellStyle name="Normal 16 8 3 3" xfId="8091" xr:uid="{00000000-0005-0000-0000-000010820000}"/>
    <cellStyle name="Normal 16 8 3 3 2" xfId="10988" xr:uid="{00000000-0005-0000-0000-000011820000}"/>
    <cellStyle name="Normal 16 8 3 4" xfId="9548" xr:uid="{00000000-0005-0000-0000-000012820000}"/>
    <cellStyle name="Normal 16 8 3 5" xfId="6596" xr:uid="{00000000-0005-0000-0000-000013820000}"/>
    <cellStyle name="Normal 16 8 3 6" xfId="28490" xr:uid="{00000000-0005-0000-0000-000014820000}"/>
    <cellStyle name="Normal 16 8 4" xfId="912" xr:uid="{00000000-0005-0000-0000-000015820000}"/>
    <cellStyle name="Normal 16 8 4 2" xfId="7039" xr:uid="{00000000-0005-0000-0000-000016820000}"/>
    <cellStyle name="Normal 16 8 4 2 2" xfId="8516" xr:uid="{00000000-0005-0000-0000-000017820000}"/>
    <cellStyle name="Normal 16 8 4 2 2 2" xfId="11413" xr:uid="{00000000-0005-0000-0000-000018820000}"/>
    <cellStyle name="Normal 16 8 4 2 3" xfId="9973" xr:uid="{00000000-0005-0000-0000-000019820000}"/>
    <cellStyle name="Normal 16 8 4 2 4" xfId="42598" xr:uid="{00000000-0005-0000-0000-00001A820000}"/>
    <cellStyle name="Normal 16 8 4 3" xfId="7857" xr:uid="{00000000-0005-0000-0000-00001B820000}"/>
    <cellStyle name="Normal 16 8 4 3 2" xfId="10755" xr:uid="{00000000-0005-0000-0000-00001C820000}"/>
    <cellStyle name="Normal 16 8 4 4" xfId="9315" xr:uid="{00000000-0005-0000-0000-00001D820000}"/>
    <cellStyle name="Normal 16 8 4 5" xfId="6360" xr:uid="{00000000-0005-0000-0000-00001E820000}"/>
    <cellStyle name="Normal 16 8 4 6" xfId="23029" xr:uid="{00000000-0005-0000-0000-00001F820000}"/>
    <cellStyle name="Normal 16 8 5" xfId="6924" xr:uid="{00000000-0005-0000-0000-000020820000}"/>
    <cellStyle name="Normal 16 8 5 2" xfId="8401" xr:uid="{00000000-0005-0000-0000-000021820000}"/>
    <cellStyle name="Normal 16 8 5 2 2" xfId="11298" xr:uid="{00000000-0005-0000-0000-000022820000}"/>
    <cellStyle name="Normal 16 8 5 3" xfId="9858" xr:uid="{00000000-0005-0000-0000-000023820000}"/>
    <cellStyle name="Normal 16 8 5 4" xfId="37981" xr:uid="{00000000-0005-0000-0000-000024820000}"/>
    <cellStyle name="Normal 16 8 6" xfId="7741" xr:uid="{00000000-0005-0000-0000-000025820000}"/>
    <cellStyle name="Normal 16 8 6 2" xfId="10640" xr:uid="{00000000-0005-0000-0000-000026820000}"/>
    <cellStyle name="Normal 16 8 7" xfId="9200" xr:uid="{00000000-0005-0000-0000-000027820000}"/>
    <cellStyle name="Normal 16 8 8" xfId="6224" xr:uid="{00000000-0005-0000-0000-000028820000}"/>
    <cellStyle name="Normal 16 8 9" xfId="18122" xr:uid="{00000000-0005-0000-0000-000029820000}"/>
    <cellStyle name="Normal 16 9" xfId="913" xr:uid="{00000000-0005-0000-0000-00002A820000}"/>
    <cellStyle name="Normal 16 9 2" xfId="914" xr:uid="{00000000-0005-0000-0000-00002B820000}"/>
    <cellStyle name="Normal 16 9 2 2" xfId="7331" xr:uid="{00000000-0005-0000-0000-00002C820000}"/>
    <cellStyle name="Normal 16 9 2 2 2" xfId="8808" xr:uid="{00000000-0005-0000-0000-00002D820000}"/>
    <cellStyle name="Normal 16 9 2 2 2 2" xfId="11705" xr:uid="{00000000-0005-0000-0000-00002E820000}"/>
    <cellStyle name="Normal 16 9 2 2 3" xfId="10265" xr:uid="{00000000-0005-0000-0000-00002F820000}"/>
    <cellStyle name="Normal 16 9 2 2 4" xfId="51806" xr:uid="{00000000-0005-0000-0000-000030820000}"/>
    <cellStyle name="Normal 16 9 2 3" xfId="8150" xr:uid="{00000000-0005-0000-0000-000031820000}"/>
    <cellStyle name="Normal 16 9 2 3 2" xfId="11047" xr:uid="{00000000-0005-0000-0000-000032820000}"/>
    <cellStyle name="Normal 16 9 2 4" xfId="9607" xr:uid="{00000000-0005-0000-0000-000033820000}"/>
    <cellStyle name="Normal 16 9 2 5" xfId="6655" xr:uid="{00000000-0005-0000-0000-000034820000}"/>
    <cellStyle name="Normal 16 9 2 6" xfId="32619" xr:uid="{00000000-0005-0000-0000-000035820000}"/>
    <cellStyle name="Normal 16 9 3" xfId="7097" xr:uid="{00000000-0005-0000-0000-000036820000}"/>
    <cellStyle name="Normal 16 9 3 2" xfId="8574" xr:uid="{00000000-0005-0000-0000-000037820000}"/>
    <cellStyle name="Normal 16 9 3 2 2" xfId="11471" xr:uid="{00000000-0005-0000-0000-000038820000}"/>
    <cellStyle name="Normal 16 9 3 3" xfId="10031" xr:uid="{00000000-0005-0000-0000-000039820000}"/>
    <cellStyle name="Normal 16 9 3 4" xfId="42108" xr:uid="{00000000-0005-0000-0000-00003A820000}"/>
    <cellStyle name="Normal 16 9 4" xfId="7916" xr:uid="{00000000-0005-0000-0000-00003B820000}"/>
    <cellStyle name="Normal 16 9 4 2" xfId="10813" xr:uid="{00000000-0005-0000-0000-00003C820000}"/>
    <cellStyle name="Normal 16 9 5" xfId="9373" xr:uid="{00000000-0005-0000-0000-00003D820000}"/>
    <cellStyle name="Normal 16 9 6" xfId="6420" xr:uid="{00000000-0005-0000-0000-00003E820000}"/>
    <cellStyle name="Normal 16 9 7" xfId="22454" xr:uid="{00000000-0005-0000-0000-00003F820000}"/>
    <cellStyle name="Normal 160" xfId="52399" xr:uid="{00000000-0005-0000-0000-000040820000}"/>
    <cellStyle name="Normal 161" xfId="52402" xr:uid="{00000000-0005-0000-0000-000041820000}"/>
    <cellStyle name="Normal 162" xfId="52404" xr:uid="{00000000-0005-0000-0000-000042820000}"/>
    <cellStyle name="Normal 163" xfId="52396" xr:uid="{00000000-0005-0000-0000-000043820000}"/>
    <cellStyle name="Normal 164" xfId="52376" xr:uid="{00000000-0005-0000-0000-000044820000}"/>
    <cellStyle name="Normal 165" xfId="52407" xr:uid="{00000000-0005-0000-0000-000045820000}"/>
    <cellStyle name="Normal 166" xfId="52403" xr:uid="{00000000-0005-0000-0000-000046820000}"/>
    <cellStyle name="Normal 167" xfId="12097" xr:uid="{00000000-0005-0000-0000-000047820000}"/>
    <cellStyle name="Normal 168" xfId="52408" xr:uid="{00000000-0005-0000-0000-000048820000}"/>
    <cellStyle name="Normal 169" xfId="52411" xr:uid="{00000000-0005-0000-0000-000049820000}"/>
    <cellStyle name="Normal 17" xfId="915" xr:uid="{00000000-0005-0000-0000-00004A820000}"/>
    <cellStyle name="Normal 17 10" xfId="916" xr:uid="{00000000-0005-0000-0000-00004B820000}"/>
    <cellStyle name="Normal 17 10 2" xfId="7216" xr:uid="{00000000-0005-0000-0000-00004C820000}"/>
    <cellStyle name="Normal 17 10 2 2" xfId="8693" xr:uid="{00000000-0005-0000-0000-00004D820000}"/>
    <cellStyle name="Normal 17 10 2 2 2" xfId="11590" xr:uid="{00000000-0005-0000-0000-00004E820000}"/>
    <cellStyle name="Normal 17 10 2 3" xfId="10150" xr:uid="{00000000-0005-0000-0000-00004F820000}"/>
    <cellStyle name="Normal 17 10 2 4" xfId="43226" xr:uid="{00000000-0005-0000-0000-000050820000}"/>
    <cellStyle name="Normal 17 10 3" xfId="8035" xr:uid="{00000000-0005-0000-0000-000051820000}"/>
    <cellStyle name="Normal 17 10 3 2" xfId="10932" xr:uid="{00000000-0005-0000-0000-000052820000}"/>
    <cellStyle name="Normal 17 10 4" xfId="9492" xr:uid="{00000000-0005-0000-0000-000053820000}"/>
    <cellStyle name="Normal 17 10 5" xfId="6540" xr:uid="{00000000-0005-0000-0000-000054820000}"/>
    <cellStyle name="Normal 17 10 6" xfId="23987" xr:uid="{00000000-0005-0000-0000-000055820000}"/>
    <cellStyle name="Normal 17 11" xfId="917" xr:uid="{00000000-0005-0000-0000-000056820000}"/>
    <cellStyle name="Normal 17 11 2" xfId="6983" xr:uid="{00000000-0005-0000-0000-000057820000}"/>
    <cellStyle name="Normal 17 11 2 2" xfId="8460" xr:uid="{00000000-0005-0000-0000-000058820000}"/>
    <cellStyle name="Normal 17 11 2 2 2" xfId="11357" xr:uid="{00000000-0005-0000-0000-000059820000}"/>
    <cellStyle name="Normal 17 11 2 3" xfId="9917" xr:uid="{00000000-0005-0000-0000-00005A820000}"/>
    <cellStyle name="Normal 17 11 2 4" xfId="42462" xr:uid="{00000000-0005-0000-0000-00005B820000}"/>
    <cellStyle name="Normal 17 11 3" xfId="7801" xr:uid="{00000000-0005-0000-0000-00005C820000}"/>
    <cellStyle name="Normal 17 11 3 2" xfId="10699" xr:uid="{00000000-0005-0000-0000-00005D820000}"/>
    <cellStyle name="Normal 17 11 4" xfId="9259" xr:uid="{00000000-0005-0000-0000-00005E820000}"/>
    <cellStyle name="Normal 17 11 5" xfId="6298" xr:uid="{00000000-0005-0000-0000-00005F820000}"/>
    <cellStyle name="Normal 17 11 6" xfId="22891" xr:uid="{00000000-0005-0000-0000-000060820000}"/>
    <cellStyle name="Normal 17 12" xfId="3286" xr:uid="{00000000-0005-0000-0000-000061820000}"/>
    <cellStyle name="Normal 17 12 2" xfId="8923" xr:uid="{00000000-0005-0000-0000-000062820000}"/>
    <cellStyle name="Normal 17 12 2 2" xfId="11820" xr:uid="{00000000-0005-0000-0000-000063820000}"/>
    <cellStyle name="Normal 17 12 3" xfId="10380" xr:uid="{00000000-0005-0000-0000-000064820000}"/>
    <cellStyle name="Normal 17 12 4" xfId="7447" xr:uid="{00000000-0005-0000-0000-000065820000}"/>
    <cellStyle name="Normal 17 12 5" xfId="33528" xr:uid="{00000000-0005-0000-0000-000066820000}"/>
    <cellStyle name="Normal 17 13" xfId="7507" xr:uid="{00000000-0005-0000-0000-000067820000}"/>
    <cellStyle name="Normal 17 13 2" xfId="8980" xr:uid="{00000000-0005-0000-0000-000068820000}"/>
    <cellStyle name="Normal 17 13 2 2" xfId="11877" xr:uid="{00000000-0005-0000-0000-000069820000}"/>
    <cellStyle name="Normal 17 13 3" xfId="10437" xr:uid="{00000000-0005-0000-0000-00006A820000}"/>
    <cellStyle name="Normal 17 13 4" xfId="52554" xr:uid="{00000000-0005-0000-0000-00006B820000}"/>
    <cellStyle name="Normal 17 14" xfId="6782" xr:uid="{00000000-0005-0000-0000-00006C820000}"/>
    <cellStyle name="Normal 17 14 2" xfId="8265" xr:uid="{00000000-0005-0000-0000-00006D820000}"/>
    <cellStyle name="Normal 17 14 2 2" xfId="11162" xr:uid="{00000000-0005-0000-0000-00006E820000}"/>
    <cellStyle name="Normal 17 14 3" xfId="9722" xr:uid="{00000000-0005-0000-0000-00006F820000}"/>
    <cellStyle name="Normal 17 15" xfId="7604" xr:uid="{00000000-0005-0000-0000-000070820000}"/>
    <cellStyle name="Normal 17 15 2" xfId="10505" xr:uid="{00000000-0005-0000-0000-000071820000}"/>
    <cellStyle name="Normal 17 16" xfId="9064" xr:uid="{00000000-0005-0000-0000-000072820000}"/>
    <cellStyle name="Normal 17 17" xfId="6060" xr:uid="{00000000-0005-0000-0000-000073820000}"/>
    <cellStyle name="Normal 17 18" xfId="13273" xr:uid="{00000000-0005-0000-0000-000074820000}"/>
    <cellStyle name="Normal 17 2" xfId="918" xr:uid="{00000000-0005-0000-0000-000075820000}"/>
    <cellStyle name="Normal 17 2 10" xfId="7452" xr:uid="{00000000-0005-0000-0000-000076820000}"/>
    <cellStyle name="Normal 17 2 10 2" xfId="8926" xr:uid="{00000000-0005-0000-0000-000077820000}"/>
    <cellStyle name="Normal 17 2 10 2 2" xfId="11823" xr:uid="{00000000-0005-0000-0000-000078820000}"/>
    <cellStyle name="Normal 17 2 10 2 3" xfId="42467" xr:uid="{00000000-0005-0000-0000-000079820000}"/>
    <cellStyle name="Normal 17 2 10 3" xfId="10383" xr:uid="{00000000-0005-0000-0000-00007A820000}"/>
    <cellStyle name="Normal 17 2 10 4" xfId="22898" xr:uid="{00000000-0005-0000-0000-00007B820000}"/>
    <cellStyle name="Normal 17 2 11" xfId="7511" xr:uid="{00000000-0005-0000-0000-00007C820000}"/>
    <cellStyle name="Normal 17 2 11 2" xfId="8983" xr:uid="{00000000-0005-0000-0000-00007D820000}"/>
    <cellStyle name="Normal 17 2 11 2 2" xfId="11880" xr:uid="{00000000-0005-0000-0000-00007E820000}"/>
    <cellStyle name="Normal 17 2 11 3" xfId="10440" xr:uid="{00000000-0005-0000-0000-00007F820000}"/>
    <cellStyle name="Normal 17 2 11 4" xfId="33529" xr:uid="{00000000-0005-0000-0000-000080820000}"/>
    <cellStyle name="Normal 17 2 12" xfId="6789" xr:uid="{00000000-0005-0000-0000-000081820000}"/>
    <cellStyle name="Normal 17 2 12 2" xfId="8270" xr:uid="{00000000-0005-0000-0000-000082820000}"/>
    <cellStyle name="Normal 17 2 12 2 2" xfId="11167" xr:uid="{00000000-0005-0000-0000-000083820000}"/>
    <cellStyle name="Normal 17 2 12 3" xfId="9727" xr:uid="{00000000-0005-0000-0000-000084820000}"/>
    <cellStyle name="Normal 17 2 13" xfId="7610" xr:uid="{00000000-0005-0000-0000-000085820000}"/>
    <cellStyle name="Normal 17 2 13 2" xfId="10510" xr:uid="{00000000-0005-0000-0000-000086820000}"/>
    <cellStyle name="Normal 17 2 14" xfId="9070" xr:uid="{00000000-0005-0000-0000-000087820000}"/>
    <cellStyle name="Normal 17 2 15" xfId="6073" xr:uid="{00000000-0005-0000-0000-000088820000}"/>
    <cellStyle name="Normal 17 2 16" xfId="13274" xr:uid="{00000000-0005-0000-0000-000089820000}"/>
    <cellStyle name="Normal 17 2 2" xfId="919" xr:uid="{00000000-0005-0000-0000-00008A820000}"/>
    <cellStyle name="Normal 17 2 2 10" xfId="7617" xr:uid="{00000000-0005-0000-0000-00008B820000}"/>
    <cellStyle name="Normal 17 2 2 10 2" xfId="10517" xr:uid="{00000000-0005-0000-0000-00008C820000}"/>
    <cellStyle name="Normal 17 2 2 11" xfId="9077" xr:uid="{00000000-0005-0000-0000-00008D820000}"/>
    <cellStyle name="Normal 17 2 2 12" xfId="6082" xr:uid="{00000000-0005-0000-0000-00008E820000}"/>
    <cellStyle name="Normal 17 2 2 13" xfId="14181" xr:uid="{00000000-0005-0000-0000-00008F820000}"/>
    <cellStyle name="Normal 17 2 2 2" xfId="920" xr:uid="{00000000-0005-0000-0000-000090820000}"/>
    <cellStyle name="Normal 17 2 2 2 10" xfId="9107" xr:uid="{00000000-0005-0000-0000-000091820000}"/>
    <cellStyle name="Normal 17 2 2 2 11" xfId="6119" xr:uid="{00000000-0005-0000-0000-000092820000}"/>
    <cellStyle name="Normal 17 2 2 2 12" xfId="16445" xr:uid="{00000000-0005-0000-0000-000093820000}"/>
    <cellStyle name="Normal 17 2 2 2 2" xfId="921" xr:uid="{00000000-0005-0000-0000-000094820000}"/>
    <cellStyle name="Normal 17 2 2 2 2 2" xfId="922" xr:uid="{00000000-0005-0000-0000-000095820000}"/>
    <cellStyle name="Normal 17 2 2 2 2 2 2" xfId="923" xr:uid="{00000000-0005-0000-0000-000096820000}"/>
    <cellStyle name="Normal 17 2 2 2 2 2 2 2" xfId="7432" xr:uid="{00000000-0005-0000-0000-000097820000}"/>
    <cellStyle name="Normal 17 2 2 2 2 2 2 2 2" xfId="8909" xr:uid="{00000000-0005-0000-0000-000098820000}"/>
    <cellStyle name="Normal 17 2 2 2 2 2 2 2 2 2" xfId="11806" xr:uid="{00000000-0005-0000-0000-000099820000}"/>
    <cellStyle name="Normal 17 2 2 2 2 2 2 2 3" xfId="10366" xr:uid="{00000000-0005-0000-0000-00009A820000}"/>
    <cellStyle name="Normal 17 2 2 2 2 2 2 2 4" xfId="51931" xr:uid="{00000000-0005-0000-0000-00009B820000}"/>
    <cellStyle name="Normal 17 2 2 2 2 2 2 3" xfId="8251" xr:uid="{00000000-0005-0000-0000-00009C820000}"/>
    <cellStyle name="Normal 17 2 2 2 2 2 2 3 2" xfId="11148" xr:uid="{00000000-0005-0000-0000-00009D820000}"/>
    <cellStyle name="Normal 17 2 2 2 2 2 2 4" xfId="9708" xr:uid="{00000000-0005-0000-0000-00009E820000}"/>
    <cellStyle name="Normal 17 2 2 2 2 2 2 5" xfId="6756" xr:uid="{00000000-0005-0000-0000-00009F820000}"/>
    <cellStyle name="Normal 17 2 2 2 2 2 2 6" xfId="32744" xr:uid="{00000000-0005-0000-0000-0000A0820000}"/>
    <cellStyle name="Normal 17 2 2 2 2 2 3" xfId="7199" xr:uid="{00000000-0005-0000-0000-0000A1820000}"/>
    <cellStyle name="Normal 17 2 2 2 2 2 3 2" xfId="8676" xr:uid="{00000000-0005-0000-0000-0000A2820000}"/>
    <cellStyle name="Normal 17 2 2 2 2 2 3 2 2" xfId="11573" xr:uid="{00000000-0005-0000-0000-0000A3820000}"/>
    <cellStyle name="Normal 17 2 2 2 2 2 3 3" xfId="10133" xr:uid="{00000000-0005-0000-0000-0000A4820000}"/>
    <cellStyle name="Normal 17 2 2 2 2 2 3 4" xfId="42233" xr:uid="{00000000-0005-0000-0000-0000A5820000}"/>
    <cellStyle name="Normal 17 2 2 2 2 2 4" xfId="8018" xr:uid="{00000000-0005-0000-0000-0000A6820000}"/>
    <cellStyle name="Normal 17 2 2 2 2 2 4 2" xfId="10915" xr:uid="{00000000-0005-0000-0000-0000A7820000}"/>
    <cellStyle name="Normal 17 2 2 2 2 2 5" xfId="9475" xr:uid="{00000000-0005-0000-0000-0000A8820000}"/>
    <cellStyle name="Normal 17 2 2 2 2 2 6" xfId="6523" xr:uid="{00000000-0005-0000-0000-0000A9820000}"/>
    <cellStyle name="Normal 17 2 2 2 2 2 7" xfId="22656" xr:uid="{00000000-0005-0000-0000-0000AA820000}"/>
    <cellStyle name="Normal 17 2 2 2 2 3" xfId="924" xr:uid="{00000000-0005-0000-0000-0000AB820000}"/>
    <cellStyle name="Normal 17 2 2 2 2 3 2" xfId="7316" xr:uid="{00000000-0005-0000-0000-0000AC820000}"/>
    <cellStyle name="Normal 17 2 2 2 2 3 2 2" xfId="8793" xr:uid="{00000000-0005-0000-0000-0000AD820000}"/>
    <cellStyle name="Normal 17 2 2 2 2 3 2 2 2" xfId="11690" xr:uid="{00000000-0005-0000-0000-0000AE820000}"/>
    <cellStyle name="Normal 17 2 2 2 2 3 2 3" xfId="10250" xr:uid="{00000000-0005-0000-0000-0000AF820000}"/>
    <cellStyle name="Normal 17 2 2 2 2 3 2 4" xfId="50466" xr:uid="{00000000-0005-0000-0000-0000B0820000}"/>
    <cellStyle name="Normal 17 2 2 2 2 3 3" xfId="8135" xr:uid="{00000000-0005-0000-0000-0000B1820000}"/>
    <cellStyle name="Normal 17 2 2 2 2 3 3 2" xfId="11032" xr:uid="{00000000-0005-0000-0000-0000B2820000}"/>
    <cellStyle name="Normal 17 2 2 2 2 3 4" xfId="9592" xr:uid="{00000000-0005-0000-0000-0000B3820000}"/>
    <cellStyle name="Normal 17 2 2 2 2 3 5" xfId="6640" xr:uid="{00000000-0005-0000-0000-0000B4820000}"/>
    <cellStyle name="Normal 17 2 2 2 2 3 6" xfId="31277" xr:uid="{00000000-0005-0000-0000-0000B5820000}"/>
    <cellStyle name="Normal 17 2 2 2 2 4" xfId="925" xr:uid="{00000000-0005-0000-0000-0000B6820000}"/>
    <cellStyle name="Normal 17 2 2 2 2 4 2" xfId="7083" xr:uid="{00000000-0005-0000-0000-0000B7820000}"/>
    <cellStyle name="Normal 17 2 2 2 2 4 2 2" xfId="8560" xr:uid="{00000000-0005-0000-0000-0000B8820000}"/>
    <cellStyle name="Normal 17 2 2 2 2 4 2 2 2" xfId="11457" xr:uid="{00000000-0005-0000-0000-0000B9820000}"/>
    <cellStyle name="Normal 17 2 2 2 2 4 2 3" xfId="10017" xr:uid="{00000000-0005-0000-0000-0000BA820000}"/>
    <cellStyle name="Normal 17 2 2 2 2 4 2 4" xfId="42586" xr:uid="{00000000-0005-0000-0000-0000BB820000}"/>
    <cellStyle name="Normal 17 2 2 2 2 4 3" xfId="7901" xr:uid="{00000000-0005-0000-0000-0000BC820000}"/>
    <cellStyle name="Normal 17 2 2 2 2 4 3 2" xfId="10799" xr:uid="{00000000-0005-0000-0000-0000BD820000}"/>
    <cellStyle name="Normal 17 2 2 2 2 4 4" xfId="9359" xr:uid="{00000000-0005-0000-0000-0000BE820000}"/>
    <cellStyle name="Normal 17 2 2 2 2 4 5" xfId="6404" xr:uid="{00000000-0005-0000-0000-0000BF820000}"/>
    <cellStyle name="Normal 17 2 2 2 2 4 6" xfId="23017" xr:uid="{00000000-0005-0000-0000-0000C0820000}"/>
    <cellStyle name="Normal 17 2 2 2 2 5" xfId="6911" xr:uid="{00000000-0005-0000-0000-0000C1820000}"/>
    <cellStyle name="Normal 17 2 2 2 2 5 2" xfId="8389" xr:uid="{00000000-0005-0000-0000-0000C2820000}"/>
    <cellStyle name="Normal 17 2 2 2 2 5 2 2" xfId="11286" xr:uid="{00000000-0005-0000-0000-0000C3820000}"/>
    <cellStyle name="Normal 17 2 2 2 2 5 3" xfId="9846" xr:uid="{00000000-0005-0000-0000-0000C4820000}"/>
    <cellStyle name="Normal 17 2 2 2 2 5 4" xfId="40768" xr:uid="{00000000-0005-0000-0000-0000C5820000}"/>
    <cellStyle name="Normal 17 2 2 2 2 6" xfId="7728" xr:uid="{00000000-0005-0000-0000-0000C6820000}"/>
    <cellStyle name="Normal 17 2 2 2 2 6 2" xfId="10628" xr:uid="{00000000-0005-0000-0000-0000C7820000}"/>
    <cellStyle name="Normal 17 2 2 2 2 7" xfId="9188" xr:uid="{00000000-0005-0000-0000-0000C8820000}"/>
    <cellStyle name="Normal 17 2 2 2 2 8" xfId="6207" xr:uid="{00000000-0005-0000-0000-0000C9820000}"/>
    <cellStyle name="Normal 17 2 2 2 2 9" xfId="20909" xr:uid="{00000000-0005-0000-0000-0000CA820000}"/>
    <cellStyle name="Normal 17 2 2 2 3" xfId="926" xr:uid="{00000000-0005-0000-0000-0000CB820000}"/>
    <cellStyle name="Normal 17 2 2 2 3 2" xfId="927" xr:uid="{00000000-0005-0000-0000-0000CC820000}"/>
    <cellStyle name="Normal 17 2 2 2 3 2 2" xfId="7376" xr:uid="{00000000-0005-0000-0000-0000CD820000}"/>
    <cellStyle name="Normal 17 2 2 2 3 2 2 2" xfId="8853" xr:uid="{00000000-0005-0000-0000-0000CE820000}"/>
    <cellStyle name="Normal 17 2 2 2 3 2 2 2 2" xfId="11750" xr:uid="{00000000-0005-0000-0000-0000CF820000}"/>
    <cellStyle name="Normal 17 2 2 2 3 2 2 3" xfId="10310" xr:uid="{00000000-0005-0000-0000-0000D0820000}"/>
    <cellStyle name="Normal 17 2 2 2 3 2 2 4" xfId="51987" xr:uid="{00000000-0005-0000-0000-0000D1820000}"/>
    <cellStyle name="Normal 17 2 2 2 3 2 3" xfId="8195" xr:uid="{00000000-0005-0000-0000-0000D2820000}"/>
    <cellStyle name="Normal 17 2 2 2 3 2 3 2" xfId="11092" xr:uid="{00000000-0005-0000-0000-0000D3820000}"/>
    <cellStyle name="Normal 17 2 2 2 3 2 4" xfId="9652" xr:uid="{00000000-0005-0000-0000-0000D4820000}"/>
    <cellStyle name="Normal 17 2 2 2 3 2 5" xfId="6700" xr:uid="{00000000-0005-0000-0000-0000D5820000}"/>
    <cellStyle name="Normal 17 2 2 2 3 2 6" xfId="32800" xr:uid="{00000000-0005-0000-0000-0000D6820000}"/>
    <cellStyle name="Normal 17 2 2 2 3 3" xfId="928" xr:uid="{00000000-0005-0000-0000-0000D7820000}"/>
    <cellStyle name="Normal 17 2 2 2 3 3 2" xfId="7143" xr:uid="{00000000-0005-0000-0000-0000D8820000}"/>
    <cellStyle name="Normal 17 2 2 2 3 3 2 2" xfId="8620" xr:uid="{00000000-0005-0000-0000-0000D9820000}"/>
    <cellStyle name="Normal 17 2 2 2 3 3 2 2 2" xfId="11517" xr:uid="{00000000-0005-0000-0000-0000DA820000}"/>
    <cellStyle name="Normal 17 2 2 2 3 3 2 3" xfId="10077" xr:uid="{00000000-0005-0000-0000-0000DB820000}"/>
    <cellStyle name="Normal 17 2 2 2 3 3 2 4" xfId="42642" xr:uid="{00000000-0005-0000-0000-0000DC820000}"/>
    <cellStyle name="Normal 17 2 2 2 3 3 3" xfId="7962" xr:uid="{00000000-0005-0000-0000-0000DD820000}"/>
    <cellStyle name="Normal 17 2 2 2 3 3 3 2" xfId="10859" xr:uid="{00000000-0005-0000-0000-0000DE820000}"/>
    <cellStyle name="Normal 17 2 2 2 3 3 4" xfId="9419" xr:uid="{00000000-0005-0000-0000-0000DF820000}"/>
    <cellStyle name="Normal 17 2 2 2 3 3 5" xfId="6467" xr:uid="{00000000-0005-0000-0000-0000E0820000}"/>
    <cellStyle name="Normal 17 2 2 2 3 3 6" xfId="23073" xr:uid="{00000000-0005-0000-0000-0000E1820000}"/>
    <cellStyle name="Normal 17 2 2 2 3 4" xfId="6968" xr:uid="{00000000-0005-0000-0000-0000E2820000}"/>
    <cellStyle name="Normal 17 2 2 2 3 4 2" xfId="8445" xr:uid="{00000000-0005-0000-0000-0000E3820000}"/>
    <cellStyle name="Normal 17 2 2 2 3 4 2 2" xfId="11342" xr:uid="{00000000-0005-0000-0000-0000E4820000}"/>
    <cellStyle name="Normal 17 2 2 2 3 4 3" xfId="9902" xr:uid="{00000000-0005-0000-0000-0000E5820000}"/>
    <cellStyle name="Normal 17 2 2 2 3 4 4" xfId="42289" xr:uid="{00000000-0005-0000-0000-0000E6820000}"/>
    <cellStyle name="Normal 17 2 2 2 3 5" xfId="7785" xr:uid="{00000000-0005-0000-0000-0000E7820000}"/>
    <cellStyle name="Normal 17 2 2 2 3 5 2" xfId="10684" xr:uid="{00000000-0005-0000-0000-0000E8820000}"/>
    <cellStyle name="Normal 17 2 2 2 3 6" xfId="9244" xr:uid="{00000000-0005-0000-0000-0000E9820000}"/>
    <cellStyle name="Normal 17 2 2 2 3 7" xfId="6269" xr:uid="{00000000-0005-0000-0000-0000EA820000}"/>
    <cellStyle name="Normal 17 2 2 2 3 8" xfId="22714" xr:uid="{00000000-0005-0000-0000-0000EB820000}"/>
    <cellStyle name="Normal 17 2 2 2 4" xfId="929" xr:uid="{00000000-0005-0000-0000-0000EC820000}"/>
    <cellStyle name="Normal 17 2 2 2 4 2" xfId="7260" xr:uid="{00000000-0005-0000-0000-0000ED820000}"/>
    <cellStyle name="Normal 17 2 2 2 4 2 2" xfId="8737" xr:uid="{00000000-0005-0000-0000-0000EE820000}"/>
    <cellStyle name="Normal 17 2 2 2 4 2 2 2" xfId="11634" xr:uid="{00000000-0005-0000-0000-0000EF820000}"/>
    <cellStyle name="Normal 17 2 2 2 4 2 2 3" xfId="51850" xr:uid="{00000000-0005-0000-0000-0000F0820000}"/>
    <cellStyle name="Normal 17 2 2 2 4 2 3" xfId="10194" xr:uid="{00000000-0005-0000-0000-0000F1820000}"/>
    <cellStyle name="Normal 17 2 2 2 4 2 4" xfId="32663" xr:uid="{00000000-0005-0000-0000-0000F2820000}"/>
    <cellStyle name="Normal 17 2 2 2 4 3" xfId="8079" xr:uid="{00000000-0005-0000-0000-0000F3820000}"/>
    <cellStyle name="Normal 17 2 2 2 4 3 2" xfId="10976" xr:uid="{00000000-0005-0000-0000-0000F4820000}"/>
    <cellStyle name="Normal 17 2 2 2 4 3 3" xfId="42152" xr:uid="{00000000-0005-0000-0000-0000F5820000}"/>
    <cellStyle name="Normal 17 2 2 2 4 4" xfId="9536" xr:uid="{00000000-0005-0000-0000-0000F6820000}"/>
    <cellStyle name="Normal 17 2 2 2 4 5" xfId="6584" xr:uid="{00000000-0005-0000-0000-0000F7820000}"/>
    <cellStyle name="Normal 17 2 2 2 4 6" xfId="22541" xr:uid="{00000000-0005-0000-0000-0000F8820000}"/>
    <cellStyle name="Normal 17 2 2 2 5" xfId="930" xr:uid="{00000000-0005-0000-0000-0000F9820000}"/>
    <cellStyle name="Normal 17 2 2 2 5 2" xfId="7027" xr:uid="{00000000-0005-0000-0000-0000FA820000}"/>
    <cellStyle name="Normal 17 2 2 2 5 2 2" xfId="8504" xr:uid="{00000000-0005-0000-0000-0000FB820000}"/>
    <cellStyle name="Normal 17 2 2 2 5 2 2 2" xfId="11401" xr:uid="{00000000-0005-0000-0000-0000FC820000}"/>
    <cellStyle name="Normal 17 2 2 2 5 2 3" xfId="9961" xr:uid="{00000000-0005-0000-0000-0000FD820000}"/>
    <cellStyle name="Normal 17 2 2 2 5 2 4" xfId="46011" xr:uid="{00000000-0005-0000-0000-0000FE820000}"/>
    <cellStyle name="Normal 17 2 2 2 5 3" xfId="7845" xr:uid="{00000000-0005-0000-0000-0000FF820000}"/>
    <cellStyle name="Normal 17 2 2 2 5 3 2" xfId="10743" xr:uid="{00000000-0005-0000-0000-000000830000}"/>
    <cellStyle name="Normal 17 2 2 2 5 4" xfId="9303" xr:uid="{00000000-0005-0000-0000-000001830000}"/>
    <cellStyle name="Normal 17 2 2 2 5 5" xfId="6348" xr:uid="{00000000-0005-0000-0000-000002830000}"/>
    <cellStyle name="Normal 17 2 2 2 5 6" xfId="26822" xr:uid="{00000000-0005-0000-0000-000003830000}"/>
    <cellStyle name="Normal 17 2 2 2 6" xfId="7493" xr:uid="{00000000-0005-0000-0000-000004830000}"/>
    <cellStyle name="Normal 17 2 2 2 6 2" xfId="8967" xr:uid="{00000000-0005-0000-0000-000005830000}"/>
    <cellStyle name="Normal 17 2 2 2 6 2 2" xfId="11864" xr:uid="{00000000-0005-0000-0000-000006830000}"/>
    <cellStyle name="Normal 17 2 2 2 6 2 3" xfId="42505" xr:uid="{00000000-0005-0000-0000-000007830000}"/>
    <cellStyle name="Normal 17 2 2 2 6 3" xfId="10424" xr:uid="{00000000-0005-0000-0000-000008830000}"/>
    <cellStyle name="Normal 17 2 2 2 6 4" xfId="22936" xr:uid="{00000000-0005-0000-0000-000009830000}"/>
    <cellStyle name="Normal 17 2 2 2 7" xfId="7552" xr:uid="{00000000-0005-0000-0000-00000A830000}"/>
    <cellStyle name="Normal 17 2 2 2 7 2" xfId="9024" xr:uid="{00000000-0005-0000-0000-00000B830000}"/>
    <cellStyle name="Normal 17 2 2 2 7 2 2" xfId="11921" xr:uid="{00000000-0005-0000-0000-00000C830000}"/>
    <cellStyle name="Normal 17 2 2 2 7 3" xfId="10481" xr:uid="{00000000-0005-0000-0000-00000D830000}"/>
    <cellStyle name="Normal 17 2 2 2 7 4" xfId="36313" xr:uid="{00000000-0005-0000-0000-00000E830000}"/>
    <cellStyle name="Normal 17 2 2 2 8" xfId="6828" xr:uid="{00000000-0005-0000-0000-00000F830000}"/>
    <cellStyle name="Normal 17 2 2 2 8 2" xfId="8308" xr:uid="{00000000-0005-0000-0000-000010830000}"/>
    <cellStyle name="Normal 17 2 2 2 8 2 2" xfId="11205" xr:uid="{00000000-0005-0000-0000-000011830000}"/>
    <cellStyle name="Normal 17 2 2 2 8 3" xfId="9765" xr:uid="{00000000-0005-0000-0000-000012830000}"/>
    <cellStyle name="Normal 17 2 2 2 9" xfId="7647" xr:uid="{00000000-0005-0000-0000-000013830000}"/>
    <cellStyle name="Normal 17 2 2 2 9 2" xfId="10547" xr:uid="{00000000-0005-0000-0000-000014830000}"/>
    <cellStyle name="Normal 17 2 2 3" xfId="931" xr:uid="{00000000-0005-0000-0000-000015830000}"/>
    <cellStyle name="Normal 17 2 2 3 2" xfId="932" xr:uid="{00000000-0005-0000-0000-000016830000}"/>
    <cellStyle name="Normal 17 2 2 3 2 2" xfId="933" xr:uid="{00000000-0005-0000-0000-000017830000}"/>
    <cellStyle name="Normal 17 2 2 3 2 2 2" xfId="7402" xr:uid="{00000000-0005-0000-0000-000018830000}"/>
    <cellStyle name="Normal 17 2 2 3 2 2 2 2" xfId="8879" xr:uid="{00000000-0005-0000-0000-000019830000}"/>
    <cellStyle name="Normal 17 2 2 3 2 2 2 2 2" xfId="11776" xr:uid="{00000000-0005-0000-0000-00001A830000}"/>
    <cellStyle name="Normal 17 2 2 3 2 2 2 3" xfId="10336" xr:uid="{00000000-0005-0000-0000-00001B830000}"/>
    <cellStyle name="Normal 17 2 2 3 2 2 2 4" xfId="51901" xr:uid="{00000000-0005-0000-0000-00001C830000}"/>
    <cellStyle name="Normal 17 2 2 3 2 2 3" xfId="8221" xr:uid="{00000000-0005-0000-0000-00001D830000}"/>
    <cellStyle name="Normal 17 2 2 3 2 2 3 2" xfId="11118" xr:uid="{00000000-0005-0000-0000-00001E830000}"/>
    <cellStyle name="Normal 17 2 2 3 2 2 4" xfId="9678" xr:uid="{00000000-0005-0000-0000-00001F830000}"/>
    <cellStyle name="Normal 17 2 2 3 2 2 5" xfId="6726" xr:uid="{00000000-0005-0000-0000-000020830000}"/>
    <cellStyle name="Normal 17 2 2 3 2 2 6" xfId="32714" xr:uid="{00000000-0005-0000-0000-000021830000}"/>
    <cellStyle name="Normal 17 2 2 3 2 3" xfId="7169" xr:uid="{00000000-0005-0000-0000-000022830000}"/>
    <cellStyle name="Normal 17 2 2 3 2 3 2" xfId="8646" xr:uid="{00000000-0005-0000-0000-000023830000}"/>
    <cellStyle name="Normal 17 2 2 3 2 3 2 2" xfId="11543" xr:uid="{00000000-0005-0000-0000-000024830000}"/>
    <cellStyle name="Normal 17 2 2 3 2 3 3" xfId="10103" xr:uid="{00000000-0005-0000-0000-000025830000}"/>
    <cellStyle name="Normal 17 2 2 3 2 3 4" xfId="42203" xr:uid="{00000000-0005-0000-0000-000026830000}"/>
    <cellStyle name="Normal 17 2 2 3 2 4" xfId="7988" xr:uid="{00000000-0005-0000-0000-000027830000}"/>
    <cellStyle name="Normal 17 2 2 3 2 4 2" xfId="10885" xr:uid="{00000000-0005-0000-0000-000028830000}"/>
    <cellStyle name="Normal 17 2 2 3 2 5" xfId="9445" xr:uid="{00000000-0005-0000-0000-000029830000}"/>
    <cellStyle name="Normal 17 2 2 3 2 6" xfId="6493" xr:uid="{00000000-0005-0000-0000-00002A830000}"/>
    <cellStyle name="Normal 17 2 2 3 2 7" xfId="22625" xr:uid="{00000000-0005-0000-0000-00002B830000}"/>
    <cellStyle name="Normal 17 2 2 3 3" xfId="934" xr:uid="{00000000-0005-0000-0000-00002C830000}"/>
    <cellStyle name="Normal 17 2 2 3 3 2" xfId="7286" xr:uid="{00000000-0005-0000-0000-00002D830000}"/>
    <cellStyle name="Normal 17 2 2 3 3 2 2" xfId="8763" xr:uid="{00000000-0005-0000-0000-00002E830000}"/>
    <cellStyle name="Normal 17 2 2 3 3 2 2 2" xfId="11660" xr:uid="{00000000-0005-0000-0000-00002F830000}"/>
    <cellStyle name="Normal 17 2 2 3 3 2 3" xfId="10220" xr:uid="{00000000-0005-0000-0000-000030830000}"/>
    <cellStyle name="Normal 17 2 2 3 3 2 4" xfId="48238" xr:uid="{00000000-0005-0000-0000-000031830000}"/>
    <cellStyle name="Normal 17 2 2 3 3 3" xfId="8105" xr:uid="{00000000-0005-0000-0000-000032830000}"/>
    <cellStyle name="Normal 17 2 2 3 3 3 2" xfId="11002" xr:uid="{00000000-0005-0000-0000-000033830000}"/>
    <cellStyle name="Normal 17 2 2 3 3 4" xfId="9562" xr:uid="{00000000-0005-0000-0000-000034830000}"/>
    <cellStyle name="Normal 17 2 2 3 3 5" xfId="6610" xr:uid="{00000000-0005-0000-0000-000035830000}"/>
    <cellStyle name="Normal 17 2 2 3 3 6" xfId="29049" xr:uid="{00000000-0005-0000-0000-000036830000}"/>
    <cellStyle name="Normal 17 2 2 3 4" xfId="935" xr:uid="{00000000-0005-0000-0000-000037830000}"/>
    <cellStyle name="Normal 17 2 2 3 4 2" xfId="7053" xr:uid="{00000000-0005-0000-0000-000038830000}"/>
    <cellStyle name="Normal 17 2 2 3 4 2 2" xfId="8530" xr:uid="{00000000-0005-0000-0000-000039830000}"/>
    <cellStyle name="Normal 17 2 2 3 4 2 2 2" xfId="11427" xr:uid="{00000000-0005-0000-0000-00003A830000}"/>
    <cellStyle name="Normal 17 2 2 3 4 2 3" xfId="9987" xr:uid="{00000000-0005-0000-0000-00003B830000}"/>
    <cellStyle name="Normal 17 2 2 3 4 2 4" xfId="42556" xr:uid="{00000000-0005-0000-0000-00003C830000}"/>
    <cellStyle name="Normal 17 2 2 3 4 3" xfId="7871" xr:uid="{00000000-0005-0000-0000-00003D830000}"/>
    <cellStyle name="Normal 17 2 2 3 4 3 2" xfId="10769" xr:uid="{00000000-0005-0000-0000-00003E830000}"/>
    <cellStyle name="Normal 17 2 2 3 4 4" xfId="9329" xr:uid="{00000000-0005-0000-0000-00003F830000}"/>
    <cellStyle name="Normal 17 2 2 3 4 5" xfId="6374" xr:uid="{00000000-0005-0000-0000-000040830000}"/>
    <cellStyle name="Normal 17 2 2 3 4 6" xfId="22987" xr:uid="{00000000-0005-0000-0000-000041830000}"/>
    <cellStyle name="Normal 17 2 2 3 5" xfId="6881" xr:uid="{00000000-0005-0000-0000-000042830000}"/>
    <cellStyle name="Normal 17 2 2 3 5 2" xfId="8359" xr:uid="{00000000-0005-0000-0000-000043830000}"/>
    <cellStyle name="Normal 17 2 2 3 5 2 2" xfId="11256" xr:uid="{00000000-0005-0000-0000-000044830000}"/>
    <cellStyle name="Normal 17 2 2 3 5 3" xfId="9816" xr:uid="{00000000-0005-0000-0000-000045830000}"/>
    <cellStyle name="Normal 17 2 2 3 5 4" xfId="38540" xr:uid="{00000000-0005-0000-0000-000046830000}"/>
    <cellStyle name="Normal 17 2 2 3 6" xfId="7698" xr:uid="{00000000-0005-0000-0000-000047830000}"/>
    <cellStyle name="Normal 17 2 2 3 6 2" xfId="10598" xr:uid="{00000000-0005-0000-0000-000048830000}"/>
    <cellStyle name="Normal 17 2 2 3 7" xfId="9158" xr:uid="{00000000-0005-0000-0000-000049830000}"/>
    <cellStyle name="Normal 17 2 2 3 8" xfId="6176" xr:uid="{00000000-0005-0000-0000-00004A830000}"/>
    <cellStyle name="Normal 17 2 2 3 9" xfId="18681" xr:uid="{00000000-0005-0000-0000-00004B830000}"/>
    <cellStyle name="Normal 17 2 2 4" xfId="936" xr:uid="{00000000-0005-0000-0000-00004C830000}"/>
    <cellStyle name="Normal 17 2 2 4 2" xfId="937" xr:uid="{00000000-0005-0000-0000-00004D830000}"/>
    <cellStyle name="Normal 17 2 2 4 2 2" xfId="7350" xr:uid="{00000000-0005-0000-0000-00004E830000}"/>
    <cellStyle name="Normal 17 2 2 4 2 2 2" xfId="8827" xr:uid="{00000000-0005-0000-0000-00004F830000}"/>
    <cellStyle name="Normal 17 2 2 4 2 2 2 2" xfId="11724" xr:uid="{00000000-0005-0000-0000-000050830000}"/>
    <cellStyle name="Normal 17 2 2 4 2 2 3" xfId="10284" xr:uid="{00000000-0005-0000-0000-000051830000}"/>
    <cellStyle name="Normal 17 2 2 4 2 2 4" xfId="51957" xr:uid="{00000000-0005-0000-0000-000052830000}"/>
    <cellStyle name="Normal 17 2 2 4 2 3" xfId="8169" xr:uid="{00000000-0005-0000-0000-000053830000}"/>
    <cellStyle name="Normal 17 2 2 4 2 3 2" xfId="11066" xr:uid="{00000000-0005-0000-0000-000054830000}"/>
    <cellStyle name="Normal 17 2 2 4 2 4" xfId="9626" xr:uid="{00000000-0005-0000-0000-000055830000}"/>
    <cellStyle name="Normal 17 2 2 4 2 5" xfId="6674" xr:uid="{00000000-0005-0000-0000-000056830000}"/>
    <cellStyle name="Normal 17 2 2 4 2 6" xfId="32770" xr:uid="{00000000-0005-0000-0000-000057830000}"/>
    <cellStyle name="Normal 17 2 2 4 3" xfId="938" xr:uid="{00000000-0005-0000-0000-000058830000}"/>
    <cellStyle name="Normal 17 2 2 4 3 2" xfId="7117" xr:uid="{00000000-0005-0000-0000-000059830000}"/>
    <cellStyle name="Normal 17 2 2 4 3 2 2" xfId="8594" xr:uid="{00000000-0005-0000-0000-00005A830000}"/>
    <cellStyle name="Normal 17 2 2 4 3 2 2 2" xfId="11491" xr:uid="{00000000-0005-0000-0000-00005B830000}"/>
    <cellStyle name="Normal 17 2 2 4 3 2 3" xfId="10051" xr:uid="{00000000-0005-0000-0000-00005C830000}"/>
    <cellStyle name="Normal 17 2 2 4 3 2 4" xfId="42612" xr:uid="{00000000-0005-0000-0000-00005D830000}"/>
    <cellStyle name="Normal 17 2 2 4 3 3" xfId="7936" xr:uid="{00000000-0005-0000-0000-00005E830000}"/>
    <cellStyle name="Normal 17 2 2 4 3 3 2" xfId="10833" xr:uid="{00000000-0005-0000-0000-00005F830000}"/>
    <cellStyle name="Normal 17 2 2 4 3 4" xfId="9393" xr:uid="{00000000-0005-0000-0000-000060830000}"/>
    <cellStyle name="Normal 17 2 2 4 3 5" xfId="6441" xr:uid="{00000000-0005-0000-0000-000061830000}"/>
    <cellStyle name="Normal 17 2 2 4 3 6" xfId="23043" xr:uid="{00000000-0005-0000-0000-000062830000}"/>
    <cellStyle name="Normal 17 2 2 4 4" xfId="6938" xr:uid="{00000000-0005-0000-0000-000063830000}"/>
    <cellStyle name="Normal 17 2 2 4 4 2" xfId="8415" xr:uid="{00000000-0005-0000-0000-000064830000}"/>
    <cellStyle name="Normal 17 2 2 4 4 2 2" xfId="11312" xr:uid="{00000000-0005-0000-0000-000065830000}"/>
    <cellStyle name="Normal 17 2 2 4 4 3" xfId="9872" xr:uid="{00000000-0005-0000-0000-000066830000}"/>
    <cellStyle name="Normal 17 2 2 4 4 4" xfId="42259" xr:uid="{00000000-0005-0000-0000-000067830000}"/>
    <cellStyle name="Normal 17 2 2 4 5" xfId="7755" xr:uid="{00000000-0005-0000-0000-000068830000}"/>
    <cellStyle name="Normal 17 2 2 4 5 2" xfId="10654" xr:uid="{00000000-0005-0000-0000-000069830000}"/>
    <cellStyle name="Normal 17 2 2 4 6" xfId="9214" xr:uid="{00000000-0005-0000-0000-00006A830000}"/>
    <cellStyle name="Normal 17 2 2 4 7" xfId="6239" xr:uid="{00000000-0005-0000-0000-00006B830000}"/>
    <cellStyle name="Normal 17 2 2 4 8" xfId="22684" xr:uid="{00000000-0005-0000-0000-00006C830000}"/>
    <cellStyle name="Normal 17 2 2 5" xfId="939" xr:uid="{00000000-0005-0000-0000-00006D830000}"/>
    <cellStyle name="Normal 17 2 2 5 2" xfId="7234" xr:uid="{00000000-0005-0000-0000-00006E830000}"/>
    <cellStyle name="Normal 17 2 2 5 2 2" xfId="8711" xr:uid="{00000000-0005-0000-0000-00006F830000}"/>
    <cellStyle name="Normal 17 2 2 5 2 2 2" xfId="11608" xr:uid="{00000000-0005-0000-0000-000070830000}"/>
    <cellStyle name="Normal 17 2 2 5 2 2 3" xfId="51820" xr:uid="{00000000-0005-0000-0000-000071830000}"/>
    <cellStyle name="Normal 17 2 2 5 2 3" xfId="10168" xr:uid="{00000000-0005-0000-0000-000072830000}"/>
    <cellStyle name="Normal 17 2 2 5 2 4" xfId="32633" xr:uid="{00000000-0005-0000-0000-000073830000}"/>
    <cellStyle name="Normal 17 2 2 5 3" xfId="8053" xr:uid="{00000000-0005-0000-0000-000074830000}"/>
    <cellStyle name="Normal 17 2 2 5 3 2" xfId="10950" xr:uid="{00000000-0005-0000-0000-000075830000}"/>
    <cellStyle name="Normal 17 2 2 5 3 3" xfId="42122" xr:uid="{00000000-0005-0000-0000-000076830000}"/>
    <cellStyle name="Normal 17 2 2 5 4" xfId="9510" xr:uid="{00000000-0005-0000-0000-000077830000}"/>
    <cellStyle name="Normal 17 2 2 5 5" xfId="6558" xr:uid="{00000000-0005-0000-0000-000078830000}"/>
    <cellStyle name="Normal 17 2 2 5 6" xfId="22506" xr:uid="{00000000-0005-0000-0000-000079830000}"/>
    <cellStyle name="Normal 17 2 2 6" xfId="940" xr:uid="{00000000-0005-0000-0000-00007A830000}"/>
    <cellStyle name="Normal 17 2 2 6 2" xfId="7001" xr:uid="{00000000-0005-0000-0000-00007B830000}"/>
    <cellStyle name="Normal 17 2 2 6 2 2" xfId="8478" xr:uid="{00000000-0005-0000-0000-00007C830000}"/>
    <cellStyle name="Normal 17 2 2 6 2 2 2" xfId="11375" xr:uid="{00000000-0005-0000-0000-00007D830000}"/>
    <cellStyle name="Normal 17 2 2 6 2 3" xfId="9935" xr:uid="{00000000-0005-0000-0000-00007E830000}"/>
    <cellStyle name="Normal 17 2 2 6 2 4" xfId="43783" xr:uid="{00000000-0005-0000-0000-00007F830000}"/>
    <cellStyle name="Normal 17 2 2 6 3" xfId="7819" xr:uid="{00000000-0005-0000-0000-000080830000}"/>
    <cellStyle name="Normal 17 2 2 6 3 2" xfId="10717" xr:uid="{00000000-0005-0000-0000-000081830000}"/>
    <cellStyle name="Normal 17 2 2 6 4" xfId="9277" xr:uid="{00000000-0005-0000-0000-000082830000}"/>
    <cellStyle name="Normal 17 2 2 6 5" xfId="6322" xr:uid="{00000000-0005-0000-0000-000083830000}"/>
    <cellStyle name="Normal 17 2 2 6 6" xfId="24589" xr:uid="{00000000-0005-0000-0000-000084830000}"/>
    <cellStyle name="Normal 17 2 2 7" xfId="7467" xr:uid="{00000000-0005-0000-0000-000085830000}"/>
    <cellStyle name="Normal 17 2 2 7 2" xfId="8941" xr:uid="{00000000-0005-0000-0000-000086830000}"/>
    <cellStyle name="Normal 17 2 2 7 2 2" xfId="11838" xr:uid="{00000000-0005-0000-0000-000087830000}"/>
    <cellStyle name="Normal 17 2 2 7 2 3" xfId="42475" xr:uid="{00000000-0005-0000-0000-000088830000}"/>
    <cellStyle name="Normal 17 2 2 7 3" xfId="10398" xr:uid="{00000000-0005-0000-0000-000089830000}"/>
    <cellStyle name="Normal 17 2 2 7 4" xfId="22906" xr:uid="{00000000-0005-0000-0000-00008A830000}"/>
    <cellStyle name="Normal 17 2 2 8" xfId="7526" xr:uid="{00000000-0005-0000-0000-00008B830000}"/>
    <cellStyle name="Normal 17 2 2 8 2" xfId="8998" xr:uid="{00000000-0005-0000-0000-00008C830000}"/>
    <cellStyle name="Normal 17 2 2 8 2 2" xfId="11895" xr:uid="{00000000-0005-0000-0000-00008D830000}"/>
    <cellStyle name="Normal 17 2 2 8 3" xfId="10455" xr:uid="{00000000-0005-0000-0000-00008E830000}"/>
    <cellStyle name="Normal 17 2 2 8 4" xfId="34085" xr:uid="{00000000-0005-0000-0000-00008F830000}"/>
    <cellStyle name="Normal 17 2 2 9" xfId="6797" xr:uid="{00000000-0005-0000-0000-000090830000}"/>
    <cellStyle name="Normal 17 2 2 9 2" xfId="8278" xr:uid="{00000000-0005-0000-0000-000091830000}"/>
    <cellStyle name="Normal 17 2 2 9 2 2" xfId="11175" xr:uid="{00000000-0005-0000-0000-000092830000}"/>
    <cellStyle name="Normal 17 2 2 9 3" xfId="9735" xr:uid="{00000000-0005-0000-0000-000093830000}"/>
    <cellStyle name="Normal 17 2 3" xfId="941" xr:uid="{00000000-0005-0000-0000-000094830000}"/>
    <cellStyle name="Normal 17 2 3 10" xfId="7625" xr:uid="{00000000-0005-0000-0000-000095830000}"/>
    <cellStyle name="Normal 17 2 3 10 2" xfId="10525" xr:uid="{00000000-0005-0000-0000-000096830000}"/>
    <cellStyle name="Normal 17 2 3 11" xfId="9085" xr:uid="{00000000-0005-0000-0000-000097830000}"/>
    <cellStyle name="Normal 17 2 3 12" xfId="6090" xr:uid="{00000000-0005-0000-0000-000098830000}"/>
    <cellStyle name="Normal 17 2 3 13" xfId="14760" xr:uid="{00000000-0005-0000-0000-000099830000}"/>
    <cellStyle name="Normal 17 2 3 2" xfId="942" xr:uid="{00000000-0005-0000-0000-00009A830000}"/>
    <cellStyle name="Normal 17 2 3 2 10" xfId="9115" xr:uid="{00000000-0005-0000-0000-00009B830000}"/>
    <cellStyle name="Normal 17 2 3 2 11" xfId="6127" xr:uid="{00000000-0005-0000-0000-00009C830000}"/>
    <cellStyle name="Normal 17 2 3 2 12" xfId="15889" xr:uid="{00000000-0005-0000-0000-00009D830000}"/>
    <cellStyle name="Normal 17 2 3 2 2" xfId="943" xr:uid="{00000000-0005-0000-0000-00009E830000}"/>
    <cellStyle name="Normal 17 2 3 2 2 2" xfId="944" xr:uid="{00000000-0005-0000-0000-00009F830000}"/>
    <cellStyle name="Normal 17 2 3 2 2 2 2" xfId="945" xr:uid="{00000000-0005-0000-0000-0000A0830000}"/>
    <cellStyle name="Normal 17 2 3 2 2 2 2 2" xfId="7440" xr:uid="{00000000-0005-0000-0000-0000A1830000}"/>
    <cellStyle name="Normal 17 2 3 2 2 2 2 2 2" xfId="8917" xr:uid="{00000000-0005-0000-0000-0000A2830000}"/>
    <cellStyle name="Normal 17 2 3 2 2 2 2 2 2 2" xfId="11814" xr:uid="{00000000-0005-0000-0000-0000A3830000}"/>
    <cellStyle name="Normal 17 2 3 2 2 2 2 2 3" xfId="10374" xr:uid="{00000000-0005-0000-0000-0000A4830000}"/>
    <cellStyle name="Normal 17 2 3 2 2 2 2 2 4" xfId="51939" xr:uid="{00000000-0005-0000-0000-0000A5830000}"/>
    <cellStyle name="Normal 17 2 3 2 2 2 2 3" xfId="8259" xr:uid="{00000000-0005-0000-0000-0000A6830000}"/>
    <cellStyle name="Normal 17 2 3 2 2 2 2 3 2" xfId="11156" xr:uid="{00000000-0005-0000-0000-0000A7830000}"/>
    <cellStyle name="Normal 17 2 3 2 2 2 2 4" xfId="9716" xr:uid="{00000000-0005-0000-0000-0000A8830000}"/>
    <cellStyle name="Normal 17 2 3 2 2 2 2 5" xfId="6764" xr:uid="{00000000-0005-0000-0000-0000A9830000}"/>
    <cellStyle name="Normal 17 2 3 2 2 2 2 6" xfId="32752" xr:uid="{00000000-0005-0000-0000-0000AA830000}"/>
    <cellStyle name="Normal 17 2 3 2 2 2 3" xfId="7207" xr:uid="{00000000-0005-0000-0000-0000AB830000}"/>
    <cellStyle name="Normal 17 2 3 2 2 2 3 2" xfId="8684" xr:uid="{00000000-0005-0000-0000-0000AC830000}"/>
    <cellStyle name="Normal 17 2 3 2 2 2 3 2 2" xfId="11581" xr:uid="{00000000-0005-0000-0000-0000AD830000}"/>
    <cellStyle name="Normal 17 2 3 2 2 2 3 3" xfId="10141" xr:uid="{00000000-0005-0000-0000-0000AE830000}"/>
    <cellStyle name="Normal 17 2 3 2 2 2 3 4" xfId="42241" xr:uid="{00000000-0005-0000-0000-0000AF830000}"/>
    <cellStyle name="Normal 17 2 3 2 2 2 4" xfId="8026" xr:uid="{00000000-0005-0000-0000-0000B0830000}"/>
    <cellStyle name="Normal 17 2 3 2 2 2 4 2" xfId="10923" xr:uid="{00000000-0005-0000-0000-0000B1830000}"/>
    <cellStyle name="Normal 17 2 3 2 2 2 5" xfId="9483" xr:uid="{00000000-0005-0000-0000-0000B2830000}"/>
    <cellStyle name="Normal 17 2 3 2 2 2 6" xfId="6531" xr:uid="{00000000-0005-0000-0000-0000B3830000}"/>
    <cellStyle name="Normal 17 2 3 2 2 2 7" xfId="22664" xr:uid="{00000000-0005-0000-0000-0000B4830000}"/>
    <cellStyle name="Normal 17 2 3 2 2 3" xfId="946" xr:uid="{00000000-0005-0000-0000-0000B5830000}"/>
    <cellStyle name="Normal 17 2 3 2 2 3 2" xfId="7324" xr:uid="{00000000-0005-0000-0000-0000B6830000}"/>
    <cellStyle name="Normal 17 2 3 2 2 3 2 2" xfId="8801" xr:uid="{00000000-0005-0000-0000-0000B7830000}"/>
    <cellStyle name="Normal 17 2 3 2 2 3 2 2 2" xfId="11698" xr:uid="{00000000-0005-0000-0000-0000B8830000}"/>
    <cellStyle name="Normal 17 2 3 2 2 3 2 3" xfId="10258" xr:uid="{00000000-0005-0000-0000-0000B9830000}"/>
    <cellStyle name="Normal 17 2 3 2 2 3 2 4" xfId="49910" xr:uid="{00000000-0005-0000-0000-0000BA830000}"/>
    <cellStyle name="Normal 17 2 3 2 2 3 3" xfId="8143" xr:uid="{00000000-0005-0000-0000-0000BB830000}"/>
    <cellStyle name="Normal 17 2 3 2 2 3 3 2" xfId="11040" xr:uid="{00000000-0005-0000-0000-0000BC830000}"/>
    <cellStyle name="Normal 17 2 3 2 2 3 4" xfId="9600" xr:uid="{00000000-0005-0000-0000-0000BD830000}"/>
    <cellStyle name="Normal 17 2 3 2 2 3 5" xfId="6648" xr:uid="{00000000-0005-0000-0000-0000BE830000}"/>
    <cellStyle name="Normal 17 2 3 2 2 3 6" xfId="30721" xr:uid="{00000000-0005-0000-0000-0000BF830000}"/>
    <cellStyle name="Normal 17 2 3 2 2 4" xfId="947" xr:uid="{00000000-0005-0000-0000-0000C0830000}"/>
    <cellStyle name="Normal 17 2 3 2 2 4 2" xfId="7091" xr:uid="{00000000-0005-0000-0000-0000C1830000}"/>
    <cellStyle name="Normal 17 2 3 2 2 4 2 2" xfId="8568" xr:uid="{00000000-0005-0000-0000-0000C2830000}"/>
    <cellStyle name="Normal 17 2 3 2 2 4 2 2 2" xfId="11465" xr:uid="{00000000-0005-0000-0000-0000C3830000}"/>
    <cellStyle name="Normal 17 2 3 2 2 4 2 3" xfId="10025" xr:uid="{00000000-0005-0000-0000-0000C4830000}"/>
    <cellStyle name="Normal 17 2 3 2 2 4 2 4" xfId="42594" xr:uid="{00000000-0005-0000-0000-0000C5830000}"/>
    <cellStyle name="Normal 17 2 3 2 2 4 3" xfId="7909" xr:uid="{00000000-0005-0000-0000-0000C6830000}"/>
    <cellStyle name="Normal 17 2 3 2 2 4 3 2" xfId="10807" xr:uid="{00000000-0005-0000-0000-0000C7830000}"/>
    <cellStyle name="Normal 17 2 3 2 2 4 4" xfId="9367" xr:uid="{00000000-0005-0000-0000-0000C8830000}"/>
    <cellStyle name="Normal 17 2 3 2 2 4 5" xfId="6412" xr:uid="{00000000-0005-0000-0000-0000C9830000}"/>
    <cellStyle name="Normal 17 2 3 2 2 4 6" xfId="23025" xr:uid="{00000000-0005-0000-0000-0000CA830000}"/>
    <cellStyle name="Normal 17 2 3 2 2 5" xfId="6919" xr:uid="{00000000-0005-0000-0000-0000CB830000}"/>
    <cellStyle name="Normal 17 2 3 2 2 5 2" xfId="8397" xr:uid="{00000000-0005-0000-0000-0000CC830000}"/>
    <cellStyle name="Normal 17 2 3 2 2 5 2 2" xfId="11294" xr:uid="{00000000-0005-0000-0000-0000CD830000}"/>
    <cellStyle name="Normal 17 2 3 2 2 5 3" xfId="9854" xr:uid="{00000000-0005-0000-0000-0000CE830000}"/>
    <cellStyle name="Normal 17 2 3 2 2 5 4" xfId="40212" xr:uid="{00000000-0005-0000-0000-0000CF830000}"/>
    <cellStyle name="Normal 17 2 3 2 2 6" xfId="7736" xr:uid="{00000000-0005-0000-0000-0000D0830000}"/>
    <cellStyle name="Normal 17 2 3 2 2 6 2" xfId="10636" xr:uid="{00000000-0005-0000-0000-0000D1830000}"/>
    <cellStyle name="Normal 17 2 3 2 2 7" xfId="9196" xr:uid="{00000000-0005-0000-0000-0000D2830000}"/>
    <cellStyle name="Normal 17 2 3 2 2 8" xfId="6215" xr:uid="{00000000-0005-0000-0000-0000D3830000}"/>
    <cellStyle name="Normal 17 2 3 2 2 9" xfId="20353" xr:uid="{00000000-0005-0000-0000-0000D4830000}"/>
    <cellStyle name="Normal 17 2 3 2 3" xfId="948" xr:uid="{00000000-0005-0000-0000-0000D5830000}"/>
    <cellStyle name="Normal 17 2 3 2 3 2" xfId="949" xr:uid="{00000000-0005-0000-0000-0000D6830000}"/>
    <cellStyle name="Normal 17 2 3 2 3 2 2" xfId="7384" xr:uid="{00000000-0005-0000-0000-0000D7830000}"/>
    <cellStyle name="Normal 17 2 3 2 3 2 2 2" xfId="8861" xr:uid="{00000000-0005-0000-0000-0000D8830000}"/>
    <cellStyle name="Normal 17 2 3 2 3 2 2 2 2" xfId="11758" xr:uid="{00000000-0005-0000-0000-0000D9830000}"/>
    <cellStyle name="Normal 17 2 3 2 3 2 2 3" xfId="10318" xr:uid="{00000000-0005-0000-0000-0000DA830000}"/>
    <cellStyle name="Normal 17 2 3 2 3 2 2 4" xfId="51995" xr:uid="{00000000-0005-0000-0000-0000DB830000}"/>
    <cellStyle name="Normal 17 2 3 2 3 2 3" xfId="8203" xr:uid="{00000000-0005-0000-0000-0000DC830000}"/>
    <cellStyle name="Normal 17 2 3 2 3 2 3 2" xfId="11100" xr:uid="{00000000-0005-0000-0000-0000DD830000}"/>
    <cellStyle name="Normal 17 2 3 2 3 2 4" xfId="9660" xr:uid="{00000000-0005-0000-0000-0000DE830000}"/>
    <cellStyle name="Normal 17 2 3 2 3 2 5" xfId="6708" xr:uid="{00000000-0005-0000-0000-0000DF830000}"/>
    <cellStyle name="Normal 17 2 3 2 3 2 6" xfId="32808" xr:uid="{00000000-0005-0000-0000-0000E0830000}"/>
    <cellStyle name="Normal 17 2 3 2 3 3" xfId="950" xr:uid="{00000000-0005-0000-0000-0000E1830000}"/>
    <cellStyle name="Normal 17 2 3 2 3 3 2" xfId="7151" xr:uid="{00000000-0005-0000-0000-0000E2830000}"/>
    <cellStyle name="Normal 17 2 3 2 3 3 2 2" xfId="8628" xr:uid="{00000000-0005-0000-0000-0000E3830000}"/>
    <cellStyle name="Normal 17 2 3 2 3 3 2 2 2" xfId="11525" xr:uid="{00000000-0005-0000-0000-0000E4830000}"/>
    <cellStyle name="Normal 17 2 3 2 3 3 2 3" xfId="10085" xr:uid="{00000000-0005-0000-0000-0000E5830000}"/>
    <cellStyle name="Normal 17 2 3 2 3 3 2 4" xfId="42650" xr:uid="{00000000-0005-0000-0000-0000E6830000}"/>
    <cellStyle name="Normal 17 2 3 2 3 3 3" xfId="7970" xr:uid="{00000000-0005-0000-0000-0000E7830000}"/>
    <cellStyle name="Normal 17 2 3 2 3 3 3 2" xfId="10867" xr:uid="{00000000-0005-0000-0000-0000E8830000}"/>
    <cellStyle name="Normal 17 2 3 2 3 3 4" xfId="9427" xr:uid="{00000000-0005-0000-0000-0000E9830000}"/>
    <cellStyle name="Normal 17 2 3 2 3 3 5" xfId="6475" xr:uid="{00000000-0005-0000-0000-0000EA830000}"/>
    <cellStyle name="Normal 17 2 3 2 3 3 6" xfId="23081" xr:uid="{00000000-0005-0000-0000-0000EB830000}"/>
    <cellStyle name="Normal 17 2 3 2 3 4" xfId="6976" xr:uid="{00000000-0005-0000-0000-0000EC830000}"/>
    <cellStyle name="Normal 17 2 3 2 3 4 2" xfId="8453" xr:uid="{00000000-0005-0000-0000-0000ED830000}"/>
    <cellStyle name="Normal 17 2 3 2 3 4 2 2" xfId="11350" xr:uid="{00000000-0005-0000-0000-0000EE830000}"/>
    <cellStyle name="Normal 17 2 3 2 3 4 3" xfId="9910" xr:uid="{00000000-0005-0000-0000-0000EF830000}"/>
    <cellStyle name="Normal 17 2 3 2 3 4 4" xfId="42297" xr:uid="{00000000-0005-0000-0000-0000F0830000}"/>
    <cellStyle name="Normal 17 2 3 2 3 5" xfId="7793" xr:uid="{00000000-0005-0000-0000-0000F1830000}"/>
    <cellStyle name="Normal 17 2 3 2 3 5 2" xfId="10692" xr:uid="{00000000-0005-0000-0000-0000F2830000}"/>
    <cellStyle name="Normal 17 2 3 2 3 6" xfId="9252" xr:uid="{00000000-0005-0000-0000-0000F3830000}"/>
    <cellStyle name="Normal 17 2 3 2 3 7" xfId="6277" xr:uid="{00000000-0005-0000-0000-0000F4830000}"/>
    <cellStyle name="Normal 17 2 3 2 3 8" xfId="22722" xr:uid="{00000000-0005-0000-0000-0000F5830000}"/>
    <cellStyle name="Normal 17 2 3 2 4" xfId="951" xr:uid="{00000000-0005-0000-0000-0000F6830000}"/>
    <cellStyle name="Normal 17 2 3 2 4 2" xfId="7268" xr:uid="{00000000-0005-0000-0000-0000F7830000}"/>
    <cellStyle name="Normal 17 2 3 2 4 2 2" xfId="8745" xr:uid="{00000000-0005-0000-0000-0000F8830000}"/>
    <cellStyle name="Normal 17 2 3 2 4 2 2 2" xfId="11642" xr:uid="{00000000-0005-0000-0000-0000F9830000}"/>
    <cellStyle name="Normal 17 2 3 2 4 2 2 3" xfId="51858" xr:uid="{00000000-0005-0000-0000-0000FA830000}"/>
    <cellStyle name="Normal 17 2 3 2 4 2 3" xfId="10202" xr:uid="{00000000-0005-0000-0000-0000FB830000}"/>
    <cellStyle name="Normal 17 2 3 2 4 2 4" xfId="32671" xr:uid="{00000000-0005-0000-0000-0000FC830000}"/>
    <cellStyle name="Normal 17 2 3 2 4 3" xfId="8087" xr:uid="{00000000-0005-0000-0000-0000FD830000}"/>
    <cellStyle name="Normal 17 2 3 2 4 3 2" xfId="10984" xr:uid="{00000000-0005-0000-0000-0000FE830000}"/>
    <cellStyle name="Normal 17 2 3 2 4 3 3" xfId="42160" xr:uid="{00000000-0005-0000-0000-0000FF830000}"/>
    <cellStyle name="Normal 17 2 3 2 4 4" xfId="9544" xr:uid="{00000000-0005-0000-0000-000000840000}"/>
    <cellStyle name="Normal 17 2 3 2 4 5" xfId="6592" xr:uid="{00000000-0005-0000-0000-000001840000}"/>
    <cellStyle name="Normal 17 2 3 2 4 6" xfId="22549" xr:uid="{00000000-0005-0000-0000-000002840000}"/>
    <cellStyle name="Normal 17 2 3 2 5" xfId="952" xr:uid="{00000000-0005-0000-0000-000003840000}"/>
    <cellStyle name="Normal 17 2 3 2 5 2" xfId="7035" xr:uid="{00000000-0005-0000-0000-000004840000}"/>
    <cellStyle name="Normal 17 2 3 2 5 2 2" xfId="8512" xr:uid="{00000000-0005-0000-0000-000005840000}"/>
    <cellStyle name="Normal 17 2 3 2 5 2 2 2" xfId="11409" xr:uid="{00000000-0005-0000-0000-000006840000}"/>
    <cellStyle name="Normal 17 2 3 2 5 2 3" xfId="9969" xr:uid="{00000000-0005-0000-0000-000007840000}"/>
    <cellStyle name="Normal 17 2 3 2 5 2 4" xfId="45455" xr:uid="{00000000-0005-0000-0000-000008840000}"/>
    <cellStyle name="Normal 17 2 3 2 5 3" xfId="7853" xr:uid="{00000000-0005-0000-0000-000009840000}"/>
    <cellStyle name="Normal 17 2 3 2 5 3 2" xfId="10751" xr:uid="{00000000-0005-0000-0000-00000A840000}"/>
    <cellStyle name="Normal 17 2 3 2 5 4" xfId="9311" xr:uid="{00000000-0005-0000-0000-00000B840000}"/>
    <cellStyle name="Normal 17 2 3 2 5 5" xfId="6356" xr:uid="{00000000-0005-0000-0000-00000C840000}"/>
    <cellStyle name="Normal 17 2 3 2 5 6" xfId="26266" xr:uid="{00000000-0005-0000-0000-00000D840000}"/>
    <cellStyle name="Normal 17 2 3 2 6" xfId="7501" xr:uid="{00000000-0005-0000-0000-00000E840000}"/>
    <cellStyle name="Normal 17 2 3 2 6 2" xfId="8975" xr:uid="{00000000-0005-0000-0000-00000F840000}"/>
    <cellStyle name="Normal 17 2 3 2 6 2 2" xfId="11872" xr:uid="{00000000-0005-0000-0000-000010840000}"/>
    <cellStyle name="Normal 17 2 3 2 6 2 3" xfId="42513" xr:uid="{00000000-0005-0000-0000-000011840000}"/>
    <cellStyle name="Normal 17 2 3 2 6 3" xfId="10432" xr:uid="{00000000-0005-0000-0000-000012840000}"/>
    <cellStyle name="Normal 17 2 3 2 6 4" xfId="22944" xr:uid="{00000000-0005-0000-0000-000013840000}"/>
    <cellStyle name="Normal 17 2 3 2 7" xfId="7560" xr:uid="{00000000-0005-0000-0000-000014840000}"/>
    <cellStyle name="Normal 17 2 3 2 7 2" xfId="9032" xr:uid="{00000000-0005-0000-0000-000015840000}"/>
    <cellStyle name="Normal 17 2 3 2 7 2 2" xfId="11929" xr:uid="{00000000-0005-0000-0000-000016840000}"/>
    <cellStyle name="Normal 17 2 3 2 7 3" xfId="10489" xr:uid="{00000000-0005-0000-0000-000017840000}"/>
    <cellStyle name="Normal 17 2 3 2 7 4" xfId="35757" xr:uid="{00000000-0005-0000-0000-000018840000}"/>
    <cellStyle name="Normal 17 2 3 2 8" xfId="6836" xr:uid="{00000000-0005-0000-0000-000019840000}"/>
    <cellStyle name="Normal 17 2 3 2 8 2" xfId="8316" xr:uid="{00000000-0005-0000-0000-00001A840000}"/>
    <cellStyle name="Normal 17 2 3 2 8 2 2" xfId="11213" xr:uid="{00000000-0005-0000-0000-00001B840000}"/>
    <cellStyle name="Normal 17 2 3 2 8 3" xfId="9773" xr:uid="{00000000-0005-0000-0000-00001C840000}"/>
    <cellStyle name="Normal 17 2 3 2 9" xfId="7655" xr:uid="{00000000-0005-0000-0000-00001D840000}"/>
    <cellStyle name="Normal 17 2 3 2 9 2" xfId="10555" xr:uid="{00000000-0005-0000-0000-00001E840000}"/>
    <cellStyle name="Normal 17 2 3 3" xfId="953" xr:uid="{00000000-0005-0000-0000-00001F840000}"/>
    <cellStyle name="Normal 17 2 3 3 2" xfId="954" xr:uid="{00000000-0005-0000-0000-000020840000}"/>
    <cellStyle name="Normal 17 2 3 3 2 2" xfId="955" xr:uid="{00000000-0005-0000-0000-000021840000}"/>
    <cellStyle name="Normal 17 2 3 3 2 2 2" xfId="7410" xr:uid="{00000000-0005-0000-0000-000022840000}"/>
    <cellStyle name="Normal 17 2 3 3 2 2 2 2" xfId="8887" xr:uid="{00000000-0005-0000-0000-000023840000}"/>
    <cellStyle name="Normal 17 2 3 3 2 2 2 2 2" xfId="11784" xr:uid="{00000000-0005-0000-0000-000024840000}"/>
    <cellStyle name="Normal 17 2 3 3 2 2 2 3" xfId="10344" xr:uid="{00000000-0005-0000-0000-000025840000}"/>
    <cellStyle name="Normal 17 2 3 3 2 2 2 4" xfId="51909" xr:uid="{00000000-0005-0000-0000-000026840000}"/>
    <cellStyle name="Normal 17 2 3 3 2 2 3" xfId="8229" xr:uid="{00000000-0005-0000-0000-000027840000}"/>
    <cellStyle name="Normal 17 2 3 3 2 2 3 2" xfId="11126" xr:uid="{00000000-0005-0000-0000-000028840000}"/>
    <cellStyle name="Normal 17 2 3 3 2 2 4" xfId="9686" xr:uid="{00000000-0005-0000-0000-000029840000}"/>
    <cellStyle name="Normal 17 2 3 3 2 2 5" xfId="6734" xr:uid="{00000000-0005-0000-0000-00002A840000}"/>
    <cellStyle name="Normal 17 2 3 3 2 2 6" xfId="32722" xr:uid="{00000000-0005-0000-0000-00002B840000}"/>
    <cellStyle name="Normal 17 2 3 3 2 3" xfId="7177" xr:uid="{00000000-0005-0000-0000-00002C840000}"/>
    <cellStyle name="Normal 17 2 3 3 2 3 2" xfId="8654" xr:uid="{00000000-0005-0000-0000-00002D840000}"/>
    <cellStyle name="Normal 17 2 3 3 2 3 2 2" xfId="11551" xr:uid="{00000000-0005-0000-0000-00002E840000}"/>
    <cellStyle name="Normal 17 2 3 3 2 3 3" xfId="10111" xr:uid="{00000000-0005-0000-0000-00002F840000}"/>
    <cellStyle name="Normal 17 2 3 3 2 3 4" xfId="42211" xr:uid="{00000000-0005-0000-0000-000030840000}"/>
    <cellStyle name="Normal 17 2 3 3 2 4" xfId="7996" xr:uid="{00000000-0005-0000-0000-000031840000}"/>
    <cellStyle name="Normal 17 2 3 3 2 4 2" xfId="10893" xr:uid="{00000000-0005-0000-0000-000032840000}"/>
    <cellStyle name="Normal 17 2 3 3 2 5" xfId="9453" xr:uid="{00000000-0005-0000-0000-000033840000}"/>
    <cellStyle name="Normal 17 2 3 3 2 6" xfId="6501" xr:uid="{00000000-0005-0000-0000-000034840000}"/>
    <cellStyle name="Normal 17 2 3 3 2 7" xfId="22633" xr:uid="{00000000-0005-0000-0000-000035840000}"/>
    <cellStyle name="Normal 17 2 3 3 3" xfId="956" xr:uid="{00000000-0005-0000-0000-000036840000}"/>
    <cellStyle name="Normal 17 2 3 3 3 2" xfId="7294" xr:uid="{00000000-0005-0000-0000-000037840000}"/>
    <cellStyle name="Normal 17 2 3 3 3 2 2" xfId="8771" xr:uid="{00000000-0005-0000-0000-000038840000}"/>
    <cellStyle name="Normal 17 2 3 3 3 2 2 2" xfId="11668" xr:uid="{00000000-0005-0000-0000-000039840000}"/>
    <cellStyle name="Normal 17 2 3 3 3 2 3" xfId="10228" xr:uid="{00000000-0005-0000-0000-00003A840000}"/>
    <cellStyle name="Normal 17 2 3 3 3 2 4" xfId="48795" xr:uid="{00000000-0005-0000-0000-00003B840000}"/>
    <cellStyle name="Normal 17 2 3 3 3 3" xfId="8113" xr:uid="{00000000-0005-0000-0000-00003C840000}"/>
    <cellStyle name="Normal 17 2 3 3 3 3 2" xfId="11010" xr:uid="{00000000-0005-0000-0000-00003D840000}"/>
    <cellStyle name="Normal 17 2 3 3 3 4" xfId="9570" xr:uid="{00000000-0005-0000-0000-00003E840000}"/>
    <cellStyle name="Normal 17 2 3 3 3 5" xfId="6618" xr:uid="{00000000-0005-0000-0000-00003F840000}"/>
    <cellStyle name="Normal 17 2 3 3 3 6" xfId="29606" xr:uid="{00000000-0005-0000-0000-000040840000}"/>
    <cellStyle name="Normal 17 2 3 3 4" xfId="957" xr:uid="{00000000-0005-0000-0000-000041840000}"/>
    <cellStyle name="Normal 17 2 3 3 4 2" xfId="7061" xr:uid="{00000000-0005-0000-0000-000042840000}"/>
    <cellStyle name="Normal 17 2 3 3 4 2 2" xfId="8538" xr:uid="{00000000-0005-0000-0000-000043840000}"/>
    <cellStyle name="Normal 17 2 3 3 4 2 2 2" xfId="11435" xr:uid="{00000000-0005-0000-0000-000044840000}"/>
    <cellStyle name="Normal 17 2 3 3 4 2 3" xfId="9995" xr:uid="{00000000-0005-0000-0000-000045840000}"/>
    <cellStyle name="Normal 17 2 3 3 4 2 4" xfId="42564" xr:uid="{00000000-0005-0000-0000-000046840000}"/>
    <cellStyle name="Normal 17 2 3 3 4 3" xfId="7879" xr:uid="{00000000-0005-0000-0000-000047840000}"/>
    <cellStyle name="Normal 17 2 3 3 4 3 2" xfId="10777" xr:uid="{00000000-0005-0000-0000-000048840000}"/>
    <cellStyle name="Normal 17 2 3 3 4 4" xfId="9337" xr:uid="{00000000-0005-0000-0000-000049840000}"/>
    <cellStyle name="Normal 17 2 3 3 4 5" xfId="6382" xr:uid="{00000000-0005-0000-0000-00004A840000}"/>
    <cellStyle name="Normal 17 2 3 3 4 6" xfId="22995" xr:uid="{00000000-0005-0000-0000-00004B840000}"/>
    <cellStyle name="Normal 17 2 3 3 5" xfId="6889" xr:uid="{00000000-0005-0000-0000-00004C840000}"/>
    <cellStyle name="Normal 17 2 3 3 5 2" xfId="8367" xr:uid="{00000000-0005-0000-0000-00004D840000}"/>
    <cellStyle name="Normal 17 2 3 3 5 2 2" xfId="11264" xr:uid="{00000000-0005-0000-0000-00004E840000}"/>
    <cellStyle name="Normal 17 2 3 3 5 3" xfId="9824" xr:uid="{00000000-0005-0000-0000-00004F840000}"/>
    <cellStyle name="Normal 17 2 3 3 5 4" xfId="39097" xr:uid="{00000000-0005-0000-0000-000050840000}"/>
    <cellStyle name="Normal 17 2 3 3 6" xfId="7706" xr:uid="{00000000-0005-0000-0000-000051840000}"/>
    <cellStyle name="Normal 17 2 3 3 6 2" xfId="10606" xr:uid="{00000000-0005-0000-0000-000052840000}"/>
    <cellStyle name="Normal 17 2 3 3 7" xfId="9166" xr:uid="{00000000-0005-0000-0000-000053840000}"/>
    <cellStyle name="Normal 17 2 3 3 8" xfId="6184" xr:uid="{00000000-0005-0000-0000-000054840000}"/>
    <cellStyle name="Normal 17 2 3 3 9" xfId="19238" xr:uid="{00000000-0005-0000-0000-000055840000}"/>
    <cellStyle name="Normal 17 2 3 4" xfId="958" xr:uid="{00000000-0005-0000-0000-000056840000}"/>
    <cellStyle name="Normal 17 2 3 4 2" xfId="959" xr:uid="{00000000-0005-0000-0000-000057840000}"/>
    <cellStyle name="Normal 17 2 3 4 2 2" xfId="7358" xr:uid="{00000000-0005-0000-0000-000058840000}"/>
    <cellStyle name="Normal 17 2 3 4 2 2 2" xfId="8835" xr:uid="{00000000-0005-0000-0000-000059840000}"/>
    <cellStyle name="Normal 17 2 3 4 2 2 2 2" xfId="11732" xr:uid="{00000000-0005-0000-0000-00005A840000}"/>
    <cellStyle name="Normal 17 2 3 4 2 2 3" xfId="10292" xr:uid="{00000000-0005-0000-0000-00005B840000}"/>
    <cellStyle name="Normal 17 2 3 4 2 2 4" xfId="51965" xr:uid="{00000000-0005-0000-0000-00005C840000}"/>
    <cellStyle name="Normal 17 2 3 4 2 3" xfId="8177" xr:uid="{00000000-0005-0000-0000-00005D840000}"/>
    <cellStyle name="Normal 17 2 3 4 2 3 2" xfId="11074" xr:uid="{00000000-0005-0000-0000-00005E840000}"/>
    <cellStyle name="Normal 17 2 3 4 2 4" xfId="9634" xr:uid="{00000000-0005-0000-0000-00005F840000}"/>
    <cellStyle name="Normal 17 2 3 4 2 5" xfId="6682" xr:uid="{00000000-0005-0000-0000-000060840000}"/>
    <cellStyle name="Normal 17 2 3 4 2 6" xfId="32778" xr:uid="{00000000-0005-0000-0000-000061840000}"/>
    <cellStyle name="Normal 17 2 3 4 3" xfId="960" xr:uid="{00000000-0005-0000-0000-000062840000}"/>
    <cellStyle name="Normal 17 2 3 4 3 2" xfId="7125" xr:uid="{00000000-0005-0000-0000-000063840000}"/>
    <cellStyle name="Normal 17 2 3 4 3 2 2" xfId="8602" xr:uid="{00000000-0005-0000-0000-000064840000}"/>
    <cellStyle name="Normal 17 2 3 4 3 2 2 2" xfId="11499" xr:uid="{00000000-0005-0000-0000-000065840000}"/>
    <cellStyle name="Normal 17 2 3 4 3 2 3" xfId="10059" xr:uid="{00000000-0005-0000-0000-000066840000}"/>
    <cellStyle name="Normal 17 2 3 4 3 2 4" xfId="42620" xr:uid="{00000000-0005-0000-0000-000067840000}"/>
    <cellStyle name="Normal 17 2 3 4 3 3" xfId="7944" xr:uid="{00000000-0005-0000-0000-000068840000}"/>
    <cellStyle name="Normal 17 2 3 4 3 3 2" xfId="10841" xr:uid="{00000000-0005-0000-0000-000069840000}"/>
    <cellStyle name="Normal 17 2 3 4 3 4" xfId="9401" xr:uid="{00000000-0005-0000-0000-00006A840000}"/>
    <cellStyle name="Normal 17 2 3 4 3 5" xfId="6449" xr:uid="{00000000-0005-0000-0000-00006B840000}"/>
    <cellStyle name="Normal 17 2 3 4 3 6" xfId="23051" xr:uid="{00000000-0005-0000-0000-00006C840000}"/>
    <cellStyle name="Normal 17 2 3 4 4" xfId="6946" xr:uid="{00000000-0005-0000-0000-00006D840000}"/>
    <cellStyle name="Normal 17 2 3 4 4 2" xfId="8423" xr:uid="{00000000-0005-0000-0000-00006E840000}"/>
    <cellStyle name="Normal 17 2 3 4 4 2 2" xfId="11320" xr:uid="{00000000-0005-0000-0000-00006F840000}"/>
    <cellStyle name="Normal 17 2 3 4 4 3" xfId="9880" xr:uid="{00000000-0005-0000-0000-000070840000}"/>
    <cellStyle name="Normal 17 2 3 4 4 4" xfId="42267" xr:uid="{00000000-0005-0000-0000-000071840000}"/>
    <cellStyle name="Normal 17 2 3 4 5" xfId="7763" xr:uid="{00000000-0005-0000-0000-000072840000}"/>
    <cellStyle name="Normal 17 2 3 4 5 2" xfId="10662" xr:uid="{00000000-0005-0000-0000-000073840000}"/>
    <cellStyle name="Normal 17 2 3 4 6" xfId="9222" xr:uid="{00000000-0005-0000-0000-000074840000}"/>
    <cellStyle name="Normal 17 2 3 4 7" xfId="6247" xr:uid="{00000000-0005-0000-0000-000075840000}"/>
    <cellStyle name="Normal 17 2 3 4 8" xfId="22692" xr:uid="{00000000-0005-0000-0000-000076840000}"/>
    <cellStyle name="Normal 17 2 3 5" xfId="961" xr:uid="{00000000-0005-0000-0000-000077840000}"/>
    <cellStyle name="Normal 17 2 3 5 2" xfId="7242" xr:uid="{00000000-0005-0000-0000-000078840000}"/>
    <cellStyle name="Normal 17 2 3 5 2 2" xfId="8719" xr:uid="{00000000-0005-0000-0000-000079840000}"/>
    <cellStyle name="Normal 17 2 3 5 2 2 2" xfId="11616" xr:uid="{00000000-0005-0000-0000-00007A840000}"/>
    <cellStyle name="Normal 17 2 3 5 2 2 3" xfId="51828" xr:uid="{00000000-0005-0000-0000-00007B840000}"/>
    <cellStyle name="Normal 17 2 3 5 2 3" xfId="10176" xr:uid="{00000000-0005-0000-0000-00007C840000}"/>
    <cellStyle name="Normal 17 2 3 5 2 4" xfId="32641" xr:uid="{00000000-0005-0000-0000-00007D840000}"/>
    <cellStyle name="Normal 17 2 3 5 3" xfId="8061" xr:uid="{00000000-0005-0000-0000-00007E840000}"/>
    <cellStyle name="Normal 17 2 3 5 3 2" xfId="10958" xr:uid="{00000000-0005-0000-0000-00007F840000}"/>
    <cellStyle name="Normal 17 2 3 5 3 3" xfId="42130" xr:uid="{00000000-0005-0000-0000-000080840000}"/>
    <cellStyle name="Normal 17 2 3 5 4" xfId="9518" xr:uid="{00000000-0005-0000-0000-000081840000}"/>
    <cellStyle name="Normal 17 2 3 5 5" xfId="6566" xr:uid="{00000000-0005-0000-0000-000082840000}"/>
    <cellStyle name="Normal 17 2 3 5 6" xfId="22514" xr:uid="{00000000-0005-0000-0000-000083840000}"/>
    <cellStyle name="Normal 17 2 3 6" xfId="962" xr:uid="{00000000-0005-0000-0000-000084840000}"/>
    <cellStyle name="Normal 17 2 3 6 2" xfId="7009" xr:uid="{00000000-0005-0000-0000-000085840000}"/>
    <cellStyle name="Normal 17 2 3 6 2 2" xfId="8486" xr:uid="{00000000-0005-0000-0000-000086840000}"/>
    <cellStyle name="Normal 17 2 3 6 2 2 2" xfId="11383" xr:uid="{00000000-0005-0000-0000-000087840000}"/>
    <cellStyle name="Normal 17 2 3 6 2 3" xfId="9943" xr:uid="{00000000-0005-0000-0000-000088840000}"/>
    <cellStyle name="Normal 17 2 3 6 2 4" xfId="44340" xr:uid="{00000000-0005-0000-0000-000089840000}"/>
    <cellStyle name="Normal 17 2 3 6 3" xfId="7827" xr:uid="{00000000-0005-0000-0000-00008A840000}"/>
    <cellStyle name="Normal 17 2 3 6 3 2" xfId="10725" xr:uid="{00000000-0005-0000-0000-00008B840000}"/>
    <cellStyle name="Normal 17 2 3 6 4" xfId="9285" xr:uid="{00000000-0005-0000-0000-00008C840000}"/>
    <cellStyle name="Normal 17 2 3 6 5" xfId="6330" xr:uid="{00000000-0005-0000-0000-00008D840000}"/>
    <cellStyle name="Normal 17 2 3 6 6" xfId="25151" xr:uid="{00000000-0005-0000-0000-00008E840000}"/>
    <cellStyle name="Normal 17 2 3 7" xfId="7475" xr:uid="{00000000-0005-0000-0000-00008F840000}"/>
    <cellStyle name="Normal 17 2 3 7 2" xfId="8949" xr:uid="{00000000-0005-0000-0000-000090840000}"/>
    <cellStyle name="Normal 17 2 3 7 2 2" xfId="11846" xr:uid="{00000000-0005-0000-0000-000091840000}"/>
    <cellStyle name="Normal 17 2 3 7 2 3" xfId="42483" xr:uid="{00000000-0005-0000-0000-000092840000}"/>
    <cellStyle name="Normal 17 2 3 7 3" xfId="10406" xr:uid="{00000000-0005-0000-0000-000093840000}"/>
    <cellStyle name="Normal 17 2 3 7 4" xfId="22914" xr:uid="{00000000-0005-0000-0000-000094840000}"/>
    <cellStyle name="Normal 17 2 3 8" xfId="7534" xr:uid="{00000000-0005-0000-0000-000095840000}"/>
    <cellStyle name="Normal 17 2 3 8 2" xfId="9006" xr:uid="{00000000-0005-0000-0000-000096840000}"/>
    <cellStyle name="Normal 17 2 3 8 2 2" xfId="11903" xr:uid="{00000000-0005-0000-0000-000097840000}"/>
    <cellStyle name="Normal 17 2 3 8 3" xfId="10463" xr:uid="{00000000-0005-0000-0000-000098840000}"/>
    <cellStyle name="Normal 17 2 3 8 4" xfId="34642" xr:uid="{00000000-0005-0000-0000-000099840000}"/>
    <cellStyle name="Normal 17 2 3 9" xfId="6805" xr:uid="{00000000-0005-0000-0000-00009A840000}"/>
    <cellStyle name="Normal 17 2 3 9 2" xfId="8286" xr:uid="{00000000-0005-0000-0000-00009B840000}"/>
    <cellStyle name="Normal 17 2 3 9 2 2" xfId="11183" xr:uid="{00000000-0005-0000-0000-00009C840000}"/>
    <cellStyle name="Normal 17 2 3 9 3" xfId="9743" xr:uid="{00000000-0005-0000-0000-00009D840000}"/>
    <cellStyle name="Normal 17 2 4" xfId="963" xr:uid="{00000000-0005-0000-0000-00009E840000}"/>
    <cellStyle name="Normal 17 2 4 10" xfId="9099" xr:uid="{00000000-0005-0000-0000-00009F840000}"/>
    <cellStyle name="Normal 17 2 4 11" xfId="6111" xr:uid="{00000000-0005-0000-0000-0000A0840000}"/>
    <cellStyle name="Normal 17 2 4 12" xfId="15332" xr:uid="{00000000-0005-0000-0000-0000A1840000}"/>
    <cellStyle name="Normal 17 2 4 2" xfId="964" xr:uid="{00000000-0005-0000-0000-0000A2840000}"/>
    <cellStyle name="Normal 17 2 4 2 2" xfId="965" xr:uid="{00000000-0005-0000-0000-0000A3840000}"/>
    <cellStyle name="Normal 17 2 4 2 2 2" xfId="966" xr:uid="{00000000-0005-0000-0000-0000A4840000}"/>
    <cellStyle name="Normal 17 2 4 2 2 2 2" xfId="7424" xr:uid="{00000000-0005-0000-0000-0000A5840000}"/>
    <cellStyle name="Normal 17 2 4 2 2 2 2 2" xfId="8901" xr:uid="{00000000-0005-0000-0000-0000A6840000}"/>
    <cellStyle name="Normal 17 2 4 2 2 2 2 2 2" xfId="11798" xr:uid="{00000000-0005-0000-0000-0000A7840000}"/>
    <cellStyle name="Normal 17 2 4 2 2 2 2 3" xfId="10358" xr:uid="{00000000-0005-0000-0000-0000A8840000}"/>
    <cellStyle name="Normal 17 2 4 2 2 2 2 4" xfId="51923" xr:uid="{00000000-0005-0000-0000-0000A9840000}"/>
    <cellStyle name="Normal 17 2 4 2 2 2 3" xfId="8243" xr:uid="{00000000-0005-0000-0000-0000AA840000}"/>
    <cellStyle name="Normal 17 2 4 2 2 2 3 2" xfId="11140" xr:uid="{00000000-0005-0000-0000-0000AB840000}"/>
    <cellStyle name="Normal 17 2 4 2 2 2 4" xfId="9700" xr:uid="{00000000-0005-0000-0000-0000AC840000}"/>
    <cellStyle name="Normal 17 2 4 2 2 2 5" xfId="6748" xr:uid="{00000000-0005-0000-0000-0000AD840000}"/>
    <cellStyle name="Normal 17 2 4 2 2 2 6" xfId="32736" xr:uid="{00000000-0005-0000-0000-0000AE840000}"/>
    <cellStyle name="Normal 17 2 4 2 2 3" xfId="7191" xr:uid="{00000000-0005-0000-0000-0000AF840000}"/>
    <cellStyle name="Normal 17 2 4 2 2 3 2" xfId="8668" xr:uid="{00000000-0005-0000-0000-0000B0840000}"/>
    <cellStyle name="Normal 17 2 4 2 2 3 2 2" xfId="11565" xr:uid="{00000000-0005-0000-0000-0000B1840000}"/>
    <cellStyle name="Normal 17 2 4 2 2 3 3" xfId="10125" xr:uid="{00000000-0005-0000-0000-0000B2840000}"/>
    <cellStyle name="Normal 17 2 4 2 2 3 4" xfId="42225" xr:uid="{00000000-0005-0000-0000-0000B3840000}"/>
    <cellStyle name="Normal 17 2 4 2 2 4" xfId="8010" xr:uid="{00000000-0005-0000-0000-0000B4840000}"/>
    <cellStyle name="Normal 17 2 4 2 2 4 2" xfId="10907" xr:uid="{00000000-0005-0000-0000-0000B5840000}"/>
    <cellStyle name="Normal 17 2 4 2 2 5" xfId="9467" xr:uid="{00000000-0005-0000-0000-0000B6840000}"/>
    <cellStyle name="Normal 17 2 4 2 2 6" xfId="6515" xr:uid="{00000000-0005-0000-0000-0000B7840000}"/>
    <cellStyle name="Normal 17 2 4 2 2 7" xfId="22648" xr:uid="{00000000-0005-0000-0000-0000B8840000}"/>
    <cellStyle name="Normal 17 2 4 2 3" xfId="967" xr:uid="{00000000-0005-0000-0000-0000B9840000}"/>
    <cellStyle name="Normal 17 2 4 2 3 2" xfId="7308" xr:uid="{00000000-0005-0000-0000-0000BA840000}"/>
    <cellStyle name="Normal 17 2 4 2 3 2 2" xfId="8785" xr:uid="{00000000-0005-0000-0000-0000BB840000}"/>
    <cellStyle name="Normal 17 2 4 2 3 2 2 2" xfId="11682" xr:uid="{00000000-0005-0000-0000-0000BC840000}"/>
    <cellStyle name="Normal 17 2 4 2 3 2 3" xfId="10242" xr:uid="{00000000-0005-0000-0000-0000BD840000}"/>
    <cellStyle name="Normal 17 2 4 2 3 2 4" xfId="49353" xr:uid="{00000000-0005-0000-0000-0000BE840000}"/>
    <cellStyle name="Normal 17 2 4 2 3 3" xfId="8127" xr:uid="{00000000-0005-0000-0000-0000BF840000}"/>
    <cellStyle name="Normal 17 2 4 2 3 3 2" xfId="11024" xr:uid="{00000000-0005-0000-0000-0000C0840000}"/>
    <cellStyle name="Normal 17 2 4 2 3 4" xfId="9584" xr:uid="{00000000-0005-0000-0000-0000C1840000}"/>
    <cellStyle name="Normal 17 2 4 2 3 5" xfId="6632" xr:uid="{00000000-0005-0000-0000-0000C2840000}"/>
    <cellStyle name="Normal 17 2 4 2 3 6" xfId="30164" xr:uid="{00000000-0005-0000-0000-0000C3840000}"/>
    <cellStyle name="Normal 17 2 4 2 4" xfId="968" xr:uid="{00000000-0005-0000-0000-0000C4840000}"/>
    <cellStyle name="Normal 17 2 4 2 4 2" xfId="7075" xr:uid="{00000000-0005-0000-0000-0000C5840000}"/>
    <cellStyle name="Normal 17 2 4 2 4 2 2" xfId="8552" xr:uid="{00000000-0005-0000-0000-0000C6840000}"/>
    <cellStyle name="Normal 17 2 4 2 4 2 2 2" xfId="11449" xr:uid="{00000000-0005-0000-0000-0000C7840000}"/>
    <cellStyle name="Normal 17 2 4 2 4 2 3" xfId="10009" xr:uid="{00000000-0005-0000-0000-0000C8840000}"/>
    <cellStyle name="Normal 17 2 4 2 4 2 4" xfId="42578" xr:uid="{00000000-0005-0000-0000-0000C9840000}"/>
    <cellStyle name="Normal 17 2 4 2 4 3" xfId="7893" xr:uid="{00000000-0005-0000-0000-0000CA840000}"/>
    <cellStyle name="Normal 17 2 4 2 4 3 2" xfId="10791" xr:uid="{00000000-0005-0000-0000-0000CB840000}"/>
    <cellStyle name="Normal 17 2 4 2 4 4" xfId="9351" xr:uid="{00000000-0005-0000-0000-0000CC840000}"/>
    <cellStyle name="Normal 17 2 4 2 4 5" xfId="6396" xr:uid="{00000000-0005-0000-0000-0000CD840000}"/>
    <cellStyle name="Normal 17 2 4 2 4 6" xfId="23009" xr:uid="{00000000-0005-0000-0000-0000CE840000}"/>
    <cellStyle name="Normal 17 2 4 2 5" xfId="6903" xr:uid="{00000000-0005-0000-0000-0000CF840000}"/>
    <cellStyle name="Normal 17 2 4 2 5 2" xfId="8381" xr:uid="{00000000-0005-0000-0000-0000D0840000}"/>
    <cellStyle name="Normal 17 2 4 2 5 2 2" xfId="11278" xr:uid="{00000000-0005-0000-0000-0000D1840000}"/>
    <cellStyle name="Normal 17 2 4 2 5 3" xfId="9838" xr:uid="{00000000-0005-0000-0000-0000D2840000}"/>
    <cellStyle name="Normal 17 2 4 2 5 4" xfId="39655" xr:uid="{00000000-0005-0000-0000-0000D3840000}"/>
    <cellStyle name="Normal 17 2 4 2 6" xfId="7720" xr:uid="{00000000-0005-0000-0000-0000D4840000}"/>
    <cellStyle name="Normal 17 2 4 2 6 2" xfId="10620" xr:uid="{00000000-0005-0000-0000-0000D5840000}"/>
    <cellStyle name="Normal 17 2 4 2 7" xfId="9180" xr:uid="{00000000-0005-0000-0000-0000D6840000}"/>
    <cellStyle name="Normal 17 2 4 2 8" xfId="6199" xr:uid="{00000000-0005-0000-0000-0000D7840000}"/>
    <cellStyle name="Normal 17 2 4 2 9" xfId="19796" xr:uid="{00000000-0005-0000-0000-0000D8840000}"/>
    <cellStyle name="Normal 17 2 4 3" xfId="969" xr:uid="{00000000-0005-0000-0000-0000D9840000}"/>
    <cellStyle name="Normal 17 2 4 3 2" xfId="970" xr:uid="{00000000-0005-0000-0000-0000DA840000}"/>
    <cellStyle name="Normal 17 2 4 3 2 2" xfId="7342" xr:uid="{00000000-0005-0000-0000-0000DB840000}"/>
    <cellStyle name="Normal 17 2 4 3 2 2 2" xfId="8819" xr:uid="{00000000-0005-0000-0000-0000DC840000}"/>
    <cellStyle name="Normal 17 2 4 3 2 2 2 2" xfId="11716" xr:uid="{00000000-0005-0000-0000-0000DD840000}"/>
    <cellStyle name="Normal 17 2 4 3 2 2 3" xfId="10276" xr:uid="{00000000-0005-0000-0000-0000DE840000}"/>
    <cellStyle name="Normal 17 2 4 3 2 2 4" xfId="51979" xr:uid="{00000000-0005-0000-0000-0000DF840000}"/>
    <cellStyle name="Normal 17 2 4 3 2 3" xfId="8161" xr:uid="{00000000-0005-0000-0000-0000E0840000}"/>
    <cellStyle name="Normal 17 2 4 3 2 3 2" xfId="11058" xr:uid="{00000000-0005-0000-0000-0000E1840000}"/>
    <cellStyle name="Normal 17 2 4 3 2 4" xfId="9618" xr:uid="{00000000-0005-0000-0000-0000E2840000}"/>
    <cellStyle name="Normal 17 2 4 3 2 5" xfId="6666" xr:uid="{00000000-0005-0000-0000-0000E3840000}"/>
    <cellStyle name="Normal 17 2 4 3 2 6" xfId="32792" xr:uid="{00000000-0005-0000-0000-0000E4840000}"/>
    <cellStyle name="Normal 17 2 4 3 3" xfId="971" xr:uid="{00000000-0005-0000-0000-0000E5840000}"/>
    <cellStyle name="Normal 17 2 4 3 3 2" xfId="7109" xr:uid="{00000000-0005-0000-0000-0000E6840000}"/>
    <cellStyle name="Normal 17 2 4 3 3 2 2" xfId="8586" xr:uid="{00000000-0005-0000-0000-0000E7840000}"/>
    <cellStyle name="Normal 17 2 4 3 3 2 2 2" xfId="11483" xr:uid="{00000000-0005-0000-0000-0000E8840000}"/>
    <cellStyle name="Normal 17 2 4 3 3 2 3" xfId="10043" xr:uid="{00000000-0005-0000-0000-0000E9840000}"/>
    <cellStyle name="Normal 17 2 4 3 3 2 4" xfId="42634" xr:uid="{00000000-0005-0000-0000-0000EA840000}"/>
    <cellStyle name="Normal 17 2 4 3 3 3" xfId="7928" xr:uid="{00000000-0005-0000-0000-0000EB840000}"/>
    <cellStyle name="Normal 17 2 4 3 3 3 2" xfId="10825" xr:uid="{00000000-0005-0000-0000-0000EC840000}"/>
    <cellStyle name="Normal 17 2 4 3 3 4" xfId="9385" xr:uid="{00000000-0005-0000-0000-0000ED840000}"/>
    <cellStyle name="Normal 17 2 4 3 3 5" xfId="6433" xr:uid="{00000000-0005-0000-0000-0000EE840000}"/>
    <cellStyle name="Normal 17 2 4 3 3 6" xfId="23065" xr:uid="{00000000-0005-0000-0000-0000EF840000}"/>
    <cellStyle name="Normal 17 2 4 3 4" xfId="6960" xr:uid="{00000000-0005-0000-0000-0000F0840000}"/>
    <cellStyle name="Normal 17 2 4 3 4 2" xfId="8437" xr:uid="{00000000-0005-0000-0000-0000F1840000}"/>
    <cellStyle name="Normal 17 2 4 3 4 2 2" xfId="11334" xr:uid="{00000000-0005-0000-0000-0000F2840000}"/>
    <cellStyle name="Normal 17 2 4 3 4 3" xfId="9894" xr:uid="{00000000-0005-0000-0000-0000F3840000}"/>
    <cellStyle name="Normal 17 2 4 3 4 4" xfId="42281" xr:uid="{00000000-0005-0000-0000-0000F4840000}"/>
    <cellStyle name="Normal 17 2 4 3 5" xfId="7777" xr:uid="{00000000-0005-0000-0000-0000F5840000}"/>
    <cellStyle name="Normal 17 2 4 3 5 2" xfId="10676" xr:uid="{00000000-0005-0000-0000-0000F6840000}"/>
    <cellStyle name="Normal 17 2 4 3 6" xfId="9236" xr:uid="{00000000-0005-0000-0000-0000F7840000}"/>
    <cellStyle name="Normal 17 2 4 3 7" xfId="6261" xr:uid="{00000000-0005-0000-0000-0000F8840000}"/>
    <cellStyle name="Normal 17 2 4 3 8" xfId="22706" xr:uid="{00000000-0005-0000-0000-0000F9840000}"/>
    <cellStyle name="Normal 17 2 4 4" xfId="972" xr:uid="{00000000-0005-0000-0000-0000FA840000}"/>
    <cellStyle name="Normal 17 2 4 4 2" xfId="7226" xr:uid="{00000000-0005-0000-0000-0000FB840000}"/>
    <cellStyle name="Normal 17 2 4 4 2 2" xfId="8703" xr:uid="{00000000-0005-0000-0000-0000FC840000}"/>
    <cellStyle name="Normal 17 2 4 4 2 2 2" xfId="11600" xr:uid="{00000000-0005-0000-0000-0000FD840000}"/>
    <cellStyle name="Normal 17 2 4 4 2 2 3" xfId="51842" xr:uid="{00000000-0005-0000-0000-0000FE840000}"/>
    <cellStyle name="Normal 17 2 4 4 2 3" xfId="10160" xr:uid="{00000000-0005-0000-0000-0000FF840000}"/>
    <cellStyle name="Normal 17 2 4 4 2 4" xfId="32655" xr:uid="{00000000-0005-0000-0000-000000850000}"/>
    <cellStyle name="Normal 17 2 4 4 3" xfId="8045" xr:uid="{00000000-0005-0000-0000-000001850000}"/>
    <cellStyle name="Normal 17 2 4 4 3 2" xfId="10942" xr:uid="{00000000-0005-0000-0000-000002850000}"/>
    <cellStyle name="Normal 17 2 4 4 3 3" xfId="42144" xr:uid="{00000000-0005-0000-0000-000003850000}"/>
    <cellStyle name="Normal 17 2 4 4 4" xfId="9502" xr:uid="{00000000-0005-0000-0000-000004850000}"/>
    <cellStyle name="Normal 17 2 4 4 5" xfId="6550" xr:uid="{00000000-0005-0000-0000-000005850000}"/>
    <cellStyle name="Normal 17 2 4 4 6" xfId="22533" xr:uid="{00000000-0005-0000-0000-000006850000}"/>
    <cellStyle name="Normal 17 2 4 5" xfId="973" xr:uid="{00000000-0005-0000-0000-000007850000}"/>
    <cellStyle name="Normal 17 2 4 5 2" xfId="6993" xr:uid="{00000000-0005-0000-0000-000008850000}"/>
    <cellStyle name="Normal 17 2 4 5 2 2" xfId="8470" xr:uid="{00000000-0005-0000-0000-000009850000}"/>
    <cellStyle name="Normal 17 2 4 5 2 2 2" xfId="11367" xr:uid="{00000000-0005-0000-0000-00000A850000}"/>
    <cellStyle name="Normal 17 2 4 5 2 3" xfId="9927" xr:uid="{00000000-0005-0000-0000-00000B850000}"/>
    <cellStyle name="Normal 17 2 4 5 2 4" xfId="44898" xr:uid="{00000000-0005-0000-0000-00000C850000}"/>
    <cellStyle name="Normal 17 2 4 5 3" xfId="7811" xr:uid="{00000000-0005-0000-0000-00000D850000}"/>
    <cellStyle name="Normal 17 2 4 5 3 2" xfId="10709" xr:uid="{00000000-0005-0000-0000-00000E850000}"/>
    <cellStyle name="Normal 17 2 4 5 4" xfId="9269" xr:uid="{00000000-0005-0000-0000-00000F850000}"/>
    <cellStyle name="Normal 17 2 4 5 5" xfId="6314" xr:uid="{00000000-0005-0000-0000-000010850000}"/>
    <cellStyle name="Normal 17 2 4 5 6" xfId="25709" xr:uid="{00000000-0005-0000-0000-000011850000}"/>
    <cellStyle name="Normal 17 2 4 6" xfId="7459" xr:uid="{00000000-0005-0000-0000-000012850000}"/>
    <cellStyle name="Normal 17 2 4 6 2" xfId="8933" xr:uid="{00000000-0005-0000-0000-000013850000}"/>
    <cellStyle name="Normal 17 2 4 6 2 2" xfId="11830" xr:uid="{00000000-0005-0000-0000-000014850000}"/>
    <cellStyle name="Normal 17 2 4 6 2 3" xfId="42497" xr:uid="{00000000-0005-0000-0000-000015850000}"/>
    <cellStyle name="Normal 17 2 4 6 3" xfId="10390" xr:uid="{00000000-0005-0000-0000-000016850000}"/>
    <cellStyle name="Normal 17 2 4 6 4" xfId="22928" xr:uid="{00000000-0005-0000-0000-000017850000}"/>
    <cellStyle name="Normal 17 2 4 7" xfId="7518" xr:uid="{00000000-0005-0000-0000-000018850000}"/>
    <cellStyle name="Normal 17 2 4 7 2" xfId="8990" xr:uid="{00000000-0005-0000-0000-000019850000}"/>
    <cellStyle name="Normal 17 2 4 7 2 2" xfId="11887" xr:uid="{00000000-0005-0000-0000-00001A850000}"/>
    <cellStyle name="Normal 17 2 4 7 3" xfId="10447" xr:uid="{00000000-0005-0000-0000-00001B850000}"/>
    <cellStyle name="Normal 17 2 4 7 4" xfId="35200" xr:uid="{00000000-0005-0000-0000-00001C850000}"/>
    <cellStyle name="Normal 17 2 4 8" xfId="6820" xr:uid="{00000000-0005-0000-0000-00001D850000}"/>
    <cellStyle name="Normal 17 2 4 8 2" xfId="8300" xr:uid="{00000000-0005-0000-0000-00001E850000}"/>
    <cellStyle name="Normal 17 2 4 8 2 2" xfId="11197" xr:uid="{00000000-0005-0000-0000-00001F850000}"/>
    <cellStyle name="Normal 17 2 4 8 3" xfId="9757" xr:uid="{00000000-0005-0000-0000-000020850000}"/>
    <cellStyle name="Normal 17 2 4 9" xfId="7639" xr:uid="{00000000-0005-0000-0000-000021850000}"/>
    <cellStyle name="Normal 17 2 4 9 2" xfId="10539" xr:uid="{00000000-0005-0000-0000-000022850000}"/>
    <cellStyle name="Normal 17 2 5" xfId="974" xr:uid="{00000000-0005-0000-0000-000023850000}"/>
    <cellStyle name="Normal 17 2 5 10" xfId="6168" xr:uid="{00000000-0005-0000-0000-000024850000}"/>
    <cellStyle name="Normal 17 2 5 11" xfId="17002" xr:uid="{00000000-0005-0000-0000-000025850000}"/>
    <cellStyle name="Normal 17 2 5 2" xfId="975" xr:uid="{00000000-0005-0000-0000-000026850000}"/>
    <cellStyle name="Normal 17 2 5 2 2" xfId="976" xr:uid="{00000000-0005-0000-0000-000027850000}"/>
    <cellStyle name="Normal 17 2 5 2 2 2" xfId="7368" xr:uid="{00000000-0005-0000-0000-000028850000}"/>
    <cellStyle name="Normal 17 2 5 2 2 2 2" xfId="8845" xr:uid="{00000000-0005-0000-0000-000029850000}"/>
    <cellStyle name="Normal 17 2 5 2 2 2 2 2" xfId="11742" xr:uid="{00000000-0005-0000-0000-00002A850000}"/>
    <cellStyle name="Normal 17 2 5 2 2 2 3" xfId="10302" xr:uid="{00000000-0005-0000-0000-00002B850000}"/>
    <cellStyle name="Normal 17 2 5 2 2 2 4" xfId="51023" xr:uid="{00000000-0005-0000-0000-00002C850000}"/>
    <cellStyle name="Normal 17 2 5 2 2 3" xfId="8187" xr:uid="{00000000-0005-0000-0000-00002D850000}"/>
    <cellStyle name="Normal 17 2 5 2 2 3 2" xfId="11084" xr:uid="{00000000-0005-0000-0000-00002E850000}"/>
    <cellStyle name="Normal 17 2 5 2 2 4" xfId="9644" xr:uid="{00000000-0005-0000-0000-00002F850000}"/>
    <cellStyle name="Normal 17 2 5 2 2 5" xfId="6692" xr:uid="{00000000-0005-0000-0000-000030850000}"/>
    <cellStyle name="Normal 17 2 5 2 2 6" xfId="31834" xr:uid="{00000000-0005-0000-0000-000031850000}"/>
    <cellStyle name="Normal 17 2 5 2 3" xfId="7135" xr:uid="{00000000-0005-0000-0000-000032850000}"/>
    <cellStyle name="Normal 17 2 5 2 3 2" xfId="8612" xr:uid="{00000000-0005-0000-0000-000033850000}"/>
    <cellStyle name="Normal 17 2 5 2 3 2 2" xfId="11509" xr:uid="{00000000-0005-0000-0000-000034850000}"/>
    <cellStyle name="Normal 17 2 5 2 3 3" xfId="10069" xr:uid="{00000000-0005-0000-0000-000035850000}"/>
    <cellStyle name="Normal 17 2 5 2 3 4" xfId="41325" xr:uid="{00000000-0005-0000-0000-000036850000}"/>
    <cellStyle name="Normal 17 2 5 2 4" xfId="7954" xr:uid="{00000000-0005-0000-0000-000037850000}"/>
    <cellStyle name="Normal 17 2 5 2 4 2" xfId="10851" xr:uid="{00000000-0005-0000-0000-000038850000}"/>
    <cellStyle name="Normal 17 2 5 2 5" xfId="9411" xr:uid="{00000000-0005-0000-0000-000039850000}"/>
    <cellStyle name="Normal 17 2 5 2 6" xfId="6459" xr:uid="{00000000-0005-0000-0000-00003A850000}"/>
    <cellStyle name="Normal 17 2 5 2 7" xfId="21466" xr:uid="{00000000-0005-0000-0000-00003B850000}"/>
    <cellStyle name="Normal 17 2 5 3" xfId="977" xr:uid="{00000000-0005-0000-0000-00003C850000}"/>
    <cellStyle name="Normal 17 2 5 3 2" xfId="7252" xr:uid="{00000000-0005-0000-0000-00003D850000}"/>
    <cellStyle name="Normal 17 2 5 3 2 2" xfId="8729" xr:uid="{00000000-0005-0000-0000-00003E850000}"/>
    <cellStyle name="Normal 17 2 5 3 2 2 2" xfId="11626" xr:uid="{00000000-0005-0000-0000-00003F850000}"/>
    <cellStyle name="Normal 17 2 5 3 2 2 3" xfId="51893" xr:uid="{00000000-0005-0000-0000-000040850000}"/>
    <cellStyle name="Normal 17 2 5 3 2 3" xfId="10186" xr:uid="{00000000-0005-0000-0000-000041850000}"/>
    <cellStyle name="Normal 17 2 5 3 2 4" xfId="32706" xr:uid="{00000000-0005-0000-0000-000042850000}"/>
    <cellStyle name="Normal 17 2 5 3 3" xfId="8071" xr:uid="{00000000-0005-0000-0000-000043850000}"/>
    <cellStyle name="Normal 17 2 5 3 3 2" xfId="10968" xr:uid="{00000000-0005-0000-0000-000044850000}"/>
    <cellStyle name="Normal 17 2 5 3 3 3" xfId="42195" xr:uid="{00000000-0005-0000-0000-000045850000}"/>
    <cellStyle name="Normal 17 2 5 3 4" xfId="9528" xr:uid="{00000000-0005-0000-0000-000046850000}"/>
    <cellStyle name="Normal 17 2 5 3 5" xfId="6576" xr:uid="{00000000-0005-0000-0000-000047850000}"/>
    <cellStyle name="Normal 17 2 5 3 6" xfId="22616" xr:uid="{00000000-0005-0000-0000-000048850000}"/>
    <cellStyle name="Normal 17 2 5 4" xfId="978" xr:uid="{00000000-0005-0000-0000-000049850000}"/>
    <cellStyle name="Normal 17 2 5 4 2" xfId="7019" xr:uid="{00000000-0005-0000-0000-00004A850000}"/>
    <cellStyle name="Normal 17 2 5 4 2 2" xfId="8496" xr:uid="{00000000-0005-0000-0000-00004B850000}"/>
    <cellStyle name="Normal 17 2 5 4 2 2 2" xfId="11393" xr:uid="{00000000-0005-0000-0000-00004C850000}"/>
    <cellStyle name="Normal 17 2 5 4 2 3" xfId="9953" xr:uid="{00000000-0005-0000-0000-00004D850000}"/>
    <cellStyle name="Normal 17 2 5 4 2 4" xfId="46568" xr:uid="{00000000-0005-0000-0000-00004E850000}"/>
    <cellStyle name="Normal 17 2 5 4 3" xfId="7837" xr:uid="{00000000-0005-0000-0000-00004F850000}"/>
    <cellStyle name="Normal 17 2 5 4 3 2" xfId="10735" xr:uid="{00000000-0005-0000-0000-000050850000}"/>
    <cellStyle name="Normal 17 2 5 4 4" xfId="9295" xr:uid="{00000000-0005-0000-0000-000051850000}"/>
    <cellStyle name="Normal 17 2 5 4 5" xfId="6340" xr:uid="{00000000-0005-0000-0000-000052850000}"/>
    <cellStyle name="Normal 17 2 5 4 6" xfId="27379" xr:uid="{00000000-0005-0000-0000-000053850000}"/>
    <cellStyle name="Normal 17 2 5 5" xfId="7485" xr:uid="{00000000-0005-0000-0000-000054850000}"/>
    <cellStyle name="Normal 17 2 5 5 2" xfId="8959" xr:uid="{00000000-0005-0000-0000-000055850000}"/>
    <cellStyle name="Normal 17 2 5 5 2 2" xfId="11856" xr:uid="{00000000-0005-0000-0000-000056850000}"/>
    <cellStyle name="Normal 17 2 5 5 2 3" xfId="42548" xr:uid="{00000000-0005-0000-0000-000057850000}"/>
    <cellStyle name="Normal 17 2 5 5 3" xfId="10416" xr:uid="{00000000-0005-0000-0000-000058850000}"/>
    <cellStyle name="Normal 17 2 5 5 4" xfId="22979" xr:uid="{00000000-0005-0000-0000-000059850000}"/>
    <cellStyle name="Normal 17 2 5 6" xfId="7544" xr:uid="{00000000-0005-0000-0000-00005A850000}"/>
    <cellStyle name="Normal 17 2 5 6 2" xfId="9016" xr:uid="{00000000-0005-0000-0000-00005B850000}"/>
    <cellStyle name="Normal 17 2 5 6 2 2" xfId="11913" xr:uid="{00000000-0005-0000-0000-00005C850000}"/>
    <cellStyle name="Normal 17 2 5 6 3" xfId="10473" xr:uid="{00000000-0005-0000-0000-00005D850000}"/>
    <cellStyle name="Normal 17 2 5 6 4" xfId="36870" xr:uid="{00000000-0005-0000-0000-00005E850000}"/>
    <cellStyle name="Normal 17 2 5 7" xfId="6873" xr:uid="{00000000-0005-0000-0000-00005F850000}"/>
    <cellStyle name="Normal 17 2 5 7 2" xfId="8351" xr:uid="{00000000-0005-0000-0000-000060850000}"/>
    <cellStyle name="Normal 17 2 5 7 2 2" xfId="11248" xr:uid="{00000000-0005-0000-0000-000061850000}"/>
    <cellStyle name="Normal 17 2 5 7 3" xfId="9808" xr:uid="{00000000-0005-0000-0000-000062850000}"/>
    <cellStyle name="Normal 17 2 5 8" xfId="7690" xr:uid="{00000000-0005-0000-0000-000063850000}"/>
    <cellStyle name="Normal 17 2 5 8 2" xfId="10590" xr:uid="{00000000-0005-0000-0000-000064850000}"/>
    <cellStyle name="Normal 17 2 5 9" xfId="9150" xr:uid="{00000000-0005-0000-0000-000065850000}"/>
    <cellStyle name="Normal 17 2 6" xfId="979" xr:uid="{00000000-0005-0000-0000-000066850000}"/>
    <cellStyle name="Normal 17 2 6 2" xfId="980" xr:uid="{00000000-0005-0000-0000-000067850000}"/>
    <cellStyle name="Normal 17 2 6 2 2" xfId="981" xr:uid="{00000000-0005-0000-0000-000068850000}"/>
    <cellStyle name="Normal 17 2 6 2 2 2" xfId="7394" xr:uid="{00000000-0005-0000-0000-000069850000}"/>
    <cellStyle name="Normal 17 2 6 2 2 2 2" xfId="8871" xr:uid="{00000000-0005-0000-0000-00006A850000}"/>
    <cellStyle name="Normal 17 2 6 2 2 2 2 2" xfId="11768" xr:uid="{00000000-0005-0000-0000-00006B850000}"/>
    <cellStyle name="Normal 17 2 6 2 2 2 3" xfId="10328" xr:uid="{00000000-0005-0000-0000-00006C850000}"/>
    <cellStyle name="Normal 17 2 6 2 2 2 4" xfId="51580" xr:uid="{00000000-0005-0000-0000-00006D850000}"/>
    <cellStyle name="Normal 17 2 6 2 2 3" xfId="8213" xr:uid="{00000000-0005-0000-0000-00006E850000}"/>
    <cellStyle name="Normal 17 2 6 2 2 3 2" xfId="11110" xr:uid="{00000000-0005-0000-0000-00006F850000}"/>
    <cellStyle name="Normal 17 2 6 2 2 4" xfId="9670" xr:uid="{00000000-0005-0000-0000-000070850000}"/>
    <cellStyle name="Normal 17 2 6 2 2 5" xfId="6718" xr:uid="{00000000-0005-0000-0000-000071850000}"/>
    <cellStyle name="Normal 17 2 6 2 2 6" xfId="32391" xr:uid="{00000000-0005-0000-0000-000072850000}"/>
    <cellStyle name="Normal 17 2 6 2 3" xfId="7161" xr:uid="{00000000-0005-0000-0000-000073850000}"/>
    <cellStyle name="Normal 17 2 6 2 3 2" xfId="8638" xr:uid="{00000000-0005-0000-0000-000074850000}"/>
    <cellStyle name="Normal 17 2 6 2 3 2 2" xfId="11535" xr:uid="{00000000-0005-0000-0000-000075850000}"/>
    <cellStyle name="Normal 17 2 6 2 3 3" xfId="10095" xr:uid="{00000000-0005-0000-0000-000076850000}"/>
    <cellStyle name="Normal 17 2 6 2 3 4" xfId="41882" xr:uid="{00000000-0005-0000-0000-000077850000}"/>
    <cellStyle name="Normal 17 2 6 2 4" xfId="7980" xr:uid="{00000000-0005-0000-0000-000078850000}"/>
    <cellStyle name="Normal 17 2 6 2 4 2" xfId="10877" xr:uid="{00000000-0005-0000-0000-000079850000}"/>
    <cellStyle name="Normal 17 2 6 2 5" xfId="9437" xr:uid="{00000000-0005-0000-0000-00007A850000}"/>
    <cellStyle name="Normal 17 2 6 2 6" xfId="6485" xr:uid="{00000000-0005-0000-0000-00007B850000}"/>
    <cellStyle name="Normal 17 2 6 2 7" xfId="22023" xr:uid="{00000000-0005-0000-0000-00007C850000}"/>
    <cellStyle name="Normal 17 2 6 3" xfId="982" xr:uid="{00000000-0005-0000-0000-00007D850000}"/>
    <cellStyle name="Normal 17 2 6 3 2" xfId="7278" xr:uid="{00000000-0005-0000-0000-00007E850000}"/>
    <cellStyle name="Normal 17 2 6 3 2 2" xfId="8755" xr:uid="{00000000-0005-0000-0000-00007F850000}"/>
    <cellStyle name="Normal 17 2 6 3 2 2 2" xfId="11652" xr:uid="{00000000-0005-0000-0000-000080850000}"/>
    <cellStyle name="Normal 17 2 6 3 2 2 3" xfId="51949" xr:uid="{00000000-0005-0000-0000-000081850000}"/>
    <cellStyle name="Normal 17 2 6 3 2 3" xfId="10212" xr:uid="{00000000-0005-0000-0000-000082850000}"/>
    <cellStyle name="Normal 17 2 6 3 2 4" xfId="32762" xr:uid="{00000000-0005-0000-0000-000083850000}"/>
    <cellStyle name="Normal 17 2 6 3 3" xfId="8097" xr:uid="{00000000-0005-0000-0000-000084850000}"/>
    <cellStyle name="Normal 17 2 6 3 3 2" xfId="10994" xr:uid="{00000000-0005-0000-0000-000085850000}"/>
    <cellStyle name="Normal 17 2 6 3 3 3" xfId="42251" xr:uid="{00000000-0005-0000-0000-000086850000}"/>
    <cellStyle name="Normal 17 2 6 3 4" xfId="9554" xr:uid="{00000000-0005-0000-0000-000087850000}"/>
    <cellStyle name="Normal 17 2 6 3 5" xfId="6602" xr:uid="{00000000-0005-0000-0000-000088850000}"/>
    <cellStyle name="Normal 17 2 6 3 6" xfId="22676" xr:uid="{00000000-0005-0000-0000-000089850000}"/>
    <cellStyle name="Normal 17 2 6 4" xfId="983" xr:uid="{00000000-0005-0000-0000-00008A850000}"/>
    <cellStyle name="Normal 17 2 6 4 2" xfId="7045" xr:uid="{00000000-0005-0000-0000-00008B850000}"/>
    <cellStyle name="Normal 17 2 6 4 2 2" xfId="8522" xr:uid="{00000000-0005-0000-0000-00008C850000}"/>
    <cellStyle name="Normal 17 2 6 4 2 2 2" xfId="11419" xr:uid="{00000000-0005-0000-0000-00008D850000}"/>
    <cellStyle name="Normal 17 2 6 4 2 3" xfId="9979" xr:uid="{00000000-0005-0000-0000-00008E850000}"/>
    <cellStyle name="Normal 17 2 6 4 2 4" xfId="47125" xr:uid="{00000000-0005-0000-0000-00008F850000}"/>
    <cellStyle name="Normal 17 2 6 4 3" xfId="7863" xr:uid="{00000000-0005-0000-0000-000090850000}"/>
    <cellStyle name="Normal 17 2 6 4 3 2" xfId="10761" xr:uid="{00000000-0005-0000-0000-000091850000}"/>
    <cellStyle name="Normal 17 2 6 4 4" xfId="9321" xr:uid="{00000000-0005-0000-0000-000092850000}"/>
    <cellStyle name="Normal 17 2 6 4 5" xfId="6366" xr:uid="{00000000-0005-0000-0000-000093850000}"/>
    <cellStyle name="Normal 17 2 6 4 6" xfId="27936" xr:uid="{00000000-0005-0000-0000-000094850000}"/>
    <cellStyle name="Normal 17 2 6 5" xfId="6930" xr:uid="{00000000-0005-0000-0000-000095850000}"/>
    <cellStyle name="Normal 17 2 6 5 2" xfId="8407" xr:uid="{00000000-0005-0000-0000-000096850000}"/>
    <cellStyle name="Normal 17 2 6 5 2 2" xfId="11304" xr:uid="{00000000-0005-0000-0000-000097850000}"/>
    <cellStyle name="Normal 17 2 6 5 2 3" xfId="42604" xr:uid="{00000000-0005-0000-0000-000098850000}"/>
    <cellStyle name="Normal 17 2 6 5 3" xfId="9864" xr:uid="{00000000-0005-0000-0000-000099850000}"/>
    <cellStyle name="Normal 17 2 6 5 4" xfId="23035" xr:uid="{00000000-0005-0000-0000-00009A850000}"/>
    <cellStyle name="Normal 17 2 6 6" xfId="7747" xr:uid="{00000000-0005-0000-0000-00009B850000}"/>
    <cellStyle name="Normal 17 2 6 6 2" xfId="10646" xr:uid="{00000000-0005-0000-0000-00009C850000}"/>
    <cellStyle name="Normal 17 2 6 6 3" xfId="37427" xr:uid="{00000000-0005-0000-0000-00009D850000}"/>
    <cellStyle name="Normal 17 2 6 7" xfId="9206" xr:uid="{00000000-0005-0000-0000-00009E850000}"/>
    <cellStyle name="Normal 17 2 6 8" xfId="6231" xr:uid="{00000000-0005-0000-0000-00009F850000}"/>
    <cellStyle name="Normal 17 2 6 9" xfId="17568" xr:uid="{00000000-0005-0000-0000-0000A0850000}"/>
    <cellStyle name="Normal 17 2 7" xfId="984" xr:uid="{00000000-0005-0000-0000-0000A1850000}"/>
    <cellStyle name="Normal 17 2 7 2" xfId="985" xr:uid="{00000000-0005-0000-0000-0000A2850000}"/>
    <cellStyle name="Normal 17 2 7 2 2" xfId="7335" xr:uid="{00000000-0005-0000-0000-0000A3850000}"/>
    <cellStyle name="Normal 17 2 7 2 2 2" xfId="8812" xr:uid="{00000000-0005-0000-0000-0000A4850000}"/>
    <cellStyle name="Normal 17 2 7 2 2 2 2" xfId="11709" xr:uid="{00000000-0005-0000-0000-0000A5850000}"/>
    <cellStyle name="Normal 17 2 7 2 2 3" xfId="10269" xr:uid="{00000000-0005-0000-0000-0000A6850000}"/>
    <cellStyle name="Normal 17 2 7 2 2 4" xfId="47682" xr:uid="{00000000-0005-0000-0000-0000A7850000}"/>
    <cellStyle name="Normal 17 2 7 2 3" xfId="8154" xr:uid="{00000000-0005-0000-0000-0000A8850000}"/>
    <cellStyle name="Normal 17 2 7 2 3 2" xfId="11051" xr:uid="{00000000-0005-0000-0000-0000A9850000}"/>
    <cellStyle name="Normal 17 2 7 2 4" xfId="9611" xr:uid="{00000000-0005-0000-0000-0000AA850000}"/>
    <cellStyle name="Normal 17 2 7 2 5" xfId="6659" xr:uid="{00000000-0005-0000-0000-0000AB850000}"/>
    <cellStyle name="Normal 17 2 7 2 6" xfId="28493" xr:uid="{00000000-0005-0000-0000-0000AC850000}"/>
    <cellStyle name="Normal 17 2 7 3" xfId="7102" xr:uid="{00000000-0005-0000-0000-0000AD850000}"/>
    <cellStyle name="Normal 17 2 7 3 2" xfId="8579" xr:uid="{00000000-0005-0000-0000-0000AE850000}"/>
    <cellStyle name="Normal 17 2 7 3 2 2" xfId="11476" xr:uid="{00000000-0005-0000-0000-0000AF850000}"/>
    <cellStyle name="Normal 17 2 7 3 3" xfId="10036" xr:uid="{00000000-0005-0000-0000-0000B0850000}"/>
    <cellStyle name="Normal 17 2 7 3 4" xfId="37984" xr:uid="{00000000-0005-0000-0000-0000B1850000}"/>
    <cellStyle name="Normal 17 2 7 4" xfId="7921" xr:uid="{00000000-0005-0000-0000-0000B2850000}"/>
    <cellStyle name="Normal 17 2 7 4 2" xfId="10818" xr:uid="{00000000-0005-0000-0000-0000B3850000}"/>
    <cellStyle name="Normal 17 2 7 5" xfId="9378" xr:uid="{00000000-0005-0000-0000-0000B4850000}"/>
    <cellStyle name="Normal 17 2 7 6" xfId="6426" xr:uid="{00000000-0005-0000-0000-0000B5850000}"/>
    <cellStyle name="Normal 17 2 7 7" xfId="18125" xr:uid="{00000000-0005-0000-0000-0000B6850000}"/>
    <cellStyle name="Normal 17 2 8" xfId="986" xr:uid="{00000000-0005-0000-0000-0000B7850000}"/>
    <cellStyle name="Normal 17 2 8 2" xfId="7219" xr:uid="{00000000-0005-0000-0000-0000B8850000}"/>
    <cellStyle name="Normal 17 2 8 2 2" xfId="8696" xr:uid="{00000000-0005-0000-0000-0000B9850000}"/>
    <cellStyle name="Normal 17 2 8 2 2 2" xfId="11593" xr:uid="{00000000-0005-0000-0000-0000BA850000}"/>
    <cellStyle name="Normal 17 2 8 2 2 3" xfId="51812" xr:uid="{00000000-0005-0000-0000-0000BB850000}"/>
    <cellStyle name="Normal 17 2 8 2 3" xfId="10153" xr:uid="{00000000-0005-0000-0000-0000BC850000}"/>
    <cellStyle name="Normal 17 2 8 2 4" xfId="32625" xr:uid="{00000000-0005-0000-0000-0000BD850000}"/>
    <cellStyle name="Normal 17 2 8 3" xfId="8038" xr:uid="{00000000-0005-0000-0000-0000BE850000}"/>
    <cellStyle name="Normal 17 2 8 3 2" xfId="10935" xr:uid="{00000000-0005-0000-0000-0000BF850000}"/>
    <cellStyle name="Normal 17 2 8 3 3" xfId="42114" xr:uid="{00000000-0005-0000-0000-0000C0850000}"/>
    <cellStyle name="Normal 17 2 8 4" xfId="9495" xr:uid="{00000000-0005-0000-0000-0000C1850000}"/>
    <cellStyle name="Normal 17 2 8 5" xfId="6543" xr:uid="{00000000-0005-0000-0000-0000C2850000}"/>
    <cellStyle name="Normal 17 2 8 6" xfId="22494" xr:uid="{00000000-0005-0000-0000-0000C3850000}"/>
    <cellStyle name="Normal 17 2 9" xfId="987" xr:uid="{00000000-0005-0000-0000-0000C4850000}"/>
    <cellStyle name="Normal 17 2 9 2" xfId="6986" xr:uid="{00000000-0005-0000-0000-0000C5850000}"/>
    <cellStyle name="Normal 17 2 9 2 2" xfId="8463" xr:uid="{00000000-0005-0000-0000-0000C6850000}"/>
    <cellStyle name="Normal 17 2 9 2 2 2" xfId="11360" xr:uid="{00000000-0005-0000-0000-0000C7850000}"/>
    <cellStyle name="Normal 17 2 9 2 3" xfId="9920" xr:uid="{00000000-0005-0000-0000-0000C8850000}"/>
    <cellStyle name="Normal 17 2 9 2 4" xfId="43227" xr:uid="{00000000-0005-0000-0000-0000C9850000}"/>
    <cellStyle name="Normal 17 2 9 3" xfId="7804" xr:uid="{00000000-0005-0000-0000-0000CA850000}"/>
    <cellStyle name="Normal 17 2 9 3 2" xfId="10702" xr:uid="{00000000-0005-0000-0000-0000CB850000}"/>
    <cellStyle name="Normal 17 2 9 4" xfId="9262" xr:uid="{00000000-0005-0000-0000-0000CC850000}"/>
    <cellStyle name="Normal 17 2 9 5" xfId="6307" xr:uid="{00000000-0005-0000-0000-0000CD850000}"/>
    <cellStyle name="Normal 17 2 9 6" xfId="23988" xr:uid="{00000000-0005-0000-0000-0000CE850000}"/>
    <cellStyle name="Normal 17 3" xfId="988" xr:uid="{00000000-0005-0000-0000-0000CF850000}"/>
    <cellStyle name="Normal 17 3 10" xfId="7607" xr:uid="{00000000-0005-0000-0000-0000D0850000}"/>
    <cellStyle name="Normal 17 3 10 2" xfId="10507" xr:uid="{00000000-0005-0000-0000-0000D1850000}"/>
    <cellStyle name="Normal 17 3 11" xfId="9067" xr:uid="{00000000-0005-0000-0000-0000D2850000}"/>
    <cellStyle name="Normal 17 3 12" xfId="6069" xr:uid="{00000000-0005-0000-0000-0000D3850000}"/>
    <cellStyle name="Normal 17 3 13" xfId="14180" xr:uid="{00000000-0005-0000-0000-0000D4850000}"/>
    <cellStyle name="Normal 17 3 2" xfId="989" xr:uid="{00000000-0005-0000-0000-0000D5850000}"/>
    <cellStyle name="Normal 17 3 2 10" xfId="9096" xr:uid="{00000000-0005-0000-0000-0000D6850000}"/>
    <cellStyle name="Normal 17 3 2 11" xfId="6108" xr:uid="{00000000-0005-0000-0000-0000D7850000}"/>
    <cellStyle name="Normal 17 3 2 12" xfId="16444" xr:uid="{00000000-0005-0000-0000-0000D8850000}"/>
    <cellStyle name="Normal 17 3 2 2" xfId="990" xr:uid="{00000000-0005-0000-0000-0000D9850000}"/>
    <cellStyle name="Normal 17 3 2 2 2" xfId="991" xr:uid="{00000000-0005-0000-0000-0000DA850000}"/>
    <cellStyle name="Normal 17 3 2 2 2 2" xfId="992" xr:uid="{00000000-0005-0000-0000-0000DB850000}"/>
    <cellStyle name="Normal 17 3 2 2 2 2 2" xfId="7421" xr:uid="{00000000-0005-0000-0000-0000DC850000}"/>
    <cellStyle name="Normal 17 3 2 2 2 2 2 2" xfId="8898" xr:uid="{00000000-0005-0000-0000-0000DD850000}"/>
    <cellStyle name="Normal 17 3 2 2 2 2 2 2 2" xfId="11795" xr:uid="{00000000-0005-0000-0000-0000DE850000}"/>
    <cellStyle name="Normal 17 3 2 2 2 2 2 3" xfId="10355" xr:uid="{00000000-0005-0000-0000-0000DF850000}"/>
    <cellStyle name="Normal 17 3 2 2 2 2 2 4" xfId="51920" xr:uid="{00000000-0005-0000-0000-0000E0850000}"/>
    <cellStyle name="Normal 17 3 2 2 2 2 3" xfId="8240" xr:uid="{00000000-0005-0000-0000-0000E1850000}"/>
    <cellStyle name="Normal 17 3 2 2 2 2 3 2" xfId="11137" xr:uid="{00000000-0005-0000-0000-0000E2850000}"/>
    <cellStyle name="Normal 17 3 2 2 2 2 4" xfId="9697" xr:uid="{00000000-0005-0000-0000-0000E3850000}"/>
    <cellStyle name="Normal 17 3 2 2 2 2 5" xfId="6745" xr:uid="{00000000-0005-0000-0000-0000E4850000}"/>
    <cellStyle name="Normal 17 3 2 2 2 2 6" xfId="32733" xr:uid="{00000000-0005-0000-0000-0000E5850000}"/>
    <cellStyle name="Normal 17 3 2 2 2 3" xfId="7188" xr:uid="{00000000-0005-0000-0000-0000E6850000}"/>
    <cellStyle name="Normal 17 3 2 2 2 3 2" xfId="8665" xr:uid="{00000000-0005-0000-0000-0000E7850000}"/>
    <cellStyle name="Normal 17 3 2 2 2 3 2 2" xfId="11562" xr:uid="{00000000-0005-0000-0000-0000E8850000}"/>
    <cellStyle name="Normal 17 3 2 2 2 3 3" xfId="10122" xr:uid="{00000000-0005-0000-0000-0000E9850000}"/>
    <cellStyle name="Normal 17 3 2 2 2 3 4" xfId="42222" xr:uid="{00000000-0005-0000-0000-0000EA850000}"/>
    <cellStyle name="Normal 17 3 2 2 2 4" xfId="8007" xr:uid="{00000000-0005-0000-0000-0000EB850000}"/>
    <cellStyle name="Normal 17 3 2 2 2 4 2" xfId="10904" xr:uid="{00000000-0005-0000-0000-0000EC850000}"/>
    <cellStyle name="Normal 17 3 2 2 2 5" xfId="9464" xr:uid="{00000000-0005-0000-0000-0000ED850000}"/>
    <cellStyle name="Normal 17 3 2 2 2 6" xfId="6512" xr:uid="{00000000-0005-0000-0000-0000EE850000}"/>
    <cellStyle name="Normal 17 3 2 2 2 7" xfId="22645" xr:uid="{00000000-0005-0000-0000-0000EF850000}"/>
    <cellStyle name="Normal 17 3 2 2 3" xfId="993" xr:uid="{00000000-0005-0000-0000-0000F0850000}"/>
    <cellStyle name="Normal 17 3 2 2 3 2" xfId="7305" xr:uid="{00000000-0005-0000-0000-0000F1850000}"/>
    <cellStyle name="Normal 17 3 2 2 3 2 2" xfId="8782" xr:uid="{00000000-0005-0000-0000-0000F2850000}"/>
    <cellStyle name="Normal 17 3 2 2 3 2 2 2" xfId="11679" xr:uid="{00000000-0005-0000-0000-0000F3850000}"/>
    <cellStyle name="Normal 17 3 2 2 3 2 3" xfId="10239" xr:uid="{00000000-0005-0000-0000-0000F4850000}"/>
    <cellStyle name="Normal 17 3 2 2 3 2 4" xfId="50465" xr:uid="{00000000-0005-0000-0000-0000F5850000}"/>
    <cellStyle name="Normal 17 3 2 2 3 3" xfId="8124" xr:uid="{00000000-0005-0000-0000-0000F6850000}"/>
    <cellStyle name="Normal 17 3 2 2 3 3 2" xfId="11021" xr:uid="{00000000-0005-0000-0000-0000F7850000}"/>
    <cellStyle name="Normal 17 3 2 2 3 4" xfId="9581" xr:uid="{00000000-0005-0000-0000-0000F8850000}"/>
    <cellStyle name="Normal 17 3 2 2 3 5" xfId="6629" xr:uid="{00000000-0005-0000-0000-0000F9850000}"/>
    <cellStyle name="Normal 17 3 2 2 3 6" xfId="31276" xr:uid="{00000000-0005-0000-0000-0000FA850000}"/>
    <cellStyle name="Normal 17 3 2 2 4" xfId="994" xr:uid="{00000000-0005-0000-0000-0000FB850000}"/>
    <cellStyle name="Normal 17 3 2 2 4 2" xfId="7072" xr:uid="{00000000-0005-0000-0000-0000FC850000}"/>
    <cellStyle name="Normal 17 3 2 2 4 2 2" xfId="8549" xr:uid="{00000000-0005-0000-0000-0000FD850000}"/>
    <cellStyle name="Normal 17 3 2 2 4 2 2 2" xfId="11446" xr:uid="{00000000-0005-0000-0000-0000FE850000}"/>
    <cellStyle name="Normal 17 3 2 2 4 2 3" xfId="10006" xr:uid="{00000000-0005-0000-0000-0000FF850000}"/>
    <cellStyle name="Normal 17 3 2 2 4 2 4" xfId="42575" xr:uid="{00000000-0005-0000-0000-000000860000}"/>
    <cellStyle name="Normal 17 3 2 2 4 3" xfId="7890" xr:uid="{00000000-0005-0000-0000-000001860000}"/>
    <cellStyle name="Normal 17 3 2 2 4 3 2" xfId="10788" xr:uid="{00000000-0005-0000-0000-000002860000}"/>
    <cellStyle name="Normal 17 3 2 2 4 4" xfId="9348" xr:uid="{00000000-0005-0000-0000-000003860000}"/>
    <cellStyle name="Normal 17 3 2 2 4 5" xfId="6393" xr:uid="{00000000-0005-0000-0000-000004860000}"/>
    <cellStyle name="Normal 17 3 2 2 4 6" xfId="23006" xr:uid="{00000000-0005-0000-0000-000005860000}"/>
    <cellStyle name="Normal 17 3 2 2 5" xfId="6900" xr:uid="{00000000-0005-0000-0000-000006860000}"/>
    <cellStyle name="Normal 17 3 2 2 5 2" xfId="8378" xr:uid="{00000000-0005-0000-0000-000007860000}"/>
    <cellStyle name="Normal 17 3 2 2 5 2 2" xfId="11275" xr:uid="{00000000-0005-0000-0000-000008860000}"/>
    <cellStyle name="Normal 17 3 2 2 5 3" xfId="9835" xr:uid="{00000000-0005-0000-0000-000009860000}"/>
    <cellStyle name="Normal 17 3 2 2 5 4" xfId="40767" xr:uid="{00000000-0005-0000-0000-00000A860000}"/>
    <cellStyle name="Normal 17 3 2 2 6" xfId="7717" xr:uid="{00000000-0005-0000-0000-00000B860000}"/>
    <cellStyle name="Normal 17 3 2 2 6 2" xfId="10617" xr:uid="{00000000-0005-0000-0000-00000C860000}"/>
    <cellStyle name="Normal 17 3 2 2 7" xfId="9177" xr:uid="{00000000-0005-0000-0000-00000D860000}"/>
    <cellStyle name="Normal 17 3 2 2 8" xfId="6196" xr:uid="{00000000-0005-0000-0000-00000E860000}"/>
    <cellStyle name="Normal 17 3 2 2 9" xfId="20908" xr:uid="{00000000-0005-0000-0000-00000F860000}"/>
    <cellStyle name="Normal 17 3 2 3" xfId="995" xr:uid="{00000000-0005-0000-0000-000010860000}"/>
    <cellStyle name="Normal 17 3 2 3 2" xfId="996" xr:uid="{00000000-0005-0000-0000-000011860000}"/>
    <cellStyle name="Normal 17 3 2 3 2 2" xfId="7365" xr:uid="{00000000-0005-0000-0000-000012860000}"/>
    <cellStyle name="Normal 17 3 2 3 2 2 2" xfId="8842" xr:uid="{00000000-0005-0000-0000-000013860000}"/>
    <cellStyle name="Normal 17 3 2 3 2 2 2 2" xfId="11739" xr:uid="{00000000-0005-0000-0000-000014860000}"/>
    <cellStyle name="Normal 17 3 2 3 2 2 3" xfId="10299" xr:uid="{00000000-0005-0000-0000-000015860000}"/>
    <cellStyle name="Normal 17 3 2 3 2 2 4" xfId="51976" xr:uid="{00000000-0005-0000-0000-000016860000}"/>
    <cellStyle name="Normal 17 3 2 3 2 3" xfId="8184" xr:uid="{00000000-0005-0000-0000-000017860000}"/>
    <cellStyle name="Normal 17 3 2 3 2 3 2" xfId="11081" xr:uid="{00000000-0005-0000-0000-000018860000}"/>
    <cellStyle name="Normal 17 3 2 3 2 4" xfId="9641" xr:uid="{00000000-0005-0000-0000-000019860000}"/>
    <cellStyle name="Normal 17 3 2 3 2 5" xfId="6689" xr:uid="{00000000-0005-0000-0000-00001A860000}"/>
    <cellStyle name="Normal 17 3 2 3 2 6" xfId="32789" xr:uid="{00000000-0005-0000-0000-00001B860000}"/>
    <cellStyle name="Normal 17 3 2 3 3" xfId="997" xr:uid="{00000000-0005-0000-0000-00001C860000}"/>
    <cellStyle name="Normal 17 3 2 3 3 2" xfId="7132" xr:uid="{00000000-0005-0000-0000-00001D860000}"/>
    <cellStyle name="Normal 17 3 2 3 3 2 2" xfId="8609" xr:uid="{00000000-0005-0000-0000-00001E860000}"/>
    <cellStyle name="Normal 17 3 2 3 3 2 2 2" xfId="11506" xr:uid="{00000000-0005-0000-0000-00001F860000}"/>
    <cellStyle name="Normal 17 3 2 3 3 2 3" xfId="10066" xr:uid="{00000000-0005-0000-0000-000020860000}"/>
    <cellStyle name="Normal 17 3 2 3 3 2 4" xfId="42631" xr:uid="{00000000-0005-0000-0000-000021860000}"/>
    <cellStyle name="Normal 17 3 2 3 3 3" xfId="7951" xr:uid="{00000000-0005-0000-0000-000022860000}"/>
    <cellStyle name="Normal 17 3 2 3 3 3 2" xfId="10848" xr:uid="{00000000-0005-0000-0000-000023860000}"/>
    <cellStyle name="Normal 17 3 2 3 3 4" xfId="9408" xr:uid="{00000000-0005-0000-0000-000024860000}"/>
    <cellStyle name="Normal 17 3 2 3 3 5" xfId="6456" xr:uid="{00000000-0005-0000-0000-000025860000}"/>
    <cellStyle name="Normal 17 3 2 3 3 6" xfId="23062" xr:uid="{00000000-0005-0000-0000-000026860000}"/>
    <cellStyle name="Normal 17 3 2 3 4" xfId="6957" xr:uid="{00000000-0005-0000-0000-000027860000}"/>
    <cellStyle name="Normal 17 3 2 3 4 2" xfId="8434" xr:uid="{00000000-0005-0000-0000-000028860000}"/>
    <cellStyle name="Normal 17 3 2 3 4 2 2" xfId="11331" xr:uid="{00000000-0005-0000-0000-000029860000}"/>
    <cellStyle name="Normal 17 3 2 3 4 3" xfId="9891" xr:uid="{00000000-0005-0000-0000-00002A860000}"/>
    <cellStyle name="Normal 17 3 2 3 4 4" xfId="42278" xr:uid="{00000000-0005-0000-0000-00002B860000}"/>
    <cellStyle name="Normal 17 3 2 3 5" xfId="7774" xr:uid="{00000000-0005-0000-0000-00002C860000}"/>
    <cellStyle name="Normal 17 3 2 3 5 2" xfId="10673" xr:uid="{00000000-0005-0000-0000-00002D860000}"/>
    <cellStyle name="Normal 17 3 2 3 6" xfId="9233" xr:uid="{00000000-0005-0000-0000-00002E860000}"/>
    <cellStyle name="Normal 17 3 2 3 7" xfId="6258" xr:uid="{00000000-0005-0000-0000-00002F860000}"/>
    <cellStyle name="Normal 17 3 2 3 8" xfId="22703" xr:uid="{00000000-0005-0000-0000-000030860000}"/>
    <cellStyle name="Normal 17 3 2 4" xfId="998" xr:uid="{00000000-0005-0000-0000-000031860000}"/>
    <cellStyle name="Normal 17 3 2 4 2" xfId="7249" xr:uid="{00000000-0005-0000-0000-000032860000}"/>
    <cellStyle name="Normal 17 3 2 4 2 2" xfId="8726" xr:uid="{00000000-0005-0000-0000-000033860000}"/>
    <cellStyle name="Normal 17 3 2 4 2 2 2" xfId="11623" xr:uid="{00000000-0005-0000-0000-000034860000}"/>
    <cellStyle name="Normal 17 3 2 4 2 2 3" xfId="51839" xr:uid="{00000000-0005-0000-0000-000035860000}"/>
    <cellStyle name="Normal 17 3 2 4 2 3" xfId="10183" xr:uid="{00000000-0005-0000-0000-000036860000}"/>
    <cellStyle name="Normal 17 3 2 4 2 4" xfId="32652" xr:uid="{00000000-0005-0000-0000-000037860000}"/>
    <cellStyle name="Normal 17 3 2 4 3" xfId="8068" xr:uid="{00000000-0005-0000-0000-000038860000}"/>
    <cellStyle name="Normal 17 3 2 4 3 2" xfId="10965" xr:uid="{00000000-0005-0000-0000-000039860000}"/>
    <cellStyle name="Normal 17 3 2 4 3 3" xfId="42141" xr:uid="{00000000-0005-0000-0000-00003A860000}"/>
    <cellStyle name="Normal 17 3 2 4 4" xfId="9525" xr:uid="{00000000-0005-0000-0000-00003B860000}"/>
    <cellStyle name="Normal 17 3 2 4 5" xfId="6573" xr:uid="{00000000-0005-0000-0000-00003C860000}"/>
    <cellStyle name="Normal 17 3 2 4 6" xfId="22530" xr:uid="{00000000-0005-0000-0000-00003D860000}"/>
    <cellStyle name="Normal 17 3 2 5" xfId="999" xr:uid="{00000000-0005-0000-0000-00003E860000}"/>
    <cellStyle name="Normal 17 3 2 5 2" xfId="7016" xr:uid="{00000000-0005-0000-0000-00003F860000}"/>
    <cellStyle name="Normal 17 3 2 5 2 2" xfId="8493" xr:uid="{00000000-0005-0000-0000-000040860000}"/>
    <cellStyle name="Normal 17 3 2 5 2 2 2" xfId="11390" xr:uid="{00000000-0005-0000-0000-000041860000}"/>
    <cellStyle name="Normal 17 3 2 5 2 3" xfId="9950" xr:uid="{00000000-0005-0000-0000-000042860000}"/>
    <cellStyle name="Normal 17 3 2 5 2 4" xfId="46010" xr:uid="{00000000-0005-0000-0000-000043860000}"/>
    <cellStyle name="Normal 17 3 2 5 3" xfId="7834" xr:uid="{00000000-0005-0000-0000-000044860000}"/>
    <cellStyle name="Normal 17 3 2 5 3 2" xfId="10732" xr:uid="{00000000-0005-0000-0000-000045860000}"/>
    <cellStyle name="Normal 17 3 2 5 4" xfId="9292" xr:uid="{00000000-0005-0000-0000-000046860000}"/>
    <cellStyle name="Normal 17 3 2 5 5" xfId="6337" xr:uid="{00000000-0005-0000-0000-000047860000}"/>
    <cellStyle name="Normal 17 3 2 5 6" xfId="26821" xr:uid="{00000000-0005-0000-0000-000048860000}"/>
    <cellStyle name="Normal 17 3 2 6" xfId="7482" xr:uid="{00000000-0005-0000-0000-000049860000}"/>
    <cellStyle name="Normal 17 3 2 6 2" xfId="8956" xr:uid="{00000000-0005-0000-0000-00004A860000}"/>
    <cellStyle name="Normal 17 3 2 6 2 2" xfId="11853" xr:uid="{00000000-0005-0000-0000-00004B860000}"/>
    <cellStyle name="Normal 17 3 2 6 2 3" xfId="42494" xr:uid="{00000000-0005-0000-0000-00004C860000}"/>
    <cellStyle name="Normal 17 3 2 6 3" xfId="10413" xr:uid="{00000000-0005-0000-0000-00004D860000}"/>
    <cellStyle name="Normal 17 3 2 6 4" xfId="22925" xr:uid="{00000000-0005-0000-0000-00004E860000}"/>
    <cellStyle name="Normal 17 3 2 7" xfId="7541" xr:uid="{00000000-0005-0000-0000-00004F860000}"/>
    <cellStyle name="Normal 17 3 2 7 2" xfId="9013" xr:uid="{00000000-0005-0000-0000-000050860000}"/>
    <cellStyle name="Normal 17 3 2 7 2 2" xfId="11910" xr:uid="{00000000-0005-0000-0000-000051860000}"/>
    <cellStyle name="Normal 17 3 2 7 3" xfId="10470" xr:uid="{00000000-0005-0000-0000-000052860000}"/>
    <cellStyle name="Normal 17 3 2 7 4" xfId="36312" xr:uid="{00000000-0005-0000-0000-000053860000}"/>
    <cellStyle name="Normal 17 3 2 8" xfId="6817" xr:uid="{00000000-0005-0000-0000-000054860000}"/>
    <cellStyle name="Normal 17 3 2 8 2" xfId="8297" xr:uid="{00000000-0005-0000-0000-000055860000}"/>
    <cellStyle name="Normal 17 3 2 8 2 2" xfId="11194" xr:uid="{00000000-0005-0000-0000-000056860000}"/>
    <cellStyle name="Normal 17 3 2 8 3" xfId="9754" xr:uid="{00000000-0005-0000-0000-000057860000}"/>
    <cellStyle name="Normal 17 3 2 9" xfId="7636" xr:uid="{00000000-0005-0000-0000-000058860000}"/>
    <cellStyle name="Normal 17 3 2 9 2" xfId="10536" xr:uid="{00000000-0005-0000-0000-000059860000}"/>
    <cellStyle name="Normal 17 3 3" xfId="1000" xr:uid="{00000000-0005-0000-0000-00005A860000}"/>
    <cellStyle name="Normal 17 3 3 2" xfId="1001" xr:uid="{00000000-0005-0000-0000-00005B860000}"/>
    <cellStyle name="Normal 17 3 3 2 2" xfId="1002" xr:uid="{00000000-0005-0000-0000-00005C860000}"/>
    <cellStyle name="Normal 17 3 3 2 2 2" xfId="7391" xr:uid="{00000000-0005-0000-0000-00005D860000}"/>
    <cellStyle name="Normal 17 3 3 2 2 2 2" xfId="8868" xr:uid="{00000000-0005-0000-0000-00005E860000}"/>
    <cellStyle name="Normal 17 3 3 2 2 2 2 2" xfId="11765" xr:uid="{00000000-0005-0000-0000-00005F860000}"/>
    <cellStyle name="Normal 17 3 3 2 2 2 3" xfId="10325" xr:uid="{00000000-0005-0000-0000-000060860000}"/>
    <cellStyle name="Normal 17 3 3 2 2 2 4" xfId="51888" xr:uid="{00000000-0005-0000-0000-000061860000}"/>
    <cellStyle name="Normal 17 3 3 2 2 3" xfId="8210" xr:uid="{00000000-0005-0000-0000-000062860000}"/>
    <cellStyle name="Normal 17 3 3 2 2 3 2" xfId="11107" xr:uid="{00000000-0005-0000-0000-000063860000}"/>
    <cellStyle name="Normal 17 3 3 2 2 4" xfId="9667" xr:uid="{00000000-0005-0000-0000-000064860000}"/>
    <cellStyle name="Normal 17 3 3 2 2 5" xfId="6715" xr:uid="{00000000-0005-0000-0000-000065860000}"/>
    <cellStyle name="Normal 17 3 3 2 2 6" xfId="32701" xr:uid="{00000000-0005-0000-0000-000066860000}"/>
    <cellStyle name="Normal 17 3 3 2 3" xfId="7158" xr:uid="{00000000-0005-0000-0000-000067860000}"/>
    <cellStyle name="Normal 17 3 3 2 3 2" xfId="8635" xr:uid="{00000000-0005-0000-0000-000068860000}"/>
    <cellStyle name="Normal 17 3 3 2 3 2 2" xfId="11532" xr:uid="{00000000-0005-0000-0000-000069860000}"/>
    <cellStyle name="Normal 17 3 3 2 3 3" xfId="10092" xr:uid="{00000000-0005-0000-0000-00006A860000}"/>
    <cellStyle name="Normal 17 3 3 2 3 4" xfId="42190" xr:uid="{00000000-0005-0000-0000-00006B860000}"/>
    <cellStyle name="Normal 17 3 3 2 4" xfId="7977" xr:uid="{00000000-0005-0000-0000-00006C860000}"/>
    <cellStyle name="Normal 17 3 3 2 4 2" xfId="10874" xr:uid="{00000000-0005-0000-0000-00006D860000}"/>
    <cellStyle name="Normal 17 3 3 2 5" xfId="9434" xr:uid="{00000000-0005-0000-0000-00006E860000}"/>
    <cellStyle name="Normal 17 3 3 2 6" xfId="6482" xr:uid="{00000000-0005-0000-0000-00006F860000}"/>
    <cellStyle name="Normal 17 3 3 2 7" xfId="22611" xr:uid="{00000000-0005-0000-0000-000070860000}"/>
    <cellStyle name="Normal 17 3 3 3" xfId="1003" xr:uid="{00000000-0005-0000-0000-000071860000}"/>
    <cellStyle name="Normal 17 3 3 3 2" xfId="7275" xr:uid="{00000000-0005-0000-0000-000072860000}"/>
    <cellStyle name="Normal 17 3 3 3 2 2" xfId="8752" xr:uid="{00000000-0005-0000-0000-000073860000}"/>
    <cellStyle name="Normal 17 3 3 3 2 2 2" xfId="11649" xr:uid="{00000000-0005-0000-0000-000074860000}"/>
    <cellStyle name="Normal 17 3 3 3 2 3" xfId="10209" xr:uid="{00000000-0005-0000-0000-000075860000}"/>
    <cellStyle name="Normal 17 3 3 3 2 4" xfId="48237" xr:uid="{00000000-0005-0000-0000-000076860000}"/>
    <cellStyle name="Normal 17 3 3 3 3" xfId="8094" xr:uid="{00000000-0005-0000-0000-000077860000}"/>
    <cellStyle name="Normal 17 3 3 3 3 2" xfId="10991" xr:uid="{00000000-0005-0000-0000-000078860000}"/>
    <cellStyle name="Normal 17 3 3 3 4" xfId="9551" xr:uid="{00000000-0005-0000-0000-000079860000}"/>
    <cellStyle name="Normal 17 3 3 3 5" xfId="6599" xr:uid="{00000000-0005-0000-0000-00007A860000}"/>
    <cellStyle name="Normal 17 3 3 3 6" xfId="29048" xr:uid="{00000000-0005-0000-0000-00007B860000}"/>
    <cellStyle name="Normal 17 3 3 4" xfId="1004" xr:uid="{00000000-0005-0000-0000-00007C860000}"/>
    <cellStyle name="Normal 17 3 3 4 2" xfId="7042" xr:uid="{00000000-0005-0000-0000-00007D860000}"/>
    <cellStyle name="Normal 17 3 3 4 2 2" xfId="8519" xr:uid="{00000000-0005-0000-0000-00007E860000}"/>
    <cellStyle name="Normal 17 3 3 4 2 2 2" xfId="11416" xr:uid="{00000000-0005-0000-0000-00007F860000}"/>
    <cellStyle name="Normal 17 3 3 4 2 3" xfId="9976" xr:uid="{00000000-0005-0000-0000-000080860000}"/>
    <cellStyle name="Normal 17 3 3 4 2 4" xfId="42543" xr:uid="{00000000-0005-0000-0000-000081860000}"/>
    <cellStyle name="Normal 17 3 3 4 3" xfId="7860" xr:uid="{00000000-0005-0000-0000-000082860000}"/>
    <cellStyle name="Normal 17 3 3 4 3 2" xfId="10758" xr:uid="{00000000-0005-0000-0000-000083860000}"/>
    <cellStyle name="Normal 17 3 3 4 4" xfId="9318" xr:uid="{00000000-0005-0000-0000-000084860000}"/>
    <cellStyle name="Normal 17 3 3 4 5" xfId="6363" xr:uid="{00000000-0005-0000-0000-000085860000}"/>
    <cellStyle name="Normal 17 3 3 4 6" xfId="22974" xr:uid="{00000000-0005-0000-0000-000086860000}"/>
    <cellStyle name="Normal 17 3 3 5" xfId="6868" xr:uid="{00000000-0005-0000-0000-000087860000}"/>
    <cellStyle name="Normal 17 3 3 5 2" xfId="8346" xr:uid="{00000000-0005-0000-0000-000088860000}"/>
    <cellStyle name="Normal 17 3 3 5 2 2" xfId="11243" xr:uid="{00000000-0005-0000-0000-000089860000}"/>
    <cellStyle name="Normal 17 3 3 5 3" xfId="9803" xr:uid="{00000000-0005-0000-0000-00008A860000}"/>
    <cellStyle name="Normal 17 3 3 5 4" xfId="38539" xr:uid="{00000000-0005-0000-0000-00008B860000}"/>
    <cellStyle name="Normal 17 3 3 6" xfId="7685" xr:uid="{00000000-0005-0000-0000-00008C860000}"/>
    <cellStyle name="Normal 17 3 3 6 2" xfId="10585" xr:uid="{00000000-0005-0000-0000-00008D860000}"/>
    <cellStyle name="Normal 17 3 3 7" xfId="9145" xr:uid="{00000000-0005-0000-0000-00008E860000}"/>
    <cellStyle name="Normal 17 3 3 8" xfId="6163" xr:uid="{00000000-0005-0000-0000-00008F860000}"/>
    <cellStyle name="Normal 17 3 3 9" xfId="18680" xr:uid="{00000000-0005-0000-0000-000090860000}"/>
    <cellStyle name="Normal 17 3 4" xfId="1005" xr:uid="{00000000-0005-0000-0000-000091860000}"/>
    <cellStyle name="Normal 17 3 4 2" xfId="1006" xr:uid="{00000000-0005-0000-0000-000092860000}"/>
    <cellStyle name="Normal 17 3 4 2 2" xfId="7339" xr:uid="{00000000-0005-0000-0000-000093860000}"/>
    <cellStyle name="Normal 17 3 4 2 2 2" xfId="8816" xr:uid="{00000000-0005-0000-0000-000094860000}"/>
    <cellStyle name="Normal 17 3 4 2 2 2 2" xfId="11713" xr:uid="{00000000-0005-0000-0000-000095860000}"/>
    <cellStyle name="Normal 17 3 4 2 2 3" xfId="10273" xr:uid="{00000000-0005-0000-0000-000096860000}"/>
    <cellStyle name="Normal 17 3 4 2 2 4" xfId="51946" xr:uid="{00000000-0005-0000-0000-000097860000}"/>
    <cellStyle name="Normal 17 3 4 2 3" xfId="8158" xr:uid="{00000000-0005-0000-0000-000098860000}"/>
    <cellStyle name="Normal 17 3 4 2 3 2" xfId="11055" xr:uid="{00000000-0005-0000-0000-000099860000}"/>
    <cellStyle name="Normal 17 3 4 2 4" xfId="9615" xr:uid="{00000000-0005-0000-0000-00009A860000}"/>
    <cellStyle name="Normal 17 3 4 2 5" xfId="6663" xr:uid="{00000000-0005-0000-0000-00009B860000}"/>
    <cellStyle name="Normal 17 3 4 2 6" xfId="32759" xr:uid="{00000000-0005-0000-0000-00009C860000}"/>
    <cellStyle name="Normal 17 3 4 3" xfId="1007" xr:uid="{00000000-0005-0000-0000-00009D860000}"/>
    <cellStyle name="Normal 17 3 4 3 2" xfId="7106" xr:uid="{00000000-0005-0000-0000-00009E860000}"/>
    <cellStyle name="Normal 17 3 4 3 2 2" xfId="8583" xr:uid="{00000000-0005-0000-0000-00009F860000}"/>
    <cellStyle name="Normal 17 3 4 3 2 2 2" xfId="11480" xr:uid="{00000000-0005-0000-0000-0000A0860000}"/>
    <cellStyle name="Normal 17 3 4 3 2 3" xfId="10040" xr:uid="{00000000-0005-0000-0000-0000A1860000}"/>
    <cellStyle name="Normal 17 3 4 3 2 4" xfId="42601" xr:uid="{00000000-0005-0000-0000-0000A2860000}"/>
    <cellStyle name="Normal 17 3 4 3 3" xfId="7925" xr:uid="{00000000-0005-0000-0000-0000A3860000}"/>
    <cellStyle name="Normal 17 3 4 3 3 2" xfId="10822" xr:uid="{00000000-0005-0000-0000-0000A4860000}"/>
    <cellStyle name="Normal 17 3 4 3 4" xfId="9382" xr:uid="{00000000-0005-0000-0000-0000A5860000}"/>
    <cellStyle name="Normal 17 3 4 3 5" xfId="6430" xr:uid="{00000000-0005-0000-0000-0000A6860000}"/>
    <cellStyle name="Normal 17 3 4 3 6" xfId="23032" xr:uid="{00000000-0005-0000-0000-0000A7860000}"/>
    <cellStyle name="Normal 17 3 4 4" xfId="6927" xr:uid="{00000000-0005-0000-0000-0000A8860000}"/>
    <cellStyle name="Normal 17 3 4 4 2" xfId="8404" xr:uid="{00000000-0005-0000-0000-0000A9860000}"/>
    <cellStyle name="Normal 17 3 4 4 2 2" xfId="11301" xr:uid="{00000000-0005-0000-0000-0000AA860000}"/>
    <cellStyle name="Normal 17 3 4 4 3" xfId="9861" xr:uid="{00000000-0005-0000-0000-0000AB860000}"/>
    <cellStyle name="Normal 17 3 4 4 4" xfId="42248" xr:uid="{00000000-0005-0000-0000-0000AC860000}"/>
    <cellStyle name="Normal 17 3 4 5" xfId="7744" xr:uid="{00000000-0005-0000-0000-0000AD860000}"/>
    <cellStyle name="Normal 17 3 4 5 2" xfId="10643" xr:uid="{00000000-0005-0000-0000-0000AE860000}"/>
    <cellStyle name="Normal 17 3 4 6" xfId="9203" xr:uid="{00000000-0005-0000-0000-0000AF860000}"/>
    <cellStyle name="Normal 17 3 4 7" xfId="6228" xr:uid="{00000000-0005-0000-0000-0000B0860000}"/>
    <cellStyle name="Normal 17 3 4 8" xfId="22673" xr:uid="{00000000-0005-0000-0000-0000B1860000}"/>
    <cellStyle name="Normal 17 3 5" xfId="1008" xr:uid="{00000000-0005-0000-0000-0000B2860000}"/>
    <cellStyle name="Normal 17 3 5 2" xfId="7223" xr:uid="{00000000-0005-0000-0000-0000B3860000}"/>
    <cellStyle name="Normal 17 3 5 2 2" xfId="8700" xr:uid="{00000000-0005-0000-0000-0000B4860000}"/>
    <cellStyle name="Normal 17 3 5 2 2 2" xfId="11597" xr:uid="{00000000-0005-0000-0000-0000B5860000}"/>
    <cellStyle name="Normal 17 3 5 2 2 3" xfId="51809" xr:uid="{00000000-0005-0000-0000-0000B6860000}"/>
    <cellStyle name="Normal 17 3 5 2 3" xfId="10157" xr:uid="{00000000-0005-0000-0000-0000B7860000}"/>
    <cellStyle name="Normal 17 3 5 2 4" xfId="32622" xr:uid="{00000000-0005-0000-0000-0000B8860000}"/>
    <cellStyle name="Normal 17 3 5 3" xfId="8042" xr:uid="{00000000-0005-0000-0000-0000B9860000}"/>
    <cellStyle name="Normal 17 3 5 3 2" xfId="10939" xr:uid="{00000000-0005-0000-0000-0000BA860000}"/>
    <cellStyle name="Normal 17 3 5 3 3" xfId="42111" xr:uid="{00000000-0005-0000-0000-0000BB860000}"/>
    <cellStyle name="Normal 17 3 5 4" xfId="9499" xr:uid="{00000000-0005-0000-0000-0000BC860000}"/>
    <cellStyle name="Normal 17 3 5 5" xfId="6547" xr:uid="{00000000-0005-0000-0000-0000BD860000}"/>
    <cellStyle name="Normal 17 3 5 6" xfId="22487" xr:uid="{00000000-0005-0000-0000-0000BE860000}"/>
    <cellStyle name="Normal 17 3 6" xfId="1009" xr:uid="{00000000-0005-0000-0000-0000BF860000}"/>
    <cellStyle name="Normal 17 3 6 2" xfId="6990" xr:uid="{00000000-0005-0000-0000-0000C0860000}"/>
    <cellStyle name="Normal 17 3 6 2 2" xfId="8467" xr:uid="{00000000-0005-0000-0000-0000C1860000}"/>
    <cellStyle name="Normal 17 3 6 2 2 2" xfId="11364" xr:uid="{00000000-0005-0000-0000-0000C2860000}"/>
    <cellStyle name="Normal 17 3 6 2 3" xfId="9924" xr:uid="{00000000-0005-0000-0000-0000C3860000}"/>
    <cellStyle name="Normal 17 3 6 2 4" xfId="43782" xr:uid="{00000000-0005-0000-0000-0000C4860000}"/>
    <cellStyle name="Normal 17 3 6 3" xfId="7808" xr:uid="{00000000-0005-0000-0000-0000C5860000}"/>
    <cellStyle name="Normal 17 3 6 3 2" xfId="10706" xr:uid="{00000000-0005-0000-0000-0000C6860000}"/>
    <cellStyle name="Normal 17 3 6 4" xfId="9266" xr:uid="{00000000-0005-0000-0000-0000C7860000}"/>
    <cellStyle name="Normal 17 3 6 5" xfId="6311" xr:uid="{00000000-0005-0000-0000-0000C8860000}"/>
    <cellStyle name="Normal 17 3 6 6" xfId="24588" xr:uid="{00000000-0005-0000-0000-0000C9860000}"/>
    <cellStyle name="Normal 17 3 7" xfId="7456" xr:uid="{00000000-0005-0000-0000-0000CA860000}"/>
    <cellStyle name="Normal 17 3 7 2" xfId="8930" xr:uid="{00000000-0005-0000-0000-0000CB860000}"/>
    <cellStyle name="Normal 17 3 7 2 2" xfId="11827" xr:uid="{00000000-0005-0000-0000-0000CC860000}"/>
    <cellStyle name="Normal 17 3 7 2 3" xfId="42464" xr:uid="{00000000-0005-0000-0000-0000CD860000}"/>
    <cellStyle name="Normal 17 3 7 3" xfId="10387" xr:uid="{00000000-0005-0000-0000-0000CE860000}"/>
    <cellStyle name="Normal 17 3 7 4" xfId="22895" xr:uid="{00000000-0005-0000-0000-0000CF860000}"/>
    <cellStyle name="Normal 17 3 8" xfId="7515" xr:uid="{00000000-0005-0000-0000-0000D0860000}"/>
    <cellStyle name="Normal 17 3 8 2" xfId="8987" xr:uid="{00000000-0005-0000-0000-0000D1860000}"/>
    <cellStyle name="Normal 17 3 8 2 2" xfId="11884" xr:uid="{00000000-0005-0000-0000-0000D2860000}"/>
    <cellStyle name="Normal 17 3 8 3" xfId="10444" xr:uid="{00000000-0005-0000-0000-0000D3860000}"/>
    <cellStyle name="Normal 17 3 8 4" xfId="34084" xr:uid="{00000000-0005-0000-0000-0000D4860000}"/>
    <cellStyle name="Normal 17 3 9" xfId="6786" xr:uid="{00000000-0005-0000-0000-0000D5860000}"/>
    <cellStyle name="Normal 17 3 9 2" xfId="8267" xr:uid="{00000000-0005-0000-0000-0000D6860000}"/>
    <cellStyle name="Normal 17 3 9 2 2" xfId="11164" xr:uid="{00000000-0005-0000-0000-0000D7860000}"/>
    <cellStyle name="Normal 17 3 9 3" xfId="9724" xr:uid="{00000000-0005-0000-0000-0000D8860000}"/>
    <cellStyle name="Normal 17 4" xfId="1010" xr:uid="{00000000-0005-0000-0000-0000D9860000}"/>
    <cellStyle name="Normal 17 4 10" xfId="7614" xr:uid="{00000000-0005-0000-0000-0000DA860000}"/>
    <cellStyle name="Normal 17 4 10 2" xfId="10514" xr:uid="{00000000-0005-0000-0000-0000DB860000}"/>
    <cellStyle name="Normal 17 4 11" xfId="9074" xr:uid="{00000000-0005-0000-0000-0000DC860000}"/>
    <cellStyle name="Normal 17 4 12" xfId="6079" xr:uid="{00000000-0005-0000-0000-0000DD860000}"/>
    <cellStyle name="Normal 17 4 13" xfId="14759" xr:uid="{00000000-0005-0000-0000-0000DE860000}"/>
    <cellStyle name="Normal 17 4 2" xfId="1011" xr:uid="{00000000-0005-0000-0000-0000DF860000}"/>
    <cellStyle name="Normal 17 4 2 10" xfId="9104" xr:uid="{00000000-0005-0000-0000-0000E0860000}"/>
    <cellStyle name="Normal 17 4 2 11" xfId="6116" xr:uid="{00000000-0005-0000-0000-0000E1860000}"/>
    <cellStyle name="Normal 17 4 2 12" xfId="15888" xr:uid="{00000000-0005-0000-0000-0000E2860000}"/>
    <cellStyle name="Normal 17 4 2 2" xfId="1012" xr:uid="{00000000-0005-0000-0000-0000E3860000}"/>
    <cellStyle name="Normal 17 4 2 2 2" xfId="1013" xr:uid="{00000000-0005-0000-0000-0000E4860000}"/>
    <cellStyle name="Normal 17 4 2 2 2 2" xfId="1014" xr:uid="{00000000-0005-0000-0000-0000E5860000}"/>
    <cellStyle name="Normal 17 4 2 2 2 2 2" xfId="7429" xr:uid="{00000000-0005-0000-0000-0000E6860000}"/>
    <cellStyle name="Normal 17 4 2 2 2 2 2 2" xfId="8906" xr:uid="{00000000-0005-0000-0000-0000E7860000}"/>
    <cellStyle name="Normal 17 4 2 2 2 2 2 2 2" xfId="11803" xr:uid="{00000000-0005-0000-0000-0000E8860000}"/>
    <cellStyle name="Normal 17 4 2 2 2 2 2 3" xfId="10363" xr:uid="{00000000-0005-0000-0000-0000E9860000}"/>
    <cellStyle name="Normal 17 4 2 2 2 2 2 4" xfId="51928" xr:uid="{00000000-0005-0000-0000-0000EA860000}"/>
    <cellStyle name="Normal 17 4 2 2 2 2 3" xfId="8248" xr:uid="{00000000-0005-0000-0000-0000EB860000}"/>
    <cellStyle name="Normal 17 4 2 2 2 2 3 2" xfId="11145" xr:uid="{00000000-0005-0000-0000-0000EC860000}"/>
    <cellStyle name="Normal 17 4 2 2 2 2 4" xfId="9705" xr:uid="{00000000-0005-0000-0000-0000ED860000}"/>
    <cellStyle name="Normal 17 4 2 2 2 2 5" xfId="6753" xr:uid="{00000000-0005-0000-0000-0000EE860000}"/>
    <cellStyle name="Normal 17 4 2 2 2 2 6" xfId="32741" xr:uid="{00000000-0005-0000-0000-0000EF860000}"/>
    <cellStyle name="Normal 17 4 2 2 2 3" xfId="7196" xr:uid="{00000000-0005-0000-0000-0000F0860000}"/>
    <cellStyle name="Normal 17 4 2 2 2 3 2" xfId="8673" xr:uid="{00000000-0005-0000-0000-0000F1860000}"/>
    <cellStyle name="Normal 17 4 2 2 2 3 2 2" xfId="11570" xr:uid="{00000000-0005-0000-0000-0000F2860000}"/>
    <cellStyle name="Normal 17 4 2 2 2 3 3" xfId="10130" xr:uid="{00000000-0005-0000-0000-0000F3860000}"/>
    <cellStyle name="Normal 17 4 2 2 2 3 4" xfId="42230" xr:uid="{00000000-0005-0000-0000-0000F4860000}"/>
    <cellStyle name="Normal 17 4 2 2 2 4" xfId="8015" xr:uid="{00000000-0005-0000-0000-0000F5860000}"/>
    <cellStyle name="Normal 17 4 2 2 2 4 2" xfId="10912" xr:uid="{00000000-0005-0000-0000-0000F6860000}"/>
    <cellStyle name="Normal 17 4 2 2 2 5" xfId="9472" xr:uid="{00000000-0005-0000-0000-0000F7860000}"/>
    <cellStyle name="Normal 17 4 2 2 2 6" xfId="6520" xr:uid="{00000000-0005-0000-0000-0000F8860000}"/>
    <cellStyle name="Normal 17 4 2 2 2 7" xfId="22653" xr:uid="{00000000-0005-0000-0000-0000F9860000}"/>
    <cellStyle name="Normal 17 4 2 2 3" xfId="1015" xr:uid="{00000000-0005-0000-0000-0000FA860000}"/>
    <cellStyle name="Normal 17 4 2 2 3 2" xfId="7313" xr:uid="{00000000-0005-0000-0000-0000FB860000}"/>
    <cellStyle name="Normal 17 4 2 2 3 2 2" xfId="8790" xr:uid="{00000000-0005-0000-0000-0000FC860000}"/>
    <cellStyle name="Normal 17 4 2 2 3 2 2 2" xfId="11687" xr:uid="{00000000-0005-0000-0000-0000FD860000}"/>
    <cellStyle name="Normal 17 4 2 2 3 2 3" xfId="10247" xr:uid="{00000000-0005-0000-0000-0000FE860000}"/>
    <cellStyle name="Normal 17 4 2 2 3 2 4" xfId="49909" xr:uid="{00000000-0005-0000-0000-0000FF860000}"/>
    <cellStyle name="Normal 17 4 2 2 3 3" xfId="8132" xr:uid="{00000000-0005-0000-0000-000000870000}"/>
    <cellStyle name="Normal 17 4 2 2 3 3 2" xfId="11029" xr:uid="{00000000-0005-0000-0000-000001870000}"/>
    <cellStyle name="Normal 17 4 2 2 3 4" xfId="9589" xr:uid="{00000000-0005-0000-0000-000002870000}"/>
    <cellStyle name="Normal 17 4 2 2 3 5" xfId="6637" xr:uid="{00000000-0005-0000-0000-000003870000}"/>
    <cellStyle name="Normal 17 4 2 2 3 6" xfId="30720" xr:uid="{00000000-0005-0000-0000-000004870000}"/>
    <cellStyle name="Normal 17 4 2 2 4" xfId="1016" xr:uid="{00000000-0005-0000-0000-000005870000}"/>
    <cellStyle name="Normal 17 4 2 2 4 2" xfId="7080" xr:uid="{00000000-0005-0000-0000-000006870000}"/>
    <cellStyle name="Normal 17 4 2 2 4 2 2" xfId="8557" xr:uid="{00000000-0005-0000-0000-000007870000}"/>
    <cellStyle name="Normal 17 4 2 2 4 2 2 2" xfId="11454" xr:uid="{00000000-0005-0000-0000-000008870000}"/>
    <cellStyle name="Normal 17 4 2 2 4 2 3" xfId="10014" xr:uid="{00000000-0005-0000-0000-000009870000}"/>
    <cellStyle name="Normal 17 4 2 2 4 2 4" xfId="42583" xr:uid="{00000000-0005-0000-0000-00000A870000}"/>
    <cellStyle name="Normal 17 4 2 2 4 3" xfId="7898" xr:uid="{00000000-0005-0000-0000-00000B870000}"/>
    <cellStyle name="Normal 17 4 2 2 4 3 2" xfId="10796" xr:uid="{00000000-0005-0000-0000-00000C870000}"/>
    <cellStyle name="Normal 17 4 2 2 4 4" xfId="9356" xr:uid="{00000000-0005-0000-0000-00000D870000}"/>
    <cellStyle name="Normal 17 4 2 2 4 5" xfId="6401" xr:uid="{00000000-0005-0000-0000-00000E870000}"/>
    <cellStyle name="Normal 17 4 2 2 4 6" xfId="23014" xr:uid="{00000000-0005-0000-0000-00000F870000}"/>
    <cellStyle name="Normal 17 4 2 2 5" xfId="6908" xr:uid="{00000000-0005-0000-0000-000010870000}"/>
    <cellStyle name="Normal 17 4 2 2 5 2" xfId="8386" xr:uid="{00000000-0005-0000-0000-000011870000}"/>
    <cellStyle name="Normal 17 4 2 2 5 2 2" xfId="11283" xr:uid="{00000000-0005-0000-0000-000012870000}"/>
    <cellStyle name="Normal 17 4 2 2 5 3" xfId="9843" xr:uid="{00000000-0005-0000-0000-000013870000}"/>
    <cellStyle name="Normal 17 4 2 2 5 4" xfId="40211" xr:uid="{00000000-0005-0000-0000-000014870000}"/>
    <cellStyle name="Normal 17 4 2 2 6" xfId="7725" xr:uid="{00000000-0005-0000-0000-000015870000}"/>
    <cellStyle name="Normal 17 4 2 2 6 2" xfId="10625" xr:uid="{00000000-0005-0000-0000-000016870000}"/>
    <cellStyle name="Normal 17 4 2 2 7" xfId="9185" xr:uid="{00000000-0005-0000-0000-000017870000}"/>
    <cellStyle name="Normal 17 4 2 2 8" xfId="6204" xr:uid="{00000000-0005-0000-0000-000018870000}"/>
    <cellStyle name="Normal 17 4 2 2 9" xfId="20352" xr:uid="{00000000-0005-0000-0000-000019870000}"/>
    <cellStyle name="Normal 17 4 2 3" xfId="1017" xr:uid="{00000000-0005-0000-0000-00001A870000}"/>
    <cellStyle name="Normal 17 4 2 3 2" xfId="1018" xr:uid="{00000000-0005-0000-0000-00001B870000}"/>
    <cellStyle name="Normal 17 4 2 3 2 2" xfId="7373" xr:uid="{00000000-0005-0000-0000-00001C870000}"/>
    <cellStyle name="Normal 17 4 2 3 2 2 2" xfId="8850" xr:uid="{00000000-0005-0000-0000-00001D870000}"/>
    <cellStyle name="Normal 17 4 2 3 2 2 2 2" xfId="11747" xr:uid="{00000000-0005-0000-0000-00001E870000}"/>
    <cellStyle name="Normal 17 4 2 3 2 2 3" xfId="10307" xr:uid="{00000000-0005-0000-0000-00001F870000}"/>
    <cellStyle name="Normal 17 4 2 3 2 2 4" xfId="51984" xr:uid="{00000000-0005-0000-0000-000020870000}"/>
    <cellStyle name="Normal 17 4 2 3 2 3" xfId="8192" xr:uid="{00000000-0005-0000-0000-000021870000}"/>
    <cellStyle name="Normal 17 4 2 3 2 3 2" xfId="11089" xr:uid="{00000000-0005-0000-0000-000022870000}"/>
    <cellStyle name="Normal 17 4 2 3 2 4" xfId="9649" xr:uid="{00000000-0005-0000-0000-000023870000}"/>
    <cellStyle name="Normal 17 4 2 3 2 5" xfId="6697" xr:uid="{00000000-0005-0000-0000-000024870000}"/>
    <cellStyle name="Normal 17 4 2 3 2 6" xfId="32797" xr:uid="{00000000-0005-0000-0000-000025870000}"/>
    <cellStyle name="Normal 17 4 2 3 3" xfId="1019" xr:uid="{00000000-0005-0000-0000-000026870000}"/>
    <cellStyle name="Normal 17 4 2 3 3 2" xfId="7140" xr:uid="{00000000-0005-0000-0000-000027870000}"/>
    <cellStyle name="Normal 17 4 2 3 3 2 2" xfId="8617" xr:uid="{00000000-0005-0000-0000-000028870000}"/>
    <cellStyle name="Normal 17 4 2 3 3 2 2 2" xfId="11514" xr:uid="{00000000-0005-0000-0000-000029870000}"/>
    <cellStyle name="Normal 17 4 2 3 3 2 3" xfId="10074" xr:uid="{00000000-0005-0000-0000-00002A870000}"/>
    <cellStyle name="Normal 17 4 2 3 3 2 4" xfId="42639" xr:uid="{00000000-0005-0000-0000-00002B870000}"/>
    <cellStyle name="Normal 17 4 2 3 3 3" xfId="7959" xr:uid="{00000000-0005-0000-0000-00002C870000}"/>
    <cellStyle name="Normal 17 4 2 3 3 3 2" xfId="10856" xr:uid="{00000000-0005-0000-0000-00002D870000}"/>
    <cellStyle name="Normal 17 4 2 3 3 4" xfId="9416" xr:uid="{00000000-0005-0000-0000-00002E870000}"/>
    <cellStyle name="Normal 17 4 2 3 3 5" xfId="6464" xr:uid="{00000000-0005-0000-0000-00002F870000}"/>
    <cellStyle name="Normal 17 4 2 3 3 6" xfId="23070" xr:uid="{00000000-0005-0000-0000-000030870000}"/>
    <cellStyle name="Normal 17 4 2 3 4" xfId="6965" xr:uid="{00000000-0005-0000-0000-000031870000}"/>
    <cellStyle name="Normal 17 4 2 3 4 2" xfId="8442" xr:uid="{00000000-0005-0000-0000-000032870000}"/>
    <cellStyle name="Normal 17 4 2 3 4 2 2" xfId="11339" xr:uid="{00000000-0005-0000-0000-000033870000}"/>
    <cellStyle name="Normal 17 4 2 3 4 3" xfId="9899" xr:uid="{00000000-0005-0000-0000-000034870000}"/>
    <cellStyle name="Normal 17 4 2 3 4 4" xfId="42286" xr:uid="{00000000-0005-0000-0000-000035870000}"/>
    <cellStyle name="Normal 17 4 2 3 5" xfId="7782" xr:uid="{00000000-0005-0000-0000-000036870000}"/>
    <cellStyle name="Normal 17 4 2 3 5 2" xfId="10681" xr:uid="{00000000-0005-0000-0000-000037870000}"/>
    <cellStyle name="Normal 17 4 2 3 6" xfId="9241" xr:uid="{00000000-0005-0000-0000-000038870000}"/>
    <cellStyle name="Normal 17 4 2 3 7" xfId="6266" xr:uid="{00000000-0005-0000-0000-000039870000}"/>
    <cellStyle name="Normal 17 4 2 3 8" xfId="22711" xr:uid="{00000000-0005-0000-0000-00003A870000}"/>
    <cellStyle name="Normal 17 4 2 4" xfId="1020" xr:uid="{00000000-0005-0000-0000-00003B870000}"/>
    <cellStyle name="Normal 17 4 2 4 2" xfId="7257" xr:uid="{00000000-0005-0000-0000-00003C870000}"/>
    <cellStyle name="Normal 17 4 2 4 2 2" xfId="8734" xr:uid="{00000000-0005-0000-0000-00003D870000}"/>
    <cellStyle name="Normal 17 4 2 4 2 2 2" xfId="11631" xr:uid="{00000000-0005-0000-0000-00003E870000}"/>
    <cellStyle name="Normal 17 4 2 4 2 2 3" xfId="51847" xr:uid="{00000000-0005-0000-0000-00003F870000}"/>
    <cellStyle name="Normal 17 4 2 4 2 3" xfId="10191" xr:uid="{00000000-0005-0000-0000-000040870000}"/>
    <cellStyle name="Normal 17 4 2 4 2 4" xfId="32660" xr:uid="{00000000-0005-0000-0000-000041870000}"/>
    <cellStyle name="Normal 17 4 2 4 3" xfId="8076" xr:uid="{00000000-0005-0000-0000-000042870000}"/>
    <cellStyle name="Normal 17 4 2 4 3 2" xfId="10973" xr:uid="{00000000-0005-0000-0000-000043870000}"/>
    <cellStyle name="Normal 17 4 2 4 3 3" xfId="42149" xr:uid="{00000000-0005-0000-0000-000044870000}"/>
    <cellStyle name="Normal 17 4 2 4 4" xfId="9533" xr:uid="{00000000-0005-0000-0000-000045870000}"/>
    <cellStyle name="Normal 17 4 2 4 5" xfId="6581" xr:uid="{00000000-0005-0000-0000-000046870000}"/>
    <cellStyle name="Normal 17 4 2 4 6" xfId="22538" xr:uid="{00000000-0005-0000-0000-000047870000}"/>
    <cellStyle name="Normal 17 4 2 5" xfId="1021" xr:uid="{00000000-0005-0000-0000-000048870000}"/>
    <cellStyle name="Normal 17 4 2 5 2" xfId="7024" xr:uid="{00000000-0005-0000-0000-000049870000}"/>
    <cellStyle name="Normal 17 4 2 5 2 2" xfId="8501" xr:uid="{00000000-0005-0000-0000-00004A870000}"/>
    <cellStyle name="Normal 17 4 2 5 2 2 2" xfId="11398" xr:uid="{00000000-0005-0000-0000-00004B870000}"/>
    <cellStyle name="Normal 17 4 2 5 2 3" xfId="9958" xr:uid="{00000000-0005-0000-0000-00004C870000}"/>
    <cellStyle name="Normal 17 4 2 5 2 4" xfId="45454" xr:uid="{00000000-0005-0000-0000-00004D870000}"/>
    <cellStyle name="Normal 17 4 2 5 3" xfId="7842" xr:uid="{00000000-0005-0000-0000-00004E870000}"/>
    <cellStyle name="Normal 17 4 2 5 3 2" xfId="10740" xr:uid="{00000000-0005-0000-0000-00004F870000}"/>
    <cellStyle name="Normal 17 4 2 5 4" xfId="9300" xr:uid="{00000000-0005-0000-0000-000050870000}"/>
    <cellStyle name="Normal 17 4 2 5 5" xfId="6345" xr:uid="{00000000-0005-0000-0000-000051870000}"/>
    <cellStyle name="Normal 17 4 2 5 6" xfId="26265" xr:uid="{00000000-0005-0000-0000-000052870000}"/>
    <cellStyle name="Normal 17 4 2 6" xfId="7490" xr:uid="{00000000-0005-0000-0000-000053870000}"/>
    <cellStyle name="Normal 17 4 2 6 2" xfId="8964" xr:uid="{00000000-0005-0000-0000-000054870000}"/>
    <cellStyle name="Normal 17 4 2 6 2 2" xfId="11861" xr:uid="{00000000-0005-0000-0000-000055870000}"/>
    <cellStyle name="Normal 17 4 2 6 2 3" xfId="42502" xr:uid="{00000000-0005-0000-0000-000056870000}"/>
    <cellStyle name="Normal 17 4 2 6 3" xfId="10421" xr:uid="{00000000-0005-0000-0000-000057870000}"/>
    <cellStyle name="Normal 17 4 2 6 4" xfId="22933" xr:uid="{00000000-0005-0000-0000-000058870000}"/>
    <cellStyle name="Normal 17 4 2 7" xfId="7549" xr:uid="{00000000-0005-0000-0000-000059870000}"/>
    <cellStyle name="Normal 17 4 2 7 2" xfId="9021" xr:uid="{00000000-0005-0000-0000-00005A870000}"/>
    <cellStyle name="Normal 17 4 2 7 2 2" xfId="11918" xr:uid="{00000000-0005-0000-0000-00005B870000}"/>
    <cellStyle name="Normal 17 4 2 7 3" xfId="10478" xr:uid="{00000000-0005-0000-0000-00005C870000}"/>
    <cellStyle name="Normal 17 4 2 7 4" xfId="35756" xr:uid="{00000000-0005-0000-0000-00005D870000}"/>
    <cellStyle name="Normal 17 4 2 8" xfId="6825" xr:uid="{00000000-0005-0000-0000-00005E870000}"/>
    <cellStyle name="Normal 17 4 2 8 2" xfId="8305" xr:uid="{00000000-0005-0000-0000-00005F870000}"/>
    <cellStyle name="Normal 17 4 2 8 2 2" xfId="11202" xr:uid="{00000000-0005-0000-0000-000060870000}"/>
    <cellStyle name="Normal 17 4 2 8 3" xfId="9762" xr:uid="{00000000-0005-0000-0000-000061870000}"/>
    <cellStyle name="Normal 17 4 2 9" xfId="7644" xr:uid="{00000000-0005-0000-0000-000062870000}"/>
    <cellStyle name="Normal 17 4 2 9 2" xfId="10544" xr:uid="{00000000-0005-0000-0000-000063870000}"/>
    <cellStyle name="Normal 17 4 3" xfId="1022" xr:uid="{00000000-0005-0000-0000-000064870000}"/>
    <cellStyle name="Normal 17 4 3 2" xfId="1023" xr:uid="{00000000-0005-0000-0000-000065870000}"/>
    <cellStyle name="Normal 17 4 3 2 2" xfId="1024" xr:uid="{00000000-0005-0000-0000-000066870000}"/>
    <cellStyle name="Normal 17 4 3 2 2 2" xfId="7399" xr:uid="{00000000-0005-0000-0000-000067870000}"/>
    <cellStyle name="Normal 17 4 3 2 2 2 2" xfId="8876" xr:uid="{00000000-0005-0000-0000-000068870000}"/>
    <cellStyle name="Normal 17 4 3 2 2 2 2 2" xfId="11773" xr:uid="{00000000-0005-0000-0000-000069870000}"/>
    <cellStyle name="Normal 17 4 3 2 2 2 3" xfId="10333" xr:uid="{00000000-0005-0000-0000-00006A870000}"/>
    <cellStyle name="Normal 17 4 3 2 2 2 4" xfId="51898" xr:uid="{00000000-0005-0000-0000-00006B870000}"/>
    <cellStyle name="Normal 17 4 3 2 2 3" xfId="8218" xr:uid="{00000000-0005-0000-0000-00006C870000}"/>
    <cellStyle name="Normal 17 4 3 2 2 3 2" xfId="11115" xr:uid="{00000000-0005-0000-0000-00006D870000}"/>
    <cellStyle name="Normal 17 4 3 2 2 4" xfId="9675" xr:uid="{00000000-0005-0000-0000-00006E870000}"/>
    <cellStyle name="Normal 17 4 3 2 2 5" xfId="6723" xr:uid="{00000000-0005-0000-0000-00006F870000}"/>
    <cellStyle name="Normal 17 4 3 2 2 6" xfId="32711" xr:uid="{00000000-0005-0000-0000-000070870000}"/>
    <cellStyle name="Normal 17 4 3 2 3" xfId="7166" xr:uid="{00000000-0005-0000-0000-000071870000}"/>
    <cellStyle name="Normal 17 4 3 2 3 2" xfId="8643" xr:uid="{00000000-0005-0000-0000-000072870000}"/>
    <cellStyle name="Normal 17 4 3 2 3 2 2" xfId="11540" xr:uid="{00000000-0005-0000-0000-000073870000}"/>
    <cellStyle name="Normal 17 4 3 2 3 3" xfId="10100" xr:uid="{00000000-0005-0000-0000-000074870000}"/>
    <cellStyle name="Normal 17 4 3 2 3 4" xfId="42200" xr:uid="{00000000-0005-0000-0000-000075870000}"/>
    <cellStyle name="Normal 17 4 3 2 4" xfId="7985" xr:uid="{00000000-0005-0000-0000-000076870000}"/>
    <cellStyle name="Normal 17 4 3 2 4 2" xfId="10882" xr:uid="{00000000-0005-0000-0000-000077870000}"/>
    <cellStyle name="Normal 17 4 3 2 5" xfId="9442" xr:uid="{00000000-0005-0000-0000-000078870000}"/>
    <cellStyle name="Normal 17 4 3 2 6" xfId="6490" xr:uid="{00000000-0005-0000-0000-000079870000}"/>
    <cellStyle name="Normal 17 4 3 2 7" xfId="22622" xr:uid="{00000000-0005-0000-0000-00007A870000}"/>
    <cellStyle name="Normal 17 4 3 3" xfId="1025" xr:uid="{00000000-0005-0000-0000-00007B870000}"/>
    <cellStyle name="Normal 17 4 3 3 2" xfId="7283" xr:uid="{00000000-0005-0000-0000-00007C870000}"/>
    <cellStyle name="Normal 17 4 3 3 2 2" xfId="8760" xr:uid="{00000000-0005-0000-0000-00007D870000}"/>
    <cellStyle name="Normal 17 4 3 3 2 2 2" xfId="11657" xr:uid="{00000000-0005-0000-0000-00007E870000}"/>
    <cellStyle name="Normal 17 4 3 3 2 3" xfId="10217" xr:uid="{00000000-0005-0000-0000-00007F870000}"/>
    <cellStyle name="Normal 17 4 3 3 2 4" xfId="48794" xr:uid="{00000000-0005-0000-0000-000080870000}"/>
    <cellStyle name="Normal 17 4 3 3 3" xfId="8102" xr:uid="{00000000-0005-0000-0000-000081870000}"/>
    <cellStyle name="Normal 17 4 3 3 3 2" xfId="10999" xr:uid="{00000000-0005-0000-0000-000082870000}"/>
    <cellStyle name="Normal 17 4 3 3 4" xfId="9559" xr:uid="{00000000-0005-0000-0000-000083870000}"/>
    <cellStyle name="Normal 17 4 3 3 5" xfId="6607" xr:uid="{00000000-0005-0000-0000-000084870000}"/>
    <cellStyle name="Normal 17 4 3 3 6" xfId="29605" xr:uid="{00000000-0005-0000-0000-000085870000}"/>
    <cellStyle name="Normal 17 4 3 4" xfId="1026" xr:uid="{00000000-0005-0000-0000-000086870000}"/>
    <cellStyle name="Normal 17 4 3 4 2" xfId="7050" xr:uid="{00000000-0005-0000-0000-000087870000}"/>
    <cellStyle name="Normal 17 4 3 4 2 2" xfId="8527" xr:uid="{00000000-0005-0000-0000-000088870000}"/>
    <cellStyle name="Normal 17 4 3 4 2 2 2" xfId="11424" xr:uid="{00000000-0005-0000-0000-000089870000}"/>
    <cellStyle name="Normal 17 4 3 4 2 3" xfId="9984" xr:uid="{00000000-0005-0000-0000-00008A870000}"/>
    <cellStyle name="Normal 17 4 3 4 2 4" xfId="42553" xr:uid="{00000000-0005-0000-0000-00008B870000}"/>
    <cellStyle name="Normal 17 4 3 4 3" xfId="7868" xr:uid="{00000000-0005-0000-0000-00008C870000}"/>
    <cellStyle name="Normal 17 4 3 4 3 2" xfId="10766" xr:uid="{00000000-0005-0000-0000-00008D870000}"/>
    <cellStyle name="Normal 17 4 3 4 4" xfId="9326" xr:uid="{00000000-0005-0000-0000-00008E870000}"/>
    <cellStyle name="Normal 17 4 3 4 5" xfId="6371" xr:uid="{00000000-0005-0000-0000-00008F870000}"/>
    <cellStyle name="Normal 17 4 3 4 6" xfId="22984" xr:uid="{00000000-0005-0000-0000-000090870000}"/>
    <cellStyle name="Normal 17 4 3 5" xfId="6878" xr:uid="{00000000-0005-0000-0000-000091870000}"/>
    <cellStyle name="Normal 17 4 3 5 2" xfId="8356" xr:uid="{00000000-0005-0000-0000-000092870000}"/>
    <cellStyle name="Normal 17 4 3 5 2 2" xfId="11253" xr:uid="{00000000-0005-0000-0000-000093870000}"/>
    <cellStyle name="Normal 17 4 3 5 3" xfId="9813" xr:uid="{00000000-0005-0000-0000-000094870000}"/>
    <cellStyle name="Normal 17 4 3 5 4" xfId="39096" xr:uid="{00000000-0005-0000-0000-000095870000}"/>
    <cellStyle name="Normal 17 4 3 6" xfId="7695" xr:uid="{00000000-0005-0000-0000-000096870000}"/>
    <cellStyle name="Normal 17 4 3 6 2" xfId="10595" xr:uid="{00000000-0005-0000-0000-000097870000}"/>
    <cellStyle name="Normal 17 4 3 7" xfId="9155" xr:uid="{00000000-0005-0000-0000-000098870000}"/>
    <cellStyle name="Normal 17 4 3 8" xfId="6173" xr:uid="{00000000-0005-0000-0000-000099870000}"/>
    <cellStyle name="Normal 17 4 3 9" xfId="19237" xr:uid="{00000000-0005-0000-0000-00009A870000}"/>
    <cellStyle name="Normal 17 4 4" xfId="1027" xr:uid="{00000000-0005-0000-0000-00009B870000}"/>
    <cellStyle name="Normal 17 4 4 2" xfId="1028" xr:uid="{00000000-0005-0000-0000-00009C870000}"/>
    <cellStyle name="Normal 17 4 4 2 2" xfId="7347" xr:uid="{00000000-0005-0000-0000-00009D870000}"/>
    <cellStyle name="Normal 17 4 4 2 2 2" xfId="8824" xr:uid="{00000000-0005-0000-0000-00009E870000}"/>
    <cellStyle name="Normal 17 4 4 2 2 2 2" xfId="11721" xr:uid="{00000000-0005-0000-0000-00009F870000}"/>
    <cellStyle name="Normal 17 4 4 2 2 3" xfId="10281" xr:uid="{00000000-0005-0000-0000-0000A0870000}"/>
    <cellStyle name="Normal 17 4 4 2 2 4" xfId="51954" xr:uid="{00000000-0005-0000-0000-0000A1870000}"/>
    <cellStyle name="Normal 17 4 4 2 3" xfId="8166" xr:uid="{00000000-0005-0000-0000-0000A2870000}"/>
    <cellStyle name="Normal 17 4 4 2 3 2" xfId="11063" xr:uid="{00000000-0005-0000-0000-0000A3870000}"/>
    <cellStyle name="Normal 17 4 4 2 4" xfId="9623" xr:uid="{00000000-0005-0000-0000-0000A4870000}"/>
    <cellStyle name="Normal 17 4 4 2 5" xfId="6671" xr:uid="{00000000-0005-0000-0000-0000A5870000}"/>
    <cellStyle name="Normal 17 4 4 2 6" xfId="32767" xr:uid="{00000000-0005-0000-0000-0000A6870000}"/>
    <cellStyle name="Normal 17 4 4 3" xfId="1029" xr:uid="{00000000-0005-0000-0000-0000A7870000}"/>
    <cellStyle name="Normal 17 4 4 3 2" xfId="7114" xr:uid="{00000000-0005-0000-0000-0000A8870000}"/>
    <cellStyle name="Normal 17 4 4 3 2 2" xfId="8591" xr:uid="{00000000-0005-0000-0000-0000A9870000}"/>
    <cellStyle name="Normal 17 4 4 3 2 2 2" xfId="11488" xr:uid="{00000000-0005-0000-0000-0000AA870000}"/>
    <cellStyle name="Normal 17 4 4 3 2 3" xfId="10048" xr:uid="{00000000-0005-0000-0000-0000AB870000}"/>
    <cellStyle name="Normal 17 4 4 3 2 4" xfId="42609" xr:uid="{00000000-0005-0000-0000-0000AC870000}"/>
    <cellStyle name="Normal 17 4 4 3 3" xfId="7933" xr:uid="{00000000-0005-0000-0000-0000AD870000}"/>
    <cellStyle name="Normal 17 4 4 3 3 2" xfId="10830" xr:uid="{00000000-0005-0000-0000-0000AE870000}"/>
    <cellStyle name="Normal 17 4 4 3 4" xfId="9390" xr:uid="{00000000-0005-0000-0000-0000AF870000}"/>
    <cellStyle name="Normal 17 4 4 3 5" xfId="6438" xr:uid="{00000000-0005-0000-0000-0000B0870000}"/>
    <cellStyle name="Normal 17 4 4 3 6" xfId="23040" xr:uid="{00000000-0005-0000-0000-0000B1870000}"/>
    <cellStyle name="Normal 17 4 4 4" xfId="6935" xr:uid="{00000000-0005-0000-0000-0000B2870000}"/>
    <cellStyle name="Normal 17 4 4 4 2" xfId="8412" xr:uid="{00000000-0005-0000-0000-0000B3870000}"/>
    <cellStyle name="Normal 17 4 4 4 2 2" xfId="11309" xr:uid="{00000000-0005-0000-0000-0000B4870000}"/>
    <cellStyle name="Normal 17 4 4 4 3" xfId="9869" xr:uid="{00000000-0005-0000-0000-0000B5870000}"/>
    <cellStyle name="Normal 17 4 4 4 4" xfId="42256" xr:uid="{00000000-0005-0000-0000-0000B6870000}"/>
    <cellStyle name="Normal 17 4 4 5" xfId="7752" xr:uid="{00000000-0005-0000-0000-0000B7870000}"/>
    <cellStyle name="Normal 17 4 4 5 2" xfId="10651" xr:uid="{00000000-0005-0000-0000-0000B8870000}"/>
    <cellStyle name="Normal 17 4 4 6" xfId="9211" xr:uid="{00000000-0005-0000-0000-0000B9870000}"/>
    <cellStyle name="Normal 17 4 4 7" xfId="6236" xr:uid="{00000000-0005-0000-0000-0000BA870000}"/>
    <cellStyle name="Normal 17 4 4 8" xfId="22681" xr:uid="{00000000-0005-0000-0000-0000BB870000}"/>
    <cellStyle name="Normal 17 4 5" xfId="1030" xr:uid="{00000000-0005-0000-0000-0000BC870000}"/>
    <cellStyle name="Normal 17 4 5 2" xfId="7231" xr:uid="{00000000-0005-0000-0000-0000BD870000}"/>
    <cellStyle name="Normal 17 4 5 2 2" xfId="8708" xr:uid="{00000000-0005-0000-0000-0000BE870000}"/>
    <cellStyle name="Normal 17 4 5 2 2 2" xfId="11605" xr:uid="{00000000-0005-0000-0000-0000BF870000}"/>
    <cellStyle name="Normal 17 4 5 2 2 3" xfId="51817" xr:uid="{00000000-0005-0000-0000-0000C0870000}"/>
    <cellStyle name="Normal 17 4 5 2 3" xfId="10165" xr:uid="{00000000-0005-0000-0000-0000C1870000}"/>
    <cellStyle name="Normal 17 4 5 2 4" xfId="32630" xr:uid="{00000000-0005-0000-0000-0000C2870000}"/>
    <cellStyle name="Normal 17 4 5 3" xfId="8050" xr:uid="{00000000-0005-0000-0000-0000C3870000}"/>
    <cellStyle name="Normal 17 4 5 3 2" xfId="10947" xr:uid="{00000000-0005-0000-0000-0000C4870000}"/>
    <cellStyle name="Normal 17 4 5 3 3" xfId="42119" xr:uid="{00000000-0005-0000-0000-0000C5870000}"/>
    <cellStyle name="Normal 17 4 5 4" xfId="9507" xr:uid="{00000000-0005-0000-0000-0000C6870000}"/>
    <cellStyle name="Normal 17 4 5 5" xfId="6555" xr:uid="{00000000-0005-0000-0000-0000C7870000}"/>
    <cellStyle name="Normal 17 4 5 6" xfId="22503" xr:uid="{00000000-0005-0000-0000-0000C8870000}"/>
    <cellStyle name="Normal 17 4 6" xfId="1031" xr:uid="{00000000-0005-0000-0000-0000C9870000}"/>
    <cellStyle name="Normal 17 4 6 2" xfId="6998" xr:uid="{00000000-0005-0000-0000-0000CA870000}"/>
    <cellStyle name="Normal 17 4 6 2 2" xfId="8475" xr:uid="{00000000-0005-0000-0000-0000CB870000}"/>
    <cellStyle name="Normal 17 4 6 2 2 2" xfId="11372" xr:uid="{00000000-0005-0000-0000-0000CC870000}"/>
    <cellStyle name="Normal 17 4 6 2 3" xfId="9932" xr:uid="{00000000-0005-0000-0000-0000CD870000}"/>
    <cellStyle name="Normal 17 4 6 2 4" xfId="44339" xr:uid="{00000000-0005-0000-0000-0000CE870000}"/>
    <cellStyle name="Normal 17 4 6 3" xfId="7816" xr:uid="{00000000-0005-0000-0000-0000CF870000}"/>
    <cellStyle name="Normal 17 4 6 3 2" xfId="10714" xr:uid="{00000000-0005-0000-0000-0000D0870000}"/>
    <cellStyle name="Normal 17 4 6 4" xfId="9274" xr:uid="{00000000-0005-0000-0000-0000D1870000}"/>
    <cellStyle name="Normal 17 4 6 5" xfId="6319" xr:uid="{00000000-0005-0000-0000-0000D2870000}"/>
    <cellStyle name="Normal 17 4 6 6" xfId="25150" xr:uid="{00000000-0005-0000-0000-0000D3870000}"/>
    <cellStyle name="Normal 17 4 7" xfId="7464" xr:uid="{00000000-0005-0000-0000-0000D4870000}"/>
    <cellStyle name="Normal 17 4 7 2" xfId="8938" xr:uid="{00000000-0005-0000-0000-0000D5870000}"/>
    <cellStyle name="Normal 17 4 7 2 2" xfId="11835" xr:uid="{00000000-0005-0000-0000-0000D6870000}"/>
    <cellStyle name="Normal 17 4 7 2 3" xfId="42472" xr:uid="{00000000-0005-0000-0000-0000D7870000}"/>
    <cellStyle name="Normal 17 4 7 3" xfId="10395" xr:uid="{00000000-0005-0000-0000-0000D8870000}"/>
    <cellStyle name="Normal 17 4 7 4" xfId="22903" xr:uid="{00000000-0005-0000-0000-0000D9870000}"/>
    <cellStyle name="Normal 17 4 8" xfId="7523" xr:uid="{00000000-0005-0000-0000-0000DA870000}"/>
    <cellStyle name="Normal 17 4 8 2" xfId="8995" xr:uid="{00000000-0005-0000-0000-0000DB870000}"/>
    <cellStyle name="Normal 17 4 8 2 2" xfId="11892" xr:uid="{00000000-0005-0000-0000-0000DC870000}"/>
    <cellStyle name="Normal 17 4 8 3" xfId="10452" xr:uid="{00000000-0005-0000-0000-0000DD870000}"/>
    <cellStyle name="Normal 17 4 8 4" xfId="34641" xr:uid="{00000000-0005-0000-0000-0000DE870000}"/>
    <cellStyle name="Normal 17 4 9" xfId="6794" xr:uid="{00000000-0005-0000-0000-0000DF870000}"/>
    <cellStyle name="Normal 17 4 9 2" xfId="8275" xr:uid="{00000000-0005-0000-0000-0000E0870000}"/>
    <cellStyle name="Normal 17 4 9 2 2" xfId="11172" xr:uid="{00000000-0005-0000-0000-0000E1870000}"/>
    <cellStyle name="Normal 17 4 9 3" xfId="9732" xr:uid="{00000000-0005-0000-0000-0000E2870000}"/>
    <cellStyle name="Normal 17 5" xfId="1032" xr:uid="{00000000-0005-0000-0000-0000E3870000}"/>
    <cellStyle name="Normal 17 5 10" xfId="7622" xr:uid="{00000000-0005-0000-0000-0000E4870000}"/>
    <cellStyle name="Normal 17 5 10 2" xfId="10522" xr:uid="{00000000-0005-0000-0000-0000E5870000}"/>
    <cellStyle name="Normal 17 5 11" xfId="9082" xr:uid="{00000000-0005-0000-0000-0000E6870000}"/>
    <cellStyle name="Normal 17 5 12" xfId="6087" xr:uid="{00000000-0005-0000-0000-0000E7870000}"/>
    <cellStyle name="Normal 17 5 13" xfId="15331" xr:uid="{00000000-0005-0000-0000-0000E8870000}"/>
    <cellStyle name="Normal 17 5 2" xfId="1033" xr:uid="{00000000-0005-0000-0000-0000E9870000}"/>
    <cellStyle name="Normal 17 5 2 10" xfId="9112" xr:uid="{00000000-0005-0000-0000-0000EA870000}"/>
    <cellStyle name="Normal 17 5 2 11" xfId="6124" xr:uid="{00000000-0005-0000-0000-0000EB870000}"/>
    <cellStyle name="Normal 17 5 2 12" xfId="19795" xr:uid="{00000000-0005-0000-0000-0000EC870000}"/>
    <cellStyle name="Normal 17 5 2 2" xfId="1034" xr:uid="{00000000-0005-0000-0000-0000ED870000}"/>
    <cellStyle name="Normal 17 5 2 2 2" xfId="1035" xr:uid="{00000000-0005-0000-0000-0000EE870000}"/>
    <cellStyle name="Normal 17 5 2 2 2 2" xfId="1036" xr:uid="{00000000-0005-0000-0000-0000EF870000}"/>
    <cellStyle name="Normal 17 5 2 2 2 2 2" xfId="7437" xr:uid="{00000000-0005-0000-0000-0000F0870000}"/>
    <cellStyle name="Normal 17 5 2 2 2 2 2 2" xfId="8914" xr:uid="{00000000-0005-0000-0000-0000F1870000}"/>
    <cellStyle name="Normal 17 5 2 2 2 2 2 2 2" xfId="11811" xr:uid="{00000000-0005-0000-0000-0000F2870000}"/>
    <cellStyle name="Normal 17 5 2 2 2 2 2 3" xfId="10371" xr:uid="{00000000-0005-0000-0000-0000F3870000}"/>
    <cellStyle name="Normal 17 5 2 2 2 2 3" xfId="8256" xr:uid="{00000000-0005-0000-0000-0000F4870000}"/>
    <cellStyle name="Normal 17 5 2 2 2 2 3 2" xfId="11153" xr:uid="{00000000-0005-0000-0000-0000F5870000}"/>
    <cellStyle name="Normal 17 5 2 2 2 2 4" xfId="9713" xr:uid="{00000000-0005-0000-0000-0000F6870000}"/>
    <cellStyle name="Normal 17 5 2 2 2 2 5" xfId="6761" xr:uid="{00000000-0005-0000-0000-0000F7870000}"/>
    <cellStyle name="Normal 17 5 2 2 2 2 6" xfId="51936" xr:uid="{00000000-0005-0000-0000-0000F8870000}"/>
    <cellStyle name="Normal 17 5 2 2 2 3" xfId="7204" xr:uid="{00000000-0005-0000-0000-0000F9870000}"/>
    <cellStyle name="Normal 17 5 2 2 2 3 2" xfId="8681" xr:uid="{00000000-0005-0000-0000-0000FA870000}"/>
    <cellStyle name="Normal 17 5 2 2 2 3 2 2" xfId="11578" xr:uid="{00000000-0005-0000-0000-0000FB870000}"/>
    <cellStyle name="Normal 17 5 2 2 2 3 3" xfId="10138" xr:uid="{00000000-0005-0000-0000-0000FC870000}"/>
    <cellStyle name="Normal 17 5 2 2 2 4" xfId="8023" xr:uid="{00000000-0005-0000-0000-0000FD870000}"/>
    <cellStyle name="Normal 17 5 2 2 2 4 2" xfId="10920" xr:uid="{00000000-0005-0000-0000-0000FE870000}"/>
    <cellStyle name="Normal 17 5 2 2 2 5" xfId="9480" xr:uid="{00000000-0005-0000-0000-0000FF870000}"/>
    <cellStyle name="Normal 17 5 2 2 2 6" xfId="6528" xr:uid="{00000000-0005-0000-0000-000000880000}"/>
    <cellStyle name="Normal 17 5 2 2 2 7" xfId="32749" xr:uid="{00000000-0005-0000-0000-000001880000}"/>
    <cellStyle name="Normal 17 5 2 2 3" xfId="1037" xr:uid="{00000000-0005-0000-0000-000002880000}"/>
    <cellStyle name="Normal 17 5 2 2 3 2" xfId="7321" xr:uid="{00000000-0005-0000-0000-000003880000}"/>
    <cellStyle name="Normal 17 5 2 2 3 2 2" xfId="8798" xr:uid="{00000000-0005-0000-0000-000004880000}"/>
    <cellStyle name="Normal 17 5 2 2 3 2 2 2" xfId="11695" xr:uid="{00000000-0005-0000-0000-000005880000}"/>
    <cellStyle name="Normal 17 5 2 2 3 2 3" xfId="10255" xr:uid="{00000000-0005-0000-0000-000006880000}"/>
    <cellStyle name="Normal 17 5 2 2 3 2 4" xfId="42591" xr:uid="{00000000-0005-0000-0000-000007880000}"/>
    <cellStyle name="Normal 17 5 2 2 3 3" xfId="8140" xr:uid="{00000000-0005-0000-0000-000008880000}"/>
    <cellStyle name="Normal 17 5 2 2 3 3 2" xfId="11037" xr:uid="{00000000-0005-0000-0000-000009880000}"/>
    <cellStyle name="Normal 17 5 2 2 3 4" xfId="9597" xr:uid="{00000000-0005-0000-0000-00000A880000}"/>
    <cellStyle name="Normal 17 5 2 2 3 5" xfId="6645" xr:uid="{00000000-0005-0000-0000-00000B880000}"/>
    <cellStyle name="Normal 17 5 2 2 3 6" xfId="23022" xr:uid="{00000000-0005-0000-0000-00000C880000}"/>
    <cellStyle name="Normal 17 5 2 2 4" xfId="1038" xr:uid="{00000000-0005-0000-0000-00000D880000}"/>
    <cellStyle name="Normal 17 5 2 2 4 2" xfId="7088" xr:uid="{00000000-0005-0000-0000-00000E880000}"/>
    <cellStyle name="Normal 17 5 2 2 4 2 2" xfId="8565" xr:uid="{00000000-0005-0000-0000-00000F880000}"/>
    <cellStyle name="Normal 17 5 2 2 4 2 2 2" xfId="11462" xr:uid="{00000000-0005-0000-0000-000010880000}"/>
    <cellStyle name="Normal 17 5 2 2 4 2 3" xfId="10022" xr:uid="{00000000-0005-0000-0000-000011880000}"/>
    <cellStyle name="Normal 17 5 2 2 4 3" xfId="7906" xr:uid="{00000000-0005-0000-0000-000012880000}"/>
    <cellStyle name="Normal 17 5 2 2 4 3 2" xfId="10804" xr:uid="{00000000-0005-0000-0000-000013880000}"/>
    <cellStyle name="Normal 17 5 2 2 4 4" xfId="9364" xr:uid="{00000000-0005-0000-0000-000014880000}"/>
    <cellStyle name="Normal 17 5 2 2 4 5" xfId="6409" xr:uid="{00000000-0005-0000-0000-000015880000}"/>
    <cellStyle name="Normal 17 5 2 2 4 6" xfId="42238" xr:uid="{00000000-0005-0000-0000-000016880000}"/>
    <cellStyle name="Normal 17 5 2 2 5" xfId="6916" xr:uid="{00000000-0005-0000-0000-000017880000}"/>
    <cellStyle name="Normal 17 5 2 2 5 2" xfId="8394" xr:uid="{00000000-0005-0000-0000-000018880000}"/>
    <cellStyle name="Normal 17 5 2 2 5 2 2" xfId="11291" xr:uid="{00000000-0005-0000-0000-000019880000}"/>
    <cellStyle name="Normal 17 5 2 2 5 3" xfId="9851" xr:uid="{00000000-0005-0000-0000-00001A880000}"/>
    <cellStyle name="Normal 17 5 2 2 6" xfId="7733" xr:uid="{00000000-0005-0000-0000-00001B880000}"/>
    <cellStyle name="Normal 17 5 2 2 6 2" xfId="10633" xr:uid="{00000000-0005-0000-0000-00001C880000}"/>
    <cellStyle name="Normal 17 5 2 2 7" xfId="9193" xr:uid="{00000000-0005-0000-0000-00001D880000}"/>
    <cellStyle name="Normal 17 5 2 2 8" xfId="6212" xr:uid="{00000000-0005-0000-0000-00001E880000}"/>
    <cellStyle name="Normal 17 5 2 2 9" xfId="22661" xr:uid="{00000000-0005-0000-0000-00001F880000}"/>
    <cellStyle name="Normal 17 5 2 3" xfId="1039" xr:uid="{00000000-0005-0000-0000-000020880000}"/>
    <cellStyle name="Normal 17 5 2 3 2" xfId="1040" xr:uid="{00000000-0005-0000-0000-000021880000}"/>
    <cellStyle name="Normal 17 5 2 3 2 2" xfId="7381" xr:uid="{00000000-0005-0000-0000-000022880000}"/>
    <cellStyle name="Normal 17 5 2 3 2 2 2" xfId="8858" xr:uid="{00000000-0005-0000-0000-000023880000}"/>
    <cellStyle name="Normal 17 5 2 3 2 2 2 2" xfId="11755" xr:uid="{00000000-0005-0000-0000-000024880000}"/>
    <cellStyle name="Normal 17 5 2 3 2 2 3" xfId="10315" xr:uid="{00000000-0005-0000-0000-000025880000}"/>
    <cellStyle name="Normal 17 5 2 3 2 2 4" xfId="51992" xr:uid="{00000000-0005-0000-0000-000026880000}"/>
    <cellStyle name="Normal 17 5 2 3 2 3" xfId="8200" xr:uid="{00000000-0005-0000-0000-000027880000}"/>
    <cellStyle name="Normal 17 5 2 3 2 3 2" xfId="11097" xr:uid="{00000000-0005-0000-0000-000028880000}"/>
    <cellStyle name="Normal 17 5 2 3 2 4" xfId="9657" xr:uid="{00000000-0005-0000-0000-000029880000}"/>
    <cellStyle name="Normal 17 5 2 3 2 5" xfId="6705" xr:uid="{00000000-0005-0000-0000-00002A880000}"/>
    <cellStyle name="Normal 17 5 2 3 2 6" xfId="32805" xr:uid="{00000000-0005-0000-0000-00002B880000}"/>
    <cellStyle name="Normal 17 5 2 3 3" xfId="1041" xr:uid="{00000000-0005-0000-0000-00002C880000}"/>
    <cellStyle name="Normal 17 5 2 3 3 2" xfId="7148" xr:uid="{00000000-0005-0000-0000-00002D880000}"/>
    <cellStyle name="Normal 17 5 2 3 3 2 2" xfId="8625" xr:uid="{00000000-0005-0000-0000-00002E880000}"/>
    <cellStyle name="Normal 17 5 2 3 3 2 2 2" xfId="11522" xr:uid="{00000000-0005-0000-0000-00002F880000}"/>
    <cellStyle name="Normal 17 5 2 3 3 2 3" xfId="10082" xr:uid="{00000000-0005-0000-0000-000030880000}"/>
    <cellStyle name="Normal 17 5 2 3 3 2 4" xfId="42647" xr:uid="{00000000-0005-0000-0000-000031880000}"/>
    <cellStyle name="Normal 17 5 2 3 3 3" xfId="7967" xr:uid="{00000000-0005-0000-0000-000032880000}"/>
    <cellStyle name="Normal 17 5 2 3 3 3 2" xfId="10864" xr:uid="{00000000-0005-0000-0000-000033880000}"/>
    <cellStyle name="Normal 17 5 2 3 3 4" xfId="9424" xr:uid="{00000000-0005-0000-0000-000034880000}"/>
    <cellStyle name="Normal 17 5 2 3 3 5" xfId="6472" xr:uid="{00000000-0005-0000-0000-000035880000}"/>
    <cellStyle name="Normal 17 5 2 3 3 6" xfId="23078" xr:uid="{00000000-0005-0000-0000-000036880000}"/>
    <cellStyle name="Normal 17 5 2 3 4" xfId="6973" xr:uid="{00000000-0005-0000-0000-000037880000}"/>
    <cellStyle name="Normal 17 5 2 3 4 2" xfId="8450" xr:uid="{00000000-0005-0000-0000-000038880000}"/>
    <cellStyle name="Normal 17 5 2 3 4 2 2" xfId="11347" xr:uid="{00000000-0005-0000-0000-000039880000}"/>
    <cellStyle name="Normal 17 5 2 3 4 3" xfId="9907" xr:uid="{00000000-0005-0000-0000-00003A880000}"/>
    <cellStyle name="Normal 17 5 2 3 4 4" xfId="42294" xr:uid="{00000000-0005-0000-0000-00003B880000}"/>
    <cellStyle name="Normal 17 5 2 3 5" xfId="7790" xr:uid="{00000000-0005-0000-0000-00003C880000}"/>
    <cellStyle name="Normal 17 5 2 3 5 2" xfId="10689" xr:uid="{00000000-0005-0000-0000-00003D880000}"/>
    <cellStyle name="Normal 17 5 2 3 6" xfId="9249" xr:uid="{00000000-0005-0000-0000-00003E880000}"/>
    <cellStyle name="Normal 17 5 2 3 7" xfId="6274" xr:uid="{00000000-0005-0000-0000-00003F880000}"/>
    <cellStyle name="Normal 17 5 2 3 8" xfId="22719" xr:uid="{00000000-0005-0000-0000-000040880000}"/>
    <cellStyle name="Normal 17 5 2 4" xfId="1042" xr:uid="{00000000-0005-0000-0000-000041880000}"/>
    <cellStyle name="Normal 17 5 2 4 2" xfId="7265" xr:uid="{00000000-0005-0000-0000-000042880000}"/>
    <cellStyle name="Normal 17 5 2 4 2 2" xfId="8742" xr:uid="{00000000-0005-0000-0000-000043880000}"/>
    <cellStyle name="Normal 17 5 2 4 2 2 2" xfId="11639" xr:uid="{00000000-0005-0000-0000-000044880000}"/>
    <cellStyle name="Normal 17 5 2 4 2 2 3" xfId="51855" xr:uid="{00000000-0005-0000-0000-000045880000}"/>
    <cellStyle name="Normal 17 5 2 4 2 3" xfId="10199" xr:uid="{00000000-0005-0000-0000-000046880000}"/>
    <cellStyle name="Normal 17 5 2 4 2 4" xfId="32668" xr:uid="{00000000-0005-0000-0000-000047880000}"/>
    <cellStyle name="Normal 17 5 2 4 3" xfId="8084" xr:uid="{00000000-0005-0000-0000-000048880000}"/>
    <cellStyle name="Normal 17 5 2 4 3 2" xfId="10981" xr:uid="{00000000-0005-0000-0000-000049880000}"/>
    <cellStyle name="Normal 17 5 2 4 3 3" xfId="42157" xr:uid="{00000000-0005-0000-0000-00004A880000}"/>
    <cellStyle name="Normal 17 5 2 4 4" xfId="9541" xr:uid="{00000000-0005-0000-0000-00004B880000}"/>
    <cellStyle name="Normal 17 5 2 4 5" xfId="6589" xr:uid="{00000000-0005-0000-0000-00004C880000}"/>
    <cellStyle name="Normal 17 5 2 4 6" xfId="22546" xr:uid="{00000000-0005-0000-0000-00004D880000}"/>
    <cellStyle name="Normal 17 5 2 5" xfId="1043" xr:uid="{00000000-0005-0000-0000-00004E880000}"/>
    <cellStyle name="Normal 17 5 2 5 2" xfId="7032" xr:uid="{00000000-0005-0000-0000-00004F880000}"/>
    <cellStyle name="Normal 17 5 2 5 2 2" xfId="8509" xr:uid="{00000000-0005-0000-0000-000050880000}"/>
    <cellStyle name="Normal 17 5 2 5 2 2 2" xfId="11406" xr:uid="{00000000-0005-0000-0000-000051880000}"/>
    <cellStyle name="Normal 17 5 2 5 2 3" xfId="9966" xr:uid="{00000000-0005-0000-0000-000052880000}"/>
    <cellStyle name="Normal 17 5 2 5 2 4" xfId="49352" xr:uid="{00000000-0005-0000-0000-000053880000}"/>
    <cellStyle name="Normal 17 5 2 5 3" xfId="7850" xr:uid="{00000000-0005-0000-0000-000054880000}"/>
    <cellStyle name="Normal 17 5 2 5 3 2" xfId="10748" xr:uid="{00000000-0005-0000-0000-000055880000}"/>
    <cellStyle name="Normal 17 5 2 5 4" xfId="9308" xr:uid="{00000000-0005-0000-0000-000056880000}"/>
    <cellStyle name="Normal 17 5 2 5 5" xfId="6353" xr:uid="{00000000-0005-0000-0000-000057880000}"/>
    <cellStyle name="Normal 17 5 2 5 6" xfId="30163" xr:uid="{00000000-0005-0000-0000-000058880000}"/>
    <cellStyle name="Normal 17 5 2 6" xfId="7498" xr:uid="{00000000-0005-0000-0000-000059880000}"/>
    <cellStyle name="Normal 17 5 2 6 2" xfId="8972" xr:uid="{00000000-0005-0000-0000-00005A880000}"/>
    <cellStyle name="Normal 17 5 2 6 2 2" xfId="11869" xr:uid="{00000000-0005-0000-0000-00005B880000}"/>
    <cellStyle name="Normal 17 5 2 6 2 3" xfId="42510" xr:uid="{00000000-0005-0000-0000-00005C880000}"/>
    <cellStyle name="Normal 17 5 2 6 3" xfId="10429" xr:uid="{00000000-0005-0000-0000-00005D880000}"/>
    <cellStyle name="Normal 17 5 2 6 4" xfId="22941" xr:uid="{00000000-0005-0000-0000-00005E880000}"/>
    <cellStyle name="Normal 17 5 2 7" xfId="7557" xr:uid="{00000000-0005-0000-0000-00005F880000}"/>
    <cellStyle name="Normal 17 5 2 7 2" xfId="9029" xr:uid="{00000000-0005-0000-0000-000060880000}"/>
    <cellStyle name="Normal 17 5 2 7 2 2" xfId="11926" xr:uid="{00000000-0005-0000-0000-000061880000}"/>
    <cellStyle name="Normal 17 5 2 7 3" xfId="10486" xr:uid="{00000000-0005-0000-0000-000062880000}"/>
    <cellStyle name="Normal 17 5 2 7 4" xfId="39654" xr:uid="{00000000-0005-0000-0000-000063880000}"/>
    <cellStyle name="Normal 17 5 2 8" xfId="6833" xr:uid="{00000000-0005-0000-0000-000064880000}"/>
    <cellStyle name="Normal 17 5 2 8 2" xfId="8313" xr:uid="{00000000-0005-0000-0000-000065880000}"/>
    <cellStyle name="Normal 17 5 2 8 2 2" xfId="11210" xr:uid="{00000000-0005-0000-0000-000066880000}"/>
    <cellStyle name="Normal 17 5 2 8 3" xfId="9770" xr:uid="{00000000-0005-0000-0000-000067880000}"/>
    <cellStyle name="Normal 17 5 2 9" xfId="7652" xr:uid="{00000000-0005-0000-0000-000068880000}"/>
    <cellStyle name="Normal 17 5 2 9 2" xfId="10552" xr:uid="{00000000-0005-0000-0000-000069880000}"/>
    <cellStyle name="Normal 17 5 3" xfId="1044" xr:uid="{00000000-0005-0000-0000-00006A880000}"/>
    <cellStyle name="Normal 17 5 3 2" xfId="1045" xr:uid="{00000000-0005-0000-0000-00006B880000}"/>
    <cellStyle name="Normal 17 5 3 2 2" xfId="1046" xr:uid="{00000000-0005-0000-0000-00006C880000}"/>
    <cellStyle name="Normal 17 5 3 2 2 2" xfId="7407" xr:uid="{00000000-0005-0000-0000-00006D880000}"/>
    <cellStyle name="Normal 17 5 3 2 2 2 2" xfId="8884" xr:uid="{00000000-0005-0000-0000-00006E880000}"/>
    <cellStyle name="Normal 17 5 3 2 2 2 2 2" xfId="11781" xr:uid="{00000000-0005-0000-0000-00006F880000}"/>
    <cellStyle name="Normal 17 5 3 2 2 2 3" xfId="10341" xr:uid="{00000000-0005-0000-0000-000070880000}"/>
    <cellStyle name="Normal 17 5 3 2 2 3" xfId="8226" xr:uid="{00000000-0005-0000-0000-000071880000}"/>
    <cellStyle name="Normal 17 5 3 2 2 3 2" xfId="11123" xr:uid="{00000000-0005-0000-0000-000072880000}"/>
    <cellStyle name="Normal 17 5 3 2 2 4" xfId="9683" xr:uid="{00000000-0005-0000-0000-000073880000}"/>
    <cellStyle name="Normal 17 5 3 2 2 5" xfId="6731" xr:uid="{00000000-0005-0000-0000-000074880000}"/>
    <cellStyle name="Normal 17 5 3 2 2 6" xfId="51906" xr:uid="{00000000-0005-0000-0000-000075880000}"/>
    <cellStyle name="Normal 17 5 3 2 3" xfId="7174" xr:uid="{00000000-0005-0000-0000-000076880000}"/>
    <cellStyle name="Normal 17 5 3 2 3 2" xfId="8651" xr:uid="{00000000-0005-0000-0000-000077880000}"/>
    <cellStyle name="Normal 17 5 3 2 3 2 2" xfId="11548" xr:uid="{00000000-0005-0000-0000-000078880000}"/>
    <cellStyle name="Normal 17 5 3 2 3 3" xfId="10108" xr:uid="{00000000-0005-0000-0000-000079880000}"/>
    <cellStyle name="Normal 17 5 3 2 4" xfId="7993" xr:uid="{00000000-0005-0000-0000-00007A880000}"/>
    <cellStyle name="Normal 17 5 3 2 4 2" xfId="10890" xr:uid="{00000000-0005-0000-0000-00007B880000}"/>
    <cellStyle name="Normal 17 5 3 2 5" xfId="9450" xr:uid="{00000000-0005-0000-0000-00007C880000}"/>
    <cellStyle name="Normal 17 5 3 2 6" xfId="6498" xr:uid="{00000000-0005-0000-0000-00007D880000}"/>
    <cellStyle name="Normal 17 5 3 2 7" xfId="32719" xr:uid="{00000000-0005-0000-0000-00007E880000}"/>
    <cellStyle name="Normal 17 5 3 3" xfId="1047" xr:uid="{00000000-0005-0000-0000-00007F880000}"/>
    <cellStyle name="Normal 17 5 3 3 2" xfId="7291" xr:uid="{00000000-0005-0000-0000-000080880000}"/>
    <cellStyle name="Normal 17 5 3 3 2 2" xfId="8768" xr:uid="{00000000-0005-0000-0000-000081880000}"/>
    <cellStyle name="Normal 17 5 3 3 2 2 2" xfId="11665" xr:uid="{00000000-0005-0000-0000-000082880000}"/>
    <cellStyle name="Normal 17 5 3 3 2 3" xfId="10225" xr:uid="{00000000-0005-0000-0000-000083880000}"/>
    <cellStyle name="Normal 17 5 3 3 2 4" xfId="42561" xr:uid="{00000000-0005-0000-0000-000084880000}"/>
    <cellStyle name="Normal 17 5 3 3 3" xfId="8110" xr:uid="{00000000-0005-0000-0000-000085880000}"/>
    <cellStyle name="Normal 17 5 3 3 3 2" xfId="11007" xr:uid="{00000000-0005-0000-0000-000086880000}"/>
    <cellStyle name="Normal 17 5 3 3 4" xfId="9567" xr:uid="{00000000-0005-0000-0000-000087880000}"/>
    <cellStyle name="Normal 17 5 3 3 5" xfId="6615" xr:uid="{00000000-0005-0000-0000-000088880000}"/>
    <cellStyle name="Normal 17 5 3 3 6" xfId="22992" xr:uid="{00000000-0005-0000-0000-000089880000}"/>
    <cellStyle name="Normal 17 5 3 4" xfId="1048" xr:uid="{00000000-0005-0000-0000-00008A880000}"/>
    <cellStyle name="Normal 17 5 3 4 2" xfId="7058" xr:uid="{00000000-0005-0000-0000-00008B880000}"/>
    <cellStyle name="Normal 17 5 3 4 2 2" xfId="8535" xr:uid="{00000000-0005-0000-0000-00008C880000}"/>
    <cellStyle name="Normal 17 5 3 4 2 2 2" xfId="11432" xr:uid="{00000000-0005-0000-0000-00008D880000}"/>
    <cellStyle name="Normal 17 5 3 4 2 3" xfId="9992" xr:uid="{00000000-0005-0000-0000-00008E880000}"/>
    <cellStyle name="Normal 17 5 3 4 3" xfId="7876" xr:uid="{00000000-0005-0000-0000-00008F880000}"/>
    <cellStyle name="Normal 17 5 3 4 3 2" xfId="10774" xr:uid="{00000000-0005-0000-0000-000090880000}"/>
    <cellStyle name="Normal 17 5 3 4 4" xfId="9334" xr:uid="{00000000-0005-0000-0000-000091880000}"/>
    <cellStyle name="Normal 17 5 3 4 5" xfId="6379" xr:uid="{00000000-0005-0000-0000-000092880000}"/>
    <cellStyle name="Normal 17 5 3 4 6" xfId="42208" xr:uid="{00000000-0005-0000-0000-000093880000}"/>
    <cellStyle name="Normal 17 5 3 5" xfId="6886" xr:uid="{00000000-0005-0000-0000-000094880000}"/>
    <cellStyle name="Normal 17 5 3 5 2" xfId="8364" xr:uid="{00000000-0005-0000-0000-000095880000}"/>
    <cellStyle name="Normal 17 5 3 5 2 2" xfId="11261" xr:uid="{00000000-0005-0000-0000-000096880000}"/>
    <cellStyle name="Normal 17 5 3 5 3" xfId="9821" xr:uid="{00000000-0005-0000-0000-000097880000}"/>
    <cellStyle name="Normal 17 5 3 6" xfId="7703" xr:uid="{00000000-0005-0000-0000-000098880000}"/>
    <cellStyle name="Normal 17 5 3 6 2" xfId="10603" xr:uid="{00000000-0005-0000-0000-000099880000}"/>
    <cellStyle name="Normal 17 5 3 7" xfId="9163" xr:uid="{00000000-0005-0000-0000-00009A880000}"/>
    <cellStyle name="Normal 17 5 3 8" xfId="6181" xr:uid="{00000000-0005-0000-0000-00009B880000}"/>
    <cellStyle name="Normal 17 5 3 9" xfId="22630" xr:uid="{00000000-0005-0000-0000-00009C880000}"/>
    <cellStyle name="Normal 17 5 4" xfId="1049" xr:uid="{00000000-0005-0000-0000-00009D880000}"/>
    <cellStyle name="Normal 17 5 4 2" xfId="1050" xr:uid="{00000000-0005-0000-0000-00009E880000}"/>
    <cellStyle name="Normal 17 5 4 2 2" xfId="7355" xr:uid="{00000000-0005-0000-0000-00009F880000}"/>
    <cellStyle name="Normal 17 5 4 2 2 2" xfId="8832" xr:uid="{00000000-0005-0000-0000-0000A0880000}"/>
    <cellStyle name="Normal 17 5 4 2 2 2 2" xfId="11729" xr:uid="{00000000-0005-0000-0000-0000A1880000}"/>
    <cellStyle name="Normal 17 5 4 2 2 3" xfId="10289" xr:uid="{00000000-0005-0000-0000-0000A2880000}"/>
    <cellStyle name="Normal 17 5 4 2 2 4" xfId="51962" xr:uid="{00000000-0005-0000-0000-0000A3880000}"/>
    <cellStyle name="Normal 17 5 4 2 3" xfId="8174" xr:uid="{00000000-0005-0000-0000-0000A4880000}"/>
    <cellStyle name="Normal 17 5 4 2 3 2" xfId="11071" xr:uid="{00000000-0005-0000-0000-0000A5880000}"/>
    <cellStyle name="Normal 17 5 4 2 4" xfId="9631" xr:uid="{00000000-0005-0000-0000-0000A6880000}"/>
    <cellStyle name="Normal 17 5 4 2 5" xfId="6679" xr:uid="{00000000-0005-0000-0000-0000A7880000}"/>
    <cellStyle name="Normal 17 5 4 2 6" xfId="32775" xr:uid="{00000000-0005-0000-0000-0000A8880000}"/>
    <cellStyle name="Normal 17 5 4 3" xfId="1051" xr:uid="{00000000-0005-0000-0000-0000A9880000}"/>
    <cellStyle name="Normal 17 5 4 3 2" xfId="7122" xr:uid="{00000000-0005-0000-0000-0000AA880000}"/>
    <cellStyle name="Normal 17 5 4 3 2 2" xfId="8599" xr:uid="{00000000-0005-0000-0000-0000AB880000}"/>
    <cellStyle name="Normal 17 5 4 3 2 2 2" xfId="11496" xr:uid="{00000000-0005-0000-0000-0000AC880000}"/>
    <cellStyle name="Normal 17 5 4 3 2 3" xfId="10056" xr:uid="{00000000-0005-0000-0000-0000AD880000}"/>
    <cellStyle name="Normal 17 5 4 3 2 4" xfId="42617" xr:uid="{00000000-0005-0000-0000-0000AE880000}"/>
    <cellStyle name="Normal 17 5 4 3 3" xfId="7941" xr:uid="{00000000-0005-0000-0000-0000AF880000}"/>
    <cellStyle name="Normal 17 5 4 3 3 2" xfId="10838" xr:uid="{00000000-0005-0000-0000-0000B0880000}"/>
    <cellStyle name="Normal 17 5 4 3 4" xfId="9398" xr:uid="{00000000-0005-0000-0000-0000B1880000}"/>
    <cellStyle name="Normal 17 5 4 3 5" xfId="6446" xr:uid="{00000000-0005-0000-0000-0000B2880000}"/>
    <cellStyle name="Normal 17 5 4 3 6" xfId="23048" xr:uid="{00000000-0005-0000-0000-0000B3880000}"/>
    <cellStyle name="Normal 17 5 4 4" xfId="6943" xr:uid="{00000000-0005-0000-0000-0000B4880000}"/>
    <cellStyle name="Normal 17 5 4 4 2" xfId="8420" xr:uid="{00000000-0005-0000-0000-0000B5880000}"/>
    <cellStyle name="Normal 17 5 4 4 2 2" xfId="11317" xr:uid="{00000000-0005-0000-0000-0000B6880000}"/>
    <cellStyle name="Normal 17 5 4 4 3" xfId="9877" xr:uid="{00000000-0005-0000-0000-0000B7880000}"/>
    <cellStyle name="Normal 17 5 4 4 4" xfId="42264" xr:uid="{00000000-0005-0000-0000-0000B8880000}"/>
    <cellStyle name="Normal 17 5 4 5" xfId="7760" xr:uid="{00000000-0005-0000-0000-0000B9880000}"/>
    <cellStyle name="Normal 17 5 4 5 2" xfId="10659" xr:uid="{00000000-0005-0000-0000-0000BA880000}"/>
    <cellStyle name="Normal 17 5 4 6" xfId="9219" xr:uid="{00000000-0005-0000-0000-0000BB880000}"/>
    <cellStyle name="Normal 17 5 4 7" xfId="6244" xr:uid="{00000000-0005-0000-0000-0000BC880000}"/>
    <cellStyle name="Normal 17 5 4 8" xfId="22689" xr:uid="{00000000-0005-0000-0000-0000BD880000}"/>
    <cellStyle name="Normal 17 5 5" xfId="1052" xr:uid="{00000000-0005-0000-0000-0000BE880000}"/>
    <cellStyle name="Normal 17 5 5 2" xfId="7239" xr:uid="{00000000-0005-0000-0000-0000BF880000}"/>
    <cellStyle name="Normal 17 5 5 2 2" xfId="8716" xr:uid="{00000000-0005-0000-0000-0000C0880000}"/>
    <cellStyle name="Normal 17 5 5 2 2 2" xfId="11613" xr:uid="{00000000-0005-0000-0000-0000C1880000}"/>
    <cellStyle name="Normal 17 5 5 2 2 3" xfId="51825" xr:uid="{00000000-0005-0000-0000-0000C2880000}"/>
    <cellStyle name="Normal 17 5 5 2 3" xfId="10173" xr:uid="{00000000-0005-0000-0000-0000C3880000}"/>
    <cellStyle name="Normal 17 5 5 2 4" xfId="32638" xr:uid="{00000000-0005-0000-0000-0000C4880000}"/>
    <cellStyle name="Normal 17 5 5 3" xfId="8058" xr:uid="{00000000-0005-0000-0000-0000C5880000}"/>
    <cellStyle name="Normal 17 5 5 3 2" xfId="10955" xr:uid="{00000000-0005-0000-0000-0000C6880000}"/>
    <cellStyle name="Normal 17 5 5 3 3" xfId="42127" xr:uid="{00000000-0005-0000-0000-0000C7880000}"/>
    <cellStyle name="Normal 17 5 5 4" xfId="9515" xr:uid="{00000000-0005-0000-0000-0000C8880000}"/>
    <cellStyle name="Normal 17 5 5 5" xfId="6563" xr:uid="{00000000-0005-0000-0000-0000C9880000}"/>
    <cellStyle name="Normal 17 5 5 6" xfId="22511" xr:uid="{00000000-0005-0000-0000-0000CA880000}"/>
    <cellStyle name="Normal 17 5 6" xfId="1053" xr:uid="{00000000-0005-0000-0000-0000CB880000}"/>
    <cellStyle name="Normal 17 5 6 2" xfId="7006" xr:uid="{00000000-0005-0000-0000-0000CC880000}"/>
    <cellStyle name="Normal 17 5 6 2 2" xfId="8483" xr:uid="{00000000-0005-0000-0000-0000CD880000}"/>
    <cellStyle name="Normal 17 5 6 2 2 2" xfId="11380" xr:uid="{00000000-0005-0000-0000-0000CE880000}"/>
    <cellStyle name="Normal 17 5 6 2 3" xfId="9940" xr:uid="{00000000-0005-0000-0000-0000CF880000}"/>
    <cellStyle name="Normal 17 5 6 2 4" xfId="44897" xr:uid="{00000000-0005-0000-0000-0000D0880000}"/>
    <cellStyle name="Normal 17 5 6 3" xfId="7824" xr:uid="{00000000-0005-0000-0000-0000D1880000}"/>
    <cellStyle name="Normal 17 5 6 3 2" xfId="10722" xr:uid="{00000000-0005-0000-0000-0000D2880000}"/>
    <cellStyle name="Normal 17 5 6 4" xfId="9282" xr:uid="{00000000-0005-0000-0000-0000D3880000}"/>
    <cellStyle name="Normal 17 5 6 5" xfId="6327" xr:uid="{00000000-0005-0000-0000-0000D4880000}"/>
    <cellStyle name="Normal 17 5 6 6" xfId="25708" xr:uid="{00000000-0005-0000-0000-0000D5880000}"/>
    <cellStyle name="Normal 17 5 7" xfId="7472" xr:uid="{00000000-0005-0000-0000-0000D6880000}"/>
    <cellStyle name="Normal 17 5 7 2" xfId="8946" xr:uid="{00000000-0005-0000-0000-0000D7880000}"/>
    <cellStyle name="Normal 17 5 7 2 2" xfId="11843" xr:uid="{00000000-0005-0000-0000-0000D8880000}"/>
    <cellStyle name="Normal 17 5 7 2 3" xfId="42480" xr:uid="{00000000-0005-0000-0000-0000D9880000}"/>
    <cellStyle name="Normal 17 5 7 3" xfId="10403" xr:uid="{00000000-0005-0000-0000-0000DA880000}"/>
    <cellStyle name="Normal 17 5 7 4" xfId="22911" xr:uid="{00000000-0005-0000-0000-0000DB880000}"/>
    <cellStyle name="Normal 17 5 8" xfId="7531" xr:uid="{00000000-0005-0000-0000-0000DC880000}"/>
    <cellStyle name="Normal 17 5 8 2" xfId="9003" xr:uid="{00000000-0005-0000-0000-0000DD880000}"/>
    <cellStyle name="Normal 17 5 8 2 2" xfId="11900" xr:uid="{00000000-0005-0000-0000-0000DE880000}"/>
    <cellStyle name="Normal 17 5 8 3" xfId="10460" xr:uid="{00000000-0005-0000-0000-0000DF880000}"/>
    <cellStyle name="Normal 17 5 8 4" xfId="35199" xr:uid="{00000000-0005-0000-0000-0000E0880000}"/>
    <cellStyle name="Normal 17 5 9" xfId="6802" xr:uid="{00000000-0005-0000-0000-0000E1880000}"/>
    <cellStyle name="Normal 17 5 9 2" xfId="8283" xr:uid="{00000000-0005-0000-0000-0000E2880000}"/>
    <cellStyle name="Normal 17 5 9 2 2" xfId="11180" xr:uid="{00000000-0005-0000-0000-0000E3880000}"/>
    <cellStyle name="Normal 17 5 9 3" xfId="9740" xr:uid="{00000000-0005-0000-0000-0000E4880000}"/>
    <cellStyle name="Normal 17 6" xfId="1054" xr:uid="{00000000-0005-0000-0000-0000E5880000}"/>
    <cellStyle name="Normal 17 6 10" xfId="9094" xr:uid="{00000000-0005-0000-0000-0000E6880000}"/>
    <cellStyle name="Normal 17 6 11" xfId="6105" xr:uid="{00000000-0005-0000-0000-0000E7880000}"/>
    <cellStyle name="Normal 17 6 12" xfId="17001" xr:uid="{00000000-0005-0000-0000-0000E8880000}"/>
    <cellStyle name="Normal 17 6 2" xfId="1055" xr:uid="{00000000-0005-0000-0000-0000E9880000}"/>
    <cellStyle name="Normal 17 6 2 2" xfId="1056" xr:uid="{00000000-0005-0000-0000-0000EA880000}"/>
    <cellStyle name="Normal 17 6 2 2 2" xfId="1057" xr:uid="{00000000-0005-0000-0000-0000EB880000}"/>
    <cellStyle name="Normal 17 6 2 2 2 2" xfId="7419" xr:uid="{00000000-0005-0000-0000-0000EC880000}"/>
    <cellStyle name="Normal 17 6 2 2 2 2 2" xfId="8896" xr:uid="{00000000-0005-0000-0000-0000ED880000}"/>
    <cellStyle name="Normal 17 6 2 2 2 2 2 2" xfId="11793" xr:uid="{00000000-0005-0000-0000-0000EE880000}"/>
    <cellStyle name="Normal 17 6 2 2 2 2 3" xfId="10353" xr:uid="{00000000-0005-0000-0000-0000EF880000}"/>
    <cellStyle name="Normal 17 6 2 2 2 2 4" xfId="51918" xr:uid="{00000000-0005-0000-0000-0000F0880000}"/>
    <cellStyle name="Normal 17 6 2 2 2 3" xfId="8238" xr:uid="{00000000-0005-0000-0000-0000F1880000}"/>
    <cellStyle name="Normal 17 6 2 2 2 3 2" xfId="11135" xr:uid="{00000000-0005-0000-0000-0000F2880000}"/>
    <cellStyle name="Normal 17 6 2 2 2 4" xfId="9695" xr:uid="{00000000-0005-0000-0000-0000F3880000}"/>
    <cellStyle name="Normal 17 6 2 2 2 5" xfId="6743" xr:uid="{00000000-0005-0000-0000-0000F4880000}"/>
    <cellStyle name="Normal 17 6 2 2 2 6" xfId="32731" xr:uid="{00000000-0005-0000-0000-0000F5880000}"/>
    <cellStyle name="Normal 17 6 2 2 3" xfId="7186" xr:uid="{00000000-0005-0000-0000-0000F6880000}"/>
    <cellStyle name="Normal 17 6 2 2 3 2" xfId="8663" xr:uid="{00000000-0005-0000-0000-0000F7880000}"/>
    <cellStyle name="Normal 17 6 2 2 3 2 2" xfId="11560" xr:uid="{00000000-0005-0000-0000-0000F8880000}"/>
    <cellStyle name="Normal 17 6 2 2 3 3" xfId="10120" xr:uid="{00000000-0005-0000-0000-0000F9880000}"/>
    <cellStyle name="Normal 17 6 2 2 3 4" xfId="42220" xr:uid="{00000000-0005-0000-0000-0000FA880000}"/>
    <cellStyle name="Normal 17 6 2 2 4" xfId="8005" xr:uid="{00000000-0005-0000-0000-0000FB880000}"/>
    <cellStyle name="Normal 17 6 2 2 4 2" xfId="10902" xr:uid="{00000000-0005-0000-0000-0000FC880000}"/>
    <cellStyle name="Normal 17 6 2 2 5" xfId="9462" xr:uid="{00000000-0005-0000-0000-0000FD880000}"/>
    <cellStyle name="Normal 17 6 2 2 6" xfId="6510" xr:uid="{00000000-0005-0000-0000-0000FE880000}"/>
    <cellStyle name="Normal 17 6 2 2 7" xfId="22643" xr:uid="{00000000-0005-0000-0000-0000FF880000}"/>
    <cellStyle name="Normal 17 6 2 3" xfId="1058" xr:uid="{00000000-0005-0000-0000-000000890000}"/>
    <cellStyle name="Normal 17 6 2 3 2" xfId="7303" xr:uid="{00000000-0005-0000-0000-000001890000}"/>
    <cellStyle name="Normal 17 6 2 3 2 2" xfId="8780" xr:uid="{00000000-0005-0000-0000-000002890000}"/>
    <cellStyle name="Normal 17 6 2 3 2 2 2" xfId="11677" xr:uid="{00000000-0005-0000-0000-000003890000}"/>
    <cellStyle name="Normal 17 6 2 3 2 3" xfId="10237" xr:uid="{00000000-0005-0000-0000-000004890000}"/>
    <cellStyle name="Normal 17 6 2 3 2 4" xfId="51022" xr:uid="{00000000-0005-0000-0000-000005890000}"/>
    <cellStyle name="Normal 17 6 2 3 3" xfId="8122" xr:uid="{00000000-0005-0000-0000-000006890000}"/>
    <cellStyle name="Normal 17 6 2 3 3 2" xfId="11019" xr:uid="{00000000-0005-0000-0000-000007890000}"/>
    <cellStyle name="Normal 17 6 2 3 4" xfId="9579" xr:uid="{00000000-0005-0000-0000-000008890000}"/>
    <cellStyle name="Normal 17 6 2 3 5" xfId="6627" xr:uid="{00000000-0005-0000-0000-000009890000}"/>
    <cellStyle name="Normal 17 6 2 3 6" xfId="31833" xr:uid="{00000000-0005-0000-0000-00000A890000}"/>
    <cellStyle name="Normal 17 6 2 4" xfId="1059" xr:uid="{00000000-0005-0000-0000-00000B890000}"/>
    <cellStyle name="Normal 17 6 2 4 2" xfId="7070" xr:uid="{00000000-0005-0000-0000-00000C890000}"/>
    <cellStyle name="Normal 17 6 2 4 2 2" xfId="8547" xr:uid="{00000000-0005-0000-0000-00000D890000}"/>
    <cellStyle name="Normal 17 6 2 4 2 2 2" xfId="11444" xr:uid="{00000000-0005-0000-0000-00000E890000}"/>
    <cellStyle name="Normal 17 6 2 4 2 3" xfId="10004" xr:uid="{00000000-0005-0000-0000-00000F890000}"/>
    <cellStyle name="Normal 17 6 2 4 2 4" xfId="42573" xr:uid="{00000000-0005-0000-0000-000010890000}"/>
    <cellStyle name="Normal 17 6 2 4 3" xfId="7888" xr:uid="{00000000-0005-0000-0000-000011890000}"/>
    <cellStyle name="Normal 17 6 2 4 3 2" xfId="10786" xr:uid="{00000000-0005-0000-0000-000012890000}"/>
    <cellStyle name="Normal 17 6 2 4 4" xfId="9346" xr:uid="{00000000-0005-0000-0000-000013890000}"/>
    <cellStyle name="Normal 17 6 2 4 5" xfId="6391" xr:uid="{00000000-0005-0000-0000-000014890000}"/>
    <cellStyle name="Normal 17 6 2 4 6" xfId="23004" xr:uid="{00000000-0005-0000-0000-000015890000}"/>
    <cellStyle name="Normal 17 6 2 5" xfId="6898" xr:uid="{00000000-0005-0000-0000-000016890000}"/>
    <cellStyle name="Normal 17 6 2 5 2" xfId="8376" xr:uid="{00000000-0005-0000-0000-000017890000}"/>
    <cellStyle name="Normal 17 6 2 5 2 2" xfId="11273" xr:uid="{00000000-0005-0000-0000-000018890000}"/>
    <cellStyle name="Normal 17 6 2 5 3" xfId="9833" xr:uid="{00000000-0005-0000-0000-000019890000}"/>
    <cellStyle name="Normal 17 6 2 5 4" xfId="41324" xr:uid="{00000000-0005-0000-0000-00001A890000}"/>
    <cellStyle name="Normal 17 6 2 6" xfId="7715" xr:uid="{00000000-0005-0000-0000-00001B890000}"/>
    <cellStyle name="Normal 17 6 2 6 2" xfId="10615" xr:uid="{00000000-0005-0000-0000-00001C890000}"/>
    <cellStyle name="Normal 17 6 2 7" xfId="9175" xr:uid="{00000000-0005-0000-0000-00001D890000}"/>
    <cellStyle name="Normal 17 6 2 8" xfId="6194" xr:uid="{00000000-0005-0000-0000-00001E890000}"/>
    <cellStyle name="Normal 17 6 2 9" xfId="21465" xr:uid="{00000000-0005-0000-0000-00001F890000}"/>
    <cellStyle name="Normal 17 6 3" xfId="1060" xr:uid="{00000000-0005-0000-0000-000020890000}"/>
    <cellStyle name="Normal 17 6 3 2" xfId="1061" xr:uid="{00000000-0005-0000-0000-000021890000}"/>
    <cellStyle name="Normal 17 6 3 2 2" xfId="7337" xr:uid="{00000000-0005-0000-0000-000022890000}"/>
    <cellStyle name="Normal 17 6 3 2 2 2" xfId="8814" xr:uid="{00000000-0005-0000-0000-000023890000}"/>
    <cellStyle name="Normal 17 6 3 2 2 2 2" xfId="11711" xr:uid="{00000000-0005-0000-0000-000024890000}"/>
    <cellStyle name="Normal 17 6 3 2 2 3" xfId="10271" xr:uid="{00000000-0005-0000-0000-000025890000}"/>
    <cellStyle name="Normal 17 6 3 2 2 4" xfId="51974" xr:uid="{00000000-0005-0000-0000-000026890000}"/>
    <cellStyle name="Normal 17 6 3 2 3" xfId="8156" xr:uid="{00000000-0005-0000-0000-000027890000}"/>
    <cellStyle name="Normal 17 6 3 2 3 2" xfId="11053" xr:uid="{00000000-0005-0000-0000-000028890000}"/>
    <cellStyle name="Normal 17 6 3 2 4" xfId="9613" xr:uid="{00000000-0005-0000-0000-000029890000}"/>
    <cellStyle name="Normal 17 6 3 2 5" xfId="6661" xr:uid="{00000000-0005-0000-0000-00002A890000}"/>
    <cellStyle name="Normal 17 6 3 2 6" xfId="32787" xr:uid="{00000000-0005-0000-0000-00002B890000}"/>
    <cellStyle name="Normal 17 6 3 3" xfId="1062" xr:uid="{00000000-0005-0000-0000-00002C890000}"/>
    <cellStyle name="Normal 17 6 3 3 2" xfId="7104" xr:uid="{00000000-0005-0000-0000-00002D890000}"/>
    <cellStyle name="Normal 17 6 3 3 2 2" xfId="8581" xr:uid="{00000000-0005-0000-0000-00002E890000}"/>
    <cellStyle name="Normal 17 6 3 3 2 2 2" xfId="11478" xr:uid="{00000000-0005-0000-0000-00002F890000}"/>
    <cellStyle name="Normal 17 6 3 3 2 3" xfId="10038" xr:uid="{00000000-0005-0000-0000-000030890000}"/>
    <cellStyle name="Normal 17 6 3 3 2 4" xfId="42629" xr:uid="{00000000-0005-0000-0000-000031890000}"/>
    <cellStyle name="Normal 17 6 3 3 3" xfId="7923" xr:uid="{00000000-0005-0000-0000-000032890000}"/>
    <cellStyle name="Normal 17 6 3 3 3 2" xfId="10820" xr:uid="{00000000-0005-0000-0000-000033890000}"/>
    <cellStyle name="Normal 17 6 3 3 4" xfId="9380" xr:uid="{00000000-0005-0000-0000-000034890000}"/>
    <cellStyle name="Normal 17 6 3 3 5" xfId="6428" xr:uid="{00000000-0005-0000-0000-000035890000}"/>
    <cellStyle name="Normal 17 6 3 3 6" xfId="23060" xr:uid="{00000000-0005-0000-0000-000036890000}"/>
    <cellStyle name="Normal 17 6 3 4" xfId="6955" xr:uid="{00000000-0005-0000-0000-000037890000}"/>
    <cellStyle name="Normal 17 6 3 4 2" xfId="8432" xr:uid="{00000000-0005-0000-0000-000038890000}"/>
    <cellStyle name="Normal 17 6 3 4 2 2" xfId="11329" xr:uid="{00000000-0005-0000-0000-000039890000}"/>
    <cellStyle name="Normal 17 6 3 4 3" xfId="9889" xr:uid="{00000000-0005-0000-0000-00003A890000}"/>
    <cellStyle name="Normal 17 6 3 4 4" xfId="42276" xr:uid="{00000000-0005-0000-0000-00003B890000}"/>
    <cellStyle name="Normal 17 6 3 5" xfId="7772" xr:uid="{00000000-0005-0000-0000-00003C890000}"/>
    <cellStyle name="Normal 17 6 3 5 2" xfId="10671" xr:uid="{00000000-0005-0000-0000-00003D890000}"/>
    <cellStyle name="Normal 17 6 3 6" xfId="9231" xr:uid="{00000000-0005-0000-0000-00003E890000}"/>
    <cellStyle name="Normal 17 6 3 7" xfId="6256" xr:uid="{00000000-0005-0000-0000-00003F890000}"/>
    <cellStyle name="Normal 17 6 3 8" xfId="22701" xr:uid="{00000000-0005-0000-0000-000040890000}"/>
    <cellStyle name="Normal 17 6 4" xfId="1063" xr:uid="{00000000-0005-0000-0000-000041890000}"/>
    <cellStyle name="Normal 17 6 4 2" xfId="7221" xr:uid="{00000000-0005-0000-0000-000042890000}"/>
    <cellStyle name="Normal 17 6 4 2 2" xfId="8698" xr:uid="{00000000-0005-0000-0000-000043890000}"/>
    <cellStyle name="Normal 17 6 4 2 2 2" xfId="11595" xr:uid="{00000000-0005-0000-0000-000044890000}"/>
    <cellStyle name="Normal 17 6 4 2 2 3" xfId="51837" xr:uid="{00000000-0005-0000-0000-000045890000}"/>
    <cellStyle name="Normal 17 6 4 2 3" xfId="10155" xr:uid="{00000000-0005-0000-0000-000046890000}"/>
    <cellStyle name="Normal 17 6 4 2 4" xfId="32650" xr:uid="{00000000-0005-0000-0000-000047890000}"/>
    <cellStyle name="Normal 17 6 4 3" xfId="8040" xr:uid="{00000000-0005-0000-0000-000048890000}"/>
    <cellStyle name="Normal 17 6 4 3 2" xfId="10937" xr:uid="{00000000-0005-0000-0000-000049890000}"/>
    <cellStyle name="Normal 17 6 4 3 3" xfId="42139" xr:uid="{00000000-0005-0000-0000-00004A890000}"/>
    <cellStyle name="Normal 17 6 4 4" xfId="9497" xr:uid="{00000000-0005-0000-0000-00004B890000}"/>
    <cellStyle name="Normal 17 6 4 5" xfId="6545" xr:uid="{00000000-0005-0000-0000-00004C890000}"/>
    <cellStyle name="Normal 17 6 4 6" xfId="22527" xr:uid="{00000000-0005-0000-0000-00004D890000}"/>
    <cellStyle name="Normal 17 6 5" xfId="1064" xr:uid="{00000000-0005-0000-0000-00004E890000}"/>
    <cellStyle name="Normal 17 6 5 2" xfId="6988" xr:uid="{00000000-0005-0000-0000-00004F890000}"/>
    <cellStyle name="Normal 17 6 5 2 2" xfId="8465" xr:uid="{00000000-0005-0000-0000-000050890000}"/>
    <cellStyle name="Normal 17 6 5 2 2 2" xfId="11362" xr:uid="{00000000-0005-0000-0000-000051890000}"/>
    <cellStyle name="Normal 17 6 5 2 3" xfId="9922" xr:uid="{00000000-0005-0000-0000-000052890000}"/>
    <cellStyle name="Normal 17 6 5 2 4" xfId="46567" xr:uid="{00000000-0005-0000-0000-000053890000}"/>
    <cellStyle name="Normal 17 6 5 3" xfId="7806" xr:uid="{00000000-0005-0000-0000-000054890000}"/>
    <cellStyle name="Normal 17 6 5 3 2" xfId="10704" xr:uid="{00000000-0005-0000-0000-000055890000}"/>
    <cellStyle name="Normal 17 6 5 4" xfId="9264" xr:uid="{00000000-0005-0000-0000-000056890000}"/>
    <cellStyle name="Normal 17 6 5 5" xfId="6309" xr:uid="{00000000-0005-0000-0000-000057890000}"/>
    <cellStyle name="Normal 17 6 5 6" xfId="27378" xr:uid="{00000000-0005-0000-0000-000058890000}"/>
    <cellStyle name="Normal 17 6 6" xfId="7454" xr:uid="{00000000-0005-0000-0000-000059890000}"/>
    <cellStyle name="Normal 17 6 6 2" xfId="8928" xr:uid="{00000000-0005-0000-0000-00005A890000}"/>
    <cellStyle name="Normal 17 6 6 2 2" xfId="11825" xr:uid="{00000000-0005-0000-0000-00005B890000}"/>
    <cellStyle name="Normal 17 6 6 2 3" xfId="42492" xr:uid="{00000000-0005-0000-0000-00005C890000}"/>
    <cellStyle name="Normal 17 6 6 3" xfId="10385" xr:uid="{00000000-0005-0000-0000-00005D890000}"/>
    <cellStyle name="Normal 17 6 6 4" xfId="22923" xr:uid="{00000000-0005-0000-0000-00005E890000}"/>
    <cellStyle name="Normal 17 6 7" xfId="7513" xr:uid="{00000000-0005-0000-0000-00005F890000}"/>
    <cellStyle name="Normal 17 6 7 2" xfId="8985" xr:uid="{00000000-0005-0000-0000-000060890000}"/>
    <cellStyle name="Normal 17 6 7 2 2" xfId="11882" xr:uid="{00000000-0005-0000-0000-000061890000}"/>
    <cellStyle name="Normal 17 6 7 3" xfId="10442" xr:uid="{00000000-0005-0000-0000-000062890000}"/>
    <cellStyle name="Normal 17 6 7 4" xfId="36869" xr:uid="{00000000-0005-0000-0000-000063890000}"/>
    <cellStyle name="Normal 17 6 8" xfId="6815" xr:uid="{00000000-0005-0000-0000-000064890000}"/>
    <cellStyle name="Normal 17 6 8 2" xfId="8295" xr:uid="{00000000-0005-0000-0000-000065890000}"/>
    <cellStyle name="Normal 17 6 8 2 2" xfId="11192" xr:uid="{00000000-0005-0000-0000-000066890000}"/>
    <cellStyle name="Normal 17 6 8 3" xfId="9752" xr:uid="{00000000-0005-0000-0000-000067890000}"/>
    <cellStyle name="Normal 17 6 9" xfId="7634" xr:uid="{00000000-0005-0000-0000-000068890000}"/>
    <cellStyle name="Normal 17 6 9 2" xfId="10534" xr:uid="{00000000-0005-0000-0000-000069890000}"/>
    <cellStyle name="Normal 17 7" xfId="1065" xr:uid="{00000000-0005-0000-0000-00006A890000}"/>
    <cellStyle name="Normal 17 7 10" xfId="6158" xr:uid="{00000000-0005-0000-0000-00006B890000}"/>
    <cellStyle name="Normal 17 7 11" xfId="17567" xr:uid="{00000000-0005-0000-0000-00006C890000}"/>
    <cellStyle name="Normal 17 7 2" xfId="1066" xr:uid="{00000000-0005-0000-0000-00006D890000}"/>
    <cellStyle name="Normal 17 7 2 2" xfId="1067" xr:uid="{00000000-0005-0000-0000-00006E890000}"/>
    <cellStyle name="Normal 17 7 2 2 2" xfId="7363" xr:uid="{00000000-0005-0000-0000-00006F890000}"/>
    <cellStyle name="Normal 17 7 2 2 2 2" xfId="8840" xr:uid="{00000000-0005-0000-0000-000070890000}"/>
    <cellStyle name="Normal 17 7 2 2 2 2 2" xfId="11737" xr:uid="{00000000-0005-0000-0000-000071890000}"/>
    <cellStyle name="Normal 17 7 2 2 2 3" xfId="10297" xr:uid="{00000000-0005-0000-0000-000072890000}"/>
    <cellStyle name="Normal 17 7 2 2 2 4" xfId="51579" xr:uid="{00000000-0005-0000-0000-000073890000}"/>
    <cellStyle name="Normal 17 7 2 2 3" xfId="8182" xr:uid="{00000000-0005-0000-0000-000074890000}"/>
    <cellStyle name="Normal 17 7 2 2 3 2" xfId="11079" xr:uid="{00000000-0005-0000-0000-000075890000}"/>
    <cellStyle name="Normal 17 7 2 2 4" xfId="9639" xr:uid="{00000000-0005-0000-0000-000076890000}"/>
    <cellStyle name="Normal 17 7 2 2 5" xfId="6687" xr:uid="{00000000-0005-0000-0000-000077890000}"/>
    <cellStyle name="Normal 17 7 2 2 6" xfId="32390" xr:uid="{00000000-0005-0000-0000-000078890000}"/>
    <cellStyle name="Normal 17 7 2 3" xfId="7130" xr:uid="{00000000-0005-0000-0000-000079890000}"/>
    <cellStyle name="Normal 17 7 2 3 2" xfId="8607" xr:uid="{00000000-0005-0000-0000-00007A890000}"/>
    <cellStyle name="Normal 17 7 2 3 2 2" xfId="11504" xr:uid="{00000000-0005-0000-0000-00007B890000}"/>
    <cellStyle name="Normal 17 7 2 3 3" xfId="10064" xr:uid="{00000000-0005-0000-0000-00007C890000}"/>
    <cellStyle name="Normal 17 7 2 3 4" xfId="41881" xr:uid="{00000000-0005-0000-0000-00007D890000}"/>
    <cellStyle name="Normal 17 7 2 4" xfId="7949" xr:uid="{00000000-0005-0000-0000-00007E890000}"/>
    <cellStyle name="Normal 17 7 2 4 2" xfId="10846" xr:uid="{00000000-0005-0000-0000-00007F890000}"/>
    <cellStyle name="Normal 17 7 2 5" xfId="9406" xr:uid="{00000000-0005-0000-0000-000080890000}"/>
    <cellStyle name="Normal 17 7 2 6" xfId="6454" xr:uid="{00000000-0005-0000-0000-000081890000}"/>
    <cellStyle name="Normal 17 7 2 7" xfId="22022" xr:uid="{00000000-0005-0000-0000-000082890000}"/>
    <cellStyle name="Normal 17 7 3" xfId="1068" xr:uid="{00000000-0005-0000-0000-000083890000}"/>
    <cellStyle name="Normal 17 7 3 2" xfId="7247" xr:uid="{00000000-0005-0000-0000-000084890000}"/>
    <cellStyle name="Normal 17 7 3 2 2" xfId="8724" xr:uid="{00000000-0005-0000-0000-000085890000}"/>
    <cellStyle name="Normal 17 7 3 2 2 2" xfId="11621" xr:uid="{00000000-0005-0000-0000-000086890000}"/>
    <cellStyle name="Normal 17 7 3 2 2 3" xfId="51886" xr:uid="{00000000-0005-0000-0000-000087890000}"/>
    <cellStyle name="Normal 17 7 3 2 3" xfId="10181" xr:uid="{00000000-0005-0000-0000-000088890000}"/>
    <cellStyle name="Normal 17 7 3 2 4" xfId="32699" xr:uid="{00000000-0005-0000-0000-000089890000}"/>
    <cellStyle name="Normal 17 7 3 3" xfId="8066" xr:uid="{00000000-0005-0000-0000-00008A890000}"/>
    <cellStyle name="Normal 17 7 3 3 2" xfId="10963" xr:uid="{00000000-0005-0000-0000-00008B890000}"/>
    <cellStyle name="Normal 17 7 3 3 3" xfId="42188" xr:uid="{00000000-0005-0000-0000-00008C890000}"/>
    <cellStyle name="Normal 17 7 3 4" xfId="9523" xr:uid="{00000000-0005-0000-0000-00008D890000}"/>
    <cellStyle name="Normal 17 7 3 5" xfId="6571" xr:uid="{00000000-0005-0000-0000-00008E890000}"/>
    <cellStyle name="Normal 17 7 3 6" xfId="22605" xr:uid="{00000000-0005-0000-0000-00008F890000}"/>
    <cellStyle name="Normal 17 7 4" xfId="1069" xr:uid="{00000000-0005-0000-0000-000090890000}"/>
    <cellStyle name="Normal 17 7 4 2" xfId="7014" xr:uid="{00000000-0005-0000-0000-000091890000}"/>
    <cellStyle name="Normal 17 7 4 2 2" xfId="8491" xr:uid="{00000000-0005-0000-0000-000092890000}"/>
    <cellStyle name="Normal 17 7 4 2 2 2" xfId="11388" xr:uid="{00000000-0005-0000-0000-000093890000}"/>
    <cellStyle name="Normal 17 7 4 2 3" xfId="9948" xr:uid="{00000000-0005-0000-0000-000094890000}"/>
    <cellStyle name="Normal 17 7 4 2 4" xfId="47124" xr:uid="{00000000-0005-0000-0000-000095890000}"/>
    <cellStyle name="Normal 17 7 4 3" xfId="7832" xr:uid="{00000000-0005-0000-0000-000096890000}"/>
    <cellStyle name="Normal 17 7 4 3 2" xfId="10730" xr:uid="{00000000-0005-0000-0000-000097890000}"/>
    <cellStyle name="Normal 17 7 4 4" xfId="9290" xr:uid="{00000000-0005-0000-0000-000098890000}"/>
    <cellStyle name="Normal 17 7 4 5" xfId="6335" xr:uid="{00000000-0005-0000-0000-000099890000}"/>
    <cellStyle name="Normal 17 7 4 6" xfId="27935" xr:uid="{00000000-0005-0000-0000-00009A890000}"/>
    <cellStyle name="Normal 17 7 5" xfId="7480" xr:uid="{00000000-0005-0000-0000-00009B890000}"/>
    <cellStyle name="Normal 17 7 5 2" xfId="8954" xr:uid="{00000000-0005-0000-0000-00009C890000}"/>
    <cellStyle name="Normal 17 7 5 2 2" xfId="11851" xr:uid="{00000000-0005-0000-0000-00009D890000}"/>
    <cellStyle name="Normal 17 7 5 2 3" xfId="42541" xr:uid="{00000000-0005-0000-0000-00009E890000}"/>
    <cellStyle name="Normal 17 7 5 3" xfId="10411" xr:uid="{00000000-0005-0000-0000-00009F890000}"/>
    <cellStyle name="Normal 17 7 5 4" xfId="22972" xr:uid="{00000000-0005-0000-0000-0000A0890000}"/>
    <cellStyle name="Normal 17 7 6" xfId="7539" xr:uid="{00000000-0005-0000-0000-0000A1890000}"/>
    <cellStyle name="Normal 17 7 6 2" xfId="9011" xr:uid="{00000000-0005-0000-0000-0000A2890000}"/>
    <cellStyle name="Normal 17 7 6 2 2" xfId="11908" xr:uid="{00000000-0005-0000-0000-0000A3890000}"/>
    <cellStyle name="Normal 17 7 6 3" xfId="10468" xr:uid="{00000000-0005-0000-0000-0000A4890000}"/>
    <cellStyle name="Normal 17 7 6 4" xfId="37426" xr:uid="{00000000-0005-0000-0000-0000A5890000}"/>
    <cellStyle name="Normal 17 7 7" xfId="6866" xr:uid="{00000000-0005-0000-0000-0000A6890000}"/>
    <cellStyle name="Normal 17 7 7 2" xfId="8344" xr:uid="{00000000-0005-0000-0000-0000A7890000}"/>
    <cellStyle name="Normal 17 7 7 2 2" xfId="11241" xr:uid="{00000000-0005-0000-0000-0000A8890000}"/>
    <cellStyle name="Normal 17 7 7 3" xfId="9801" xr:uid="{00000000-0005-0000-0000-0000A9890000}"/>
    <cellStyle name="Normal 17 7 8" xfId="7683" xr:uid="{00000000-0005-0000-0000-0000AA890000}"/>
    <cellStyle name="Normal 17 7 8 2" xfId="10583" xr:uid="{00000000-0005-0000-0000-0000AB890000}"/>
    <cellStyle name="Normal 17 7 9" xfId="9143" xr:uid="{00000000-0005-0000-0000-0000AC890000}"/>
    <cellStyle name="Normal 17 8" xfId="1070" xr:uid="{00000000-0005-0000-0000-0000AD890000}"/>
    <cellStyle name="Normal 17 8 2" xfId="1071" xr:uid="{00000000-0005-0000-0000-0000AE890000}"/>
    <cellStyle name="Normal 17 8 2 2" xfId="1072" xr:uid="{00000000-0005-0000-0000-0000AF890000}"/>
    <cellStyle name="Normal 17 8 2 2 2" xfId="7389" xr:uid="{00000000-0005-0000-0000-0000B0890000}"/>
    <cellStyle name="Normal 17 8 2 2 2 2" xfId="8866" xr:uid="{00000000-0005-0000-0000-0000B1890000}"/>
    <cellStyle name="Normal 17 8 2 2 2 2 2" xfId="11763" xr:uid="{00000000-0005-0000-0000-0000B2890000}"/>
    <cellStyle name="Normal 17 8 2 2 2 3" xfId="10323" xr:uid="{00000000-0005-0000-0000-0000B3890000}"/>
    <cellStyle name="Normal 17 8 2 2 2 4" xfId="51944" xr:uid="{00000000-0005-0000-0000-0000B4890000}"/>
    <cellStyle name="Normal 17 8 2 2 3" xfId="8208" xr:uid="{00000000-0005-0000-0000-0000B5890000}"/>
    <cellStyle name="Normal 17 8 2 2 3 2" xfId="11105" xr:uid="{00000000-0005-0000-0000-0000B6890000}"/>
    <cellStyle name="Normal 17 8 2 2 4" xfId="9665" xr:uid="{00000000-0005-0000-0000-0000B7890000}"/>
    <cellStyle name="Normal 17 8 2 2 5" xfId="6713" xr:uid="{00000000-0005-0000-0000-0000B8890000}"/>
    <cellStyle name="Normal 17 8 2 2 6" xfId="32757" xr:uid="{00000000-0005-0000-0000-0000B9890000}"/>
    <cellStyle name="Normal 17 8 2 3" xfId="7156" xr:uid="{00000000-0005-0000-0000-0000BA890000}"/>
    <cellStyle name="Normal 17 8 2 3 2" xfId="8633" xr:uid="{00000000-0005-0000-0000-0000BB890000}"/>
    <cellStyle name="Normal 17 8 2 3 2 2" xfId="11530" xr:uid="{00000000-0005-0000-0000-0000BC890000}"/>
    <cellStyle name="Normal 17 8 2 3 3" xfId="10090" xr:uid="{00000000-0005-0000-0000-0000BD890000}"/>
    <cellStyle name="Normal 17 8 2 3 4" xfId="42246" xr:uid="{00000000-0005-0000-0000-0000BE890000}"/>
    <cellStyle name="Normal 17 8 2 4" xfId="7975" xr:uid="{00000000-0005-0000-0000-0000BF890000}"/>
    <cellStyle name="Normal 17 8 2 4 2" xfId="10872" xr:uid="{00000000-0005-0000-0000-0000C0890000}"/>
    <cellStyle name="Normal 17 8 2 5" xfId="9432" xr:uid="{00000000-0005-0000-0000-0000C1890000}"/>
    <cellStyle name="Normal 17 8 2 6" xfId="6480" xr:uid="{00000000-0005-0000-0000-0000C2890000}"/>
    <cellStyle name="Normal 17 8 2 7" xfId="22670" xr:uid="{00000000-0005-0000-0000-0000C3890000}"/>
    <cellStyle name="Normal 17 8 3" xfId="1073" xr:uid="{00000000-0005-0000-0000-0000C4890000}"/>
    <cellStyle name="Normal 17 8 3 2" xfId="7273" xr:uid="{00000000-0005-0000-0000-0000C5890000}"/>
    <cellStyle name="Normal 17 8 3 2 2" xfId="8750" xr:uid="{00000000-0005-0000-0000-0000C6890000}"/>
    <cellStyle name="Normal 17 8 3 2 2 2" xfId="11647" xr:uid="{00000000-0005-0000-0000-0000C7890000}"/>
    <cellStyle name="Normal 17 8 3 2 3" xfId="10207" xr:uid="{00000000-0005-0000-0000-0000C8890000}"/>
    <cellStyle name="Normal 17 8 3 2 4" xfId="47681" xr:uid="{00000000-0005-0000-0000-0000C9890000}"/>
    <cellStyle name="Normal 17 8 3 3" xfId="8092" xr:uid="{00000000-0005-0000-0000-0000CA890000}"/>
    <cellStyle name="Normal 17 8 3 3 2" xfId="10989" xr:uid="{00000000-0005-0000-0000-0000CB890000}"/>
    <cellStyle name="Normal 17 8 3 4" xfId="9549" xr:uid="{00000000-0005-0000-0000-0000CC890000}"/>
    <cellStyle name="Normal 17 8 3 5" xfId="6597" xr:uid="{00000000-0005-0000-0000-0000CD890000}"/>
    <cellStyle name="Normal 17 8 3 6" xfId="28492" xr:uid="{00000000-0005-0000-0000-0000CE890000}"/>
    <cellStyle name="Normal 17 8 4" xfId="1074" xr:uid="{00000000-0005-0000-0000-0000CF890000}"/>
    <cellStyle name="Normal 17 8 4 2" xfId="7040" xr:uid="{00000000-0005-0000-0000-0000D0890000}"/>
    <cellStyle name="Normal 17 8 4 2 2" xfId="8517" xr:uid="{00000000-0005-0000-0000-0000D1890000}"/>
    <cellStyle name="Normal 17 8 4 2 2 2" xfId="11414" xr:uid="{00000000-0005-0000-0000-0000D2890000}"/>
    <cellStyle name="Normal 17 8 4 2 3" xfId="9974" xr:uid="{00000000-0005-0000-0000-0000D3890000}"/>
    <cellStyle name="Normal 17 8 4 2 4" xfId="42599" xr:uid="{00000000-0005-0000-0000-0000D4890000}"/>
    <cellStyle name="Normal 17 8 4 3" xfId="7858" xr:uid="{00000000-0005-0000-0000-0000D5890000}"/>
    <cellStyle name="Normal 17 8 4 3 2" xfId="10756" xr:uid="{00000000-0005-0000-0000-0000D6890000}"/>
    <cellStyle name="Normal 17 8 4 4" xfId="9316" xr:uid="{00000000-0005-0000-0000-0000D7890000}"/>
    <cellStyle name="Normal 17 8 4 5" xfId="6361" xr:uid="{00000000-0005-0000-0000-0000D8890000}"/>
    <cellStyle name="Normal 17 8 4 6" xfId="23030" xr:uid="{00000000-0005-0000-0000-0000D9890000}"/>
    <cellStyle name="Normal 17 8 5" xfId="6925" xr:uid="{00000000-0005-0000-0000-0000DA890000}"/>
    <cellStyle name="Normal 17 8 5 2" xfId="8402" xr:uid="{00000000-0005-0000-0000-0000DB890000}"/>
    <cellStyle name="Normal 17 8 5 2 2" xfId="11299" xr:uid="{00000000-0005-0000-0000-0000DC890000}"/>
    <cellStyle name="Normal 17 8 5 3" xfId="9859" xr:uid="{00000000-0005-0000-0000-0000DD890000}"/>
    <cellStyle name="Normal 17 8 5 4" xfId="37983" xr:uid="{00000000-0005-0000-0000-0000DE890000}"/>
    <cellStyle name="Normal 17 8 6" xfId="7742" xr:uid="{00000000-0005-0000-0000-0000DF890000}"/>
    <cellStyle name="Normal 17 8 6 2" xfId="10641" xr:uid="{00000000-0005-0000-0000-0000E0890000}"/>
    <cellStyle name="Normal 17 8 7" xfId="9201" xr:uid="{00000000-0005-0000-0000-0000E1890000}"/>
    <cellStyle name="Normal 17 8 8" xfId="6225" xr:uid="{00000000-0005-0000-0000-0000E2890000}"/>
    <cellStyle name="Normal 17 8 9" xfId="18124" xr:uid="{00000000-0005-0000-0000-0000E3890000}"/>
    <cellStyle name="Normal 17 9" xfId="1075" xr:uid="{00000000-0005-0000-0000-0000E4890000}"/>
    <cellStyle name="Normal 17 9 2" xfId="1076" xr:uid="{00000000-0005-0000-0000-0000E5890000}"/>
    <cellStyle name="Normal 17 9 2 2" xfId="7332" xr:uid="{00000000-0005-0000-0000-0000E6890000}"/>
    <cellStyle name="Normal 17 9 2 2 2" xfId="8809" xr:uid="{00000000-0005-0000-0000-0000E7890000}"/>
    <cellStyle name="Normal 17 9 2 2 2 2" xfId="11706" xr:uid="{00000000-0005-0000-0000-0000E8890000}"/>
    <cellStyle name="Normal 17 9 2 2 3" xfId="10266" xr:uid="{00000000-0005-0000-0000-0000E9890000}"/>
    <cellStyle name="Normal 17 9 2 2 4" xfId="51807" xr:uid="{00000000-0005-0000-0000-0000EA890000}"/>
    <cellStyle name="Normal 17 9 2 3" xfId="8151" xr:uid="{00000000-0005-0000-0000-0000EB890000}"/>
    <cellStyle name="Normal 17 9 2 3 2" xfId="11048" xr:uid="{00000000-0005-0000-0000-0000EC890000}"/>
    <cellStyle name="Normal 17 9 2 4" xfId="9608" xr:uid="{00000000-0005-0000-0000-0000ED890000}"/>
    <cellStyle name="Normal 17 9 2 5" xfId="6656" xr:uid="{00000000-0005-0000-0000-0000EE890000}"/>
    <cellStyle name="Normal 17 9 2 6" xfId="32620" xr:uid="{00000000-0005-0000-0000-0000EF890000}"/>
    <cellStyle name="Normal 17 9 3" xfId="7098" xr:uid="{00000000-0005-0000-0000-0000F0890000}"/>
    <cellStyle name="Normal 17 9 3 2" xfId="8575" xr:uid="{00000000-0005-0000-0000-0000F1890000}"/>
    <cellStyle name="Normal 17 9 3 2 2" xfId="11472" xr:uid="{00000000-0005-0000-0000-0000F2890000}"/>
    <cellStyle name="Normal 17 9 3 3" xfId="10032" xr:uid="{00000000-0005-0000-0000-0000F3890000}"/>
    <cellStyle name="Normal 17 9 3 4" xfId="42109" xr:uid="{00000000-0005-0000-0000-0000F4890000}"/>
    <cellStyle name="Normal 17 9 4" xfId="7917" xr:uid="{00000000-0005-0000-0000-0000F5890000}"/>
    <cellStyle name="Normal 17 9 4 2" xfId="10814" xr:uid="{00000000-0005-0000-0000-0000F6890000}"/>
    <cellStyle name="Normal 17 9 5" xfId="9374" xr:uid="{00000000-0005-0000-0000-0000F7890000}"/>
    <cellStyle name="Normal 17 9 6" xfId="6421" xr:uid="{00000000-0005-0000-0000-0000F8890000}"/>
    <cellStyle name="Normal 17 9 7" xfId="22455" xr:uid="{00000000-0005-0000-0000-0000F9890000}"/>
    <cellStyle name="Normal 170" xfId="52412" xr:uid="{00000000-0005-0000-0000-0000FA890000}"/>
    <cellStyle name="Normal 171" xfId="52413" xr:uid="{00000000-0005-0000-0000-0000FB890000}"/>
    <cellStyle name="Normal 172" xfId="52414" xr:uid="{00000000-0005-0000-0000-0000FC890000}"/>
    <cellStyle name="Normal 173" xfId="52415" xr:uid="{00000000-0005-0000-0000-0000FD890000}"/>
    <cellStyle name="Normal 174" xfId="52438" xr:uid="{00000000-0005-0000-0000-0000FE890000}"/>
    <cellStyle name="Normal 18" xfId="1077" xr:uid="{00000000-0005-0000-0000-0000FF890000}"/>
    <cellStyle name="Normal 18 2" xfId="3288" xr:uid="{00000000-0005-0000-0000-0000008A0000}"/>
    <cellStyle name="Normal 18 2 10" xfId="13478" xr:uid="{00000000-0005-0000-0000-0000018A0000}"/>
    <cellStyle name="Normal 18 2 2" xfId="14335" xr:uid="{00000000-0005-0000-0000-0000028A0000}"/>
    <cellStyle name="Normal 18 2 2 2" xfId="16598" xr:uid="{00000000-0005-0000-0000-0000038A0000}"/>
    <cellStyle name="Normal 18 2 2 2 2" xfId="21062" xr:uid="{00000000-0005-0000-0000-0000048A0000}"/>
    <cellStyle name="Normal 18 2 2 2 2 2" xfId="31430" xr:uid="{00000000-0005-0000-0000-0000058A0000}"/>
    <cellStyle name="Normal 18 2 2 2 2 2 2" xfId="50619" xr:uid="{00000000-0005-0000-0000-0000068A0000}"/>
    <cellStyle name="Normal 18 2 2 2 2 3" xfId="40921" xr:uid="{00000000-0005-0000-0000-0000078A0000}"/>
    <cellStyle name="Normal 18 2 2 2 3" xfId="26975" xr:uid="{00000000-0005-0000-0000-0000088A0000}"/>
    <cellStyle name="Normal 18 2 2 2 3 2" xfId="46164" xr:uid="{00000000-0005-0000-0000-0000098A0000}"/>
    <cellStyle name="Normal 18 2 2 2 4" xfId="36466" xr:uid="{00000000-0005-0000-0000-00000A8A0000}"/>
    <cellStyle name="Normal 18 2 2 3" xfId="18834" xr:uid="{00000000-0005-0000-0000-00000B8A0000}"/>
    <cellStyle name="Normal 18 2 2 3 2" xfId="29202" xr:uid="{00000000-0005-0000-0000-00000C8A0000}"/>
    <cellStyle name="Normal 18 2 2 3 2 2" xfId="48391" xr:uid="{00000000-0005-0000-0000-00000D8A0000}"/>
    <cellStyle name="Normal 18 2 2 3 3" xfId="38693" xr:uid="{00000000-0005-0000-0000-00000E8A0000}"/>
    <cellStyle name="Normal 18 2 2 4" xfId="24742" xr:uid="{00000000-0005-0000-0000-00000F8A0000}"/>
    <cellStyle name="Normal 18 2 2 4 2" xfId="43936" xr:uid="{00000000-0005-0000-0000-0000108A0000}"/>
    <cellStyle name="Normal 18 2 2 5" xfId="34238" xr:uid="{00000000-0005-0000-0000-0000118A0000}"/>
    <cellStyle name="Normal 18 2 3" xfId="14914" xr:uid="{00000000-0005-0000-0000-0000128A0000}"/>
    <cellStyle name="Normal 18 2 3 2" xfId="16042" xr:uid="{00000000-0005-0000-0000-0000138A0000}"/>
    <cellStyle name="Normal 18 2 3 2 2" xfId="20506" xr:uid="{00000000-0005-0000-0000-0000148A0000}"/>
    <cellStyle name="Normal 18 2 3 2 2 2" xfId="30874" xr:uid="{00000000-0005-0000-0000-0000158A0000}"/>
    <cellStyle name="Normal 18 2 3 2 2 2 2" xfId="50063" xr:uid="{00000000-0005-0000-0000-0000168A0000}"/>
    <cellStyle name="Normal 18 2 3 2 2 3" xfId="40365" xr:uid="{00000000-0005-0000-0000-0000178A0000}"/>
    <cellStyle name="Normal 18 2 3 2 3" xfId="26419" xr:uid="{00000000-0005-0000-0000-0000188A0000}"/>
    <cellStyle name="Normal 18 2 3 2 3 2" xfId="45608" xr:uid="{00000000-0005-0000-0000-0000198A0000}"/>
    <cellStyle name="Normal 18 2 3 2 4" xfId="35910" xr:uid="{00000000-0005-0000-0000-00001A8A0000}"/>
    <cellStyle name="Normal 18 2 3 3" xfId="19391" xr:uid="{00000000-0005-0000-0000-00001B8A0000}"/>
    <cellStyle name="Normal 18 2 3 3 2" xfId="29759" xr:uid="{00000000-0005-0000-0000-00001C8A0000}"/>
    <cellStyle name="Normal 18 2 3 3 2 2" xfId="48948" xr:uid="{00000000-0005-0000-0000-00001D8A0000}"/>
    <cellStyle name="Normal 18 2 3 3 3" xfId="39250" xr:uid="{00000000-0005-0000-0000-00001E8A0000}"/>
    <cellStyle name="Normal 18 2 3 4" xfId="25304" xr:uid="{00000000-0005-0000-0000-00001F8A0000}"/>
    <cellStyle name="Normal 18 2 3 4 2" xfId="44493" xr:uid="{00000000-0005-0000-0000-0000208A0000}"/>
    <cellStyle name="Normal 18 2 3 5" xfId="34795" xr:uid="{00000000-0005-0000-0000-0000218A0000}"/>
    <cellStyle name="Normal 18 2 4" xfId="15485" xr:uid="{00000000-0005-0000-0000-0000228A0000}"/>
    <cellStyle name="Normal 18 2 4 2" xfId="19949" xr:uid="{00000000-0005-0000-0000-0000238A0000}"/>
    <cellStyle name="Normal 18 2 4 2 2" xfId="30317" xr:uid="{00000000-0005-0000-0000-0000248A0000}"/>
    <cellStyle name="Normal 18 2 4 2 2 2" xfId="49506" xr:uid="{00000000-0005-0000-0000-0000258A0000}"/>
    <cellStyle name="Normal 18 2 4 2 3" xfId="39808" xr:uid="{00000000-0005-0000-0000-0000268A0000}"/>
    <cellStyle name="Normal 18 2 4 3" xfId="25862" xr:uid="{00000000-0005-0000-0000-0000278A0000}"/>
    <cellStyle name="Normal 18 2 4 3 2" xfId="45051" xr:uid="{00000000-0005-0000-0000-0000288A0000}"/>
    <cellStyle name="Normal 18 2 4 4" xfId="35353" xr:uid="{00000000-0005-0000-0000-0000298A0000}"/>
    <cellStyle name="Normal 18 2 5" xfId="17155" xr:uid="{00000000-0005-0000-0000-00002A8A0000}"/>
    <cellStyle name="Normal 18 2 5 2" xfId="21619" xr:uid="{00000000-0005-0000-0000-00002B8A0000}"/>
    <cellStyle name="Normal 18 2 5 2 2" xfId="31987" xr:uid="{00000000-0005-0000-0000-00002C8A0000}"/>
    <cellStyle name="Normal 18 2 5 2 2 2" xfId="51176" xr:uid="{00000000-0005-0000-0000-00002D8A0000}"/>
    <cellStyle name="Normal 18 2 5 2 3" xfId="41478" xr:uid="{00000000-0005-0000-0000-00002E8A0000}"/>
    <cellStyle name="Normal 18 2 5 3" xfId="27532" xr:uid="{00000000-0005-0000-0000-00002F8A0000}"/>
    <cellStyle name="Normal 18 2 5 3 2" xfId="46721" xr:uid="{00000000-0005-0000-0000-0000308A0000}"/>
    <cellStyle name="Normal 18 2 5 4" xfId="37023" xr:uid="{00000000-0005-0000-0000-0000318A0000}"/>
    <cellStyle name="Normal 18 2 6" xfId="17721" xr:uid="{00000000-0005-0000-0000-0000328A0000}"/>
    <cellStyle name="Normal 18 2 6 2" xfId="22176" xr:uid="{00000000-0005-0000-0000-0000338A0000}"/>
    <cellStyle name="Normal 18 2 6 2 2" xfId="32544" xr:uid="{00000000-0005-0000-0000-0000348A0000}"/>
    <cellStyle name="Normal 18 2 6 2 2 2" xfId="51733" xr:uid="{00000000-0005-0000-0000-0000358A0000}"/>
    <cellStyle name="Normal 18 2 6 2 3" xfId="42035" xr:uid="{00000000-0005-0000-0000-0000368A0000}"/>
    <cellStyle name="Normal 18 2 6 3" xfId="28089" xr:uid="{00000000-0005-0000-0000-0000378A0000}"/>
    <cellStyle name="Normal 18 2 6 3 2" xfId="47278" xr:uid="{00000000-0005-0000-0000-0000388A0000}"/>
    <cellStyle name="Normal 18 2 6 4" xfId="37580" xr:uid="{00000000-0005-0000-0000-0000398A0000}"/>
    <cellStyle name="Normal 18 2 7" xfId="18278" xr:uid="{00000000-0005-0000-0000-00003A8A0000}"/>
    <cellStyle name="Normal 18 2 7 2" xfId="28646" xr:uid="{00000000-0005-0000-0000-00003B8A0000}"/>
    <cellStyle name="Normal 18 2 7 2 2" xfId="47835" xr:uid="{00000000-0005-0000-0000-00003C8A0000}"/>
    <cellStyle name="Normal 18 2 7 3" xfId="38137" xr:uid="{00000000-0005-0000-0000-00003D8A0000}"/>
    <cellStyle name="Normal 18 2 8" xfId="24160" xr:uid="{00000000-0005-0000-0000-00003E8A0000}"/>
    <cellStyle name="Normal 18 2 8 2" xfId="43380" xr:uid="{00000000-0005-0000-0000-00003F8A0000}"/>
    <cellStyle name="Normal 18 2 9" xfId="33682" xr:uid="{00000000-0005-0000-0000-0000408A0000}"/>
    <cellStyle name="Normal 18 3" xfId="3287" xr:uid="{00000000-0005-0000-0000-0000418A0000}"/>
    <cellStyle name="Normal 19" xfId="1078" xr:uid="{00000000-0005-0000-0000-0000428A0000}"/>
    <cellStyle name="Normal 19 2" xfId="1079" xr:uid="{00000000-0005-0000-0000-0000438A0000}"/>
    <cellStyle name="Normal 19 3" xfId="1080" xr:uid="{00000000-0005-0000-0000-0000448A0000}"/>
    <cellStyle name="Normal 19 4" xfId="3289" xr:uid="{00000000-0005-0000-0000-0000458A0000}"/>
    <cellStyle name="Normal 19 4 10" xfId="13479" xr:uid="{00000000-0005-0000-0000-0000468A0000}"/>
    <cellStyle name="Normal 19 4 2" xfId="14336" xr:uid="{00000000-0005-0000-0000-0000478A0000}"/>
    <cellStyle name="Normal 19 4 2 2" xfId="16599" xr:uid="{00000000-0005-0000-0000-0000488A0000}"/>
    <cellStyle name="Normal 19 4 2 2 2" xfId="21063" xr:uid="{00000000-0005-0000-0000-0000498A0000}"/>
    <cellStyle name="Normal 19 4 2 2 2 2" xfId="31431" xr:uid="{00000000-0005-0000-0000-00004A8A0000}"/>
    <cellStyle name="Normal 19 4 2 2 2 2 2" xfId="50620" xr:uid="{00000000-0005-0000-0000-00004B8A0000}"/>
    <cellStyle name="Normal 19 4 2 2 2 3" xfId="40922" xr:uid="{00000000-0005-0000-0000-00004C8A0000}"/>
    <cellStyle name="Normal 19 4 2 2 3" xfId="26976" xr:uid="{00000000-0005-0000-0000-00004D8A0000}"/>
    <cellStyle name="Normal 19 4 2 2 3 2" xfId="46165" xr:uid="{00000000-0005-0000-0000-00004E8A0000}"/>
    <cellStyle name="Normal 19 4 2 2 4" xfId="36467" xr:uid="{00000000-0005-0000-0000-00004F8A0000}"/>
    <cellStyle name="Normal 19 4 2 3" xfId="18835" xr:uid="{00000000-0005-0000-0000-0000508A0000}"/>
    <cellStyle name="Normal 19 4 2 3 2" xfId="29203" xr:uid="{00000000-0005-0000-0000-0000518A0000}"/>
    <cellStyle name="Normal 19 4 2 3 2 2" xfId="48392" xr:uid="{00000000-0005-0000-0000-0000528A0000}"/>
    <cellStyle name="Normal 19 4 2 3 3" xfId="38694" xr:uid="{00000000-0005-0000-0000-0000538A0000}"/>
    <cellStyle name="Normal 19 4 2 4" xfId="24743" xr:uid="{00000000-0005-0000-0000-0000548A0000}"/>
    <cellStyle name="Normal 19 4 2 4 2" xfId="43937" xr:uid="{00000000-0005-0000-0000-0000558A0000}"/>
    <cellStyle name="Normal 19 4 2 5" xfId="34239" xr:uid="{00000000-0005-0000-0000-0000568A0000}"/>
    <cellStyle name="Normal 19 4 3" xfId="14915" xr:uid="{00000000-0005-0000-0000-0000578A0000}"/>
    <cellStyle name="Normal 19 4 3 2" xfId="16043" xr:uid="{00000000-0005-0000-0000-0000588A0000}"/>
    <cellStyle name="Normal 19 4 3 2 2" xfId="20507" xr:uid="{00000000-0005-0000-0000-0000598A0000}"/>
    <cellStyle name="Normal 19 4 3 2 2 2" xfId="30875" xr:uid="{00000000-0005-0000-0000-00005A8A0000}"/>
    <cellStyle name="Normal 19 4 3 2 2 2 2" xfId="50064" xr:uid="{00000000-0005-0000-0000-00005B8A0000}"/>
    <cellStyle name="Normal 19 4 3 2 2 3" xfId="40366" xr:uid="{00000000-0005-0000-0000-00005C8A0000}"/>
    <cellStyle name="Normal 19 4 3 2 3" xfId="26420" xr:uid="{00000000-0005-0000-0000-00005D8A0000}"/>
    <cellStyle name="Normal 19 4 3 2 3 2" xfId="45609" xr:uid="{00000000-0005-0000-0000-00005E8A0000}"/>
    <cellStyle name="Normal 19 4 3 2 4" xfId="35911" xr:uid="{00000000-0005-0000-0000-00005F8A0000}"/>
    <cellStyle name="Normal 19 4 3 3" xfId="19392" xr:uid="{00000000-0005-0000-0000-0000608A0000}"/>
    <cellStyle name="Normal 19 4 3 3 2" xfId="29760" xr:uid="{00000000-0005-0000-0000-0000618A0000}"/>
    <cellStyle name="Normal 19 4 3 3 2 2" xfId="48949" xr:uid="{00000000-0005-0000-0000-0000628A0000}"/>
    <cellStyle name="Normal 19 4 3 3 3" xfId="39251" xr:uid="{00000000-0005-0000-0000-0000638A0000}"/>
    <cellStyle name="Normal 19 4 3 4" xfId="25305" xr:uid="{00000000-0005-0000-0000-0000648A0000}"/>
    <cellStyle name="Normal 19 4 3 4 2" xfId="44494" xr:uid="{00000000-0005-0000-0000-0000658A0000}"/>
    <cellStyle name="Normal 19 4 3 5" xfId="34796" xr:uid="{00000000-0005-0000-0000-0000668A0000}"/>
    <cellStyle name="Normal 19 4 4" xfId="15486" xr:uid="{00000000-0005-0000-0000-0000678A0000}"/>
    <cellStyle name="Normal 19 4 4 2" xfId="19950" xr:uid="{00000000-0005-0000-0000-0000688A0000}"/>
    <cellStyle name="Normal 19 4 4 2 2" xfId="30318" xr:uid="{00000000-0005-0000-0000-0000698A0000}"/>
    <cellStyle name="Normal 19 4 4 2 2 2" xfId="49507" xr:uid="{00000000-0005-0000-0000-00006A8A0000}"/>
    <cellStyle name="Normal 19 4 4 2 3" xfId="39809" xr:uid="{00000000-0005-0000-0000-00006B8A0000}"/>
    <cellStyle name="Normal 19 4 4 3" xfId="25863" xr:uid="{00000000-0005-0000-0000-00006C8A0000}"/>
    <cellStyle name="Normal 19 4 4 3 2" xfId="45052" xr:uid="{00000000-0005-0000-0000-00006D8A0000}"/>
    <cellStyle name="Normal 19 4 4 4" xfId="35354" xr:uid="{00000000-0005-0000-0000-00006E8A0000}"/>
    <cellStyle name="Normal 19 4 5" xfId="17156" xr:uid="{00000000-0005-0000-0000-00006F8A0000}"/>
    <cellStyle name="Normal 19 4 5 2" xfId="21620" xr:uid="{00000000-0005-0000-0000-0000708A0000}"/>
    <cellStyle name="Normal 19 4 5 2 2" xfId="31988" xr:uid="{00000000-0005-0000-0000-0000718A0000}"/>
    <cellStyle name="Normal 19 4 5 2 2 2" xfId="51177" xr:uid="{00000000-0005-0000-0000-0000728A0000}"/>
    <cellStyle name="Normal 19 4 5 2 3" xfId="41479" xr:uid="{00000000-0005-0000-0000-0000738A0000}"/>
    <cellStyle name="Normal 19 4 5 3" xfId="27533" xr:uid="{00000000-0005-0000-0000-0000748A0000}"/>
    <cellStyle name="Normal 19 4 5 3 2" xfId="46722" xr:uid="{00000000-0005-0000-0000-0000758A0000}"/>
    <cellStyle name="Normal 19 4 5 4" xfId="37024" xr:uid="{00000000-0005-0000-0000-0000768A0000}"/>
    <cellStyle name="Normal 19 4 6" xfId="17722" xr:uid="{00000000-0005-0000-0000-0000778A0000}"/>
    <cellStyle name="Normal 19 4 6 2" xfId="22177" xr:uid="{00000000-0005-0000-0000-0000788A0000}"/>
    <cellStyle name="Normal 19 4 6 2 2" xfId="32545" xr:uid="{00000000-0005-0000-0000-0000798A0000}"/>
    <cellStyle name="Normal 19 4 6 2 2 2" xfId="51734" xr:uid="{00000000-0005-0000-0000-00007A8A0000}"/>
    <cellStyle name="Normal 19 4 6 2 3" xfId="42036" xr:uid="{00000000-0005-0000-0000-00007B8A0000}"/>
    <cellStyle name="Normal 19 4 6 3" xfId="28090" xr:uid="{00000000-0005-0000-0000-00007C8A0000}"/>
    <cellStyle name="Normal 19 4 6 3 2" xfId="47279" xr:uid="{00000000-0005-0000-0000-00007D8A0000}"/>
    <cellStyle name="Normal 19 4 6 4" xfId="37581" xr:uid="{00000000-0005-0000-0000-00007E8A0000}"/>
    <cellStyle name="Normal 19 4 7" xfId="18279" xr:uid="{00000000-0005-0000-0000-00007F8A0000}"/>
    <cellStyle name="Normal 19 4 7 2" xfId="28647" xr:uid="{00000000-0005-0000-0000-0000808A0000}"/>
    <cellStyle name="Normal 19 4 7 2 2" xfId="47836" xr:uid="{00000000-0005-0000-0000-0000818A0000}"/>
    <cellStyle name="Normal 19 4 7 3" xfId="38138" xr:uid="{00000000-0005-0000-0000-0000828A0000}"/>
    <cellStyle name="Normal 19 4 8" xfId="24161" xr:uid="{00000000-0005-0000-0000-0000838A0000}"/>
    <cellStyle name="Normal 19 4 8 2" xfId="43381" xr:uid="{00000000-0005-0000-0000-0000848A0000}"/>
    <cellStyle name="Normal 19 4 9" xfId="33683" xr:uid="{00000000-0005-0000-0000-0000858A0000}"/>
    <cellStyle name="Normal 2" xfId="4" xr:uid="{00000000-0005-0000-0000-0000868A0000}"/>
    <cellStyle name="Normal-- 2" xfId="3291" xr:uid="{00000000-0005-0000-0000-0000878A0000}"/>
    <cellStyle name="Normal 2 10" xfId="3292" xr:uid="{00000000-0005-0000-0000-0000888A0000}"/>
    <cellStyle name="Normal 2 10 2" xfId="3293" xr:uid="{00000000-0005-0000-0000-0000898A0000}"/>
    <cellStyle name="Normal 2 11" xfId="3294" xr:uid="{00000000-0005-0000-0000-00008A8A0000}"/>
    <cellStyle name="Normal 2 11 2" xfId="3295" xr:uid="{00000000-0005-0000-0000-00008B8A0000}"/>
    <cellStyle name="Normal 2 12" xfId="3296" xr:uid="{00000000-0005-0000-0000-00008C8A0000}"/>
    <cellStyle name="Normal 2 12 2" xfId="3297" xr:uid="{00000000-0005-0000-0000-00008D8A0000}"/>
    <cellStyle name="Normal 2 13" xfId="3298" xr:uid="{00000000-0005-0000-0000-00008E8A0000}"/>
    <cellStyle name="Normal 2 13 2" xfId="3299" xr:uid="{00000000-0005-0000-0000-00008F8A0000}"/>
    <cellStyle name="Normal 2 14" xfId="3300" xr:uid="{00000000-0005-0000-0000-0000908A0000}"/>
    <cellStyle name="Normal 2 14 2" xfId="3301" xr:uid="{00000000-0005-0000-0000-0000918A0000}"/>
    <cellStyle name="Normal 2 15" xfId="3302" xr:uid="{00000000-0005-0000-0000-0000928A0000}"/>
    <cellStyle name="Normal 2 15 2" xfId="3303" xr:uid="{00000000-0005-0000-0000-0000938A0000}"/>
    <cellStyle name="Normal 2 16" xfId="3304" xr:uid="{00000000-0005-0000-0000-0000948A0000}"/>
    <cellStyle name="Normal 2 16 2" xfId="3305" xr:uid="{00000000-0005-0000-0000-0000958A0000}"/>
    <cellStyle name="Normal 2 17" xfId="3306" xr:uid="{00000000-0005-0000-0000-0000968A0000}"/>
    <cellStyle name="Normal 2 17 2" xfId="3307" xr:uid="{00000000-0005-0000-0000-0000978A0000}"/>
    <cellStyle name="Normal 2 18" xfId="3308" xr:uid="{00000000-0005-0000-0000-0000988A0000}"/>
    <cellStyle name="Normal 2 18 2" xfId="3309" xr:uid="{00000000-0005-0000-0000-0000998A0000}"/>
    <cellStyle name="Normal 2 19" xfId="3310" xr:uid="{00000000-0005-0000-0000-00009A8A0000}"/>
    <cellStyle name="Normal 2 19 2" xfId="3311" xr:uid="{00000000-0005-0000-0000-00009B8A0000}"/>
    <cellStyle name="Normal 2 2" xfId="1081" xr:uid="{00000000-0005-0000-0000-00009C8A0000}"/>
    <cellStyle name="Normal 2 2 10" xfId="1506" xr:uid="{00000000-0005-0000-0000-00009D8A0000}"/>
    <cellStyle name="Normal 2 2 10 2" xfId="8924" xr:uid="{00000000-0005-0000-0000-00009E8A0000}"/>
    <cellStyle name="Normal 2 2 10 2 2" xfId="11821" xr:uid="{00000000-0005-0000-0000-00009F8A0000}"/>
    <cellStyle name="Normal 2 2 10 3" xfId="10381" xr:uid="{00000000-0005-0000-0000-0000A08A0000}"/>
    <cellStyle name="Normal 2 2 10 4" xfId="7450" xr:uid="{00000000-0005-0000-0000-0000A18A0000}"/>
    <cellStyle name="Normal 2 2 11" xfId="3312" xr:uid="{00000000-0005-0000-0000-0000A28A0000}"/>
    <cellStyle name="Normal 2 2 11 2" xfId="8981" xr:uid="{00000000-0005-0000-0000-0000A38A0000}"/>
    <cellStyle name="Normal 2 2 11 2 2" xfId="11878" xr:uid="{00000000-0005-0000-0000-0000A48A0000}"/>
    <cellStyle name="Normal 2 2 11 3" xfId="10438" xr:uid="{00000000-0005-0000-0000-0000A58A0000}"/>
    <cellStyle name="Normal 2 2 11 4" xfId="7509" xr:uid="{00000000-0005-0000-0000-0000A68A0000}"/>
    <cellStyle name="Normal 2 2 12" xfId="6790" xr:uid="{00000000-0005-0000-0000-0000A78A0000}"/>
    <cellStyle name="Normal 2 2 12 2" xfId="8271" xr:uid="{00000000-0005-0000-0000-0000A88A0000}"/>
    <cellStyle name="Normal 2 2 12 2 2" xfId="11168" xr:uid="{00000000-0005-0000-0000-0000A98A0000}"/>
    <cellStyle name="Normal 2 2 12 3" xfId="9728" xr:uid="{00000000-0005-0000-0000-0000AA8A0000}"/>
    <cellStyle name="Normal 2 2 13" xfId="6074" xr:uid="{00000000-0005-0000-0000-0000AB8A0000}"/>
    <cellStyle name="Normal 2 2 13 2" xfId="7611" xr:uid="{00000000-0005-0000-0000-0000AC8A0000}"/>
    <cellStyle name="Normal 2 2 13 2 2" xfId="10511" xr:uid="{00000000-0005-0000-0000-0000AD8A0000}"/>
    <cellStyle name="Normal 2 2 13 3" xfId="9071" xr:uid="{00000000-0005-0000-0000-0000AE8A0000}"/>
    <cellStyle name="Normal 2 2 14" xfId="6053" xr:uid="{00000000-0005-0000-0000-0000AF8A0000}"/>
    <cellStyle name="Normal 2 2 15" xfId="12495" xr:uid="{00000000-0005-0000-0000-0000B08A0000}"/>
    <cellStyle name="Normal 2 2 2" xfId="1082" xr:uid="{00000000-0005-0000-0000-0000B18A0000}"/>
    <cellStyle name="Normal 2 2 2 10" xfId="7618" xr:uid="{00000000-0005-0000-0000-0000B28A0000}"/>
    <cellStyle name="Normal 2 2 2 10 2" xfId="10518" xr:uid="{00000000-0005-0000-0000-0000B38A0000}"/>
    <cellStyle name="Normal 2 2 2 11" xfId="9078" xr:uid="{00000000-0005-0000-0000-0000B48A0000}"/>
    <cellStyle name="Normal 2 2 2 12" xfId="6083" xr:uid="{00000000-0005-0000-0000-0000B58A0000}"/>
    <cellStyle name="Normal 2 2 2 13" xfId="12496" xr:uid="{00000000-0005-0000-0000-0000B68A0000}"/>
    <cellStyle name="Normal 2 2 2 2" xfId="1083" xr:uid="{00000000-0005-0000-0000-0000B78A0000}"/>
    <cellStyle name="Normal 2 2 2 2 10" xfId="9108" xr:uid="{00000000-0005-0000-0000-0000B88A0000}"/>
    <cellStyle name="Normal 2 2 2 2 10 2" xfId="42506" xr:uid="{00000000-0005-0000-0000-0000B98A0000}"/>
    <cellStyle name="Normal 2 2 2 2 10 3" xfId="22937" xr:uid="{00000000-0005-0000-0000-0000BA8A0000}"/>
    <cellStyle name="Normal 2 2 2 2 11" xfId="6120" xr:uid="{00000000-0005-0000-0000-0000BB8A0000}"/>
    <cellStyle name="Normal 2 2 2 2 11 2" xfId="33698" xr:uid="{00000000-0005-0000-0000-0000BC8A0000}"/>
    <cellStyle name="Normal 2 2 2 2 12" xfId="13724" xr:uid="{00000000-0005-0000-0000-0000BD8A0000}"/>
    <cellStyle name="Normal 2 2 2 2 2" xfId="1084" xr:uid="{00000000-0005-0000-0000-0000BE8A0000}"/>
    <cellStyle name="Normal 2 2 2 2 2 2" xfId="1085" xr:uid="{00000000-0005-0000-0000-0000BF8A0000}"/>
    <cellStyle name="Normal 2 2 2 2 2 2 2" xfId="1086" xr:uid="{00000000-0005-0000-0000-0000C08A0000}"/>
    <cellStyle name="Normal 2 2 2 2 2 2 2 2" xfId="7433" xr:uid="{00000000-0005-0000-0000-0000C18A0000}"/>
    <cellStyle name="Normal 2 2 2 2 2 2 2 2 2" xfId="8910" xr:uid="{00000000-0005-0000-0000-0000C28A0000}"/>
    <cellStyle name="Normal 2 2 2 2 2 2 2 2 2 2" xfId="11807" xr:uid="{00000000-0005-0000-0000-0000C38A0000}"/>
    <cellStyle name="Normal 2 2 2 2 2 2 2 2 2 3" xfId="50635" xr:uid="{00000000-0005-0000-0000-0000C48A0000}"/>
    <cellStyle name="Normal 2 2 2 2 2 2 2 2 3" xfId="10367" xr:uid="{00000000-0005-0000-0000-0000C58A0000}"/>
    <cellStyle name="Normal 2 2 2 2 2 2 2 2 4" xfId="31446" xr:uid="{00000000-0005-0000-0000-0000C68A0000}"/>
    <cellStyle name="Normal 2 2 2 2 2 2 2 3" xfId="8252" xr:uid="{00000000-0005-0000-0000-0000C78A0000}"/>
    <cellStyle name="Normal 2 2 2 2 2 2 2 3 2" xfId="11149" xr:uid="{00000000-0005-0000-0000-0000C88A0000}"/>
    <cellStyle name="Normal 2 2 2 2 2 2 2 3 3" xfId="40937" xr:uid="{00000000-0005-0000-0000-0000C98A0000}"/>
    <cellStyle name="Normal 2 2 2 2 2 2 2 4" xfId="9709" xr:uid="{00000000-0005-0000-0000-0000CA8A0000}"/>
    <cellStyle name="Normal 2 2 2 2 2 2 2 5" xfId="6757" xr:uid="{00000000-0005-0000-0000-0000CB8A0000}"/>
    <cellStyle name="Normal 2 2 2 2 2 2 2 6" xfId="21078" xr:uid="{00000000-0005-0000-0000-0000CC8A0000}"/>
    <cellStyle name="Normal 2 2 2 2 2 2 3" xfId="7200" xr:uid="{00000000-0005-0000-0000-0000CD8A0000}"/>
    <cellStyle name="Normal 2 2 2 2 2 2 3 2" xfId="8677" xr:uid="{00000000-0005-0000-0000-0000CE8A0000}"/>
    <cellStyle name="Normal 2 2 2 2 2 2 3 2 2" xfId="11574" xr:uid="{00000000-0005-0000-0000-0000CF8A0000}"/>
    <cellStyle name="Normal 2 2 2 2 2 2 3 2 3" xfId="46180" xr:uid="{00000000-0005-0000-0000-0000D08A0000}"/>
    <cellStyle name="Normal 2 2 2 2 2 2 3 3" xfId="10134" xr:uid="{00000000-0005-0000-0000-0000D18A0000}"/>
    <cellStyle name="Normal 2 2 2 2 2 2 3 4" xfId="26991" xr:uid="{00000000-0005-0000-0000-0000D28A0000}"/>
    <cellStyle name="Normal 2 2 2 2 2 2 4" xfId="8019" xr:uid="{00000000-0005-0000-0000-0000D38A0000}"/>
    <cellStyle name="Normal 2 2 2 2 2 2 4 2" xfId="10916" xr:uid="{00000000-0005-0000-0000-0000D48A0000}"/>
    <cellStyle name="Normal 2 2 2 2 2 2 4 3" xfId="36482" xr:uid="{00000000-0005-0000-0000-0000D58A0000}"/>
    <cellStyle name="Normal 2 2 2 2 2 2 5" xfId="9476" xr:uid="{00000000-0005-0000-0000-0000D68A0000}"/>
    <cellStyle name="Normal 2 2 2 2 2 2 6" xfId="6524" xr:uid="{00000000-0005-0000-0000-0000D78A0000}"/>
    <cellStyle name="Normal 2 2 2 2 2 2 7" xfId="16614" xr:uid="{00000000-0005-0000-0000-0000D88A0000}"/>
    <cellStyle name="Normal 2 2 2 2 2 3" xfId="1087" xr:uid="{00000000-0005-0000-0000-0000D98A0000}"/>
    <cellStyle name="Normal 2 2 2 2 2 3 2" xfId="7317" xr:uid="{00000000-0005-0000-0000-0000DA8A0000}"/>
    <cellStyle name="Normal 2 2 2 2 2 3 2 2" xfId="8794" xr:uid="{00000000-0005-0000-0000-0000DB8A0000}"/>
    <cellStyle name="Normal 2 2 2 2 2 3 2 2 2" xfId="11691" xr:uid="{00000000-0005-0000-0000-0000DC8A0000}"/>
    <cellStyle name="Normal 2 2 2 2 2 3 2 2 3" xfId="48407" xr:uid="{00000000-0005-0000-0000-0000DD8A0000}"/>
    <cellStyle name="Normal 2 2 2 2 2 3 2 3" xfId="10251" xr:uid="{00000000-0005-0000-0000-0000DE8A0000}"/>
    <cellStyle name="Normal 2 2 2 2 2 3 2 4" xfId="29218" xr:uid="{00000000-0005-0000-0000-0000DF8A0000}"/>
    <cellStyle name="Normal 2 2 2 2 2 3 3" xfId="8136" xr:uid="{00000000-0005-0000-0000-0000E08A0000}"/>
    <cellStyle name="Normal 2 2 2 2 2 3 3 2" xfId="11033" xr:uid="{00000000-0005-0000-0000-0000E18A0000}"/>
    <cellStyle name="Normal 2 2 2 2 2 3 3 3" xfId="38709" xr:uid="{00000000-0005-0000-0000-0000E28A0000}"/>
    <cellStyle name="Normal 2 2 2 2 2 3 4" xfId="9593" xr:uid="{00000000-0005-0000-0000-0000E38A0000}"/>
    <cellStyle name="Normal 2 2 2 2 2 3 5" xfId="6641" xr:uid="{00000000-0005-0000-0000-0000E48A0000}"/>
    <cellStyle name="Normal 2 2 2 2 2 3 6" xfId="18850" xr:uid="{00000000-0005-0000-0000-0000E58A0000}"/>
    <cellStyle name="Normal 2 2 2 2 2 4" xfId="1088" xr:uid="{00000000-0005-0000-0000-0000E68A0000}"/>
    <cellStyle name="Normal 2 2 2 2 2 4 2" xfId="7084" xr:uid="{00000000-0005-0000-0000-0000E78A0000}"/>
    <cellStyle name="Normal 2 2 2 2 2 4 2 2" xfId="8561" xr:uid="{00000000-0005-0000-0000-0000E88A0000}"/>
    <cellStyle name="Normal 2 2 2 2 2 4 2 2 2" xfId="11458" xr:uid="{00000000-0005-0000-0000-0000E98A0000}"/>
    <cellStyle name="Normal 2 2 2 2 2 4 2 2 3" xfId="51932" xr:uid="{00000000-0005-0000-0000-0000EA8A0000}"/>
    <cellStyle name="Normal 2 2 2 2 2 4 2 3" xfId="10018" xr:uid="{00000000-0005-0000-0000-0000EB8A0000}"/>
    <cellStyle name="Normal 2 2 2 2 2 4 2 4" xfId="32745" xr:uid="{00000000-0005-0000-0000-0000EC8A0000}"/>
    <cellStyle name="Normal 2 2 2 2 2 4 3" xfId="7902" xr:uid="{00000000-0005-0000-0000-0000ED8A0000}"/>
    <cellStyle name="Normal 2 2 2 2 2 4 3 2" xfId="10800" xr:uid="{00000000-0005-0000-0000-0000EE8A0000}"/>
    <cellStyle name="Normal 2 2 2 2 2 4 3 3" xfId="42234" xr:uid="{00000000-0005-0000-0000-0000EF8A0000}"/>
    <cellStyle name="Normal 2 2 2 2 2 4 4" xfId="9360" xr:uid="{00000000-0005-0000-0000-0000F08A0000}"/>
    <cellStyle name="Normal 2 2 2 2 2 4 5" xfId="6405" xr:uid="{00000000-0005-0000-0000-0000F18A0000}"/>
    <cellStyle name="Normal 2 2 2 2 2 4 6" xfId="22657" xr:uid="{00000000-0005-0000-0000-0000F28A0000}"/>
    <cellStyle name="Normal 2 2 2 2 2 5" xfId="3315" xr:uid="{00000000-0005-0000-0000-0000F38A0000}"/>
    <cellStyle name="Normal 2 2 2 2 2 5 2" xfId="8390" xr:uid="{00000000-0005-0000-0000-0000F48A0000}"/>
    <cellStyle name="Normal 2 2 2 2 2 5 2 2" xfId="11287" xr:uid="{00000000-0005-0000-0000-0000F58A0000}"/>
    <cellStyle name="Normal 2 2 2 2 2 5 2 3" xfId="43952" xr:uid="{00000000-0005-0000-0000-0000F68A0000}"/>
    <cellStyle name="Normal 2 2 2 2 2 5 3" xfId="9847" xr:uid="{00000000-0005-0000-0000-0000F78A0000}"/>
    <cellStyle name="Normal 2 2 2 2 2 5 4" xfId="6912" xr:uid="{00000000-0005-0000-0000-0000F88A0000}"/>
    <cellStyle name="Normal 2 2 2 2 2 5 5" xfId="24758" xr:uid="{00000000-0005-0000-0000-0000F98A0000}"/>
    <cellStyle name="Normal 2 2 2 2 2 6" xfId="7729" xr:uid="{00000000-0005-0000-0000-0000FA8A0000}"/>
    <cellStyle name="Normal 2 2 2 2 2 6 2" xfId="10629" xr:uid="{00000000-0005-0000-0000-0000FB8A0000}"/>
    <cellStyle name="Normal 2 2 2 2 2 6 2 2" xfId="42587" xr:uid="{00000000-0005-0000-0000-0000FC8A0000}"/>
    <cellStyle name="Normal 2 2 2 2 2 6 3" xfId="23018" xr:uid="{00000000-0005-0000-0000-0000FD8A0000}"/>
    <cellStyle name="Normal 2 2 2 2 2 7" xfId="9189" xr:uid="{00000000-0005-0000-0000-0000FE8A0000}"/>
    <cellStyle name="Normal 2 2 2 2 2 7 2" xfId="34254" xr:uid="{00000000-0005-0000-0000-0000FF8A0000}"/>
    <cellStyle name="Normal 2 2 2 2 2 8" xfId="6208" xr:uid="{00000000-0005-0000-0000-0000008B0000}"/>
    <cellStyle name="Normal 2 2 2 2 2 9" xfId="14351" xr:uid="{00000000-0005-0000-0000-0000018B0000}"/>
    <cellStyle name="Normal 2 2 2 2 3" xfId="1089" xr:uid="{00000000-0005-0000-0000-0000028B0000}"/>
    <cellStyle name="Normal 2 2 2 2 3 2" xfId="1090" xr:uid="{00000000-0005-0000-0000-0000038B0000}"/>
    <cellStyle name="Normal 2 2 2 2 3 2 2" xfId="7377" xr:uid="{00000000-0005-0000-0000-0000048B0000}"/>
    <cellStyle name="Normal 2 2 2 2 3 2 2 2" xfId="8854" xr:uid="{00000000-0005-0000-0000-0000058B0000}"/>
    <cellStyle name="Normal 2 2 2 2 3 2 2 2 2" xfId="11751" xr:uid="{00000000-0005-0000-0000-0000068B0000}"/>
    <cellStyle name="Normal 2 2 2 2 3 2 2 2 2 2" xfId="50079" xr:uid="{00000000-0005-0000-0000-0000078B0000}"/>
    <cellStyle name="Normal 2 2 2 2 3 2 2 2 3" xfId="30890" xr:uid="{00000000-0005-0000-0000-0000088B0000}"/>
    <cellStyle name="Normal 2 2 2 2 3 2 2 3" xfId="10311" xr:uid="{00000000-0005-0000-0000-0000098B0000}"/>
    <cellStyle name="Normal 2 2 2 2 3 2 2 3 2" xfId="40381" xr:uid="{00000000-0005-0000-0000-00000A8B0000}"/>
    <cellStyle name="Normal 2 2 2 2 3 2 2 4" xfId="20522" xr:uid="{00000000-0005-0000-0000-00000B8B0000}"/>
    <cellStyle name="Normal 2 2 2 2 3 2 3" xfId="8196" xr:uid="{00000000-0005-0000-0000-00000C8B0000}"/>
    <cellStyle name="Normal 2 2 2 2 3 2 3 2" xfId="11093" xr:uid="{00000000-0005-0000-0000-00000D8B0000}"/>
    <cellStyle name="Normal 2 2 2 2 3 2 3 2 2" xfId="45624" xr:uid="{00000000-0005-0000-0000-00000E8B0000}"/>
    <cellStyle name="Normal 2 2 2 2 3 2 3 3" xfId="26435" xr:uid="{00000000-0005-0000-0000-00000F8B0000}"/>
    <cellStyle name="Normal 2 2 2 2 3 2 4" xfId="9653" xr:uid="{00000000-0005-0000-0000-0000108B0000}"/>
    <cellStyle name="Normal 2 2 2 2 3 2 4 2" xfId="35926" xr:uid="{00000000-0005-0000-0000-0000118B0000}"/>
    <cellStyle name="Normal 2 2 2 2 3 2 5" xfId="6701" xr:uid="{00000000-0005-0000-0000-0000128B0000}"/>
    <cellStyle name="Normal 2 2 2 2 3 2 6" xfId="16058" xr:uid="{00000000-0005-0000-0000-0000138B0000}"/>
    <cellStyle name="Normal 2 2 2 2 3 3" xfId="1091" xr:uid="{00000000-0005-0000-0000-0000148B0000}"/>
    <cellStyle name="Normal 2 2 2 2 3 3 2" xfId="7144" xr:uid="{00000000-0005-0000-0000-0000158B0000}"/>
    <cellStyle name="Normal 2 2 2 2 3 3 2 2" xfId="8621" xr:uid="{00000000-0005-0000-0000-0000168B0000}"/>
    <cellStyle name="Normal 2 2 2 2 3 3 2 2 2" xfId="11518" xr:uid="{00000000-0005-0000-0000-0000178B0000}"/>
    <cellStyle name="Normal 2 2 2 2 3 3 2 2 3" xfId="48964" xr:uid="{00000000-0005-0000-0000-0000188B0000}"/>
    <cellStyle name="Normal 2 2 2 2 3 3 2 3" xfId="10078" xr:uid="{00000000-0005-0000-0000-0000198B0000}"/>
    <cellStyle name="Normal 2 2 2 2 3 3 2 4" xfId="29775" xr:uid="{00000000-0005-0000-0000-00001A8B0000}"/>
    <cellStyle name="Normal 2 2 2 2 3 3 3" xfId="7963" xr:uid="{00000000-0005-0000-0000-00001B8B0000}"/>
    <cellStyle name="Normal 2 2 2 2 3 3 3 2" xfId="10860" xr:uid="{00000000-0005-0000-0000-00001C8B0000}"/>
    <cellStyle name="Normal 2 2 2 2 3 3 3 3" xfId="39266" xr:uid="{00000000-0005-0000-0000-00001D8B0000}"/>
    <cellStyle name="Normal 2 2 2 2 3 3 4" xfId="9420" xr:uid="{00000000-0005-0000-0000-00001E8B0000}"/>
    <cellStyle name="Normal 2 2 2 2 3 3 5" xfId="6468" xr:uid="{00000000-0005-0000-0000-00001F8B0000}"/>
    <cellStyle name="Normal 2 2 2 2 3 3 6" xfId="19407" xr:uid="{00000000-0005-0000-0000-0000208B0000}"/>
    <cellStyle name="Normal 2 2 2 2 3 4" xfId="6969" xr:uid="{00000000-0005-0000-0000-0000218B0000}"/>
    <cellStyle name="Normal 2 2 2 2 3 4 2" xfId="8446" xr:uid="{00000000-0005-0000-0000-0000228B0000}"/>
    <cellStyle name="Normal 2 2 2 2 3 4 2 2" xfId="11343" xr:uid="{00000000-0005-0000-0000-0000238B0000}"/>
    <cellStyle name="Normal 2 2 2 2 3 4 2 2 2" xfId="51988" xr:uid="{00000000-0005-0000-0000-0000248B0000}"/>
    <cellStyle name="Normal 2 2 2 2 3 4 2 3" xfId="32801" xr:uid="{00000000-0005-0000-0000-0000258B0000}"/>
    <cellStyle name="Normal 2 2 2 2 3 4 3" xfId="9903" xr:uid="{00000000-0005-0000-0000-0000268B0000}"/>
    <cellStyle name="Normal 2 2 2 2 3 4 3 2" xfId="42290" xr:uid="{00000000-0005-0000-0000-0000278B0000}"/>
    <cellStyle name="Normal 2 2 2 2 3 4 4" xfId="22715" xr:uid="{00000000-0005-0000-0000-0000288B0000}"/>
    <cellStyle name="Normal 2 2 2 2 3 5" xfId="7786" xr:uid="{00000000-0005-0000-0000-0000298B0000}"/>
    <cellStyle name="Normal 2 2 2 2 3 5 2" xfId="10685" xr:uid="{00000000-0005-0000-0000-00002A8B0000}"/>
    <cellStyle name="Normal 2 2 2 2 3 5 2 2" xfId="44509" xr:uid="{00000000-0005-0000-0000-00002B8B0000}"/>
    <cellStyle name="Normal 2 2 2 2 3 5 3" xfId="25320" xr:uid="{00000000-0005-0000-0000-00002C8B0000}"/>
    <cellStyle name="Normal 2 2 2 2 3 6" xfId="9245" xr:uid="{00000000-0005-0000-0000-00002D8B0000}"/>
    <cellStyle name="Normal 2 2 2 2 3 6 2" xfId="42643" xr:uid="{00000000-0005-0000-0000-00002E8B0000}"/>
    <cellStyle name="Normal 2 2 2 2 3 6 3" xfId="23074" xr:uid="{00000000-0005-0000-0000-00002F8B0000}"/>
    <cellStyle name="Normal 2 2 2 2 3 7" xfId="6270" xr:uid="{00000000-0005-0000-0000-0000308B0000}"/>
    <cellStyle name="Normal 2 2 2 2 3 7 2" xfId="34811" xr:uid="{00000000-0005-0000-0000-0000318B0000}"/>
    <cellStyle name="Normal 2 2 2 2 3 8" xfId="14930" xr:uid="{00000000-0005-0000-0000-0000328B0000}"/>
    <cellStyle name="Normal 2 2 2 2 4" xfId="1092" xr:uid="{00000000-0005-0000-0000-0000338B0000}"/>
    <cellStyle name="Normal 2 2 2 2 4 2" xfId="7261" xr:uid="{00000000-0005-0000-0000-0000348B0000}"/>
    <cellStyle name="Normal 2 2 2 2 4 2 2" xfId="8738" xr:uid="{00000000-0005-0000-0000-0000358B0000}"/>
    <cellStyle name="Normal 2 2 2 2 4 2 2 2" xfId="11635" xr:uid="{00000000-0005-0000-0000-0000368B0000}"/>
    <cellStyle name="Normal 2 2 2 2 4 2 2 2 2" xfId="49522" xr:uid="{00000000-0005-0000-0000-0000378B0000}"/>
    <cellStyle name="Normal 2 2 2 2 4 2 2 3" xfId="30333" xr:uid="{00000000-0005-0000-0000-0000388B0000}"/>
    <cellStyle name="Normal 2 2 2 2 4 2 3" xfId="10195" xr:uid="{00000000-0005-0000-0000-0000398B0000}"/>
    <cellStyle name="Normal 2 2 2 2 4 2 3 2" xfId="39824" xr:uid="{00000000-0005-0000-0000-00003A8B0000}"/>
    <cellStyle name="Normal 2 2 2 2 4 2 4" xfId="19965" xr:uid="{00000000-0005-0000-0000-00003B8B0000}"/>
    <cellStyle name="Normal 2 2 2 2 4 3" xfId="8080" xr:uid="{00000000-0005-0000-0000-00003C8B0000}"/>
    <cellStyle name="Normal 2 2 2 2 4 3 2" xfId="10977" xr:uid="{00000000-0005-0000-0000-00003D8B0000}"/>
    <cellStyle name="Normal 2 2 2 2 4 3 2 2" xfId="45067" xr:uid="{00000000-0005-0000-0000-00003E8B0000}"/>
    <cellStyle name="Normal 2 2 2 2 4 3 3" xfId="25878" xr:uid="{00000000-0005-0000-0000-00003F8B0000}"/>
    <cellStyle name="Normal 2 2 2 2 4 4" xfId="9537" xr:uid="{00000000-0005-0000-0000-0000408B0000}"/>
    <cellStyle name="Normal 2 2 2 2 4 4 2" xfId="35369" xr:uid="{00000000-0005-0000-0000-0000418B0000}"/>
    <cellStyle name="Normal 2 2 2 2 4 5" xfId="6585" xr:uid="{00000000-0005-0000-0000-0000428B0000}"/>
    <cellStyle name="Normal 2 2 2 2 4 6" xfId="15501" xr:uid="{00000000-0005-0000-0000-0000438B0000}"/>
    <cellStyle name="Normal 2 2 2 2 5" xfId="1093" xr:uid="{00000000-0005-0000-0000-0000448B0000}"/>
    <cellStyle name="Normal 2 2 2 2 5 2" xfId="7028" xr:uid="{00000000-0005-0000-0000-0000458B0000}"/>
    <cellStyle name="Normal 2 2 2 2 5 2 2" xfId="8505" xr:uid="{00000000-0005-0000-0000-0000468B0000}"/>
    <cellStyle name="Normal 2 2 2 2 5 2 2 2" xfId="11402" xr:uid="{00000000-0005-0000-0000-0000478B0000}"/>
    <cellStyle name="Normal 2 2 2 2 5 2 2 2 2" xfId="51192" xr:uid="{00000000-0005-0000-0000-0000488B0000}"/>
    <cellStyle name="Normal 2 2 2 2 5 2 2 3" xfId="32003" xr:uid="{00000000-0005-0000-0000-0000498B0000}"/>
    <cellStyle name="Normal 2 2 2 2 5 2 3" xfId="9962" xr:uid="{00000000-0005-0000-0000-00004A8B0000}"/>
    <cellStyle name="Normal 2 2 2 2 5 2 3 2" xfId="41494" xr:uid="{00000000-0005-0000-0000-00004B8B0000}"/>
    <cellStyle name="Normal 2 2 2 2 5 2 4" xfId="21635" xr:uid="{00000000-0005-0000-0000-00004C8B0000}"/>
    <cellStyle name="Normal 2 2 2 2 5 3" xfId="7846" xr:uid="{00000000-0005-0000-0000-00004D8B0000}"/>
    <cellStyle name="Normal 2 2 2 2 5 3 2" xfId="10744" xr:uid="{00000000-0005-0000-0000-00004E8B0000}"/>
    <cellStyle name="Normal 2 2 2 2 5 3 2 2" xfId="46737" xr:uid="{00000000-0005-0000-0000-00004F8B0000}"/>
    <cellStyle name="Normal 2 2 2 2 5 3 3" xfId="27548" xr:uid="{00000000-0005-0000-0000-0000508B0000}"/>
    <cellStyle name="Normal 2 2 2 2 5 4" xfId="9304" xr:uid="{00000000-0005-0000-0000-0000518B0000}"/>
    <cellStyle name="Normal 2 2 2 2 5 4 2" xfId="37039" xr:uid="{00000000-0005-0000-0000-0000528B0000}"/>
    <cellStyle name="Normal 2 2 2 2 5 5" xfId="6349" xr:uid="{00000000-0005-0000-0000-0000538B0000}"/>
    <cellStyle name="Normal 2 2 2 2 5 6" xfId="17171" xr:uid="{00000000-0005-0000-0000-0000548B0000}"/>
    <cellStyle name="Normal 2 2 2 2 6" xfId="3314" xr:uid="{00000000-0005-0000-0000-0000558B0000}"/>
    <cellStyle name="Normal 2 2 2 2 6 2" xfId="8968" xr:uid="{00000000-0005-0000-0000-0000568B0000}"/>
    <cellStyle name="Normal 2 2 2 2 6 2 2" xfId="11865" xr:uid="{00000000-0005-0000-0000-0000578B0000}"/>
    <cellStyle name="Normal 2 2 2 2 6 2 2 2" xfId="51749" xr:uid="{00000000-0005-0000-0000-0000588B0000}"/>
    <cellStyle name="Normal 2 2 2 2 6 2 2 3" xfId="32560" xr:uid="{00000000-0005-0000-0000-0000598B0000}"/>
    <cellStyle name="Normal 2 2 2 2 6 2 3" xfId="42051" xr:uid="{00000000-0005-0000-0000-00005A8B0000}"/>
    <cellStyle name="Normal 2 2 2 2 6 2 4" xfId="22192" xr:uid="{00000000-0005-0000-0000-00005B8B0000}"/>
    <cellStyle name="Normal 2 2 2 2 6 3" xfId="10425" xr:uid="{00000000-0005-0000-0000-00005C8B0000}"/>
    <cellStyle name="Normal 2 2 2 2 6 3 2" xfId="47294" xr:uid="{00000000-0005-0000-0000-00005D8B0000}"/>
    <cellStyle name="Normal 2 2 2 2 6 3 3" xfId="28105" xr:uid="{00000000-0005-0000-0000-00005E8B0000}"/>
    <cellStyle name="Normal 2 2 2 2 6 4" xfId="7494" xr:uid="{00000000-0005-0000-0000-00005F8B0000}"/>
    <cellStyle name="Normal 2 2 2 2 6 4 2" xfId="37596" xr:uid="{00000000-0005-0000-0000-0000608B0000}"/>
    <cellStyle name="Normal 2 2 2 2 6 5" xfId="17737" xr:uid="{00000000-0005-0000-0000-0000618B0000}"/>
    <cellStyle name="Normal 2 2 2 2 7" xfId="7553" xr:uid="{00000000-0005-0000-0000-0000628B0000}"/>
    <cellStyle name="Normal 2 2 2 2 7 2" xfId="9025" xr:uid="{00000000-0005-0000-0000-0000638B0000}"/>
    <cellStyle name="Normal 2 2 2 2 7 2 2" xfId="11922" xr:uid="{00000000-0005-0000-0000-0000648B0000}"/>
    <cellStyle name="Normal 2 2 2 2 7 2 2 2" xfId="47851" xr:uid="{00000000-0005-0000-0000-0000658B0000}"/>
    <cellStyle name="Normal 2 2 2 2 7 2 3" xfId="28662" xr:uid="{00000000-0005-0000-0000-0000668B0000}"/>
    <cellStyle name="Normal 2 2 2 2 7 3" xfId="10482" xr:uid="{00000000-0005-0000-0000-0000678B0000}"/>
    <cellStyle name="Normal 2 2 2 2 7 3 2" xfId="38153" xr:uid="{00000000-0005-0000-0000-0000688B0000}"/>
    <cellStyle name="Normal 2 2 2 2 7 4" xfId="18294" xr:uid="{00000000-0005-0000-0000-0000698B0000}"/>
    <cellStyle name="Normal 2 2 2 2 8" xfId="6829" xr:uid="{00000000-0005-0000-0000-00006A8B0000}"/>
    <cellStyle name="Normal 2 2 2 2 8 2" xfId="8309" xr:uid="{00000000-0005-0000-0000-00006B8B0000}"/>
    <cellStyle name="Normal 2 2 2 2 8 2 2" xfId="11206" xr:uid="{00000000-0005-0000-0000-00006C8B0000}"/>
    <cellStyle name="Normal 2 2 2 2 8 2 2 2" xfId="51851" xr:uid="{00000000-0005-0000-0000-00006D8B0000}"/>
    <cellStyle name="Normal 2 2 2 2 8 2 3" xfId="32664" xr:uid="{00000000-0005-0000-0000-00006E8B0000}"/>
    <cellStyle name="Normal 2 2 2 2 8 3" xfId="9766" xr:uid="{00000000-0005-0000-0000-00006F8B0000}"/>
    <cellStyle name="Normal 2 2 2 2 8 3 2" xfId="42153" xr:uid="{00000000-0005-0000-0000-0000708B0000}"/>
    <cellStyle name="Normal 2 2 2 2 8 4" xfId="22542" xr:uid="{00000000-0005-0000-0000-0000718B0000}"/>
    <cellStyle name="Normal 2 2 2 2 9" xfId="7648" xr:uid="{00000000-0005-0000-0000-0000728B0000}"/>
    <cellStyle name="Normal 2 2 2 2 9 2" xfId="10548" xr:uid="{00000000-0005-0000-0000-0000738B0000}"/>
    <cellStyle name="Normal 2 2 2 2 9 2 2" xfId="43396" xr:uid="{00000000-0005-0000-0000-0000748B0000}"/>
    <cellStyle name="Normal 2 2 2 2 9 3" xfId="24198" xr:uid="{00000000-0005-0000-0000-0000758B0000}"/>
    <cellStyle name="Normal 2 2 2 3" xfId="1094" xr:uid="{00000000-0005-0000-0000-0000768B0000}"/>
    <cellStyle name="Normal 2 2 2 3 2" xfId="1095" xr:uid="{00000000-0005-0000-0000-0000778B0000}"/>
    <cellStyle name="Normal 2 2 2 3 2 2" xfId="1096" xr:uid="{00000000-0005-0000-0000-0000788B0000}"/>
    <cellStyle name="Normal 2 2 2 3 2 2 2" xfId="7403" xr:uid="{00000000-0005-0000-0000-0000798B0000}"/>
    <cellStyle name="Normal 2 2 2 3 2 2 2 2" xfId="8880" xr:uid="{00000000-0005-0000-0000-00007A8B0000}"/>
    <cellStyle name="Normal 2 2 2 3 2 2 2 2 2" xfId="11777" xr:uid="{00000000-0005-0000-0000-00007B8B0000}"/>
    <cellStyle name="Normal 2 2 2 3 2 2 2 3" xfId="10337" xr:uid="{00000000-0005-0000-0000-00007C8B0000}"/>
    <cellStyle name="Normal 2 2 2 3 2 2 3" xfId="8222" xr:uid="{00000000-0005-0000-0000-00007D8B0000}"/>
    <cellStyle name="Normal 2 2 2 3 2 2 3 2" xfId="11119" xr:uid="{00000000-0005-0000-0000-00007E8B0000}"/>
    <cellStyle name="Normal 2 2 2 3 2 2 4" xfId="9679" xr:uid="{00000000-0005-0000-0000-00007F8B0000}"/>
    <cellStyle name="Normal 2 2 2 3 2 2 5" xfId="6727" xr:uid="{00000000-0005-0000-0000-0000808B0000}"/>
    <cellStyle name="Normal 2 2 2 3 2 2 6" xfId="51902" xr:uid="{00000000-0005-0000-0000-0000818B0000}"/>
    <cellStyle name="Normal 2 2 2 3 2 3" xfId="7170" xr:uid="{00000000-0005-0000-0000-0000828B0000}"/>
    <cellStyle name="Normal 2 2 2 3 2 3 2" xfId="8647" xr:uid="{00000000-0005-0000-0000-0000838B0000}"/>
    <cellStyle name="Normal 2 2 2 3 2 3 2 2" xfId="11544" xr:uid="{00000000-0005-0000-0000-0000848B0000}"/>
    <cellStyle name="Normal 2 2 2 3 2 3 3" xfId="10104" xr:uid="{00000000-0005-0000-0000-0000858B0000}"/>
    <cellStyle name="Normal 2 2 2 3 2 4" xfId="7989" xr:uid="{00000000-0005-0000-0000-0000868B0000}"/>
    <cellStyle name="Normal 2 2 2 3 2 4 2" xfId="10886" xr:uid="{00000000-0005-0000-0000-0000878B0000}"/>
    <cellStyle name="Normal 2 2 2 3 2 5" xfId="9446" xr:uid="{00000000-0005-0000-0000-0000888B0000}"/>
    <cellStyle name="Normal 2 2 2 3 2 6" xfId="6494" xr:uid="{00000000-0005-0000-0000-0000898B0000}"/>
    <cellStyle name="Normal 2 2 2 3 2 7" xfId="32715" xr:uid="{00000000-0005-0000-0000-00008A8B0000}"/>
    <cellStyle name="Normal 2 2 2 3 3" xfId="1097" xr:uid="{00000000-0005-0000-0000-00008B8B0000}"/>
    <cellStyle name="Normal 2 2 2 3 3 2" xfId="7287" xr:uid="{00000000-0005-0000-0000-00008C8B0000}"/>
    <cellStyle name="Normal 2 2 2 3 3 2 2" xfId="8764" xr:uid="{00000000-0005-0000-0000-00008D8B0000}"/>
    <cellStyle name="Normal 2 2 2 3 3 2 2 2" xfId="11661" xr:uid="{00000000-0005-0000-0000-00008E8B0000}"/>
    <cellStyle name="Normal 2 2 2 3 3 2 3" xfId="10221" xr:uid="{00000000-0005-0000-0000-00008F8B0000}"/>
    <cellStyle name="Normal 2 2 2 3 3 2 4" xfId="42557" xr:uid="{00000000-0005-0000-0000-0000908B0000}"/>
    <cellStyle name="Normal 2 2 2 3 3 3" xfId="8106" xr:uid="{00000000-0005-0000-0000-0000918B0000}"/>
    <cellStyle name="Normal 2 2 2 3 3 3 2" xfId="11003" xr:uid="{00000000-0005-0000-0000-0000928B0000}"/>
    <cellStyle name="Normal 2 2 2 3 3 4" xfId="9563" xr:uid="{00000000-0005-0000-0000-0000938B0000}"/>
    <cellStyle name="Normal 2 2 2 3 3 5" xfId="6611" xr:uid="{00000000-0005-0000-0000-0000948B0000}"/>
    <cellStyle name="Normal 2 2 2 3 3 6" xfId="22988" xr:uid="{00000000-0005-0000-0000-0000958B0000}"/>
    <cellStyle name="Normal 2 2 2 3 4" xfId="1098" xr:uid="{00000000-0005-0000-0000-0000968B0000}"/>
    <cellStyle name="Normal 2 2 2 3 4 2" xfId="7054" xr:uid="{00000000-0005-0000-0000-0000978B0000}"/>
    <cellStyle name="Normal 2 2 2 3 4 2 2" xfId="8531" xr:uid="{00000000-0005-0000-0000-0000988B0000}"/>
    <cellStyle name="Normal 2 2 2 3 4 2 2 2" xfId="11428" xr:uid="{00000000-0005-0000-0000-0000998B0000}"/>
    <cellStyle name="Normal 2 2 2 3 4 2 3" xfId="9988" xr:uid="{00000000-0005-0000-0000-00009A8B0000}"/>
    <cellStyle name="Normal 2 2 2 3 4 3" xfId="7872" xr:uid="{00000000-0005-0000-0000-00009B8B0000}"/>
    <cellStyle name="Normal 2 2 2 3 4 3 2" xfId="10770" xr:uid="{00000000-0005-0000-0000-00009C8B0000}"/>
    <cellStyle name="Normal 2 2 2 3 4 4" xfId="9330" xr:uid="{00000000-0005-0000-0000-00009D8B0000}"/>
    <cellStyle name="Normal 2 2 2 3 4 5" xfId="6375" xr:uid="{00000000-0005-0000-0000-00009E8B0000}"/>
    <cellStyle name="Normal 2 2 2 3 4 6" xfId="42204" xr:uid="{00000000-0005-0000-0000-00009F8B0000}"/>
    <cellStyle name="Normal 2 2 2 3 5" xfId="3316" xr:uid="{00000000-0005-0000-0000-0000A08B0000}"/>
    <cellStyle name="Normal 2 2 2 3 5 2" xfId="8360" xr:uid="{00000000-0005-0000-0000-0000A18B0000}"/>
    <cellStyle name="Normal 2 2 2 3 5 2 2" xfId="11257" xr:uid="{00000000-0005-0000-0000-0000A28B0000}"/>
    <cellStyle name="Normal 2 2 2 3 5 3" xfId="9817" xr:uid="{00000000-0005-0000-0000-0000A38B0000}"/>
    <cellStyle name="Normal 2 2 2 3 5 4" xfId="6882" xr:uid="{00000000-0005-0000-0000-0000A48B0000}"/>
    <cellStyle name="Normal 2 2 2 3 6" xfId="7699" xr:uid="{00000000-0005-0000-0000-0000A58B0000}"/>
    <cellStyle name="Normal 2 2 2 3 6 2" xfId="10599" xr:uid="{00000000-0005-0000-0000-0000A68B0000}"/>
    <cellStyle name="Normal 2 2 2 3 7" xfId="9159" xr:uid="{00000000-0005-0000-0000-0000A78B0000}"/>
    <cellStyle name="Normal 2 2 2 3 8" xfId="6177" xr:uid="{00000000-0005-0000-0000-0000A88B0000}"/>
    <cellStyle name="Normal 2 2 2 3 9" xfId="22626" xr:uid="{00000000-0005-0000-0000-0000A98B0000}"/>
    <cellStyle name="Normal 2 2 2 4" xfId="1099" xr:uid="{00000000-0005-0000-0000-0000AA8B0000}"/>
    <cellStyle name="Normal 2 2 2 4 2" xfId="1100" xr:uid="{00000000-0005-0000-0000-0000AB8B0000}"/>
    <cellStyle name="Normal 2 2 2 4 2 2" xfId="7351" xr:uid="{00000000-0005-0000-0000-0000AC8B0000}"/>
    <cellStyle name="Normal 2 2 2 4 2 2 2" xfId="8828" xr:uid="{00000000-0005-0000-0000-0000AD8B0000}"/>
    <cellStyle name="Normal 2 2 2 4 2 2 2 2" xfId="11725" xr:uid="{00000000-0005-0000-0000-0000AE8B0000}"/>
    <cellStyle name="Normal 2 2 2 4 2 2 3" xfId="10285" xr:uid="{00000000-0005-0000-0000-0000AF8B0000}"/>
    <cellStyle name="Normal 2 2 2 4 2 2 4" xfId="51958" xr:uid="{00000000-0005-0000-0000-0000B08B0000}"/>
    <cellStyle name="Normal 2 2 2 4 2 3" xfId="8170" xr:uid="{00000000-0005-0000-0000-0000B18B0000}"/>
    <cellStyle name="Normal 2 2 2 4 2 3 2" xfId="11067" xr:uid="{00000000-0005-0000-0000-0000B28B0000}"/>
    <cellStyle name="Normal 2 2 2 4 2 4" xfId="9627" xr:uid="{00000000-0005-0000-0000-0000B38B0000}"/>
    <cellStyle name="Normal 2 2 2 4 2 5" xfId="6675" xr:uid="{00000000-0005-0000-0000-0000B48B0000}"/>
    <cellStyle name="Normal 2 2 2 4 2 6" xfId="32771" xr:uid="{00000000-0005-0000-0000-0000B58B0000}"/>
    <cellStyle name="Normal 2 2 2 4 3" xfId="1101" xr:uid="{00000000-0005-0000-0000-0000B68B0000}"/>
    <cellStyle name="Normal 2 2 2 4 3 2" xfId="7118" xr:uid="{00000000-0005-0000-0000-0000B78B0000}"/>
    <cellStyle name="Normal 2 2 2 4 3 2 2" xfId="8595" xr:uid="{00000000-0005-0000-0000-0000B88B0000}"/>
    <cellStyle name="Normal 2 2 2 4 3 2 2 2" xfId="11492" xr:uid="{00000000-0005-0000-0000-0000B98B0000}"/>
    <cellStyle name="Normal 2 2 2 4 3 2 3" xfId="10052" xr:uid="{00000000-0005-0000-0000-0000BA8B0000}"/>
    <cellStyle name="Normal 2 2 2 4 3 2 4" xfId="42613" xr:uid="{00000000-0005-0000-0000-0000BB8B0000}"/>
    <cellStyle name="Normal 2 2 2 4 3 3" xfId="7937" xr:uid="{00000000-0005-0000-0000-0000BC8B0000}"/>
    <cellStyle name="Normal 2 2 2 4 3 3 2" xfId="10834" xr:uid="{00000000-0005-0000-0000-0000BD8B0000}"/>
    <cellStyle name="Normal 2 2 2 4 3 4" xfId="9394" xr:uid="{00000000-0005-0000-0000-0000BE8B0000}"/>
    <cellStyle name="Normal 2 2 2 4 3 5" xfId="6442" xr:uid="{00000000-0005-0000-0000-0000BF8B0000}"/>
    <cellStyle name="Normal 2 2 2 4 3 6" xfId="23044" xr:uid="{00000000-0005-0000-0000-0000C08B0000}"/>
    <cellStyle name="Normal 2 2 2 4 4" xfId="3317" xr:uid="{00000000-0005-0000-0000-0000C18B0000}"/>
    <cellStyle name="Normal 2 2 2 4 4 2" xfId="8416" xr:uid="{00000000-0005-0000-0000-0000C28B0000}"/>
    <cellStyle name="Normal 2 2 2 4 4 2 2" xfId="11313" xr:uid="{00000000-0005-0000-0000-0000C38B0000}"/>
    <cellStyle name="Normal 2 2 2 4 4 3" xfId="9873" xr:uid="{00000000-0005-0000-0000-0000C48B0000}"/>
    <cellStyle name="Normal 2 2 2 4 4 4" xfId="6939" xr:uid="{00000000-0005-0000-0000-0000C58B0000}"/>
    <cellStyle name="Normal 2 2 2 4 4 5" xfId="42260" xr:uid="{00000000-0005-0000-0000-0000C68B0000}"/>
    <cellStyle name="Normal 2 2 2 4 5" xfId="7756" xr:uid="{00000000-0005-0000-0000-0000C78B0000}"/>
    <cellStyle name="Normal 2 2 2 4 5 2" xfId="10655" xr:uid="{00000000-0005-0000-0000-0000C88B0000}"/>
    <cellStyle name="Normal 2 2 2 4 6" xfId="9215" xr:uid="{00000000-0005-0000-0000-0000C98B0000}"/>
    <cellStyle name="Normal 2 2 2 4 7" xfId="6240" xr:uid="{00000000-0005-0000-0000-0000CA8B0000}"/>
    <cellStyle name="Normal 2 2 2 4 8" xfId="22685" xr:uid="{00000000-0005-0000-0000-0000CB8B0000}"/>
    <cellStyle name="Normal 2 2 2 5" xfId="1102" xr:uid="{00000000-0005-0000-0000-0000CC8B0000}"/>
    <cellStyle name="Normal 2 2 2 5 2" xfId="3318" xr:uid="{00000000-0005-0000-0000-0000CD8B0000}"/>
    <cellStyle name="Normal 2 2 2 5 2 2" xfId="8712" xr:uid="{00000000-0005-0000-0000-0000CE8B0000}"/>
    <cellStyle name="Normal 2 2 2 5 2 2 2" xfId="11609" xr:uid="{00000000-0005-0000-0000-0000CF8B0000}"/>
    <cellStyle name="Normal 2 2 2 5 2 2 3" xfId="51821" xr:uid="{00000000-0005-0000-0000-0000D08B0000}"/>
    <cellStyle name="Normal 2 2 2 5 2 3" xfId="10169" xr:uid="{00000000-0005-0000-0000-0000D18B0000}"/>
    <cellStyle name="Normal 2 2 2 5 2 4" xfId="7235" xr:uid="{00000000-0005-0000-0000-0000D28B0000}"/>
    <cellStyle name="Normal 2 2 2 5 2 5" xfId="32634" xr:uid="{00000000-0005-0000-0000-0000D38B0000}"/>
    <cellStyle name="Normal 2 2 2 5 3" xfId="8054" xr:uid="{00000000-0005-0000-0000-0000D48B0000}"/>
    <cellStyle name="Normal 2 2 2 5 3 2" xfId="10951" xr:uid="{00000000-0005-0000-0000-0000D58B0000}"/>
    <cellStyle name="Normal 2 2 2 5 3 3" xfId="42123" xr:uid="{00000000-0005-0000-0000-0000D68B0000}"/>
    <cellStyle name="Normal 2 2 2 5 4" xfId="9511" xr:uid="{00000000-0005-0000-0000-0000D78B0000}"/>
    <cellStyle name="Normal 2 2 2 5 5" xfId="6559" xr:uid="{00000000-0005-0000-0000-0000D88B0000}"/>
    <cellStyle name="Normal 2 2 2 5 6" xfId="22507" xr:uid="{00000000-0005-0000-0000-0000D98B0000}"/>
    <cellStyle name="Normal 2 2 2 6" xfId="1103" xr:uid="{00000000-0005-0000-0000-0000DA8B0000}"/>
    <cellStyle name="Normal 2 2 2 6 2" xfId="3319" xr:uid="{00000000-0005-0000-0000-0000DB8B0000}"/>
    <cellStyle name="Normal 2 2 2 6 2 2" xfId="8479" xr:uid="{00000000-0005-0000-0000-0000DC8B0000}"/>
    <cellStyle name="Normal 2 2 2 6 2 2 2" xfId="11376" xr:uid="{00000000-0005-0000-0000-0000DD8B0000}"/>
    <cellStyle name="Normal 2 2 2 6 2 3" xfId="9936" xr:uid="{00000000-0005-0000-0000-0000DE8B0000}"/>
    <cellStyle name="Normal 2 2 2 6 2 4" xfId="7002" xr:uid="{00000000-0005-0000-0000-0000DF8B0000}"/>
    <cellStyle name="Normal 2 2 2 6 3" xfId="7820" xr:uid="{00000000-0005-0000-0000-0000E08B0000}"/>
    <cellStyle name="Normal 2 2 2 6 3 2" xfId="10718" xr:uid="{00000000-0005-0000-0000-0000E18B0000}"/>
    <cellStyle name="Normal 2 2 2 6 4" xfId="9278" xr:uid="{00000000-0005-0000-0000-0000E28B0000}"/>
    <cellStyle name="Normal 2 2 2 6 5" xfId="6323" xr:uid="{00000000-0005-0000-0000-0000E38B0000}"/>
    <cellStyle name="Normal 2 2 2 6 6" xfId="23446" xr:uid="{00000000-0005-0000-0000-0000E48B0000}"/>
    <cellStyle name="Normal 2 2 2 7" xfId="3313" xr:uid="{00000000-0005-0000-0000-0000E58B0000}"/>
    <cellStyle name="Normal 2 2 2 7 2" xfId="8942" xr:uid="{00000000-0005-0000-0000-0000E68B0000}"/>
    <cellStyle name="Normal 2 2 2 7 2 2" xfId="11839" xr:uid="{00000000-0005-0000-0000-0000E78B0000}"/>
    <cellStyle name="Normal 2 2 2 7 2 3" xfId="42476" xr:uid="{00000000-0005-0000-0000-0000E88B0000}"/>
    <cellStyle name="Normal 2 2 2 7 3" xfId="10399" xr:uid="{00000000-0005-0000-0000-0000E98B0000}"/>
    <cellStyle name="Normal 2 2 2 7 4" xfId="7468" xr:uid="{00000000-0005-0000-0000-0000EA8B0000}"/>
    <cellStyle name="Normal 2 2 2 7 5" xfId="22907" xr:uid="{00000000-0005-0000-0000-0000EB8B0000}"/>
    <cellStyle name="Normal 2 2 2 8" xfId="7527" xr:uid="{00000000-0005-0000-0000-0000EC8B0000}"/>
    <cellStyle name="Normal 2 2 2 8 2" xfId="8999" xr:uid="{00000000-0005-0000-0000-0000ED8B0000}"/>
    <cellStyle name="Normal 2 2 2 8 2 2" xfId="11896" xr:uid="{00000000-0005-0000-0000-0000EE8B0000}"/>
    <cellStyle name="Normal 2 2 2 8 3" xfId="10456" xr:uid="{00000000-0005-0000-0000-0000EF8B0000}"/>
    <cellStyle name="Normal 2 2 2 9" xfId="6798" xr:uid="{00000000-0005-0000-0000-0000F08B0000}"/>
    <cellStyle name="Normal 2 2 2 9 2" xfId="8279" xr:uid="{00000000-0005-0000-0000-0000F18B0000}"/>
    <cellStyle name="Normal 2 2 2 9 2 2" xfId="11176" xr:uid="{00000000-0005-0000-0000-0000F28B0000}"/>
    <cellStyle name="Normal 2 2 2 9 3" xfId="9736" xr:uid="{00000000-0005-0000-0000-0000F38B0000}"/>
    <cellStyle name="Normal 2 2 3" xfId="1104" xr:uid="{00000000-0005-0000-0000-0000F48B0000}"/>
    <cellStyle name="Normal 2 2 3 10" xfId="7626" xr:uid="{00000000-0005-0000-0000-0000F58B0000}"/>
    <cellStyle name="Normal 2 2 3 10 2" xfId="10526" xr:uid="{00000000-0005-0000-0000-0000F68B0000}"/>
    <cellStyle name="Normal 2 2 3 11" xfId="9086" xr:uid="{00000000-0005-0000-0000-0000F78B0000}"/>
    <cellStyle name="Normal 2 2 3 12" xfId="6091" xr:uid="{00000000-0005-0000-0000-0000F88B0000}"/>
    <cellStyle name="Normal 2 2 3 2" xfId="1105" xr:uid="{00000000-0005-0000-0000-0000F98B0000}"/>
    <cellStyle name="Normal 2 2 3 2 10" xfId="9116" xr:uid="{00000000-0005-0000-0000-0000FA8B0000}"/>
    <cellStyle name="Normal 2 2 3 2 11" xfId="6128" xr:uid="{00000000-0005-0000-0000-0000FB8B0000}"/>
    <cellStyle name="Normal 2 2 3 2 12" xfId="22550" xr:uid="{00000000-0005-0000-0000-0000FC8B0000}"/>
    <cellStyle name="Normal 2 2 3 2 2" xfId="1106" xr:uid="{00000000-0005-0000-0000-0000FD8B0000}"/>
    <cellStyle name="Normal 2 2 3 2 2 2" xfId="1107" xr:uid="{00000000-0005-0000-0000-0000FE8B0000}"/>
    <cellStyle name="Normal 2 2 3 2 2 2 2" xfId="1108" xr:uid="{00000000-0005-0000-0000-0000FF8B0000}"/>
    <cellStyle name="Normal 2 2 3 2 2 2 2 2" xfId="7441" xr:uid="{00000000-0005-0000-0000-0000008C0000}"/>
    <cellStyle name="Normal 2 2 3 2 2 2 2 2 2" xfId="8918" xr:uid="{00000000-0005-0000-0000-0000018C0000}"/>
    <cellStyle name="Normal 2 2 3 2 2 2 2 2 2 2" xfId="11815" xr:uid="{00000000-0005-0000-0000-0000028C0000}"/>
    <cellStyle name="Normal 2 2 3 2 2 2 2 2 3" xfId="10375" xr:uid="{00000000-0005-0000-0000-0000038C0000}"/>
    <cellStyle name="Normal 2 2 3 2 2 2 2 3" xfId="8260" xr:uid="{00000000-0005-0000-0000-0000048C0000}"/>
    <cellStyle name="Normal 2 2 3 2 2 2 2 3 2" xfId="11157" xr:uid="{00000000-0005-0000-0000-0000058C0000}"/>
    <cellStyle name="Normal 2 2 3 2 2 2 2 4" xfId="9717" xr:uid="{00000000-0005-0000-0000-0000068C0000}"/>
    <cellStyle name="Normal 2 2 3 2 2 2 2 5" xfId="6765" xr:uid="{00000000-0005-0000-0000-0000078C0000}"/>
    <cellStyle name="Normal 2 2 3 2 2 2 2 6" xfId="51940" xr:uid="{00000000-0005-0000-0000-0000088C0000}"/>
    <cellStyle name="Normal 2 2 3 2 2 2 3" xfId="7208" xr:uid="{00000000-0005-0000-0000-0000098C0000}"/>
    <cellStyle name="Normal 2 2 3 2 2 2 3 2" xfId="8685" xr:uid="{00000000-0005-0000-0000-00000A8C0000}"/>
    <cellStyle name="Normal 2 2 3 2 2 2 3 2 2" xfId="11582" xr:uid="{00000000-0005-0000-0000-00000B8C0000}"/>
    <cellStyle name="Normal 2 2 3 2 2 2 3 3" xfId="10142" xr:uid="{00000000-0005-0000-0000-00000C8C0000}"/>
    <cellStyle name="Normal 2 2 3 2 2 2 4" xfId="8027" xr:uid="{00000000-0005-0000-0000-00000D8C0000}"/>
    <cellStyle name="Normal 2 2 3 2 2 2 4 2" xfId="10924" xr:uid="{00000000-0005-0000-0000-00000E8C0000}"/>
    <cellStyle name="Normal 2 2 3 2 2 2 5" xfId="9484" xr:uid="{00000000-0005-0000-0000-00000F8C0000}"/>
    <cellStyle name="Normal 2 2 3 2 2 2 6" xfId="6532" xr:uid="{00000000-0005-0000-0000-0000108C0000}"/>
    <cellStyle name="Normal 2 2 3 2 2 2 7" xfId="32753" xr:uid="{00000000-0005-0000-0000-0000118C0000}"/>
    <cellStyle name="Normal 2 2 3 2 2 3" xfId="1109" xr:uid="{00000000-0005-0000-0000-0000128C0000}"/>
    <cellStyle name="Normal 2 2 3 2 2 3 2" xfId="7325" xr:uid="{00000000-0005-0000-0000-0000138C0000}"/>
    <cellStyle name="Normal 2 2 3 2 2 3 2 2" xfId="8802" xr:uid="{00000000-0005-0000-0000-0000148C0000}"/>
    <cellStyle name="Normal 2 2 3 2 2 3 2 2 2" xfId="11699" xr:uid="{00000000-0005-0000-0000-0000158C0000}"/>
    <cellStyle name="Normal 2 2 3 2 2 3 2 3" xfId="10259" xr:uid="{00000000-0005-0000-0000-0000168C0000}"/>
    <cellStyle name="Normal 2 2 3 2 2 3 2 4" xfId="42595" xr:uid="{00000000-0005-0000-0000-0000178C0000}"/>
    <cellStyle name="Normal 2 2 3 2 2 3 3" xfId="8144" xr:uid="{00000000-0005-0000-0000-0000188C0000}"/>
    <cellStyle name="Normal 2 2 3 2 2 3 3 2" xfId="11041" xr:uid="{00000000-0005-0000-0000-0000198C0000}"/>
    <cellStyle name="Normal 2 2 3 2 2 3 4" xfId="9601" xr:uid="{00000000-0005-0000-0000-00001A8C0000}"/>
    <cellStyle name="Normal 2 2 3 2 2 3 5" xfId="6649" xr:uid="{00000000-0005-0000-0000-00001B8C0000}"/>
    <cellStyle name="Normal 2 2 3 2 2 3 6" xfId="23026" xr:uid="{00000000-0005-0000-0000-00001C8C0000}"/>
    <cellStyle name="Normal 2 2 3 2 2 4" xfId="1110" xr:uid="{00000000-0005-0000-0000-00001D8C0000}"/>
    <cellStyle name="Normal 2 2 3 2 2 4 2" xfId="7092" xr:uid="{00000000-0005-0000-0000-00001E8C0000}"/>
    <cellStyle name="Normal 2 2 3 2 2 4 2 2" xfId="8569" xr:uid="{00000000-0005-0000-0000-00001F8C0000}"/>
    <cellStyle name="Normal 2 2 3 2 2 4 2 2 2" xfId="11466" xr:uid="{00000000-0005-0000-0000-0000208C0000}"/>
    <cellStyle name="Normal 2 2 3 2 2 4 2 3" xfId="10026" xr:uid="{00000000-0005-0000-0000-0000218C0000}"/>
    <cellStyle name="Normal 2 2 3 2 2 4 3" xfId="7910" xr:uid="{00000000-0005-0000-0000-0000228C0000}"/>
    <cellStyle name="Normal 2 2 3 2 2 4 3 2" xfId="10808" xr:uid="{00000000-0005-0000-0000-0000238C0000}"/>
    <cellStyle name="Normal 2 2 3 2 2 4 4" xfId="9368" xr:uid="{00000000-0005-0000-0000-0000248C0000}"/>
    <cellStyle name="Normal 2 2 3 2 2 4 5" xfId="6413" xr:uid="{00000000-0005-0000-0000-0000258C0000}"/>
    <cellStyle name="Normal 2 2 3 2 2 4 6" xfId="42242" xr:uid="{00000000-0005-0000-0000-0000268C0000}"/>
    <cellStyle name="Normal 2 2 3 2 2 5" xfId="6920" xr:uid="{00000000-0005-0000-0000-0000278C0000}"/>
    <cellStyle name="Normal 2 2 3 2 2 5 2" xfId="8398" xr:uid="{00000000-0005-0000-0000-0000288C0000}"/>
    <cellStyle name="Normal 2 2 3 2 2 5 2 2" xfId="11295" xr:uid="{00000000-0005-0000-0000-0000298C0000}"/>
    <cellStyle name="Normal 2 2 3 2 2 5 3" xfId="9855" xr:uid="{00000000-0005-0000-0000-00002A8C0000}"/>
    <cellStyle name="Normal 2 2 3 2 2 6" xfId="7737" xr:uid="{00000000-0005-0000-0000-00002B8C0000}"/>
    <cellStyle name="Normal 2 2 3 2 2 6 2" xfId="10637" xr:uid="{00000000-0005-0000-0000-00002C8C0000}"/>
    <cellStyle name="Normal 2 2 3 2 2 7" xfId="9197" xr:uid="{00000000-0005-0000-0000-00002D8C0000}"/>
    <cellStyle name="Normal 2 2 3 2 2 8" xfId="6216" xr:uid="{00000000-0005-0000-0000-00002E8C0000}"/>
    <cellStyle name="Normal 2 2 3 2 2 9" xfId="22665" xr:uid="{00000000-0005-0000-0000-00002F8C0000}"/>
    <cellStyle name="Normal 2 2 3 2 3" xfId="1111" xr:uid="{00000000-0005-0000-0000-0000308C0000}"/>
    <cellStyle name="Normal 2 2 3 2 3 2" xfId="1112" xr:uid="{00000000-0005-0000-0000-0000318C0000}"/>
    <cellStyle name="Normal 2 2 3 2 3 2 2" xfId="7385" xr:uid="{00000000-0005-0000-0000-0000328C0000}"/>
    <cellStyle name="Normal 2 2 3 2 3 2 2 2" xfId="8862" xr:uid="{00000000-0005-0000-0000-0000338C0000}"/>
    <cellStyle name="Normal 2 2 3 2 3 2 2 2 2" xfId="11759" xr:uid="{00000000-0005-0000-0000-0000348C0000}"/>
    <cellStyle name="Normal 2 2 3 2 3 2 2 3" xfId="10319" xr:uid="{00000000-0005-0000-0000-0000358C0000}"/>
    <cellStyle name="Normal 2 2 3 2 3 2 2 4" xfId="51996" xr:uid="{00000000-0005-0000-0000-0000368C0000}"/>
    <cellStyle name="Normal 2 2 3 2 3 2 3" xfId="8204" xr:uid="{00000000-0005-0000-0000-0000378C0000}"/>
    <cellStyle name="Normal 2 2 3 2 3 2 3 2" xfId="11101" xr:uid="{00000000-0005-0000-0000-0000388C0000}"/>
    <cellStyle name="Normal 2 2 3 2 3 2 4" xfId="9661" xr:uid="{00000000-0005-0000-0000-0000398C0000}"/>
    <cellStyle name="Normal 2 2 3 2 3 2 5" xfId="6709" xr:uid="{00000000-0005-0000-0000-00003A8C0000}"/>
    <cellStyle name="Normal 2 2 3 2 3 2 6" xfId="32809" xr:uid="{00000000-0005-0000-0000-00003B8C0000}"/>
    <cellStyle name="Normal 2 2 3 2 3 3" xfId="1113" xr:uid="{00000000-0005-0000-0000-00003C8C0000}"/>
    <cellStyle name="Normal 2 2 3 2 3 3 2" xfId="7152" xr:uid="{00000000-0005-0000-0000-00003D8C0000}"/>
    <cellStyle name="Normal 2 2 3 2 3 3 2 2" xfId="8629" xr:uid="{00000000-0005-0000-0000-00003E8C0000}"/>
    <cellStyle name="Normal 2 2 3 2 3 3 2 2 2" xfId="11526" xr:uid="{00000000-0005-0000-0000-00003F8C0000}"/>
    <cellStyle name="Normal 2 2 3 2 3 3 2 3" xfId="10086" xr:uid="{00000000-0005-0000-0000-0000408C0000}"/>
    <cellStyle name="Normal 2 2 3 2 3 3 2 4" xfId="42651" xr:uid="{00000000-0005-0000-0000-0000418C0000}"/>
    <cellStyle name="Normal 2 2 3 2 3 3 3" xfId="7971" xr:uid="{00000000-0005-0000-0000-0000428C0000}"/>
    <cellStyle name="Normal 2 2 3 2 3 3 3 2" xfId="10868" xr:uid="{00000000-0005-0000-0000-0000438C0000}"/>
    <cellStyle name="Normal 2 2 3 2 3 3 4" xfId="9428" xr:uid="{00000000-0005-0000-0000-0000448C0000}"/>
    <cellStyle name="Normal 2 2 3 2 3 3 5" xfId="6476" xr:uid="{00000000-0005-0000-0000-0000458C0000}"/>
    <cellStyle name="Normal 2 2 3 2 3 3 6" xfId="23082" xr:uid="{00000000-0005-0000-0000-0000468C0000}"/>
    <cellStyle name="Normal 2 2 3 2 3 4" xfId="6977" xr:uid="{00000000-0005-0000-0000-0000478C0000}"/>
    <cellStyle name="Normal 2 2 3 2 3 4 2" xfId="8454" xr:uid="{00000000-0005-0000-0000-0000488C0000}"/>
    <cellStyle name="Normal 2 2 3 2 3 4 2 2" xfId="11351" xr:uid="{00000000-0005-0000-0000-0000498C0000}"/>
    <cellStyle name="Normal 2 2 3 2 3 4 3" xfId="9911" xr:uid="{00000000-0005-0000-0000-00004A8C0000}"/>
    <cellStyle name="Normal 2 2 3 2 3 4 4" xfId="42298" xr:uid="{00000000-0005-0000-0000-00004B8C0000}"/>
    <cellStyle name="Normal 2 2 3 2 3 5" xfId="7794" xr:uid="{00000000-0005-0000-0000-00004C8C0000}"/>
    <cellStyle name="Normal 2 2 3 2 3 5 2" xfId="10693" xr:uid="{00000000-0005-0000-0000-00004D8C0000}"/>
    <cellStyle name="Normal 2 2 3 2 3 6" xfId="9253" xr:uid="{00000000-0005-0000-0000-00004E8C0000}"/>
    <cellStyle name="Normal 2 2 3 2 3 7" xfId="6278" xr:uid="{00000000-0005-0000-0000-00004F8C0000}"/>
    <cellStyle name="Normal 2 2 3 2 3 8" xfId="22723" xr:uid="{00000000-0005-0000-0000-0000508C0000}"/>
    <cellStyle name="Normal 2 2 3 2 4" xfId="1114" xr:uid="{00000000-0005-0000-0000-0000518C0000}"/>
    <cellStyle name="Normal 2 2 3 2 4 2" xfId="7269" xr:uid="{00000000-0005-0000-0000-0000528C0000}"/>
    <cellStyle name="Normal 2 2 3 2 4 2 2" xfId="8746" xr:uid="{00000000-0005-0000-0000-0000538C0000}"/>
    <cellStyle name="Normal 2 2 3 2 4 2 2 2" xfId="11643" xr:uid="{00000000-0005-0000-0000-0000548C0000}"/>
    <cellStyle name="Normal 2 2 3 2 4 2 3" xfId="10203" xr:uid="{00000000-0005-0000-0000-0000558C0000}"/>
    <cellStyle name="Normal 2 2 3 2 4 2 4" xfId="51859" xr:uid="{00000000-0005-0000-0000-0000568C0000}"/>
    <cellStyle name="Normal 2 2 3 2 4 3" xfId="8088" xr:uid="{00000000-0005-0000-0000-0000578C0000}"/>
    <cellStyle name="Normal 2 2 3 2 4 3 2" xfId="10985" xr:uid="{00000000-0005-0000-0000-0000588C0000}"/>
    <cellStyle name="Normal 2 2 3 2 4 4" xfId="9545" xr:uid="{00000000-0005-0000-0000-0000598C0000}"/>
    <cellStyle name="Normal 2 2 3 2 4 5" xfId="6593" xr:uid="{00000000-0005-0000-0000-00005A8C0000}"/>
    <cellStyle name="Normal 2 2 3 2 4 6" xfId="32672" xr:uid="{00000000-0005-0000-0000-00005B8C0000}"/>
    <cellStyle name="Normal 2 2 3 2 5" xfId="1115" xr:uid="{00000000-0005-0000-0000-00005C8C0000}"/>
    <cellStyle name="Normal 2 2 3 2 5 2" xfId="7036" xr:uid="{00000000-0005-0000-0000-00005D8C0000}"/>
    <cellStyle name="Normal 2 2 3 2 5 2 2" xfId="8513" xr:uid="{00000000-0005-0000-0000-00005E8C0000}"/>
    <cellStyle name="Normal 2 2 3 2 5 2 2 2" xfId="11410" xr:uid="{00000000-0005-0000-0000-00005F8C0000}"/>
    <cellStyle name="Normal 2 2 3 2 5 2 3" xfId="9970" xr:uid="{00000000-0005-0000-0000-0000608C0000}"/>
    <cellStyle name="Normal 2 2 3 2 5 2 4" xfId="42514" xr:uid="{00000000-0005-0000-0000-0000618C0000}"/>
    <cellStyle name="Normal 2 2 3 2 5 3" xfId="7854" xr:uid="{00000000-0005-0000-0000-0000628C0000}"/>
    <cellStyle name="Normal 2 2 3 2 5 3 2" xfId="10752" xr:uid="{00000000-0005-0000-0000-0000638C0000}"/>
    <cellStyle name="Normal 2 2 3 2 5 4" xfId="9312" xr:uid="{00000000-0005-0000-0000-0000648C0000}"/>
    <cellStyle name="Normal 2 2 3 2 5 5" xfId="6357" xr:uid="{00000000-0005-0000-0000-0000658C0000}"/>
    <cellStyle name="Normal 2 2 3 2 5 6" xfId="22945" xr:uid="{00000000-0005-0000-0000-0000668C0000}"/>
    <cellStyle name="Normal 2 2 3 2 6" xfId="7502" xr:uid="{00000000-0005-0000-0000-0000678C0000}"/>
    <cellStyle name="Normal 2 2 3 2 6 2" xfId="8976" xr:uid="{00000000-0005-0000-0000-0000688C0000}"/>
    <cellStyle name="Normal 2 2 3 2 6 2 2" xfId="11873" xr:uid="{00000000-0005-0000-0000-0000698C0000}"/>
    <cellStyle name="Normal 2 2 3 2 6 3" xfId="10433" xr:uid="{00000000-0005-0000-0000-00006A8C0000}"/>
    <cellStyle name="Normal 2 2 3 2 6 4" xfId="42161" xr:uid="{00000000-0005-0000-0000-00006B8C0000}"/>
    <cellStyle name="Normal 2 2 3 2 7" xfId="7561" xr:uid="{00000000-0005-0000-0000-00006C8C0000}"/>
    <cellStyle name="Normal 2 2 3 2 7 2" xfId="9033" xr:uid="{00000000-0005-0000-0000-00006D8C0000}"/>
    <cellStyle name="Normal 2 2 3 2 7 2 2" xfId="11930" xr:uid="{00000000-0005-0000-0000-00006E8C0000}"/>
    <cellStyle name="Normal 2 2 3 2 7 3" xfId="10490" xr:uid="{00000000-0005-0000-0000-00006F8C0000}"/>
    <cellStyle name="Normal 2 2 3 2 8" xfId="6837" xr:uid="{00000000-0005-0000-0000-0000708C0000}"/>
    <cellStyle name="Normal 2 2 3 2 8 2" xfId="8317" xr:uid="{00000000-0005-0000-0000-0000718C0000}"/>
    <cellStyle name="Normal 2 2 3 2 8 2 2" xfId="11214" xr:uid="{00000000-0005-0000-0000-0000728C0000}"/>
    <cellStyle name="Normal 2 2 3 2 8 3" xfId="9774" xr:uid="{00000000-0005-0000-0000-0000738C0000}"/>
    <cellStyle name="Normal 2 2 3 2 9" xfId="7656" xr:uid="{00000000-0005-0000-0000-0000748C0000}"/>
    <cellStyle name="Normal 2 2 3 2 9 2" xfId="10556" xr:uid="{00000000-0005-0000-0000-0000758C0000}"/>
    <cellStyle name="Normal 2 2 3 3" xfId="1116" xr:uid="{00000000-0005-0000-0000-0000768C0000}"/>
    <cellStyle name="Normal 2 2 3 3 2" xfId="1117" xr:uid="{00000000-0005-0000-0000-0000778C0000}"/>
    <cellStyle name="Normal 2 2 3 3 2 2" xfId="1118" xr:uid="{00000000-0005-0000-0000-0000788C0000}"/>
    <cellStyle name="Normal 2 2 3 3 2 2 2" xfId="7411" xr:uid="{00000000-0005-0000-0000-0000798C0000}"/>
    <cellStyle name="Normal 2 2 3 3 2 2 2 2" xfId="8888" xr:uid="{00000000-0005-0000-0000-00007A8C0000}"/>
    <cellStyle name="Normal 2 2 3 3 2 2 2 2 2" xfId="11785" xr:uid="{00000000-0005-0000-0000-00007B8C0000}"/>
    <cellStyle name="Normal 2 2 3 3 2 2 2 3" xfId="10345" xr:uid="{00000000-0005-0000-0000-00007C8C0000}"/>
    <cellStyle name="Normal 2 2 3 3 2 2 3" xfId="8230" xr:uid="{00000000-0005-0000-0000-00007D8C0000}"/>
    <cellStyle name="Normal 2 2 3 3 2 2 3 2" xfId="11127" xr:uid="{00000000-0005-0000-0000-00007E8C0000}"/>
    <cellStyle name="Normal 2 2 3 3 2 2 4" xfId="9687" xr:uid="{00000000-0005-0000-0000-00007F8C0000}"/>
    <cellStyle name="Normal 2 2 3 3 2 2 5" xfId="6735" xr:uid="{00000000-0005-0000-0000-0000808C0000}"/>
    <cellStyle name="Normal 2 2 3 3 2 2 6" xfId="51910" xr:uid="{00000000-0005-0000-0000-0000818C0000}"/>
    <cellStyle name="Normal 2 2 3 3 2 3" xfId="7178" xr:uid="{00000000-0005-0000-0000-0000828C0000}"/>
    <cellStyle name="Normal 2 2 3 3 2 3 2" xfId="8655" xr:uid="{00000000-0005-0000-0000-0000838C0000}"/>
    <cellStyle name="Normal 2 2 3 3 2 3 2 2" xfId="11552" xr:uid="{00000000-0005-0000-0000-0000848C0000}"/>
    <cellStyle name="Normal 2 2 3 3 2 3 3" xfId="10112" xr:uid="{00000000-0005-0000-0000-0000858C0000}"/>
    <cellStyle name="Normal 2 2 3 3 2 4" xfId="7997" xr:uid="{00000000-0005-0000-0000-0000868C0000}"/>
    <cellStyle name="Normal 2 2 3 3 2 4 2" xfId="10894" xr:uid="{00000000-0005-0000-0000-0000878C0000}"/>
    <cellStyle name="Normal 2 2 3 3 2 5" xfId="9454" xr:uid="{00000000-0005-0000-0000-0000888C0000}"/>
    <cellStyle name="Normal 2 2 3 3 2 6" xfId="6502" xr:uid="{00000000-0005-0000-0000-0000898C0000}"/>
    <cellStyle name="Normal 2 2 3 3 2 7" xfId="32723" xr:uid="{00000000-0005-0000-0000-00008A8C0000}"/>
    <cellStyle name="Normal 2 2 3 3 3" xfId="1119" xr:uid="{00000000-0005-0000-0000-00008B8C0000}"/>
    <cellStyle name="Normal 2 2 3 3 3 2" xfId="7295" xr:uid="{00000000-0005-0000-0000-00008C8C0000}"/>
    <cellStyle name="Normal 2 2 3 3 3 2 2" xfId="8772" xr:uid="{00000000-0005-0000-0000-00008D8C0000}"/>
    <cellStyle name="Normal 2 2 3 3 3 2 2 2" xfId="11669" xr:uid="{00000000-0005-0000-0000-00008E8C0000}"/>
    <cellStyle name="Normal 2 2 3 3 3 2 3" xfId="10229" xr:uid="{00000000-0005-0000-0000-00008F8C0000}"/>
    <cellStyle name="Normal 2 2 3 3 3 2 4" xfId="42565" xr:uid="{00000000-0005-0000-0000-0000908C0000}"/>
    <cellStyle name="Normal 2 2 3 3 3 3" xfId="8114" xr:uid="{00000000-0005-0000-0000-0000918C0000}"/>
    <cellStyle name="Normal 2 2 3 3 3 3 2" xfId="11011" xr:uid="{00000000-0005-0000-0000-0000928C0000}"/>
    <cellStyle name="Normal 2 2 3 3 3 4" xfId="9571" xr:uid="{00000000-0005-0000-0000-0000938C0000}"/>
    <cellStyle name="Normal 2 2 3 3 3 5" xfId="6619" xr:uid="{00000000-0005-0000-0000-0000948C0000}"/>
    <cellStyle name="Normal 2 2 3 3 3 6" xfId="22996" xr:uid="{00000000-0005-0000-0000-0000958C0000}"/>
    <cellStyle name="Normal 2 2 3 3 4" xfId="1120" xr:uid="{00000000-0005-0000-0000-0000968C0000}"/>
    <cellStyle name="Normal 2 2 3 3 4 2" xfId="7062" xr:uid="{00000000-0005-0000-0000-0000978C0000}"/>
    <cellStyle name="Normal 2 2 3 3 4 2 2" xfId="8539" xr:uid="{00000000-0005-0000-0000-0000988C0000}"/>
    <cellStyle name="Normal 2 2 3 3 4 2 2 2" xfId="11436" xr:uid="{00000000-0005-0000-0000-0000998C0000}"/>
    <cellStyle name="Normal 2 2 3 3 4 2 3" xfId="9996" xr:uid="{00000000-0005-0000-0000-00009A8C0000}"/>
    <cellStyle name="Normal 2 2 3 3 4 3" xfId="7880" xr:uid="{00000000-0005-0000-0000-00009B8C0000}"/>
    <cellStyle name="Normal 2 2 3 3 4 3 2" xfId="10778" xr:uid="{00000000-0005-0000-0000-00009C8C0000}"/>
    <cellStyle name="Normal 2 2 3 3 4 4" xfId="9338" xr:uid="{00000000-0005-0000-0000-00009D8C0000}"/>
    <cellStyle name="Normal 2 2 3 3 4 5" xfId="6383" xr:uid="{00000000-0005-0000-0000-00009E8C0000}"/>
    <cellStyle name="Normal 2 2 3 3 4 6" xfId="42212" xr:uid="{00000000-0005-0000-0000-00009F8C0000}"/>
    <cellStyle name="Normal 2 2 3 3 5" xfId="6890" xr:uid="{00000000-0005-0000-0000-0000A08C0000}"/>
    <cellStyle name="Normal 2 2 3 3 5 2" xfId="8368" xr:uid="{00000000-0005-0000-0000-0000A18C0000}"/>
    <cellStyle name="Normal 2 2 3 3 5 2 2" xfId="11265" xr:uid="{00000000-0005-0000-0000-0000A28C0000}"/>
    <cellStyle name="Normal 2 2 3 3 5 3" xfId="9825" xr:uid="{00000000-0005-0000-0000-0000A38C0000}"/>
    <cellStyle name="Normal 2 2 3 3 6" xfId="7707" xr:uid="{00000000-0005-0000-0000-0000A48C0000}"/>
    <cellStyle name="Normal 2 2 3 3 6 2" xfId="10607" xr:uid="{00000000-0005-0000-0000-0000A58C0000}"/>
    <cellStyle name="Normal 2 2 3 3 7" xfId="9167" xr:uid="{00000000-0005-0000-0000-0000A68C0000}"/>
    <cellStyle name="Normal 2 2 3 3 8" xfId="6185" xr:uid="{00000000-0005-0000-0000-0000A78C0000}"/>
    <cellStyle name="Normal 2 2 3 3 9" xfId="22634" xr:uid="{00000000-0005-0000-0000-0000A88C0000}"/>
    <cellStyle name="Normal 2 2 3 4" xfId="1121" xr:uid="{00000000-0005-0000-0000-0000A98C0000}"/>
    <cellStyle name="Normal 2 2 3 4 2" xfId="1122" xr:uid="{00000000-0005-0000-0000-0000AA8C0000}"/>
    <cellStyle name="Normal 2 2 3 4 2 2" xfId="7359" xr:uid="{00000000-0005-0000-0000-0000AB8C0000}"/>
    <cellStyle name="Normal 2 2 3 4 2 2 2" xfId="8836" xr:uid="{00000000-0005-0000-0000-0000AC8C0000}"/>
    <cellStyle name="Normal 2 2 3 4 2 2 2 2" xfId="11733" xr:uid="{00000000-0005-0000-0000-0000AD8C0000}"/>
    <cellStyle name="Normal 2 2 3 4 2 2 3" xfId="10293" xr:uid="{00000000-0005-0000-0000-0000AE8C0000}"/>
    <cellStyle name="Normal 2 2 3 4 2 2 4" xfId="51966" xr:uid="{00000000-0005-0000-0000-0000AF8C0000}"/>
    <cellStyle name="Normal 2 2 3 4 2 3" xfId="8178" xr:uid="{00000000-0005-0000-0000-0000B08C0000}"/>
    <cellStyle name="Normal 2 2 3 4 2 3 2" xfId="11075" xr:uid="{00000000-0005-0000-0000-0000B18C0000}"/>
    <cellStyle name="Normal 2 2 3 4 2 4" xfId="9635" xr:uid="{00000000-0005-0000-0000-0000B28C0000}"/>
    <cellStyle name="Normal 2 2 3 4 2 5" xfId="6683" xr:uid="{00000000-0005-0000-0000-0000B38C0000}"/>
    <cellStyle name="Normal 2 2 3 4 2 6" xfId="32779" xr:uid="{00000000-0005-0000-0000-0000B48C0000}"/>
    <cellStyle name="Normal 2 2 3 4 3" xfId="1123" xr:uid="{00000000-0005-0000-0000-0000B58C0000}"/>
    <cellStyle name="Normal 2 2 3 4 3 2" xfId="7126" xr:uid="{00000000-0005-0000-0000-0000B68C0000}"/>
    <cellStyle name="Normal 2 2 3 4 3 2 2" xfId="8603" xr:uid="{00000000-0005-0000-0000-0000B78C0000}"/>
    <cellStyle name="Normal 2 2 3 4 3 2 2 2" xfId="11500" xr:uid="{00000000-0005-0000-0000-0000B88C0000}"/>
    <cellStyle name="Normal 2 2 3 4 3 2 3" xfId="10060" xr:uid="{00000000-0005-0000-0000-0000B98C0000}"/>
    <cellStyle name="Normal 2 2 3 4 3 2 4" xfId="42621" xr:uid="{00000000-0005-0000-0000-0000BA8C0000}"/>
    <cellStyle name="Normal 2 2 3 4 3 3" xfId="7945" xr:uid="{00000000-0005-0000-0000-0000BB8C0000}"/>
    <cellStyle name="Normal 2 2 3 4 3 3 2" xfId="10842" xr:uid="{00000000-0005-0000-0000-0000BC8C0000}"/>
    <cellStyle name="Normal 2 2 3 4 3 4" xfId="9402" xr:uid="{00000000-0005-0000-0000-0000BD8C0000}"/>
    <cellStyle name="Normal 2 2 3 4 3 5" xfId="6450" xr:uid="{00000000-0005-0000-0000-0000BE8C0000}"/>
    <cellStyle name="Normal 2 2 3 4 3 6" xfId="23052" xr:uid="{00000000-0005-0000-0000-0000BF8C0000}"/>
    <cellStyle name="Normal 2 2 3 4 4" xfId="6947" xr:uid="{00000000-0005-0000-0000-0000C08C0000}"/>
    <cellStyle name="Normal 2 2 3 4 4 2" xfId="8424" xr:uid="{00000000-0005-0000-0000-0000C18C0000}"/>
    <cellStyle name="Normal 2 2 3 4 4 2 2" xfId="11321" xr:uid="{00000000-0005-0000-0000-0000C28C0000}"/>
    <cellStyle name="Normal 2 2 3 4 4 3" xfId="9881" xr:uid="{00000000-0005-0000-0000-0000C38C0000}"/>
    <cellStyle name="Normal 2 2 3 4 4 4" xfId="42268" xr:uid="{00000000-0005-0000-0000-0000C48C0000}"/>
    <cellStyle name="Normal 2 2 3 4 5" xfId="7764" xr:uid="{00000000-0005-0000-0000-0000C58C0000}"/>
    <cellStyle name="Normal 2 2 3 4 5 2" xfId="10663" xr:uid="{00000000-0005-0000-0000-0000C68C0000}"/>
    <cellStyle name="Normal 2 2 3 4 6" xfId="9223" xr:uid="{00000000-0005-0000-0000-0000C78C0000}"/>
    <cellStyle name="Normal 2 2 3 4 7" xfId="6248" xr:uid="{00000000-0005-0000-0000-0000C88C0000}"/>
    <cellStyle name="Normal 2 2 3 4 8" xfId="22693" xr:uid="{00000000-0005-0000-0000-0000C98C0000}"/>
    <cellStyle name="Normal 2 2 3 5" xfId="1124" xr:uid="{00000000-0005-0000-0000-0000CA8C0000}"/>
    <cellStyle name="Normal 2 2 3 5 2" xfId="7243" xr:uid="{00000000-0005-0000-0000-0000CB8C0000}"/>
    <cellStyle name="Normal 2 2 3 5 2 2" xfId="8720" xr:uid="{00000000-0005-0000-0000-0000CC8C0000}"/>
    <cellStyle name="Normal 2 2 3 5 2 2 2" xfId="11617" xr:uid="{00000000-0005-0000-0000-0000CD8C0000}"/>
    <cellStyle name="Normal 2 2 3 5 2 2 3" xfId="51829" xr:uid="{00000000-0005-0000-0000-0000CE8C0000}"/>
    <cellStyle name="Normal 2 2 3 5 2 3" xfId="10177" xr:uid="{00000000-0005-0000-0000-0000CF8C0000}"/>
    <cellStyle name="Normal 2 2 3 5 2 4" xfId="32642" xr:uid="{00000000-0005-0000-0000-0000D08C0000}"/>
    <cellStyle name="Normal 2 2 3 5 3" xfId="8062" xr:uid="{00000000-0005-0000-0000-0000D18C0000}"/>
    <cellStyle name="Normal 2 2 3 5 3 2" xfId="10959" xr:uid="{00000000-0005-0000-0000-0000D28C0000}"/>
    <cellStyle name="Normal 2 2 3 5 3 3" xfId="42131" xr:uid="{00000000-0005-0000-0000-0000D38C0000}"/>
    <cellStyle name="Normal 2 2 3 5 4" xfId="9519" xr:uid="{00000000-0005-0000-0000-0000D48C0000}"/>
    <cellStyle name="Normal 2 2 3 5 5" xfId="6567" xr:uid="{00000000-0005-0000-0000-0000D58C0000}"/>
    <cellStyle name="Normal 2 2 3 5 6" xfId="22515" xr:uid="{00000000-0005-0000-0000-0000D68C0000}"/>
    <cellStyle name="Normal 2 2 3 6" xfId="1125" xr:uid="{00000000-0005-0000-0000-0000D78C0000}"/>
    <cellStyle name="Normal 2 2 3 6 2" xfId="7010" xr:uid="{00000000-0005-0000-0000-0000D88C0000}"/>
    <cellStyle name="Normal 2 2 3 6 2 2" xfId="8487" xr:uid="{00000000-0005-0000-0000-0000D98C0000}"/>
    <cellStyle name="Normal 2 2 3 6 2 2 2" xfId="11384" xr:uid="{00000000-0005-0000-0000-0000DA8C0000}"/>
    <cellStyle name="Normal 2 2 3 6 2 3" xfId="9944" xr:uid="{00000000-0005-0000-0000-0000DB8C0000}"/>
    <cellStyle name="Normal 2 2 3 6 3" xfId="7828" xr:uid="{00000000-0005-0000-0000-0000DC8C0000}"/>
    <cellStyle name="Normal 2 2 3 6 3 2" xfId="10726" xr:uid="{00000000-0005-0000-0000-0000DD8C0000}"/>
    <cellStyle name="Normal 2 2 3 6 4" xfId="9286" xr:uid="{00000000-0005-0000-0000-0000DE8C0000}"/>
    <cellStyle name="Normal 2 2 3 6 5" xfId="6331" xr:uid="{00000000-0005-0000-0000-0000DF8C0000}"/>
    <cellStyle name="Normal 2 2 3 6 6" xfId="23579" xr:uid="{00000000-0005-0000-0000-0000E08C0000}"/>
    <cellStyle name="Normal 2 2 3 7" xfId="3320" xr:uid="{00000000-0005-0000-0000-0000E18C0000}"/>
    <cellStyle name="Normal 2 2 3 7 2" xfId="8950" xr:uid="{00000000-0005-0000-0000-0000E28C0000}"/>
    <cellStyle name="Normal 2 2 3 7 2 2" xfId="11847" xr:uid="{00000000-0005-0000-0000-0000E38C0000}"/>
    <cellStyle name="Normal 2 2 3 7 2 3" xfId="42484" xr:uid="{00000000-0005-0000-0000-0000E48C0000}"/>
    <cellStyle name="Normal 2 2 3 7 3" xfId="10407" xr:uid="{00000000-0005-0000-0000-0000E58C0000}"/>
    <cellStyle name="Normal 2 2 3 7 4" xfId="7476" xr:uid="{00000000-0005-0000-0000-0000E68C0000}"/>
    <cellStyle name="Normal 2 2 3 7 5" xfId="22915" xr:uid="{00000000-0005-0000-0000-0000E78C0000}"/>
    <cellStyle name="Normal 2 2 3 8" xfId="7535" xr:uid="{00000000-0005-0000-0000-0000E88C0000}"/>
    <cellStyle name="Normal 2 2 3 8 2" xfId="9007" xr:uid="{00000000-0005-0000-0000-0000E98C0000}"/>
    <cellStyle name="Normal 2 2 3 8 2 2" xfId="11904" xr:uid="{00000000-0005-0000-0000-0000EA8C0000}"/>
    <cellStyle name="Normal 2 2 3 8 3" xfId="10464" xr:uid="{00000000-0005-0000-0000-0000EB8C0000}"/>
    <cellStyle name="Normal 2 2 3 9" xfId="6806" xr:uid="{00000000-0005-0000-0000-0000EC8C0000}"/>
    <cellStyle name="Normal 2 2 3 9 2" xfId="8287" xr:uid="{00000000-0005-0000-0000-0000ED8C0000}"/>
    <cellStyle name="Normal 2 2 3 9 2 2" xfId="11184" xr:uid="{00000000-0005-0000-0000-0000EE8C0000}"/>
    <cellStyle name="Normal 2 2 3 9 3" xfId="9744" xr:uid="{00000000-0005-0000-0000-0000EF8C0000}"/>
    <cellStyle name="Normal 2 2 4" xfId="1126" xr:uid="{00000000-0005-0000-0000-0000F08C0000}"/>
    <cellStyle name="Normal 2 2 4 10" xfId="9100" xr:uid="{00000000-0005-0000-0000-0000F18C0000}"/>
    <cellStyle name="Normal 2 2 4 11" xfId="6112" xr:uid="{00000000-0005-0000-0000-0000F28C0000}"/>
    <cellStyle name="Normal 2 2 4 12" xfId="22534" xr:uid="{00000000-0005-0000-0000-0000F38C0000}"/>
    <cellStyle name="Normal 2 2 4 2" xfId="1127" xr:uid="{00000000-0005-0000-0000-0000F48C0000}"/>
    <cellStyle name="Normal 2 2 4 2 2" xfId="1128" xr:uid="{00000000-0005-0000-0000-0000F58C0000}"/>
    <cellStyle name="Normal 2 2 4 2 2 2" xfId="1129" xr:uid="{00000000-0005-0000-0000-0000F68C0000}"/>
    <cellStyle name="Normal 2 2 4 2 2 2 2" xfId="7425" xr:uid="{00000000-0005-0000-0000-0000F78C0000}"/>
    <cellStyle name="Normal 2 2 4 2 2 2 2 2" xfId="8902" xr:uid="{00000000-0005-0000-0000-0000F88C0000}"/>
    <cellStyle name="Normal 2 2 4 2 2 2 2 2 2" xfId="11799" xr:uid="{00000000-0005-0000-0000-0000F98C0000}"/>
    <cellStyle name="Normal 2 2 4 2 2 2 2 3" xfId="10359" xr:uid="{00000000-0005-0000-0000-0000FA8C0000}"/>
    <cellStyle name="Normal 2 2 4 2 2 2 3" xfId="8244" xr:uid="{00000000-0005-0000-0000-0000FB8C0000}"/>
    <cellStyle name="Normal 2 2 4 2 2 2 3 2" xfId="11141" xr:uid="{00000000-0005-0000-0000-0000FC8C0000}"/>
    <cellStyle name="Normal 2 2 4 2 2 2 4" xfId="9701" xr:uid="{00000000-0005-0000-0000-0000FD8C0000}"/>
    <cellStyle name="Normal 2 2 4 2 2 2 5" xfId="6749" xr:uid="{00000000-0005-0000-0000-0000FE8C0000}"/>
    <cellStyle name="Normal 2 2 4 2 2 2 6" xfId="51924" xr:uid="{00000000-0005-0000-0000-0000FF8C0000}"/>
    <cellStyle name="Normal 2 2 4 2 2 3" xfId="7192" xr:uid="{00000000-0005-0000-0000-0000008D0000}"/>
    <cellStyle name="Normal 2 2 4 2 2 3 2" xfId="8669" xr:uid="{00000000-0005-0000-0000-0000018D0000}"/>
    <cellStyle name="Normal 2 2 4 2 2 3 2 2" xfId="11566" xr:uid="{00000000-0005-0000-0000-0000028D0000}"/>
    <cellStyle name="Normal 2 2 4 2 2 3 3" xfId="10126" xr:uid="{00000000-0005-0000-0000-0000038D0000}"/>
    <cellStyle name="Normal 2 2 4 2 2 4" xfId="8011" xr:uid="{00000000-0005-0000-0000-0000048D0000}"/>
    <cellStyle name="Normal 2 2 4 2 2 4 2" xfId="10908" xr:uid="{00000000-0005-0000-0000-0000058D0000}"/>
    <cellStyle name="Normal 2 2 4 2 2 5" xfId="9468" xr:uid="{00000000-0005-0000-0000-0000068D0000}"/>
    <cellStyle name="Normal 2 2 4 2 2 6" xfId="6516" xr:uid="{00000000-0005-0000-0000-0000078D0000}"/>
    <cellStyle name="Normal 2 2 4 2 2 7" xfId="32737" xr:uid="{00000000-0005-0000-0000-0000088D0000}"/>
    <cellStyle name="Normal 2 2 4 2 3" xfId="1130" xr:uid="{00000000-0005-0000-0000-0000098D0000}"/>
    <cellStyle name="Normal 2 2 4 2 3 2" xfId="7309" xr:uid="{00000000-0005-0000-0000-00000A8D0000}"/>
    <cellStyle name="Normal 2 2 4 2 3 2 2" xfId="8786" xr:uid="{00000000-0005-0000-0000-00000B8D0000}"/>
    <cellStyle name="Normal 2 2 4 2 3 2 2 2" xfId="11683" xr:uid="{00000000-0005-0000-0000-00000C8D0000}"/>
    <cellStyle name="Normal 2 2 4 2 3 2 3" xfId="10243" xr:uid="{00000000-0005-0000-0000-00000D8D0000}"/>
    <cellStyle name="Normal 2 2 4 2 3 2 4" xfId="42579" xr:uid="{00000000-0005-0000-0000-00000E8D0000}"/>
    <cellStyle name="Normal 2 2 4 2 3 3" xfId="8128" xr:uid="{00000000-0005-0000-0000-00000F8D0000}"/>
    <cellStyle name="Normal 2 2 4 2 3 3 2" xfId="11025" xr:uid="{00000000-0005-0000-0000-0000108D0000}"/>
    <cellStyle name="Normal 2 2 4 2 3 4" xfId="9585" xr:uid="{00000000-0005-0000-0000-0000118D0000}"/>
    <cellStyle name="Normal 2 2 4 2 3 5" xfId="6633" xr:uid="{00000000-0005-0000-0000-0000128D0000}"/>
    <cellStyle name="Normal 2 2 4 2 3 6" xfId="23010" xr:uid="{00000000-0005-0000-0000-0000138D0000}"/>
    <cellStyle name="Normal 2 2 4 2 4" xfId="1131" xr:uid="{00000000-0005-0000-0000-0000148D0000}"/>
    <cellStyle name="Normal 2 2 4 2 4 2" xfId="7076" xr:uid="{00000000-0005-0000-0000-0000158D0000}"/>
    <cellStyle name="Normal 2 2 4 2 4 2 2" xfId="8553" xr:uid="{00000000-0005-0000-0000-0000168D0000}"/>
    <cellStyle name="Normal 2 2 4 2 4 2 2 2" xfId="11450" xr:uid="{00000000-0005-0000-0000-0000178D0000}"/>
    <cellStyle name="Normal 2 2 4 2 4 2 3" xfId="10010" xr:uid="{00000000-0005-0000-0000-0000188D0000}"/>
    <cellStyle name="Normal 2 2 4 2 4 3" xfId="7894" xr:uid="{00000000-0005-0000-0000-0000198D0000}"/>
    <cellStyle name="Normal 2 2 4 2 4 3 2" xfId="10792" xr:uid="{00000000-0005-0000-0000-00001A8D0000}"/>
    <cellStyle name="Normal 2 2 4 2 4 4" xfId="9352" xr:uid="{00000000-0005-0000-0000-00001B8D0000}"/>
    <cellStyle name="Normal 2 2 4 2 4 5" xfId="6397" xr:uid="{00000000-0005-0000-0000-00001C8D0000}"/>
    <cellStyle name="Normal 2 2 4 2 4 6" xfId="42226" xr:uid="{00000000-0005-0000-0000-00001D8D0000}"/>
    <cellStyle name="Normal 2 2 4 2 5" xfId="3322" xr:uid="{00000000-0005-0000-0000-00001E8D0000}"/>
    <cellStyle name="Normal 2 2 4 2 5 2" xfId="8382" xr:uid="{00000000-0005-0000-0000-00001F8D0000}"/>
    <cellStyle name="Normal 2 2 4 2 5 2 2" xfId="11279" xr:uid="{00000000-0005-0000-0000-0000208D0000}"/>
    <cellStyle name="Normal 2 2 4 2 5 3" xfId="9839" xr:uid="{00000000-0005-0000-0000-0000218D0000}"/>
    <cellStyle name="Normal 2 2 4 2 5 4" xfId="6904" xr:uid="{00000000-0005-0000-0000-0000228D0000}"/>
    <cellStyle name="Normal 2 2 4 2 6" xfId="7721" xr:uid="{00000000-0005-0000-0000-0000238D0000}"/>
    <cellStyle name="Normal 2 2 4 2 6 2" xfId="10621" xr:uid="{00000000-0005-0000-0000-0000248D0000}"/>
    <cellStyle name="Normal 2 2 4 2 7" xfId="9181" xr:uid="{00000000-0005-0000-0000-0000258D0000}"/>
    <cellStyle name="Normal 2 2 4 2 8" xfId="6200" xr:uid="{00000000-0005-0000-0000-0000268D0000}"/>
    <cellStyle name="Normal 2 2 4 2 9" xfId="22649" xr:uid="{00000000-0005-0000-0000-0000278D0000}"/>
    <cellStyle name="Normal 2 2 4 3" xfId="1132" xr:uid="{00000000-0005-0000-0000-0000288D0000}"/>
    <cellStyle name="Normal 2 2 4 3 2" xfId="1133" xr:uid="{00000000-0005-0000-0000-0000298D0000}"/>
    <cellStyle name="Normal 2 2 4 3 2 2" xfId="7343" xr:uid="{00000000-0005-0000-0000-00002A8D0000}"/>
    <cellStyle name="Normal 2 2 4 3 2 2 2" xfId="8820" xr:uid="{00000000-0005-0000-0000-00002B8D0000}"/>
    <cellStyle name="Normal 2 2 4 3 2 2 2 2" xfId="11717" xr:uid="{00000000-0005-0000-0000-00002C8D0000}"/>
    <cellStyle name="Normal 2 2 4 3 2 2 3" xfId="10277" xr:uid="{00000000-0005-0000-0000-00002D8D0000}"/>
    <cellStyle name="Normal 2 2 4 3 2 2 4" xfId="51980" xr:uid="{00000000-0005-0000-0000-00002E8D0000}"/>
    <cellStyle name="Normal 2 2 4 3 2 3" xfId="8162" xr:uid="{00000000-0005-0000-0000-00002F8D0000}"/>
    <cellStyle name="Normal 2 2 4 3 2 3 2" xfId="11059" xr:uid="{00000000-0005-0000-0000-0000308D0000}"/>
    <cellStyle name="Normal 2 2 4 3 2 4" xfId="9619" xr:uid="{00000000-0005-0000-0000-0000318D0000}"/>
    <cellStyle name="Normal 2 2 4 3 2 5" xfId="6667" xr:uid="{00000000-0005-0000-0000-0000328D0000}"/>
    <cellStyle name="Normal 2 2 4 3 2 6" xfId="32793" xr:uid="{00000000-0005-0000-0000-0000338D0000}"/>
    <cellStyle name="Normal 2 2 4 3 3" xfId="1134" xr:uid="{00000000-0005-0000-0000-0000348D0000}"/>
    <cellStyle name="Normal 2 2 4 3 3 2" xfId="7110" xr:uid="{00000000-0005-0000-0000-0000358D0000}"/>
    <cellStyle name="Normal 2 2 4 3 3 2 2" xfId="8587" xr:uid="{00000000-0005-0000-0000-0000368D0000}"/>
    <cellStyle name="Normal 2 2 4 3 3 2 2 2" xfId="11484" xr:uid="{00000000-0005-0000-0000-0000378D0000}"/>
    <cellStyle name="Normal 2 2 4 3 3 2 3" xfId="10044" xr:uid="{00000000-0005-0000-0000-0000388D0000}"/>
    <cellStyle name="Normal 2 2 4 3 3 2 4" xfId="42635" xr:uid="{00000000-0005-0000-0000-0000398D0000}"/>
    <cellStyle name="Normal 2 2 4 3 3 3" xfId="7929" xr:uid="{00000000-0005-0000-0000-00003A8D0000}"/>
    <cellStyle name="Normal 2 2 4 3 3 3 2" xfId="10826" xr:uid="{00000000-0005-0000-0000-00003B8D0000}"/>
    <cellStyle name="Normal 2 2 4 3 3 4" xfId="9386" xr:uid="{00000000-0005-0000-0000-00003C8D0000}"/>
    <cellStyle name="Normal 2 2 4 3 3 5" xfId="6434" xr:uid="{00000000-0005-0000-0000-00003D8D0000}"/>
    <cellStyle name="Normal 2 2 4 3 3 6" xfId="23066" xr:uid="{00000000-0005-0000-0000-00003E8D0000}"/>
    <cellStyle name="Normal 2 2 4 3 4" xfId="3323" xr:uid="{00000000-0005-0000-0000-00003F8D0000}"/>
    <cellStyle name="Normal 2 2 4 3 4 2" xfId="8438" xr:uid="{00000000-0005-0000-0000-0000408D0000}"/>
    <cellStyle name="Normal 2 2 4 3 4 2 2" xfId="11335" xr:uid="{00000000-0005-0000-0000-0000418D0000}"/>
    <cellStyle name="Normal 2 2 4 3 4 3" xfId="9895" xr:uid="{00000000-0005-0000-0000-0000428D0000}"/>
    <cellStyle name="Normal 2 2 4 3 4 4" xfId="6961" xr:uid="{00000000-0005-0000-0000-0000438D0000}"/>
    <cellStyle name="Normal 2 2 4 3 4 5" xfId="42282" xr:uid="{00000000-0005-0000-0000-0000448D0000}"/>
    <cellStyle name="Normal 2 2 4 3 5" xfId="7778" xr:uid="{00000000-0005-0000-0000-0000458D0000}"/>
    <cellStyle name="Normal 2 2 4 3 5 2" xfId="10677" xr:uid="{00000000-0005-0000-0000-0000468D0000}"/>
    <cellStyle name="Normal 2 2 4 3 6" xfId="9237" xr:uid="{00000000-0005-0000-0000-0000478D0000}"/>
    <cellStyle name="Normal 2 2 4 3 7" xfId="6262" xr:uid="{00000000-0005-0000-0000-0000488D0000}"/>
    <cellStyle name="Normal 2 2 4 3 8" xfId="22707" xr:uid="{00000000-0005-0000-0000-0000498D0000}"/>
    <cellStyle name="Normal 2 2 4 4" xfId="1135" xr:uid="{00000000-0005-0000-0000-00004A8D0000}"/>
    <cellStyle name="Normal 2 2 4 4 2" xfId="7227" xr:uid="{00000000-0005-0000-0000-00004B8D0000}"/>
    <cellStyle name="Normal 2 2 4 4 2 2" xfId="8704" xr:uid="{00000000-0005-0000-0000-00004C8D0000}"/>
    <cellStyle name="Normal 2 2 4 4 2 2 2" xfId="11601" xr:uid="{00000000-0005-0000-0000-00004D8D0000}"/>
    <cellStyle name="Normal 2 2 4 4 2 3" xfId="10161" xr:uid="{00000000-0005-0000-0000-00004E8D0000}"/>
    <cellStyle name="Normal 2 2 4 4 2 4" xfId="51843" xr:uid="{00000000-0005-0000-0000-00004F8D0000}"/>
    <cellStyle name="Normal 2 2 4 4 3" xfId="8046" xr:uid="{00000000-0005-0000-0000-0000508D0000}"/>
    <cellStyle name="Normal 2 2 4 4 3 2" xfId="10943" xr:uid="{00000000-0005-0000-0000-0000518D0000}"/>
    <cellStyle name="Normal 2 2 4 4 4" xfId="9503" xr:uid="{00000000-0005-0000-0000-0000528D0000}"/>
    <cellStyle name="Normal 2 2 4 4 5" xfId="6551" xr:uid="{00000000-0005-0000-0000-0000538D0000}"/>
    <cellStyle name="Normal 2 2 4 4 6" xfId="32656" xr:uid="{00000000-0005-0000-0000-0000548D0000}"/>
    <cellStyle name="Normal 2 2 4 5" xfId="1136" xr:uid="{00000000-0005-0000-0000-0000558D0000}"/>
    <cellStyle name="Normal 2 2 4 5 2" xfId="6994" xr:uid="{00000000-0005-0000-0000-0000568D0000}"/>
    <cellStyle name="Normal 2 2 4 5 2 2" xfId="8471" xr:uid="{00000000-0005-0000-0000-0000578D0000}"/>
    <cellStyle name="Normal 2 2 4 5 2 2 2" xfId="11368" xr:uid="{00000000-0005-0000-0000-0000588D0000}"/>
    <cellStyle name="Normal 2 2 4 5 2 3" xfId="9928" xr:uid="{00000000-0005-0000-0000-0000598D0000}"/>
    <cellStyle name="Normal 2 2 4 5 2 4" xfId="42498" xr:uid="{00000000-0005-0000-0000-00005A8D0000}"/>
    <cellStyle name="Normal 2 2 4 5 3" xfId="7812" xr:uid="{00000000-0005-0000-0000-00005B8D0000}"/>
    <cellStyle name="Normal 2 2 4 5 3 2" xfId="10710" xr:uid="{00000000-0005-0000-0000-00005C8D0000}"/>
    <cellStyle name="Normal 2 2 4 5 4" xfId="9270" xr:uid="{00000000-0005-0000-0000-00005D8D0000}"/>
    <cellStyle name="Normal 2 2 4 5 5" xfId="6315" xr:uid="{00000000-0005-0000-0000-00005E8D0000}"/>
    <cellStyle name="Normal 2 2 4 5 6" xfId="22929" xr:uid="{00000000-0005-0000-0000-00005F8D0000}"/>
    <cellStyle name="Normal 2 2 4 6" xfId="3321" xr:uid="{00000000-0005-0000-0000-0000608D0000}"/>
    <cellStyle name="Normal 2 2 4 6 2" xfId="8934" xr:uid="{00000000-0005-0000-0000-0000618D0000}"/>
    <cellStyle name="Normal 2 2 4 6 2 2" xfId="11831" xr:uid="{00000000-0005-0000-0000-0000628D0000}"/>
    <cellStyle name="Normal 2 2 4 6 3" xfId="10391" xr:uid="{00000000-0005-0000-0000-0000638D0000}"/>
    <cellStyle name="Normal 2 2 4 6 4" xfId="7460" xr:uid="{00000000-0005-0000-0000-0000648D0000}"/>
    <cellStyle name="Normal 2 2 4 6 5" xfId="42145" xr:uid="{00000000-0005-0000-0000-0000658D0000}"/>
    <cellStyle name="Normal 2 2 4 7" xfId="7519" xr:uid="{00000000-0005-0000-0000-0000668D0000}"/>
    <cellStyle name="Normal 2 2 4 7 2" xfId="8991" xr:uid="{00000000-0005-0000-0000-0000678D0000}"/>
    <cellStyle name="Normal 2 2 4 7 2 2" xfId="11888" xr:uid="{00000000-0005-0000-0000-0000688D0000}"/>
    <cellStyle name="Normal 2 2 4 7 3" xfId="10448" xr:uid="{00000000-0005-0000-0000-0000698D0000}"/>
    <cellStyle name="Normal 2 2 4 8" xfId="6821" xr:uid="{00000000-0005-0000-0000-00006A8D0000}"/>
    <cellStyle name="Normal 2 2 4 8 2" xfId="8301" xr:uid="{00000000-0005-0000-0000-00006B8D0000}"/>
    <cellStyle name="Normal 2 2 4 8 2 2" xfId="11198" xr:uid="{00000000-0005-0000-0000-00006C8D0000}"/>
    <cellStyle name="Normal 2 2 4 8 3" xfId="9758" xr:uid="{00000000-0005-0000-0000-00006D8D0000}"/>
    <cellStyle name="Normal 2 2 4 9" xfId="7640" xr:uid="{00000000-0005-0000-0000-00006E8D0000}"/>
    <cellStyle name="Normal 2 2 4 9 2" xfId="10540" xr:uid="{00000000-0005-0000-0000-00006F8D0000}"/>
    <cellStyle name="Normal 2 2 5" xfId="1137" xr:uid="{00000000-0005-0000-0000-0000708D0000}"/>
    <cellStyle name="Normal 2 2 5 10" xfId="6169" xr:uid="{00000000-0005-0000-0000-0000718D0000}"/>
    <cellStyle name="Normal 2 2 5 11" xfId="22617" xr:uid="{00000000-0005-0000-0000-0000728D0000}"/>
    <cellStyle name="Normal 2 2 5 2" xfId="1138" xr:uid="{00000000-0005-0000-0000-0000738D0000}"/>
    <cellStyle name="Normal 2 2 5 2 2" xfId="1139" xr:uid="{00000000-0005-0000-0000-0000748D0000}"/>
    <cellStyle name="Normal 2 2 5 2 2 2" xfId="7369" xr:uid="{00000000-0005-0000-0000-0000758D0000}"/>
    <cellStyle name="Normal 2 2 5 2 2 2 2" xfId="8846" xr:uid="{00000000-0005-0000-0000-0000768D0000}"/>
    <cellStyle name="Normal 2 2 5 2 2 2 2 2" xfId="11743" xr:uid="{00000000-0005-0000-0000-0000778D0000}"/>
    <cellStyle name="Normal 2 2 5 2 2 2 3" xfId="10303" xr:uid="{00000000-0005-0000-0000-0000788D0000}"/>
    <cellStyle name="Normal 2 2 5 2 2 3" xfId="8188" xr:uid="{00000000-0005-0000-0000-0000798D0000}"/>
    <cellStyle name="Normal 2 2 5 2 2 3 2" xfId="11085" xr:uid="{00000000-0005-0000-0000-00007A8D0000}"/>
    <cellStyle name="Normal 2 2 5 2 2 4" xfId="9645" xr:uid="{00000000-0005-0000-0000-00007B8D0000}"/>
    <cellStyle name="Normal 2 2 5 2 2 5" xfId="6693" xr:uid="{00000000-0005-0000-0000-00007C8D0000}"/>
    <cellStyle name="Normal 2 2 5 2 2 6" xfId="51894" xr:uid="{00000000-0005-0000-0000-00007D8D0000}"/>
    <cellStyle name="Normal 2 2 5 2 3" xfId="7136" xr:uid="{00000000-0005-0000-0000-00007E8D0000}"/>
    <cellStyle name="Normal 2 2 5 2 3 2" xfId="8613" xr:uid="{00000000-0005-0000-0000-00007F8D0000}"/>
    <cellStyle name="Normal 2 2 5 2 3 2 2" xfId="11510" xr:uid="{00000000-0005-0000-0000-0000808D0000}"/>
    <cellStyle name="Normal 2 2 5 2 3 3" xfId="10070" xr:uid="{00000000-0005-0000-0000-0000818D0000}"/>
    <cellStyle name="Normal 2 2 5 2 4" xfId="7955" xr:uid="{00000000-0005-0000-0000-0000828D0000}"/>
    <cellStyle name="Normal 2 2 5 2 4 2" xfId="10852" xr:uid="{00000000-0005-0000-0000-0000838D0000}"/>
    <cellStyle name="Normal 2 2 5 2 5" xfId="9412" xr:uid="{00000000-0005-0000-0000-0000848D0000}"/>
    <cellStyle name="Normal 2 2 5 2 6" xfId="6460" xr:uid="{00000000-0005-0000-0000-0000858D0000}"/>
    <cellStyle name="Normal 2 2 5 2 7" xfId="32707" xr:uid="{00000000-0005-0000-0000-0000868D0000}"/>
    <cellStyle name="Normal 2 2 5 3" xfId="1140" xr:uid="{00000000-0005-0000-0000-0000878D0000}"/>
    <cellStyle name="Normal 2 2 5 3 2" xfId="7253" xr:uid="{00000000-0005-0000-0000-0000888D0000}"/>
    <cellStyle name="Normal 2 2 5 3 2 2" xfId="8730" xr:uid="{00000000-0005-0000-0000-0000898D0000}"/>
    <cellStyle name="Normal 2 2 5 3 2 2 2" xfId="11627" xr:uid="{00000000-0005-0000-0000-00008A8D0000}"/>
    <cellStyle name="Normal 2 2 5 3 2 3" xfId="10187" xr:uid="{00000000-0005-0000-0000-00008B8D0000}"/>
    <cellStyle name="Normal 2 2 5 3 2 4" xfId="42549" xr:uid="{00000000-0005-0000-0000-00008C8D0000}"/>
    <cellStyle name="Normal 2 2 5 3 3" xfId="8072" xr:uid="{00000000-0005-0000-0000-00008D8D0000}"/>
    <cellStyle name="Normal 2 2 5 3 3 2" xfId="10969" xr:uid="{00000000-0005-0000-0000-00008E8D0000}"/>
    <cellStyle name="Normal 2 2 5 3 4" xfId="9529" xr:uid="{00000000-0005-0000-0000-00008F8D0000}"/>
    <cellStyle name="Normal 2 2 5 3 5" xfId="6577" xr:uid="{00000000-0005-0000-0000-0000908D0000}"/>
    <cellStyle name="Normal 2 2 5 3 6" xfId="22980" xr:uid="{00000000-0005-0000-0000-0000918D0000}"/>
    <cellStyle name="Normal 2 2 5 4" xfId="1141" xr:uid="{00000000-0005-0000-0000-0000928D0000}"/>
    <cellStyle name="Normal 2 2 5 4 2" xfId="7020" xr:uid="{00000000-0005-0000-0000-0000938D0000}"/>
    <cellStyle name="Normal 2 2 5 4 2 2" xfId="8497" xr:uid="{00000000-0005-0000-0000-0000948D0000}"/>
    <cellStyle name="Normal 2 2 5 4 2 2 2" xfId="11394" xr:uid="{00000000-0005-0000-0000-0000958D0000}"/>
    <cellStyle name="Normal 2 2 5 4 2 3" xfId="9954" xr:uid="{00000000-0005-0000-0000-0000968D0000}"/>
    <cellStyle name="Normal 2 2 5 4 3" xfId="7838" xr:uid="{00000000-0005-0000-0000-0000978D0000}"/>
    <cellStyle name="Normal 2 2 5 4 3 2" xfId="10736" xr:uid="{00000000-0005-0000-0000-0000988D0000}"/>
    <cellStyle name="Normal 2 2 5 4 4" xfId="9296" xr:uid="{00000000-0005-0000-0000-0000998D0000}"/>
    <cellStyle name="Normal 2 2 5 4 5" xfId="6341" xr:uid="{00000000-0005-0000-0000-00009A8D0000}"/>
    <cellStyle name="Normal 2 2 5 4 6" xfId="42196" xr:uid="{00000000-0005-0000-0000-00009B8D0000}"/>
    <cellStyle name="Normal 2 2 5 5" xfId="3324" xr:uid="{00000000-0005-0000-0000-00009C8D0000}"/>
    <cellStyle name="Normal 2 2 5 5 2" xfId="8960" xr:uid="{00000000-0005-0000-0000-00009D8D0000}"/>
    <cellStyle name="Normal 2 2 5 5 2 2" xfId="11857" xr:uid="{00000000-0005-0000-0000-00009E8D0000}"/>
    <cellStyle name="Normal 2 2 5 5 3" xfId="10417" xr:uid="{00000000-0005-0000-0000-00009F8D0000}"/>
    <cellStyle name="Normal 2 2 5 5 4" xfId="7486" xr:uid="{00000000-0005-0000-0000-0000A08D0000}"/>
    <cellStyle name="Normal 2 2 5 6" xfId="7545" xr:uid="{00000000-0005-0000-0000-0000A18D0000}"/>
    <cellStyle name="Normal 2 2 5 6 2" xfId="9017" xr:uid="{00000000-0005-0000-0000-0000A28D0000}"/>
    <cellStyle name="Normal 2 2 5 6 2 2" xfId="11914" xr:uid="{00000000-0005-0000-0000-0000A38D0000}"/>
    <cellStyle name="Normal 2 2 5 6 3" xfId="10474" xr:uid="{00000000-0005-0000-0000-0000A48D0000}"/>
    <cellStyle name="Normal 2 2 5 7" xfId="6874" xr:uid="{00000000-0005-0000-0000-0000A58D0000}"/>
    <cellStyle name="Normal 2 2 5 7 2" xfId="8352" xr:uid="{00000000-0005-0000-0000-0000A68D0000}"/>
    <cellStyle name="Normal 2 2 5 7 2 2" xfId="11249" xr:uid="{00000000-0005-0000-0000-0000A78D0000}"/>
    <cellStyle name="Normal 2 2 5 7 3" xfId="9809" xr:uid="{00000000-0005-0000-0000-0000A88D0000}"/>
    <cellStyle name="Normal 2 2 5 8" xfId="7691" xr:uid="{00000000-0005-0000-0000-0000A98D0000}"/>
    <cellStyle name="Normal 2 2 5 8 2" xfId="10591" xr:uid="{00000000-0005-0000-0000-0000AA8D0000}"/>
    <cellStyle name="Normal 2 2 5 9" xfId="9151" xr:uid="{00000000-0005-0000-0000-0000AB8D0000}"/>
    <cellStyle name="Normal 2 2 6" xfId="1142" xr:uid="{00000000-0005-0000-0000-0000AC8D0000}"/>
    <cellStyle name="Normal 2 2 6 2" xfId="1143" xr:uid="{00000000-0005-0000-0000-0000AD8D0000}"/>
    <cellStyle name="Normal 2 2 6 2 2" xfId="1144" xr:uid="{00000000-0005-0000-0000-0000AE8D0000}"/>
    <cellStyle name="Normal 2 2 6 2 2 2" xfId="7395" xr:uid="{00000000-0005-0000-0000-0000AF8D0000}"/>
    <cellStyle name="Normal 2 2 6 2 2 2 2" xfId="8872" xr:uid="{00000000-0005-0000-0000-0000B08D0000}"/>
    <cellStyle name="Normal 2 2 6 2 2 2 2 2" xfId="11769" xr:uid="{00000000-0005-0000-0000-0000B18D0000}"/>
    <cellStyle name="Normal 2 2 6 2 2 2 3" xfId="10329" xr:uid="{00000000-0005-0000-0000-0000B28D0000}"/>
    <cellStyle name="Normal 2 2 6 2 2 3" xfId="8214" xr:uid="{00000000-0005-0000-0000-0000B38D0000}"/>
    <cellStyle name="Normal 2 2 6 2 2 3 2" xfId="11111" xr:uid="{00000000-0005-0000-0000-0000B48D0000}"/>
    <cellStyle name="Normal 2 2 6 2 2 4" xfId="9671" xr:uid="{00000000-0005-0000-0000-0000B58D0000}"/>
    <cellStyle name="Normal 2 2 6 2 2 5" xfId="6719" xr:uid="{00000000-0005-0000-0000-0000B68D0000}"/>
    <cellStyle name="Normal 2 2 6 2 2 6" xfId="51950" xr:uid="{00000000-0005-0000-0000-0000B78D0000}"/>
    <cellStyle name="Normal 2 2 6 2 3" xfId="7162" xr:uid="{00000000-0005-0000-0000-0000B88D0000}"/>
    <cellStyle name="Normal 2 2 6 2 3 2" xfId="8639" xr:uid="{00000000-0005-0000-0000-0000B98D0000}"/>
    <cellStyle name="Normal 2 2 6 2 3 2 2" xfId="11536" xr:uid="{00000000-0005-0000-0000-0000BA8D0000}"/>
    <cellStyle name="Normal 2 2 6 2 3 3" xfId="10096" xr:uid="{00000000-0005-0000-0000-0000BB8D0000}"/>
    <cellStyle name="Normal 2 2 6 2 4" xfId="7981" xr:uid="{00000000-0005-0000-0000-0000BC8D0000}"/>
    <cellStyle name="Normal 2 2 6 2 4 2" xfId="10878" xr:uid="{00000000-0005-0000-0000-0000BD8D0000}"/>
    <cellStyle name="Normal 2 2 6 2 5" xfId="9438" xr:uid="{00000000-0005-0000-0000-0000BE8D0000}"/>
    <cellStyle name="Normal 2 2 6 2 6" xfId="6486" xr:uid="{00000000-0005-0000-0000-0000BF8D0000}"/>
    <cellStyle name="Normal 2 2 6 2 7" xfId="32763" xr:uid="{00000000-0005-0000-0000-0000C08D0000}"/>
    <cellStyle name="Normal 2 2 6 3" xfId="1145" xr:uid="{00000000-0005-0000-0000-0000C18D0000}"/>
    <cellStyle name="Normal 2 2 6 3 2" xfId="7279" xr:uid="{00000000-0005-0000-0000-0000C28D0000}"/>
    <cellStyle name="Normal 2 2 6 3 2 2" xfId="8756" xr:uid="{00000000-0005-0000-0000-0000C38D0000}"/>
    <cellStyle name="Normal 2 2 6 3 2 2 2" xfId="11653" xr:uid="{00000000-0005-0000-0000-0000C48D0000}"/>
    <cellStyle name="Normal 2 2 6 3 2 3" xfId="10213" xr:uid="{00000000-0005-0000-0000-0000C58D0000}"/>
    <cellStyle name="Normal 2 2 6 3 2 4" xfId="42605" xr:uid="{00000000-0005-0000-0000-0000C68D0000}"/>
    <cellStyle name="Normal 2 2 6 3 3" xfId="8098" xr:uid="{00000000-0005-0000-0000-0000C78D0000}"/>
    <cellStyle name="Normal 2 2 6 3 3 2" xfId="10995" xr:uid="{00000000-0005-0000-0000-0000C88D0000}"/>
    <cellStyle name="Normal 2 2 6 3 4" xfId="9555" xr:uid="{00000000-0005-0000-0000-0000C98D0000}"/>
    <cellStyle name="Normal 2 2 6 3 5" xfId="6603" xr:uid="{00000000-0005-0000-0000-0000CA8D0000}"/>
    <cellStyle name="Normal 2 2 6 3 6" xfId="23036" xr:uid="{00000000-0005-0000-0000-0000CB8D0000}"/>
    <cellStyle name="Normal 2 2 6 4" xfId="1146" xr:uid="{00000000-0005-0000-0000-0000CC8D0000}"/>
    <cellStyle name="Normal 2 2 6 4 2" xfId="7046" xr:uid="{00000000-0005-0000-0000-0000CD8D0000}"/>
    <cellStyle name="Normal 2 2 6 4 2 2" xfId="8523" xr:uid="{00000000-0005-0000-0000-0000CE8D0000}"/>
    <cellStyle name="Normal 2 2 6 4 2 2 2" xfId="11420" xr:uid="{00000000-0005-0000-0000-0000CF8D0000}"/>
    <cellStyle name="Normal 2 2 6 4 2 3" xfId="9980" xr:uid="{00000000-0005-0000-0000-0000D08D0000}"/>
    <cellStyle name="Normal 2 2 6 4 3" xfId="7864" xr:uid="{00000000-0005-0000-0000-0000D18D0000}"/>
    <cellStyle name="Normal 2 2 6 4 3 2" xfId="10762" xr:uid="{00000000-0005-0000-0000-0000D28D0000}"/>
    <cellStyle name="Normal 2 2 6 4 4" xfId="9322" xr:uid="{00000000-0005-0000-0000-0000D38D0000}"/>
    <cellStyle name="Normal 2 2 6 4 5" xfId="6367" xr:uid="{00000000-0005-0000-0000-0000D48D0000}"/>
    <cellStyle name="Normal 2 2 6 4 6" xfId="42252" xr:uid="{00000000-0005-0000-0000-0000D58D0000}"/>
    <cellStyle name="Normal 2 2 6 5" xfId="3325" xr:uid="{00000000-0005-0000-0000-0000D68D0000}"/>
    <cellStyle name="Normal 2 2 6 5 2" xfId="8408" xr:uid="{00000000-0005-0000-0000-0000D78D0000}"/>
    <cellStyle name="Normal 2 2 6 5 2 2" xfId="11305" xr:uid="{00000000-0005-0000-0000-0000D88D0000}"/>
    <cellStyle name="Normal 2 2 6 5 3" xfId="9865" xr:uid="{00000000-0005-0000-0000-0000D98D0000}"/>
    <cellStyle name="Normal 2 2 6 5 4" xfId="6931" xr:uid="{00000000-0005-0000-0000-0000DA8D0000}"/>
    <cellStyle name="Normal 2 2 6 6" xfId="7748" xr:uid="{00000000-0005-0000-0000-0000DB8D0000}"/>
    <cellStyle name="Normal 2 2 6 6 2" xfId="10647" xr:uid="{00000000-0005-0000-0000-0000DC8D0000}"/>
    <cellStyle name="Normal 2 2 6 7" xfId="9207" xr:uid="{00000000-0005-0000-0000-0000DD8D0000}"/>
    <cellStyle name="Normal 2 2 6 8" xfId="6232" xr:uid="{00000000-0005-0000-0000-0000DE8D0000}"/>
    <cellStyle name="Normal 2 2 6 9" xfId="22677" xr:uid="{00000000-0005-0000-0000-0000DF8D0000}"/>
    <cellStyle name="Normal 2 2 7" xfId="1147" xr:uid="{00000000-0005-0000-0000-0000E08D0000}"/>
    <cellStyle name="Normal 2 2 7 2" xfId="1148" xr:uid="{00000000-0005-0000-0000-0000E18D0000}"/>
    <cellStyle name="Normal 2 2 7 2 2" xfId="7333" xr:uid="{00000000-0005-0000-0000-0000E28D0000}"/>
    <cellStyle name="Normal 2 2 7 2 2 2" xfId="8810" xr:uid="{00000000-0005-0000-0000-0000E38D0000}"/>
    <cellStyle name="Normal 2 2 7 2 2 2 2" xfId="11707" xr:uid="{00000000-0005-0000-0000-0000E48D0000}"/>
    <cellStyle name="Normal 2 2 7 2 2 3" xfId="10267" xr:uid="{00000000-0005-0000-0000-0000E58D0000}"/>
    <cellStyle name="Normal 2 2 7 2 2 4" xfId="51813" xr:uid="{00000000-0005-0000-0000-0000E68D0000}"/>
    <cellStyle name="Normal 2 2 7 2 3" xfId="8152" xr:uid="{00000000-0005-0000-0000-0000E78D0000}"/>
    <cellStyle name="Normal 2 2 7 2 3 2" xfId="11049" xr:uid="{00000000-0005-0000-0000-0000E88D0000}"/>
    <cellStyle name="Normal 2 2 7 2 4" xfId="9609" xr:uid="{00000000-0005-0000-0000-0000E98D0000}"/>
    <cellStyle name="Normal 2 2 7 2 5" xfId="6657" xr:uid="{00000000-0005-0000-0000-0000EA8D0000}"/>
    <cellStyle name="Normal 2 2 7 2 6" xfId="32626" xr:uid="{00000000-0005-0000-0000-0000EB8D0000}"/>
    <cellStyle name="Normal 2 2 7 3" xfId="7100" xr:uid="{00000000-0005-0000-0000-0000EC8D0000}"/>
    <cellStyle name="Normal 2 2 7 3 2" xfId="8577" xr:uid="{00000000-0005-0000-0000-0000ED8D0000}"/>
    <cellStyle name="Normal 2 2 7 3 2 2" xfId="11474" xr:uid="{00000000-0005-0000-0000-0000EE8D0000}"/>
    <cellStyle name="Normal 2 2 7 3 3" xfId="10034" xr:uid="{00000000-0005-0000-0000-0000EF8D0000}"/>
    <cellStyle name="Normal 2 2 7 3 4" xfId="42115" xr:uid="{00000000-0005-0000-0000-0000F08D0000}"/>
    <cellStyle name="Normal 2 2 7 4" xfId="7919" xr:uid="{00000000-0005-0000-0000-0000F18D0000}"/>
    <cellStyle name="Normal 2 2 7 4 2" xfId="10816" xr:uid="{00000000-0005-0000-0000-0000F28D0000}"/>
    <cellStyle name="Normal 2 2 7 5" xfId="9376" xr:uid="{00000000-0005-0000-0000-0000F38D0000}"/>
    <cellStyle name="Normal 2 2 7 6" xfId="6424" xr:uid="{00000000-0005-0000-0000-0000F48D0000}"/>
    <cellStyle name="Normal 2 2 7 7" xfId="22495" xr:uid="{00000000-0005-0000-0000-0000F58D0000}"/>
    <cellStyle name="Normal 2 2 8" xfId="1149" xr:uid="{00000000-0005-0000-0000-0000F68D0000}"/>
    <cellStyle name="Normal 2 2 8 2" xfId="7217" xr:uid="{00000000-0005-0000-0000-0000F78D0000}"/>
    <cellStyle name="Normal 2 2 8 2 2" xfId="8694" xr:uid="{00000000-0005-0000-0000-0000F88D0000}"/>
    <cellStyle name="Normal 2 2 8 2 2 2" xfId="11591" xr:uid="{00000000-0005-0000-0000-0000F98D0000}"/>
    <cellStyle name="Normal 2 2 8 2 3" xfId="10151" xr:uid="{00000000-0005-0000-0000-0000FA8D0000}"/>
    <cellStyle name="Normal 2 2 8 3" xfId="8036" xr:uid="{00000000-0005-0000-0000-0000FB8D0000}"/>
    <cellStyle name="Normal 2 2 8 3 2" xfId="10933" xr:uid="{00000000-0005-0000-0000-0000FC8D0000}"/>
    <cellStyle name="Normal 2 2 8 4" xfId="9493" xr:uid="{00000000-0005-0000-0000-0000FD8D0000}"/>
    <cellStyle name="Normal 2 2 8 5" xfId="6541" xr:uid="{00000000-0005-0000-0000-0000FE8D0000}"/>
    <cellStyle name="Normal 2 2 8 6" xfId="23445" xr:uid="{00000000-0005-0000-0000-0000FF8D0000}"/>
    <cellStyle name="Normal 2 2 9" xfId="1150" xr:uid="{00000000-0005-0000-0000-0000008E0000}"/>
    <cellStyle name="Normal 2 2 9 2" xfId="6984" xr:uid="{00000000-0005-0000-0000-0000018E0000}"/>
    <cellStyle name="Normal 2 2 9 2 2" xfId="8461" xr:uid="{00000000-0005-0000-0000-0000028E0000}"/>
    <cellStyle name="Normal 2 2 9 2 2 2" xfId="11358" xr:uid="{00000000-0005-0000-0000-0000038E0000}"/>
    <cellStyle name="Normal 2 2 9 2 3" xfId="9918" xr:uid="{00000000-0005-0000-0000-0000048E0000}"/>
    <cellStyle name="Normal 2 2 9 2 4" xfId="42468" xr:uid="{00000000-0005-0000-0000-0000058E0000}"/>
    <cellStyle name="Normal 2 2 9 3" xfId="7802" xr:uid="{00000000-0005-0000-0000-0000068E0000}"/>
    <cellStyle name="Normal 2 2 9 3 2" xfId="10700" xr:uid="{00000000-0005-0000-0000-0000078E0000}"/>
    <cellStyle name="Normal 2 2 9 4" xfId="9260" xr:uid="{00000000-0005-0000-0000-0000088E0000}"/>
    <cellStyle name="Normal 2 2 9 5" xfId="6304" xr:uid="{00000000-0005-0000-0000-0000098E0000}"/>
    <cellStyle name="Normal 2 2 9 6" xfId="22899" xr:uid="{00000000-0005-0000-0000-00000A8E0000}"/>
    <cellStyle name="Normal 2 20" xfId="3326" xr:uid="{00000000-0005-0000-0000-00000B8E0000}"/>
    <cellStyle name="Normal 2 20 2" xfId="3327" xr:uid="{00000000-0005-0000-0000-00000C8E0000}"/>
    <cellStyle name="Normal 2 21" xfId="3328" xr:uid="{00000000-0005-0000-0000-00000D8E0000}"/>
    <cellStyle name="Normal 2 21 2" xfId="3329" xr:uid="{00000000-0005-0000-0000-00000E8E0000}"/>
    <cellStyle name="Normal 2 22" xfId="3330" xr:uid="{00000000-0005-0000-0000-00000F8E0000}"/>
    <cellStyle name="Normal 2 22 2" xfId="3331" xr:uid="{00000000-0005-0000-0000-0000108E0000}"/>
    <cellStyle name="Normal 2 23" xfId="3332" xr:uid="{00000000-0005-0000-0000-0000118E0000}"/>
    <cellStyle name="Normal 2 23 2" xfId="3333" xr:uid="{00000000-0005-0000-0000-0000128E0000}"/>
    <cellStyle name="Normal 2 24" xfId="3334" xr:uid="{00000000-0005-0000-0000-0000138E0000}"/>
    <cellStyle name="Normal 2 24 2" xfId="3335" xr:uid="{00000000-0005-0000-0000-0000148E0000}"/>
    <cellStyle name="Normal 2 24 2 2" xfId="3336" xr:uid="{00000000-0005-0000-0000-0000158E0000}"/>
    <cellStyle name="Normal 2 24 3" xfId="3337" xr:uid="{00000000-0005-0000-0000-0000168E0000}"/>
    <cellStyle name="Normal 2 24 4" xfId="3338" xr:uid="{00000000-0005-0000-0000-0000178E0000}"/>
    <cellStyle name="Normal 2 25" xfId="3339" xr:uid="{00000000-0005-0000-0000-0000188E0000}"/>
    <cellStyle name="Normal 2 25 2" xfId="3340" xr:uid="{00000000-0005-0000-0000-0000198E0000}"/>
    <cellStyle name="Normal 2 26" xfId="3341" xr:uid="{00000000-0005-0000-0000-00001A8E0000}"/>
    <cellStyle name="Normal 2 26 2" xfId="3342" xr:uid="{00000000-0005-0000-0000-00001B8E0000}"/>
    <cellStyle name="Normal 2 27" xfId="3343" xr:uid="{00000000-0005-0000-0000-00001C8E0000}"/>
    <cellStyle name="Normal 2 27 2" xfId="3344" xr:uid="{00000000-0005-0000-0000-00001D8E0000}"/>
    <cellStyle name="Normal 2 28" xfId="3345" xr:uid="{00000000-0005-0000-0000-00001E8E0000}"/>
    <cellStyle name="Normal 2 28 2" xfId="3346" xr:uid="{00000000-0005-0000-0000-00001F8E0000}"/>
    <cellStyle name="Normal 2 29" xfId="3347" xr:uid="{00000000-0005-0000-0000-0000208E0000}"/>
    <cellStyle name="Normal 2 29 2" xfId="3348" xr:uid="{00000000-0005-0000-0000-0000218E0000}"/>
    <cellStyle name="Normal 2 3" xfId="1151" xr:uid="{00000000-0005-0000-0000-0000228E0000}"/>
    <cellStyle name="Normal 2 3 2" xfId="3350" xr:uid="{00000000-0005-0000-0000-0000238E0000}"/>
    <cellStyle name="Normal 2 3 2 10" xfId="13275" xr:uid="{00000000-0005-0000-0000-0000248E0000}"/>
    <cellStyle name="Normal 2 3 2 2" xfId="14182" xr:uid="{00000000-0005-0000-0000-0000258E0000}"/>
    <cellStyle name="Normal 2 3 2 2 2" xfId="16446" xr:uid="{00000000-0005-0000-0000-0000268E0000}"/>
    <cellStyle name="Normal 2 3 2 2 2 2" xfId="20910" xr:uid="{00000000-0005-0000-0000-0000278E0000}"/>
    <cellStyle name="Normal 2 3 2 2 2 2 2" xfId="31278" xr:uid="{00000000-0005-0000-0000-0000288E0000}"/>
    <cellStyle name="Normal 2 3 2 2 2 2 2 2" xfId="50467" xr:uid="{00000000-0005-0000-0000-0000298E0000}"/>
    <cellStyle name="Normal 2 3 2 2 2 2 3" xfId="40769" xr:uid="{00000000-0005-0000-0000-00002A8E0000}"/>
    <cellStyle name="Normal 2 3 2 2 2 3" xfId="26823" xr:uid="{00000000-0005-0000-0000-00002B8E0000}"/>
    <cellStyle name="Normal 2 3 2 2 2 3 2" xfId="46012" xr:uid="{00000000-0005-0000-0000-00002C8E0000}"/>
    <cellStyle name="Normal 2 3 2 2 2 4" xfId="36314" xr:uid="{00000000-0005-0000-0000-00002D8E0000}"/>
    <cellStyle name="Normal 2 3 2 2 3" xfId="18682" xr:uid="{00000000-0005-0000-0000-00002E8E0000}"/>
    <cellStyle name="Normal 2 3 2 2 3 2" xfId="29050" xr:uid="{00000000-0005-0000-0000-00002F8E0000}"/>
    <cellStyle name="Normal 2 3 2 2 3 2 2" xfId="48239" xr:uid="{00000000-0005-0000-0000-0000308E0000}"/>
    <cellStyle name="Normal 2 3 2 2 3 3" xfId="38541" xr:uid="{00000000-0005-0000-0000-0000318E0000}"/>
    <cellStyle name="Normal 2 3 2 2 4" xfId="24590" xr:uid="{00000000-0005-0000-0000-0000328E0000}"/>
    <cellStyle name="Normal 2 3 2 2 4 2" xfId="43784" xr:uid="{00000000-0005-0000-0000-0000338E0000}"/>
    <cellStyle name="Normal 2 3 2 2 5" xfId="34086" xr:uid="{00000000-0005-0000-0000-0000348E0000}"/>
    <cellStyle name="Normal 2 3 2 3" xfId="14761" xr:uid="{00000000-0005-0000-0000-0000358E0000}"/>
    <cellStyle name="Normal 2 3 2 3 2" xfId="15890" xr:uid="{00000000-0005-0000-0000-0000368E0000}"/>
    <cellStyle name="Normal 2 3 2 3 2 2" xfId="20354" xr:uid="{00000000-0005-0000-0000-0000378E0000}"/>
    <cellStyle name="Normal 2 3 2 3 2 2 2" xfId="30722" xr:uid="{00000000-0005-0000-0000-0000388E0000}"/>
    <cellStyle name="Normal 2 3 2 3 2 2 2 2" xfId="49911" xr:uid="{00000000-0005-0000-0000-0000398E0000}"/>
    <cellStyle name="Normal 2 3 2 3 2 2 3" xfId="40213" xr:uid="{00000000-0005-0000-0000-00003A8E0000}"/>
    <cellStyle name="Normal 2 3 2 3 2 3" xfId="26267" xr:uid="{00000000-0005-0000-0000-00003B8E0000}"/>
    <cellStyle name="Normal 2 3 2 3 2 3 2" xfId="45456" xr:uid="{00000000-0005-0000-0000-00003C8E0000}"/>
    <cellStyle name="Normal 2 3 2 3 2 4" xfId="35758" xr:uid="{00000000-0005-0000-0000-00003D8E0000}"/>
    <cellStyle name="Normal 2 3 2 3 3" xfId="19239" xr:uid="{00000000-0005-0000-0000-00003E8E0000}"/>
    <cellStyle name="Normal 2 3 2 3 3 2" xfId="29607" xr:uid="{00000000-0005-0000-0000-00003F8E0000}"/>
    <cellStyle name="Normal 2 3 2 3 3 2 2" xfId="48796" xr:uid="{00000000-0005-0000-0000-0000408E0000}"/>
    <cellStyle name="Normal 2 3 2 3 3 3" xfId="39098" xr:uid="{00000000-0005-0000-0000-0000418E0000}"/>
    <cellStyle name="Normal 2 3 2 3 4" xfId="25152" xr:uid="{00000000-0005-0000-0000-0000428E0000}"/>
    <cellStyle name="Normal 2 3 2 3 4 2" xfId="44341" xr:uid="{00000000-0005-0000-0000-0000438E0000}"/>
    <cellStyle name="Normal 2 3 2 3 5" xfId="34643" xr:uid="{00000000-0005-0000-0000-0000448E0000}"/>
    <cellStyle name="Normal 2 3 2 4" xfId="15333" xr:uid="{00000000-0005-0000-0000-0000458E0000}"/>
    <cellStyle name="Normal 2 3 2 4 2" xfId="19797" xr:uid="{00000000-0005-0000-0000-0000468E0000}"/>
    <cellStyle name="Normal 2 3 2 4 2 2" xfId="30165" xr:uid="{00000000-0005-0000-0000-0000478E0000}"/>
    <cellStyle name="Normal 2 3 2 4 2 2 2" xfId="49354" xr:uid="{00000000-0005-0000-0000-0000488E0000}"/>
    <cellStyle name="Normal 2 3 2 4 2 3" xfId="39656" xr:uid="{00000000-0005-0000-0000-0000498E0000}"/>
    <cellStyle name="Normal 2 3 2 4 3" xfId="25710" xr:uid="{00000000-0005-0000-0000-00004A8E0000}"/>
    <cellStyle name="Normal 2 3 2 4 3 2" xfId="44899" xr:uid="{00000000-0005-0000-0000-00004B8E0000}"/>
    <cellStyle name="Normal 2 3 2 4 4" xfId="35201" xr:uid="{00000000-0005-0000-0000-00004C8E0000}"/>
    <cellStyle name="Normal 2 3 2 5" xfId="17003" xr:uid="{00000000-0005-0000-0000-00004D8E0000}"/>
    <cellStyle name="Normal 2 3 2 5 2" xfId="21467" xr:uid="{00000000-0005-0000-0000-00004E8E0000}"/>
    <cellStyle name="Normal 2 3 2 5 2 2" xfId="31835" xr:uid="{00000000-0005-0000-0000-00004F8E0000}"/>
    <cellStyle name="Normal 2 3 2 5 2 2 2" xfId="51024" xr:uid="{00000000-0005-0000-0000-0000508E0000}"/>
    <cellStyle name="Normal 2 3 2 5 2 3" xfId="41326" xr:uid="{00000000-0005-0000-0000-0000518E0000}"/>
    <cellStyle name="Normal 2 3 2 5 3" xfId="27380" xr:uid="{00000000-0005-0000-0000-0000528E0000}"/>
    <cellStyle name="Normal 2 3 2 5 3 2" xfId="46569" xr:uid="{00000000-0005-0000-0000-0000538E0000}"/>
    <cellStyle name="Normal 2 3 2 5 4" xfId="36871" xr:uid="{00000000-0005-0000-0000-0000548E0000}"/>
    <cellStyle name="Normal 2 3 2 6" xfId="17569" xr:uid="{00000000-0005-0000-0000-0000558E0000}"/>
    <cellStyle name="Normal 2 3 2 6 2" xfId="22024" xr:uid="{00000000-0005-0000-0000-0000568E0000}"/>
    <cellStyle name="Normal 2 3 2 6 2 2" xfId="32392" xr:uid="{00000000-0005-0000-0000-0000578E0000}"/>
    <cellStyle name="Normal 2 3 2 6 2 2 2" xfId="51581" xr:uid="{00000000-0005-0000-0000-0000588E0000}"/>
    <cellStyle name="Normal 2 3 2 6 2 3" xfId="41883" xr:uid="{00000000-0005-0000-0000-0000598E0000}"/>
    <cellStyle name="Normal 2 3 2 6 3" xfId="27937" xr:uid="{00000000-0005-0000-0000-00005A8E0000}"/>
    <cellStyle name="Normal 2 3 2 6 3 2" xfId="47126" xr:uid="{00000000-0005-0000-0000-00005B8E0000}"/>
    <cellStyle name="Normal 2 3 2 6 4" xfId="37428" xr:uid="{00000000-0005-0000-0000-00005C8E0000}"/>
    <cellStyle name="Normal 2 3 2 7" xfId="18126" xr:uid="{00000000-0005-0000-0000-00005D8E0000}"/>
    <cellStyle name="Normal 2 3 2 7 2" xfId="28494" xr:uid="{00000000-0005-0000-0000-00005E8E0000}"/>
    <cellStyle name="Normal 2 3 2 7 2 2" xfId="47683" xr:uid="{00000000-0005-0000-0000-00005F8E0000}"/>
    <cellStyle name="Normal 2 3 2 7 3" xfId="37985" xr:uid="{00000000-0005-0000-0000-0000608E0000}"/>
    <cellStyle name="Normal 2 3 2 8" xfId="23989" xr:uid="{00000000-0005-0000-0000-0000618E0000}"/>
    <cellStyle name="Normal 2 3 2 8 2" xfId="43228" xr:uid="{00000000-0005-0000-0000-0000628E0000}"/>
    <cellStyle name="Normal 2 3 2 9" xfId="33530" xr:uid="{00000000-0005-0000-0000-0000638E0000}"/>
    <cellStyle name="Normal 2 3 3" xfId="3351" xr:uid="{00000000-0005-0000-0000-0000648E0000}"/>
    <cellStyle name="Normal 2 3 4" xfId="3349" xr:uid="{00000000-0005-0000-0000-0000658E0000}"/>
    <cellStyle name="Normal 2 3 4 2" xfId="22521" xr:uid="{00000000-0005-0000-0000-0000668E0000}"/>
    <cellStyle name="Normal 2 3 5" xfId="6098" xr:uid="{00000000-0005-0000-0000-0000678E0000}"/>
    <cellStyle name="Normal 2 3 5 2" xfId="23447" xr:uid="{00000000-0005-0000-0000-0000688E0000}"/>
    <cellStyle name="Normal 2 3 6" xfId="12497" xr:uid="{00000000-0005-0000-0000-0000698E0000}"/>
    <cellStyle name="Normal 2 30" xfId="3352" xr:uid="{00000000-0005-0000-0000-00006A8E0000}"/>
    <cellStyle name="Normal 2 30 2" xfId="3353" xr:uid="{00000000-0005-0000-0000-00006B8E0000}"/>
    <cellStyle name="Normal 2 31" xfId="3354" xr:uid="{00000000-0005-0000-0000-00006C8E0000}"/>
    <cellStyle name="Normal 2 31 2" xfId="3355" xr:uid="{00000000-0005-0000-0000-00006D8E0000}"/>
    <cellStyle name="Normal 2 32" xfId="3356" xr:uid="{00000000-0005-0000-0000-00006E8E0000}"/>
    <cellStyle name="Normal 2 33" xfId="3357" xr:uid="{00000000-0005-0000-0000-00006F8E0000}"/>
    <cellStyle name="Normal 2 34" xfId="3358" xr:uid="{00000000-0005-0000-0000-0000708E0000}"/>
    <cellStyle name="Normal 2 35" xfId="3359" xr:uid="{00000000-0005-0000-0000-0000718E0000}"/>
    <cellStyle name="Normal 2 36" xfId="3360" xr:uid="{00000000-0005-0000-0000-0000728E0000}"/>
    <cellStyle name="Normal 2 37" xfId="3361" xr:uid="{00000000-0005-0000-0000-0000738E0000}"/>
    <cellStyle name="Normal 2 38" xfId="3362" xr:uid="{00000000-0005-0000-0000-0000748E0000}"/>
    <cellStyle name="Normal 2 39" xfId="3363" xr:uid="{00000000-0005-0000-0000-0000758E0000}"/>
    <cellStyle name="Normal 2 4" xfId="1152" xr:uid="{00000000-0005-0000-0000-0000768E0000}"/>
    <cellStyle name="Normal 2 4 2" xfId="3364" xr:uid="{00000000-0005-0000-0000-0000778E0000}"/>
    <cellStyle name="Normal 2 4 2 10" xfId="13424" xr:uid="{00000000-0005-0000-0000-0000788E0000}"/>
    <cellStyle name="Normal 2 4 2 2" xfId="14302" xr:uid="{00000000-0005-0000-0000-0000798E0000}"/>
    <cellStyle name="Normal 2 4 2 2 2" xfId="16565" xr:uid="{00000000-0005-0000-0000-00007A8E0000}"/>
    <cellStyle name="Normal 2 4 2 2 2 2" xfId="21029" xr:uid="{00000000-0005-0000-0000-00007B8E0000}"/>
    <cellStyle name="Normal 2 4 2 2 2 2 2" xfId="31397" xr:uid="{00000000-0005-0000-0000-00007C8E0000}"/>
    <cellStyle name="Normal 2 4 2 2 2 2 2 2" xfId="50586" xr:uid="{00000000-0005-0000-0000-00007D8E0000}"/>
    <cellStyle name="Normal 2 4 2 2 2 2 3" xfId="40888" xr:uid="{00000000-0005-0000-0000-00007E8E0000}"/>
    <cellStyle name="Normal 2 4 2 2 2 3" xfId="26942" xr:uid="{00000000-0005-0000-0000-00007F8E0000}"/>
    <cellStyle name="Normal 2 4 2 2 2 3 2" xfId="46131" xr:uid="{00000000-0005-0000-0000-0000808E0000}"/>
    <cellStyle name="Normal 2 4 2 2 2 4" xfId="36433" xr:uid="{00000000-0005-0000-0000-0000818E0000}"/>
    <cellStyle name="Normal 2 4 2 2 3" xfId="18801" xr:uid="{00000000-0005-0000-0000-0000828E0000}"/>
    <cellStyle name="Normal 2 4 2 2 3 2" xfId="29169" xr:uid="{00000000-0005-0000-0000-0000838E0000}"/>
    <cellStyle name="Normal 2 4 2 2 3 2 2" xfId="48358" xr:uid="{00000000-0005-0000-0000-0000848E0000}"/>
    <cellStyle name="Normal 2 4 2 2 3 3" xfId="38660" xr:uid="{00000000-0005-0000-0000-0000858E0000}"/>
    <cellStyle name="Normal 2 4 2 2 4" xfId="24709" xr:uid="{00000000-0005-0000-0000-0000868E0000}"/>
    <cellStyle name="Normal 2 4 2 2 4 2" xfId="43903" xr:uid="{00000000-0005-0000-0000-0000878E0000}"/>
    <cellStyle name="Normal 2 4 2 2 5" xfId="34205" xr:uid="{00000000-0005-0000-0000-0000888E0000}"/>
    <cellStyle name="Normal 2 4 2 3" xfId="14881" xr:uid="{00000000-0005-0000-0000-0000898E0000}"/>
    <cellStyle name="Normal 2 4 2 3 2" xfId="16009" xr:uid="{00000000-0005-0000-0000-00008A8E0000}"/>
    <cellStyle name="Normal 2 4 2 3 2 2" xfId="20473" xr:uid="{00000000-0005-0000-0000-00008B8E0000}"/>
    <cellStyle name="Normal 2 4 2 3 2 2 2" xfId="30841" xr:uid="{00000000-0005-0000-0000-00008C8E0000}"/>
    <cellStyle name="Normal 2 4 2 3 2 2 2 2" xfId="50030" xr:uid="{00000000-0005-0000-0000-00008D8E0000}"/>
    <cellStyle name="Normal 2 4 2 3 2 2 3" xfId="40332" xr:uid="{00000000-0005-0000-0000-00008E8E0000}"/>
    <cellStyle name="Normal 2 4 2 3 2 3" xfId="26386" xr:uid="{00000000-0005-0000-0000-00008F8E0000}"/>
    <cellStyle name="Normal 2 4 2 3 2 3 2" xfId="45575" xr:uid="{00000000-0005-0000-0000-0000908E0000}"/>
    <cellStyle name="Normal 2 4 2 3 2 4" xfId="35877" xr:uid="{00000000-0005-0000-0000-0000918E0000}"/>
    <cellStyle name="Normal 2 4 2 3 3" xfId="19358" xr:uid="{00000000-0005-0000-0000-0000928E0000}"/>
    <cellStyle name="Normal 2 4 2 3 3 2" xfId="29726" xr:uid="{00000000-0005-0000-0000-0000938E0000}"/>
    <cellStyle name="Normal 2 4 2 3 3 2 2" xfId="48915" xr:uid="{00000000-0005-0000-0000-0000948E0000}"/>
    <cellStyle name="Normal 2 4 2 3 3 3" xfId="39217" xr:uid="{00000000-0005-0000-0000-0000958E0000}"/>
    <cellStyle name="Normal 2 4 2 3 4" xfId="25271" xr:uid="{00000000-0005-0000-0000-0000968E0000}"/>
    <cellStyle name="Normal 2 4 2 3 4 2" xfId="44460" xr:uid="{00000000-0005-0000-0000-0000978E0000}"/>
    <cellStyle name="Normal 2 4 2 3 5" xfId="34762" xr:uid="{00000000-0005-0000-0000-0000988E0000}"/>
    <cellStyle name="Normal 2 4 2 4" xfId="15452" xr:uid="{00000000-0005-0000-0000-0000998E0000}"/>
    <cellStyle name="Normal 2 4 2 4 2" xfId="19916" xr:uid="{00000000-0005-0000-0000-00009A8E0000}"/>
    <cellStyle name="Normal 2 4 2 4 2 2" xfId="30284" xr:uid="{00000000-0005-0000-0000-00009B8E0000}"/>
    <cellStyle name="Normal 2 4 2 4 2 2 2" xfId="49473" xr:uid="{00000000-0005-0000-0000-00009C8E0000}"/>
    <cellStyle name="Normal 2 4 2 4 2 3" xfId="39775" xr:uid="{00000000-0005-0000-0000-00009D8E0000}"/>
    <cellStyle name="Normal 2 4 2 4 3" xfId="25829" xr:uid="{00000000-0005-0000-0000-00009E8E0000}"/>
    <cellStyle name="Normal 2 4 2 4 3 2" xfId="45018" xr:uid="{00000000-0005-0000-0000-00009F8E0000}"/>
    <cellStyle name="Normal 2 4 2 4 4" xfId="35320" xr:uid="{00000000-0005-0000-0000-0000A08E0000}"/>
    <cellStyle name="Normal 2 4 2 5" xfId="17122" xr:uid="{00000000-0005-0000-0000-0000A18E0000}"/>
    <cellStyle name="Normal 2 4 2 5 2" xfId="21586" xr:uid="{00000000-0005-0000-0000-0000A28E0000}"/>
    <cellStyle name="Normal 2 4 2 5 2 2" xfId="31954" xr:uid="{00000000-0005-0000-0000-0000A38E0000}"/>
    <cellStyle name="Normal 2 4 2 5 2 2 2" xfId="51143" xr:uid="{00000000-0005-0000-0000-0000A48E0000}"/>
    <cellStyle name="Normal 2 4 2 5 2 3" xfId="41445" xr:uid="{00000000-0005-0000-0000-0000A58E0000}"/>
    <cellStyle name="Normal 2 4 2 5 3" xfId="27499" xr:uid="{00000000-0005-0000-0000-0000A68E0000}"/>
    <cellStyle name="Normal 2 4 2 5 3 2" xfId="46688" xr:uid="{00000000-0005-0000-0000-0000A78E0000}"/>
    <cellStyle name="Normal 2 4 2 5 4" xfId="36990" xr:uid="{00000000-0005-0000-0000-0000A88E0000}"/>
    <cellStyle name="Normal 2 4 2 6" xfId="17688" xr:uid="{00000000-0005-0000-0000-0000A98E0000}"/>
    <cellStyle name="Normal 2 4 2 6 2" xfId="22143" xr:uid="{00000000-0005-0000-0000-0000AA8E0000}"/>
    <cellStyle name="Normal 2 4 2 6 2 2" xfId="32511" xr:uid="{00000000-0005-0000-0000-0000AB8E0000}"/>
    <cellStyle name="Normal 2 4 2 6 2 2 2" xfId="51700" xr:uid="{00000000-0005-0000-0000-0000AC8E0000}"/>
    <cellStyle name="Normal 2 4 2 6 2 3" xfId="42002" xr:uid="{00000000-0005-0000-0000-0000AD8E0000}"/>
    <cellStyle name="Normal 2 4 2 6 3" xfId="28056" xr:uid="{00000000-0005-0000-0000-0000AE8E0000}"/>
    <cellStyle name="Normal 2 4 2 6 3 2" xfId="47245" xr:uid="{00000000-0005-0000-0000-0000AF8E0000}"/>
    <cellStyle name="Normal 2 4 2 6 4" xfId="37547" xr:uid="{00000000-0005-0000-0000-0000B08E0000}"/>
    <cellStyle name="Normal 2 4 2 7" xfId="18245" xr:uid="{00000000-0005-0000-0000-0000B18E0000}"/>
    <cellStyle name="Normal 2 4 2 7 2" xfId="28613" xr:uid="{00000000-0005-0000-0000-0000B28E0000}"/>
    <cellStyle name="Normal 2 4 2 7 2 2" xfId="47802" xr:uid="{00000000-0005-0000-0000-0000B38E0000}"/>
    <cellStyle name="Normal 2 4 2 7 3" xfId="38104" xr:uid="{00000000-0005-0000-0000-0000B48E0000}"/>
    <cellStyle name="Normal 2 4 2 8" xfId="24116" xr:uid="{00000000-0005-0000-0000-0000B58E0000}"/>
    <cellStyle name="Normal 2 4 2 8 2" xfId="43347" xr:uid="{00000000-0005-0000-0000-0000B68E0000}"/>
    <cellStyle name="Normal 2 4 2 9" xfId="33649" xr:uid="{00000000-0005-0000-0000-0000B78E0000}"/>
    <cellStyle name="Normal 2 4 3" xfId="3365" xr:uid="{00000000-0005-0000-0000-0000B88E0000}"/>
    <cellStyle name="Normal 2 4 4" xfId="3366" xr:uid="{00000000-0005-0000-0000-0000B98E0000}"/>
    <cellStyle name="Normal 2 4 4 2" xfId="23448" xr:uid="{00000000-0005-0000-0000-0000BA8E0000}"/>
    <cellStyle name="Normal 2 4 5" xfId="12498" xr:uid="{00000000-0005-0000-0000-0000BB8E0000}"/>
    <cellStyle name="Normal 2 40" xfId="3367" xr:uid="{00000000-0005-0000-0000-0000BC8E0000}"/>
    <cellStyle name="Normal 2 41" xfId="3368" xr:uid="{00000000-0005-0000-0000-0000BD8E0000}"/>
    <cellStyle name="Normal 2 42" xfId="3369" xr:uid="{00000000-0005-0000-0000-0000BE8E0000}"/>
    <cellStyle name="Normal 2 43" xfId="3370" xr:uid="{00000000-0005-0000-0000-0000BF8E0000}"/>
    <cellStyle name="Normal 2 44" xfId="3371" xr:uid="{00000000-0005-0000-0000-0000C08E0000}"/>
    <cellStyle name="Normal 2 45" xfId="3372" xr:uid="{00000000-0005-0000-0000-0000C18E0000}"/>
    <cellStyle name="Normal 2 46" xfId="3373" xr:uid="{00000000-0005-0000-0000-0000C28E0000}"/>
    <cellStyle name="Normal 2 47" xfId="3374" xr:uid="{00000000-0005-0000-0000-0000C38E0000}"/>
    <cellStyle name="Normal 2 48" xfId="3290" xr:uid="{00000000-0005-0000-0000-0000C48E0000}"/>
    <cellStyle name="Normal 2 49" xfId="6002" xr:uid="{00000000-0005-0000-0000-0000C58E0000}"/>
    <cellStyle name="Normal 2 5" xfId="3375" xr:uid="{00000000-0005-0000-0000-0000C68E0000}"/>
    <cellStyle name="Normal 2 5 2" xfId="3376" xr:uid="{00000000-0005-0000-0000-0000C78E0000}"/>
    <cellStyle name="Normal 2 5 2 2" xfId="32814" xr:uid="{00000000-0005-0000-0000-0000C88E0000}"/>
    <cellStyle name="Normal 2 5 2 2 2" xfId="52001" xr:uid="{00000000-0005-0000-0000-0000C98E0000}"/>
    <cellStyle name="Normal 2 5 2 3" xfId="42303" xr:uid="{00000000-0005-0000-0000-0000CA8E0000}"/>
    <cellStyle name="Normal 2 5 2 4" xfId="22728" xr:uid="{00000000-0005-0000-0000-0000CB8E0000}"/>
    <cellStyle name="Normal 2 5 3" xfId="3377" xr:uid="{00000000-0005-0000-0000-0000CC8E0000}"/>
    <cellStyle name="Normal 2 5 3 2" xfId="23514" xr:uid="{00000000-0005-0000-0000-0000CD8E0000}"/>
    <cellStyle name="Normal 2 5 4" xfId="6061" xr:uid="{00000000-0005-0000-0000-0000CE8E0000}"/>
    <cellStyle name="Normal 2 5 4 2" xfId="42656" xr:uid="{00000000-0005-0000-0000-0000CF8E0000}"/>
    <cellStyle name="Normal 2 5 4 3" xfId="23087" xr:uid="{00000000-0005-0000-0000-0000D08E0000}"/>
    <cellStyle name="Normal 2 5 5" xfId="12616" xr:uid="{00000000-0005-0000-0000-0000D18E0000}"/>
    <cellStyle name="Normal 2 50" xfId="6005" xr:uid="{00000000-0005-0000-0000-0000D28E0000}"/>
    <cellStyle name="Normal 2 6" xfId="3378" xr:uid="{00000000-0005-0000-0000-0000D38E0000}"/>
    <cellStyle name="Normal 2 6 2" xfId="3379" xr:uid="{00000000-0005-0000-0000-0000D48E0000}"/>
    <cellStyle name="Normal 2 6 2 2" xfId="32833" xr:uid="{00000000-0005-0000-0000-0000D58E0000}"/>
    <cellStyle name="Normal 2 6 2 2 2" xfId="52019" xr:uid="{00000000-0005-0000-0000-0000D68E0000}"/>
    <cellStyle name="Normal 2 6 2 3" xfId="42321" xr:uid="{00000000-0005-0000-0000-0000D78E0000}"/>
    <cellStyle name="Normal 2 6 2 4" xfId="22749" xr:uid="{00000000-0005-0000-0000-0000D88E0000}"/>
    <cellStyle name="Normal 2 6 3" xfId="23638" xr:uid="{00000000-0005-0000-0000-0000D98E0000}"/>
    <cellStyle name="Normal 2 6 4" xfId="23106" xr:uid="{00000000-0005-0000-0000-0000DA8E0000}"/>
    <cellStyle name="Normal 2 6 4 2" xfId="42674" xr:uid="{00000000-0005-0000-0000-0000DB8E0000}"/>
    <cellStyle name="Normal 2 6 5" xfId="12870" xr:uid="{00000000-0005-0000-0000-0000DC8E0000}"/>
    <cellStyle name="Normal 2 7" xfId="3380" xr:uid="{00000000-0005-0000-0000-0000DD8E0000}"/>
    <cellStyle name="Normal 2 7 2" xfId="3381" xr:uid="{00000000-0005-0000-0000-0000DE8E0000}"/>
    <cellStyle name="Normal 2 7 3" xfId="12494" xr:uid="{00000000-0005-0000-0000-0000DF8E0000}"/>
    <cellStyle name="Normal 2 8" xfId="3382" xr:uid="{00000000-0005-0000-0000-0000E08E0000}"/>
    <cellStyle name="Normal 2 8 2" xfId="3383" xr:uid="{00000000-0005-0000-0000-0000E18E0000}"/>
    <cellStyle name="Normal 2 8 3" xfId="22456" xr:uid="{00000000-0005-0000-0000-0000E28E0000}"/>
    <cellStyle name="Normal 2 9" xfId="3384" xr:uid="{00000000-0005-0000-0000-0000E38E0000}"/>
    <cellStyle name="Normal 2 9 2" xfId="3385" xr:uid="{00000000-0005-0000-0000-0000E48E0000}"/>
    <cellStyle name="Normal 20" xfId="16" xr:uid="{00000000-0005-0000-0000-0000E58E0000}"/>
    <cellStyle name="Normal 20 10" xfId="23990" xr:uid="{00000000-0005-0000-0000-0000E68E0000}"/>
    <cellStyle name="Normal 20 10 2" xfId="43229" xr:uid="{00000000-0005-0000-0000-0000E78E0000}"/>
    <cellStyle name="Normal 20 11" xfId="33531" xr:uid="{00000000-0005-0000-0000-0000E88E0000}"/>
    <cellStyle name="Normal 20 12" xfId="52555" xr:uid="{00000000-0005-0000-0000-0000E98E0000}"/>
    <cellStyle name="Normal 20 13" xfId="13276" xr:uid="{00000000-0005-0000-0000-0000EA8E0000}"/>
    <cellStyle name="Normal 20 2" xfId="3386" xr:uid="{00000000-0005-0000-0000-0000EB8E0000}"/>
    <cellStyle name="Normal 20 2 10" xfId="52755" xr:uid="{00000000-0005-0000-0000-0000EC8E0000}"/>
    <cellStyle name="Normal 20 2 11" xfId="13277" xr:uid="{00000000-0005-0000-0000-0000ED8E0000}"/>
    <cellStyle name="Normal 20 2 2" xfId="14184" xr:uid="{00000000-0005-0000-0000-0000EE8E0000}"/>
    <cellStyle name="Normal 20 2 2 2" xfId="16448" xr:uid="{00000000-0005-0000-0000-0000EF8E0000}"/>
    <cellStyle name="Normal 20 2 2 2 2" xfId="20912" xr:uid="{00000000-0005-0000-0000-0000F08E0000}"/>
    <cellStyle name="Normal 20 2 2 2 2 2" xfId="31280" xr:uid="{00000000-0005-0000-0000-0000F18E0000}"/>
    <cellStyle name="Normal 20 2 2 2 2 2 2" xfId="50469" xr:uid="{00000000-0005-0000-0000-0000F28E0000}"/>
    <cellStyle name="Normal 20 2 2 2 2 3" xfId="40771" xr:uid="{00000000-0005-0000-0000-0000F38E0000}"/>
    <cellStyle name="Normal 20 2 2 2 3" xfId="26825" xr:uid="{00000000-0005-0000-0000-0000F48E0000}"/>
    <cellStyle name="Normal 20 2 2 2 3 2" xfId="46014" xr:uid="{00000000-0005-0000-0000-0000F58E0000}"/>
    <cellStyle name="Normal 20 2 2 2 4" xfId="36316" xr:uid="{00000000-0005-0000-0000-0000F68E0000}"/>
    <cellStyle name="Normal 20 2 2 2 5" xfId="54036" xr:uid="{00000000-0005-0000-0000-0000F78E0000}"/>
    <cellStyle name="Normal 20 2 2 3" xfId="18684" xr:uid="{00000000-0005-0000-0000-0000F88E0000}"/>
    <cellStyle name="Normal 20 2 2 3 2" xfId="29052" xr:uid="{00000000-0005-0000-0000-0000F98E0000}"/>
    <cellStyle name="Normal 20 2 2 3 2 2" xfId="48241" xr:uid="{00000000-0005-0000-0000-0000FA8E0000}"/>
    <cellStyle name="Normal 20 2 2 3 3" xfId="38543" xr:uid="{00000000-0005-0000-0000-0000FB8E0000}"/>
    <cellStyle name="Normal 20 2 2 4" xfId="24592" xr:uid="{00000000-0005-0000-0000-0000FC8E0000}"/>
    <cellStyle name="Normal 20 2 2 4 2" xfId="43786" xr:uid="{00000000-0005-0000-0000-0000FD8E0000}"/>
    <cellStyle name="Normal 20 2 2 5" xfId="34088" xr:uid="{00000000-0005-0000-0000-0000FE8E0000}"/>
    <cellStyle name="Normal 20 2 2 6" xfId="53183" xr:uid="{00000000-0005-0000-0000-0000FF8E0000}"/>
    <cellStyle name="Normal 20 2 3" xfId="14763" xr:uid="{00000000-0005-0000-0000-0000008F0000}"/>
    <cellStyle name="Normal 20 2 3 2" xfId="15892" xr:uid="{00000000-0005-0000-0000-0000018F0000}"/>
    <cellStyle name="Normal 20 2 3 2 2" xfId="20356" xr:uid="{00000000-0005-0000-0000-0000028F0000}"/>
    <cellStyle name="Normal 20 2 3 2 2 2" xfId="30724" xr:uid="{00000000-0005-0000-0000-0000038F0000}"/>
    <cellStyle name="Normal 20 2 3 2 2 2 2" xfId="49913" xr:uid="{00000000-0005-0000-0000-0000048F0000}"/>
    <cellStyle name="Normal 20 2 3 2 2 3" xfId="40215" xr:uid="{00000000-0005-0000-0000-0000058F0000}"/>
    <cellStyle name="Normal 20 2 3 2 3" xfId="26269" xr:uid="{00000000-0005-0000-0000-0000068F0000}"/>
    <cellStyle name="Normal 20 2 3 2 3 2" xfId="45458" xr:uid="{00000000-0005-0000-0000-0000078F0000}"/>
    <cellStyle name="Normal 20 2 3 2 4" xfId="35760" xr:uid="{00000000-0005-0000-0000-0000088F0000}"/>
    <cellStyle name="Normal 20 2 3 3" xfId="19241" xr:uid="{00000000-0005-0000-0000-0000098F0000}"/>
    <cellStyle name="Normal 20 2 3 3 2" xfId="29609" xr:uid="{00000000-0005-0000-0000-00000A8F0000}"/>
    <cellStyle name="Normal 20 2 3 3 2 2" xfId="48798" xr:uid="{00000000-0005-0000-0000-00000B8F0000}"/>
    <cellStyle name="Normal 20 2 3 3 3" xfId="39100" xr:uid="{00000000-0005-0000-0000-00000C8F0000}"/>
    <cellStyle name="Normal 20 2 3 4" xfId="25154" xr:uid="{00000000-0005-0000-0000-00000D8F0000}"/>
    <cellStyle name="Normal 20 2 3 4 2" xfId="44343" xr:uid="{00000000-0005-0000-0000-00000E8F0000}"/>
    <cellStyle name="Normal 20 2 3 5" xfId="34645" xr:uid="{00000000-0005-0000-0000-00000F8F0000}"/>
    <cellStyle name="Normal 20 2 3 6" xfId="53640" xr:uid="{00000000-0005-0000-0000-0000108F0000}"/>
    <cellStyle name="Normal 20 2 4" xfId="15335" xr:uid="{00000000-0005-0000-0000-0000118F0000}"/>
    <cellStyle name="Normal 20 2 4 2" xfId="19799" xr:uid="{00000000-0005-0000-0000-0000128F0000}"/>
    <cellStyle name="Normal 20 2 4 2 2" xfId="30167" xr:uid="{00000000-0005-0000-0000-0000138F0000}"/>
    <cellStyle name="Normal 20 2 4 2 2 2" xfId="49356" xr:uid="{00000000-0005-0000-0000-0000148F0000}"/>
    <cellStyle name="Normal 20 2 4 2 3" xfId="39658" xr:uid="{00000000-0005-0000-0000-0000158F0000}"/>
    <cellStyle name="Normal 20 2 4 3" xfId="25712" xr:uid="{00000000-0005-0000-0000-0000168F0000}"/>
    <cellStyle name="Normal 20 2 4 3 2" xfId="44901" xr:uid="{00000000-0005-0000-0000-0000178F0000}"/>
    <cellStyle name="Normal 20 2 4 4" xfId="35203" xr:uid="{00000000-0005-0000-0000-0000188F0000}"/>
    <cellStyle name="Normal 20 2 5" xfId="17005" xr:uid="{00000000-0005-0000-0000-0000198F0000}"/>
    <cellStyle name="Normal 20 2 5 2" xfId="21469" xr:uid="{00000000-0005-0000-0000-00001A8F0000}"/>
    <cellStyle name="Normal 20 2 5 2 2" xfId="31837" xr:uid="{00000000-0005-0000-0000-00001B8F0000}"/>
    <cellStyle name="Normal 20 2 5 2 2 2" xfId="51026" xr:uid="{00000000-0005-0000-0000-00001C8F0000}"/>
    <cellStyle name="Normal 20 2 5 2 3" xfId="41328" xr:uid="{00000000-0005-0000-0000-00001D8F0000}"/>
    <cellStyle name="Normal 20 2 5 3" xfId="27382" xr:uid="{00000000-0005-0000-0000-00001E8F0000}"/>
    <cellStyle name="Normal 20 2 5 3 2" xfId="46571" xr:uid="{00000000-0005-0000-0000-00001F8F0000}"/>
    <cellStyle name="Normal 20 2 5 4" xfId="36873" xr:uid="{00000000-0005-0000-0000-0000208F0000}"/>
    <cellStyle name="Normal 20 2 6" xfId="17571" xr:uid="{00000000-0005-0000-0000-0000218F0000}"/>
    <cellStyle name="Normal 20 2 6 2" xfId="22026" xr:uid="{00000000-0005-0000-0000-0000228F0000}"/>
    <cellStyle name="Normal 20 2 6 2 2" xfId="32394" xr:uid="{00000000-0005-0000-0000-0000238F0000}"/>
    <cellStyle name="Normal 20 2 6 2 2 2" xfId="51583" xr:uid="{00000000-0005-0000-0000-0000248F0000}"/>
    <cellStyle name="Normal 20 2 6 2 3" xfId="41885" xr:uid="{00000000-0005-0000-0000-0000258F0000}"/>
    <cellStyle name="Normal 20 2 6 3" xfId="27939" xr:uid="{00000000-0005-0000-0000-0000268F0000}"/>
    <cellStyle name="Normal 20 2 6 3 2" xfId="47128" xr:uid="{00000000-0005-0000-0000-0000278F0000}"/>
    <cellStyle name="Normal 20 2 6 4" xfId="37430" xr:uid="{00000000-0005-0000-0000-0000288F0000}"/>
    <cellStyle name="Normal 20 2 7" xfId="18128" xr:uid="{00000000-0005-0000-0000-0000298F0000}"/>
    <cellStyle name="Normal 20 2 7 2" xfId="28496" xr:uid="{00000000-0005-0000-0000-00002A8F0000}"/>
    <cellStyle name="Normal 20 2 7 2 2" xfId="47685" xr:uid="{00000000-0005-0000-0000-00002B8F0000}"/>
    <cellStyle name="Normal 20 2 7 3" xfId="37987" xr:uid="{00000000-0005-0000-0000-00002C8F0000}"/>
    <cellStyle name="Normal 20 2 8" xfId="23991" xr:uid="{00000000-0005-0000-0000-00002D8F0000}"/>
    <cellStyle name="Normal 20 2 8 2" xfId="43230" xr:uid="{00000000-0005-0000-0000-00002E8F0000}"/>
    <cellStyle name="Normal 20 2 9" xfId="33532" xr:uid="{00000000-0005-0000-0000-00002F8F0000}"/>
    <cellStyle name="Normal 20 3" xfId="6062" xr:uid="{00000000-0005-0000-0000-0000308F0000}"/>
    <cellStyle name="Normal 20 3 2" xfId="16447" xr:uid="{00000000-0005-0000-0000-0000318F0000}"/>
    <cellStyle name="Normal 20 3 2 2" xfId="20911" xr:uid="{00000000-0005-0000-0000-0000328F0000}"/>
    <cellStyle name="Normal 20 3 2 2 2" xfId="31279" xr:uid="{00000000-0005-0000-0000-0000338F0000}"/>
    <cellStyle name="Normal 20 3 2 2 2 2" xfId="50468" xr:uid="{00000000-0005-0000-0000-0000348F0000}"/>
    <cellStyle name="Normal 20 3 2 2 3" xfId="40770" xr:uid="{00000000-0005-0000-0000-0000358F0000}"/>
    <cellStyle name="Normal 20 3 2 3" xfId="26824" xr:uid="{00000000-0005-0000-0000-0000368F0000}"/>
    <cellStyle name="Normal 20 3 2 3 2" xfId="46013" xr:uid="{00000000-0005-0000-0000-0000378F0000}"/>
    <cellStyle name="Normal 20 3 2 4" xfId="36315" xr:uid="{00000000-0005-0000-0000-0000388F0000}"/>
    <cellStyle name="Normal 20 3 2 5" xfId="53840" xr:uid="{00000000-0005-0000-0000-0000398F0000}"/>
    <cellStyle name="Normal 20 3 3" xfId="18683" xr:uid="{00000000-0005-0000-0000-00003A8F0000}"/>
    <cellStyle name="Normal 20 3 3 2" xfId="29051" xr:uid="{00000000-0005-0000-0000-00003B8F0000}"/>
    <cellStyle name="Normal 20 3 3 2 2" xfId="48240" xr:uid="{00000000-0005-0000-0000-00003C8F0000}"/>
    <cellStyle name="Normal 20 3 3 3" xfId="38542" xr:uid="{00000000-0005-0000-0000-00003D8F0000}"/>
    <cellStyle name="Normal 20 3 4" xfId="24591" xr:uid="{00000000-0005-0000-0000-00003E8F0000}"/>
    <cellStyle name="Normal 20 3 4 2" xfId="43785" xr:uid="{00000000-0005-0000-0000-00003F8F0000}"/>
    <cellStyle name="Normal 20 3 5" xfId="34087" xr:uid="{00000000-0005-0000-0000-0000408F0000}"/>
    <cellStyle name="Normal 20 3 6" xfId="52965" xr:uid="{00000000-0005-0000-0000-0000418F0000}"/>
    <cellStyle name="Normal 20 3 7" xfId="14183" xr:uid="{00000000-0005-0000-0000-0000428F0000}"/>
    <cellStyle name="Normal 20 4" xfId="14762" xr:uid="{00000000-0005-0000-0000-0000438F0000}"/>
    <cellStyle name="Normal 20 4 2" xfId="15891" xr:uid="{00000000-0005-0000-0000-0000448F0000}"/>
    <cellStyle name="Normal 20 4 2 2" xfId="20355" xr:uid="{00000000-0005-0000-0000-0000458F0000}"/>
    <cellStyle name="Normal 20 4 2 2 2" xfId="30723" xr:uid="{00000000-0005-0000-0000-0000468F0000}"/>
    <cellStyle name="Normal 20 4 2 2 2 2" xfId="49912" xr:uid="{00000000-0005-0000-0000-0000478F0000}"/>
    <cellStyle name="Normal 20 4 2 2 3" xfId="40214" xr:uid="{00000000-0005-0000-0000-0000488F0000}"/>
    <cellStyle name="Normal 20 4 2 3" xfId="26268" xr:uid="{00000000-0005-0000-0000-0000498F0000}"/>
    <cellStyle name="Normal 20 4 2 3 2" xfId="45457" xr:uid="{00000000-0005-0000-0000-00004A8F0000}"/>
    <cellStyle name="Normal 20 4 2 4" xfId="35759" xr:uid="{00000000-0005-0000-0000-00004B8F0000}"/>
    <cellStyle name="Normal 20 4 3" xfId="19240" xr:uid="{00000000-0005-0000-0000-00004C8F0000}"/>
    <cellStyle name="Normal 20 4 3 2" xfId="29608" xr:uid="{00000000-0005-0000-0000-00004D8F0000}"/>
    <cellStyle name="Normal 20 4 3 2 2" xfId="48797" xr:uid="{00000000-0005-0000-0000-00004E8F0000}"/>
    <cellStyle name="Normal 20 4 3 3" xfId="39099" xr:uid="{00000000-0005-0000-0000-00004F8F0000}"/>
    <cellStyle name="Normal 20 4 4" xfId="25153" xr:uid="{00000000-0005-0000-0000-0000508F0000}"/>
    <cellStyle name="Normal 20 4 4 2" xfId="44342" xr:uid="{00000000-0005-0000-0000-0000518F0000}"/>
    <cellStyle name="Normal 20 4 5" xfId="34644" xr:uid="{00000000-0005-0000-0000-0000528F0000}"/>
    <cellStyle name="Normal 20 4 6" xfId="53444" xr:uid="{00000000-0005-0000-0000-0000538F0000}"/>
    <cellStyle name="Normal 20 5" xfId="15334" xr:uid="{00000000-0005-0000-0000-0000548F0000}"/>
    <cellStyle name="Normal 20 5 2" xfId="19798" xr:uid="{00000000-0005-0000-0000-0000558F0000}"/>
    <cellStyle name="Normal 20 5 2 2" xfId="30166" xr:uid="{00000000-0005-0000-0000-0000568F0000}"/>
    <cellStyle name="Normal 20 5 2 2 2" xfId="49355" xr:uid="{00000000-0005-0000-0000-0000578F0000}"/>
    <cellStyle name="Normal 20 5 2 3" xfId="39657" xr:uid="{00000000-0005-0000-0000-0000588F0000}"/>
    <cellStyle name="Normal 20 5 3" xfId="25711" xr:uid="{00000000-0005-0000-0000-0000598F0000}"/>
    <cellStyle name="Normal 20 5 3 2" xfId="44900" xr:uid="{00000000-0005-0000-0000-00005A8F0000}"/>
    <cellStyle name="Normal 20 5 4" xfId="35202" xr:uid="{00000000-0005-0000-0000-00005B8F0000}"/>
    <cellStyle name="Normal 20 6" xfId="17004" xr:uid="{00000000-0005-0000-0000-00005C8F0000}"/>
    <cellStyle name="Normal 20 6 2" xfId="21468" xr:uid="{00000000-0005-0000-0000-00005D8F0000}"/>
    <cellStyle name="Normal 20 6 2 2" xfId="31836" xr:uid="{00000000-0005-0000-0000-00005E8F0000}"/>
    <cellStyle name="Normal 20 6 2 2 2" xfId="51025" xr:uid="{00000000-0005-0000-0000-00005F8F0000}"/>
    <cellStyle name="Normal 20 6 2 3" xfId="41327" xr:uid="{00000000-0005-0000-0000-0000608F0000}"/>
    <cellStyle name="Normal 20 6 3" xfId="27381" xr:uid="{00000000-0005-0000-0000-0000618F0000}"/>
    <cellStyle name="Normal 20 6 3 2" xfId="46570" xr:uid="{00000000-0005-0000-0000-0000628F0000}"/>
    <cellStyle name="Normal 20 6 4" xfId="36872" xr:uid="{00000000-0005-0000-0000-0000638F0000}"/>
    <cellStyle name="Normal 20 7" xfId="17570" xr:uid="{00000000-0005-0000-0000-0000648F0000}"/>
    <cellStyle name="Normal 20 7 2" xfId="22025" xr:uid="{00000000-0005-0000-0000-0000658F0000}"/>
    <cellStyle name="Normal 20 7 2 2" xfId="32393" xr:uid="{00000000-0005-0000-0000-0000668F0000}"/>
    <cellStyle name="Normal 20 7 2 2 2" xfId="51582" xr:uid="{00000000-0005-0000-0000-0000678F0000}"/>
    <cellStyle name="Normal 20 7 2 3" xfId="41884" xr:uid="{00000000-0005-0000-0000-0000688F0000}"/>
    <cellStyle name="Normal 20 7 3" xfId="27938" xr:uid="{00000000-0005-0000-0000-0000698F0000}"/>
    <cellStyle name="Normal 20 7 3 2" xfId="47127" xr:uid="{00000000-0005-0000-0000-00006A8F0000}"/>
    <cellStyle name="Normal 20 7 4" xfId="37429" xr:uid="{00000000-0005-0000-0000-00006B8F0000}"/>
    <cellStyle name="Normal 20 8" xfId="18127" xr:uid="{00000000-0005-0000-0000-00006C8F0000}"/>
    <cellStyle name="Normal 20 8 2" xfId="28495" xr:uid="{00000000-0005-0000-0000-00006D8F0000}"/>
    <cellStyle name="Normal 20 8 2 2" xfId="47684" xr:uid="{00000000-0005-0000-0000-00006E8F0000}"/>
    <cellStyle name="Normal 20 8 3" xfId="37986" xr:uid="{00000000-0005-0000-0000-00006F8F0000}"/>
    <cellStyle name="Normal 20 9" xfId="22457" xr:uid="{00000000-0005-0000-0000-0000708F0000}"/>
    <cellStyle name="Normal 21" xfId="1153" xr:uid="{00000000-0005-0000-0000-0000718F0000}"/>
    <cellStyle name="Normal 21 2" xfId="3387" xr:uid="{00000000-0005-0000-0000-0000728F0000}"/>
    <cellStyle name="Normal 21 2 2" xfId="13279" xr:uid="{00000000-0005-0000-0000-0000738F0000}"/>
    <cellStyle name="Normal 21 3" xfId="13480" xr:uid="{00000000-0005-0000-0000-0000748F0000}"/>
    <cellStyle name="Normal 21 3 2" xfId="14337" xr:uid="{00000000-0005-0000-0000-0000758F0000}"/>
    <cellStyle name="Normal 21 3 2 2" xfId="16600" xr:uid="{00000000-0005-0000-0000-0000768F0000}"/>
    <cellStyle name="Normal 21 3 2 2 2" xfId="21064" xr:uid="{00000000-0005-0000-0000-0000778F0000}"/>
    <cellStyle name="Normal 21 3 2 2 2 2" xfId="31432" xr:uid="{00000000-0005-0000-0000-0000788F0000}"/>
    <cellStyle name="Normal 21 3 2 2 2 2 2" xfId="50621" xr:uid="{00000000-0005-0000-0000-0000798F0000}"/>
    <cellStyle name="Normal 21 3 2 2 2 3" xfId="40923" xr:uid="{00000000-0005-0000-0000-00007A8F0000}"/>
    <cellStyle name="Normal 21 3 2 2 3" xfId="26977" xr:uid="{00000000-0005-0000-0000-00007B8F0000}"/>
    <cellStyle name="Normal 21 3 2 2 3 2" xfId="46166" xr:uid="{00000000-0005-0000-0000-00007C8F0000}"/>
    <cellStyle name="Normal 21 3 2 2 4" xfId="36468" xr:uid="{00000000-0005-0000-0000-00007D8F0000}"/>
    <cellStyle name="Normal 21 3 2 3" xfId="18836" xr:uid="{00000000-0005-0000-0000-00007E8F0000}"/>
    <cellStyle name="Normal 21 3 2 3 2" xfId="29204" xr:uid="{00000000-0005-0000-0000-00007F8F0000}"/>
    <cellStyle name="Normal 21 3 2 3 2 2" xfId="48393" xr:uid="{00000000-0005-0000-0000-0000808F0000}"/>
    <cellStyle name="Normal 21 3 2 3 3" xfId="38695" xr:uid="{00000000-0005-0000-0000-0000818F0000}"/>
    <cellStyle name="Normal 21 3 2 4" xfId="24744" xr:uid="{00000000-0005-0000-0000-0000828F0000}"/>
    <cellStyle name="Normal 21 3 2 4 2" xfId="43938" xr:uid="{00000000-0005-0000-0000-0000838F0000}"/>
    <cellStyle name="Normal 21 3 2 5" xfId="34240" xr:uid="{00000000-0005-0000-0000-0000848F0000}"/>
    <cellStyle name="Normal 21 3 3" xfId="14916" xr:uid="{00000000-0005-0000-0000-0000858F0000}"/>
    <cellStyle name="Normal 21 3 3 2" xfId="16044" xr:uid="{00000000-0005-0000-0000-0000868F0000}"/>
    <cellStyle name="Normal 21 3 3 2 2" xfId="20508" xr:uid="{00000000-0005-0000-0000-0000878F0000}"/>
    <cellStyle name="Normal 21 3 3 2 2 2" xfId="30876" xr:uid="{00000000-0005-0000-0000-0000888F0000}"/>
    <cellStyle name="Normal 21 3 3 2 2 2 2" xfId="50065" xr:uid="{00000000-0005-0000-0000-0000898F0000}"/>
    <cellStyle name="Normal 21 3 3 2 2 3" xfId="40367" xr:uid="{00000000-0005-0000-0000-00008A8F0000}"/>
    <cellStyle name="Normal 21 3 3 2 3" xfId="26421" xr:uid="{00000000-0005-0000-0000-00008B8F0000}"/>
    <cellStyle name="Normal 21 3 3 2 3 2" xfId="45610" xr:uid="{00000000-0005-0000-0000-00008C8F0000}"/>
    <cellStyle name="Normal 21 3 3 2 4" xfId="35912" xr:uid="{00000000-0005-0000-0000-00008D8F0000}"/>
    <cellStyle name="Normal 21 3 3 3" xfId="19393" xr:uid="{00000000-0005-0000-0000-00008E8F0000}"/>
    <cellStyle name="Normal 21 3 3 3 2" xfId="29761" xr:uid="{00000000-0005-0000-0000-00008F8F0000}"/>
    <cellStyle name="Normal 21 3 3 3 2 2" xfId="48950" xr:uid="{00000000-0005-0000-0000-0000908F0000}"/>
    <cellStyle name="Normal 21 3 3 3 3" xfId="39252" xr:uid="{00000000-0005-0000-0000-0000918F0000}"/>
    <cellStyle name="Normal 21 3 3 4" xfId="25306" xr:uid="{00000000-0005-0000-0000-0000928F0000}"/>
    <cellStyle name="Normal 21 3 3 4 2" xfId="44495" xr:uid="{00000000-0005-0000-0000-0000938F0000}"/>
    <cellStyle name="Normal 21 3 3 5" xfId="34797" xr:uid="{00000000-0005-0000-0000-0000948F0000}"/>
    <cellStyle name="Normal 21 3 4" xfId="15487" xr:uid="{00000000-0005-0000-0000-0000958F0000}"/>
    <cellStyle name="Normal 21 3 4 2" xfId="19951" xr:uid="{00000000-0005-0000-0000-0000968F0000}"/>
    <cellStyle name="Normal 21 3 4 2 2" xfId="30319" xr:uid="{00000000-0005-0000-0000-0000978F0000}"/>
    <cellStyle name="Normal 21 3 4 2 2 2" xfId="49508" xr:uid="{00000000-0005-0000-0000-0000988F0000}"/>
    <cellStyle name="Normal 21 3 4 2 3" xfId="39810" xr:uid="{00000000-0005-0000-0000-0000998F0000}"/>
    <cellStyle name="Normal 21 3 4 3" xfId="25864" xr:uid="{00000000-0005-0000-0000-00009A8F0000}"/>
    <cellStyle name="Normal 21 3 4 3 2" xfId="45053" xr:uid="{00000000-0005-0000-0000-00009B8F0000}"/>
    <cellStyle name="Normal 21 3 4 4" xfId="35355" xr:uid="{00000000-0005-0000-0000-00009C8F0000}"/>
    <cellStyle name="Normal 21 3 5" xfId="17157" xr:uid="{00000000-0005-0000-0000-00009D8F0000}"/>
    <cellStyle name="Normal 21 3 5 2" xfId="21621" xr:uid="{00000000-0005-0000-0000-00009E8F0000}"/>
    <cellStyle name="Normal 21 3 5 2 2" xfId="31989" xr:uid="{00000000-0005-0000-0000-00009F8F0000}"/>
    <cellStyle name="Normal 21 3 5 2 2 2" xfId="51178" xr:uid="{00000000-0005-0000-0000-0000A08F0000}"/>
    <cellStyle name="Normal 21 3 5 2 3" xfId="41480" xr:uid="{00000000-0005-0000-0000-0000A18F0000}"/>
    <cellStyle name="Normal 21 3 5 3" xfId="27534" xr:uid="{00000000-0005-0000-0000-0000A28F0000}"/>
    <cellStyle name="Normal 21 3 5 3 2" xfId="46723" xr:uid="{00000000-0005-0000-0000-0000A38F0000}"/>
    <cellStyle name="Normal 21 3 5 4" xfId="37025" xr:uid="{00000000-0005-0000-0000-0000A48F0000}"/>
    <cellStyle name="Normal 21 3 6" xfId="17723" xr:uid="{00000000-0005-0000-0000-0000A58F0000}"/>
    <cellStyle name="Normal 21 3 6 2" xfId="22178" xr:uid="{00000000-0005-0000-0000-0000A68F0000}"/>
    <cellStyle name="Normal 21 3 6 2 2" xfId="32546" xr:uid="{00000000-0005-0000-0000-0000A78F0000}"/>
    <cellStyle name="Normal 21 3 6 2 2 2" xfId="51735" xr:uid="{00000000-0005-0000-0000-0000A88F0000}"/>
    <cellStyle name="Normal 21 3 6 2 3" xfId="42037" xr:uid="{00000000-0005-0000-0000-0000A98F0000}"/>
    <cellStyle name="Normal 21 3 6 3" xfId="28091" xr:uid="{00000000-0005-0000-0000-0000AA8F0000}"/>
    <cellStyle name="Normal 21 3 6 3 2" xfId="47280" xr:uid="{00000000-0005-0000-0000-0000AB8F0000}"/>
    <cellStyle name="Normal 21 3 6 4" xfId="37582" xr:uid="{00000000-0005-0000-0000-0000AC8F0000}"/>
    <cellStyle name="Normal 21 3 7" xfId="18280" xr:uid="{00000000-0005-0000-0000-0000AD8F0000}"/>
    <cellStyle name="Normal 21 3 7 2" xfId="28648" xr:uid="{00000000-0005-0000-0000-0000AE8F0000}"/>
    <cellStyle name="Normal 21 3 7 2 2" xfId="47837" xr:uid="{00000000-0005-0000-0000-0000AF8F0000}"/>
    <cellStyle name="Normal 21 3 7 3" xfId="38139" xr:uid="{00000000-0005-0000-0000-0000B08F0000}"/>
    <cellStyle name="Normal 21 3 8" xfId="24162" xr:uid="{00000000-0005-0000-0000-0000B18F0000}"/>
    <cellStyle name="Normal 21 3 8 2" xfId="43382" xr:uid="{00000000-0005-0000-0000-0000B28F0000}"/>
    <cellStyle name="Normal 21 3 9" xfId="33684" xr:uid="{00000000-0005-0000-0000-0000B38F0000}"/>
    <cellStyle name="Normal 21 4" xfId="22496" xr:uid="{00000000-0005-0000-0000-0000B48F0000}"/>
    <cellStyle name="Normal 21 5" xfId="23992" xr:uid="{00000000-0005-0000-0000-0000B58F0000}"/>
    <cellStyle name="Normal 21 6" xfId="13278" xr:uid="{00000000-0005-0000-0000-0000B68F0000}"/>
    <cellStyle name="Normal 22" xfId="1154" xr:uid="{00000000-0005-0000-0000-0000B78F0000}"/>
    <cellStyle name="Normal 22 10" xfId="23993" xr:uid="{00000000-0005-0000-0000-0000B88F0000}"/>
    <cellStyle name="Normal 22 10 2" xfId="43231" xr:uid="{00000000-0005-0000-0000-0000B98F0000}"/>
    <cellStyle name="Normal 22 11" xfId="22918" xr:uid="{00000000-0005-0000-0000-0000BA8F0000}"/>
    <cellStyle name="Normal 22 11 2" xfId="42487" xr:uid="{00000000-0005-0000-0000-0000BB8F0000}"/>
    <cellStyle name="Normal 22 12" xfId="33533" xr:uid="{00000000-0005-0000-0000-0000BC8F0000}"/>
    <cellStyle name="Normal 22 13" xfId="52587" xr:uid="{00000000-0005-0000-0000-0000BD8F0000}"/>
    <cellStyle name="Normal 22 14" xfId="13280" xr:uid="{00000000-0005-0000-0000-0000BE8F0000}"/>
    <cellStyle name="Normal 22 2" xfId="1155" xr:uid="{00000000-0005-0000-0000-0000BF8F0000}"/>
    <cellStyle name="Normal 22 2 2" xfId="6102" xr:uid="{00000000-0005-0000-0000-0000C08F0000}"/>
    <cellStyle name="Normal 22 2 2 2" xfId="54068" xr:uid="{00000000-0005-0000-0000-0000C18F0000}"/>
    <cellStyle name="Normal 22 2 2 3" xfId="53215" xr:uid="{00000000-0005-0000-0000-0000C28F0000}"/>
    <cellStyle name="Normal 22 2 3" xfId="24117" xr:uid="{00000000-0005-0000-0000-0000C38F0000}"/>
    <cellStyle name="Normal 22 2 3 2" xfId="53672" xr:uid="{00000000-0005-0000-0000-0000C48F0000}"/>
    <cellStyle name="Normal 22 2 4" xfId="52787" xr:uid="{00000000-0005-0000-0000-0000C58F0000}"/>
    <cellStyle name="Normal 22 2 5" xfId="13425" xr:uid="{00000000-0005-0000-0000-0000C68F0000}"/>
    <cellStyle name="Normal 22 3" xfId="1156" xr:uid="{00000000-0005-0000-0000-0000C78F0000}"/>
    <cellStyle name="Normal 22 3 2" xfId="1157" xr:uid="{00000000-0005-0000-0000-0000C88F0000}"/>
    <cellStyle name="Normal 22 3 2 2" xfId="7414" xr:uid="{00000000-0005-0000-0000-0000C98F0000}"/>
    <cellStyle name="Normal 22 3 2 2 2" xfId="8891" xr:uid="{00000000-0005-0000-0000-0000CA8F0000}"/>
    <cellStyle name="Normal 22 3 2 2 2 2" xfId="11788" xr:uid="{00000000-0005-0000-0000-0000CB8F0000}"/>
    <cellStyle name="Normal 22 3 2 2 2 2 2" xfId="50470" xr:uid="{00000000-0005-0000-0000-0000CC8F0000}"/>
    <cellStyle name="Normal 22 3 2 2 2 3" xfId="31281" xr:uid="{00000000-0005-0000-0000-0000CD8F0000}"/>
    <cellStyle name="Normal 22 3 2 2 3" xfId="10348" xr:uid="{00000000-0005-0000-0000-0000CE8F0000}"/>
    <cellStyle name="Normal 22 3 2 2 3 2" xfId="40772" xr:uid="{00000000-0005-0000-0000-0000CF8F0000}"/>
    <cellStyle name="Normal 22 3 2 2 4" xfId="20913" xr:uid="{00000000-0005-0000-0000-0000D08F0000}"/>
    <cellStyle name="Normal 22 3 2 3" xfId="8233" xr:uid="{00000000-0005-0000-0000-0000D18F0000}"/>
    <cellStyle name="Normal 22 3 2 3 2" xfId="11130" xr:uid="{00000000-0005-0000-0000-0000D28F0000}"/>
    <cellStyle name="Normal 22 3 2 3 2 2" xfId="46015" xr:uid="{00000000-0005-0000-0000-0000D38F0000}"/>
    <cellStyle name="Normal 22 3 2 3 3" xfId="26826" xr:uid="{00000000-0005-0000-0000-0000D48F0000}"/>
    <cellStyle name="Normal 22 3 2 4" xfId="9690" xr:uid="{00000000-0005-0000-0000-0000D58F0000}"/>
    <cellStyle name="Normal 22 3 2 4 2" xfId="36317" xr:uid="{00000000-0005-0000-0000-0000D68F0000}"/>
    <cellStyle name="Normal 22 3 2 5" xfId="6738" xr:uid="{00000000-0005-0000-0000-0000D78F0000}"/>
    <cellStyle name="Normal 22 3 2 5 2" xfId="53872" xr:uid="{00000000-0005-0000-0000-0000D88F0000}"/>
    <cellStyle name="Normal 22 3 2 6" xfId="16449" xr:uid="{00000000-0005-0000-0000-0000D98F0000}"/>
    <cellStyle name="Normal 22 3 3" xfId="1158" xr:uid="{00000000-0005-0000-0000-0000DA8F0000}"/>
    <cellStyle name="Normal 22 3 3 2" xfId="7181" xr:uid="{00000000-0005-0000-0000-0000DB8F0000}"/>
    <cellStyle name="Normal 22 3 3 2 2" xfId="8658" xr:uid="{00000000-0005-0000-0000-0000DC8F0000}"/>
    <cellStyle name="Normal 22 3 3 2 2 2" xfId="11555" xr:uid="{00000000-0005-0000-0000-0000DD8F0000}"/>
    <cellStyle name="Normal 22 3 3 2 2 3" xfId="48242" xr:uid="{00000000-0005-0000-0000-0000DE8F0000}"/>
    <cellStyle name="Normal 22 3 3 2 3" xfId="10115" xr:uid="{00000000-0005-0000-0000-0000DF8F0000}"/>
    <cellStyle name="Normal 22 3 3 2 4" xfId="29053" xr:uid="{00000000-0005-0000-0000-0000E08F0000}"/>
    <cellStyle name="Normal 22 3 3 3" xfId="8000" xr:uid="{00000000-0005-0000-0000-0000E18F0000}"/>
    <cellStyle name="Normal 22 3 3 3 2" xfId="10897" xr:uid="{00000000-0005-0000-0000-0000E28F0000}"/>
    <cellStyle name="Normal 22 3 3 3 3" xfId="38544" xr:uid="{00000000-0005-0000-0000-0000E38F0000}"/>
    <cellStyle name="Normal 22 3 3 4" xfId="9457" xr:uid="{00000000-0005-0000-0000-0000E48F0000}"/>
    <cellStyle name="Normal 22 3 3 5" xfId="6505" xr:uid="{00000000-0005-0000-0000-0000E58F0000}"/>
    <cellStyle name="Normal 22 3 3 6" xfId="18685" xr:uid="{00000000-0005-0000-0000-0000E68F0000}"/>
    <cellStyle name="Normal 22 3 4" xfId="6893" xr:uid="{00000000-0005-0000-0000-0000E78F0000}"/>
    <cellStyle name="Normal 22 3 4 2" xfId="8371" xr:uid="{00000000-0005-0000-0000-0000E88F0000}"/>
    <cellStyle name="Normal 22 3 4 2 2" xfId="11268" xr:uid="{00000000-0005-0000-0000-0000E98F0000}"/>
    <cellStyle name="Normal 22 3 4 2 2 2" xfId="51913" xr:uid="{00000000-0005-0000-0000-0000EA8F0000}"/>
    <cellStyle name="Normal 22 3 4 2 3" xfId="32726" xr:uid="{00000000-0005-0000-0000-0000EB8F0000}"/>
    <cellStyle name="Normal 22 3 4 3" xfId="9828" xr:uid="{00000000-0005-0000-0000-0000EC8F0000}"/>
    <cellStyle name="Normal 22 3 4 3 2" xfId="42215" xr:uid="{00000000-0005-0000-0000-0000ED8F0000}"/>
    <cellStyle name="Normal 22 3 4 4" xfId="22637" xr:uid="{00000000-0005-0000-0000-0000EE8F0000}"/>
    <cellStyle name="Normal 22 3 5" xfId="7710" xr:uid="{00000000-0005-0000-0000-0000EF8F0000}"/>
    <cellStyle name="Normal 22 3 5 2" xfId="10610" xr:uid="{00000000-0005-0000-0000-0000F08F0000}"/>
    <cellStyle name="Normal 22 3 5 2 2" xfId="43787" xr:uid="{00000000-0005-0000-0000-0000F18F0000}"/>
    <cellStyle name="Normal 22 3 5 3" xfId="24593" xr:uid="{00000000-0005-0000-0000-0000F28F0000}"/>
    <cellStyle name="Normal 22 3 6" xfId="9170" xr:uid="{00000000-0005-0000-0000-0000F38F0000}"/>
    <cellStyle name="Normal 22 3 6 2" xfId="42568" xr:uid="{00000000-0005-0000-0000-0000F48F0000}"/>
    <cellStyle name="Normal 22 3 6 3" xfId="22999" xr:uid="{00000000-0005-0000-0000-0000F58F0000}"/>
    <cellStyle name="Normal 22 3 7" xfId="6188" xr:uid="{00000000-0005-0000-0000-0000F68F0000}"/>
    <cellStyle name="Normal 22 3 7 2" xfId="34089" xr:uid="{00000000-0005-0000-0000-0000F78F0000}"/>
    <cellStyle name="Normal 22 3 8" xfId="52997" xr:uid="{00000000-0005-0000-0000-0000F88F0000}"/>
    <cellStyle name="Normal 22 3 9" xfId="14185" xr:uid="{00000000-0005-0000-0000-0000F98F0000}"/>
    <cellStyle name="Normal 22 4" xfId="1159" xr:uid="{00000000-0005-0000-0000-0000FA8F0000}"/>
    <cellStyle name="Normal 22 4 2" xfId="1160" xr:uid="{00000000-0005-0000-0000-0000FB8F0000}"/>
    <cellStyle name="Normal 22 4 2 2" xfId="7298" xr:uid="{00000000-0005-0000-0000-0000FC8F0000}"/>
    <cellStyle name="Normal 22 4 2 2 2" xfId="8775" xr:uid="{00000000-0005-0000-0000-0000FD8F0000}"/>
    <cellStyle name="Normal 22 4 2 2 2 2" xfId="11672" xr:uid="{00000000-0005-0000-0000-0000FE8F0000}"/>
    <cellStyle name="Normal 22 4 2 2 2 2 2" xfId="49914" xr:uid="{00000000-0005-0000-0000-0000FF8F0000}"/>
    <cellStyle name="Normal 22 4 2 2 2 3" xfId="30725" xr:uid="{00000000-0005-0000-0000-000000900000}"/>
    <cellStyle name="Normal 22 4 2 2 3" xfId="10232" xr:uid="{00000000-0005-0000-0000-000001900000}"/>
    <cellStyle name="Normal 22 4 2 2 3 2" xfId="40216" xr:uid="{00000000-0005-0000-0000-000002900000}"/>
    <cellStyle name="Normal 22 4 2 2 4" xfId="20357" xr:uid="{00000000-0005-0000-0000-000003900000}"/>
    <cellStyle name="Normal 22 4 2 3" xfId="8117" xr:uid="{00000000-0005-0000-0000-000004900000}"/>
    <cellStyle name="Normal 22 4 2 3 2" xfId="11014" xr:uid="{00000000-0005-0000-0000-000005900000}"/>
    <cellStyle name="Normal 22 4 2 3 2 2" xfId="45459" xr:uid="{00000000-0005-0000-0000-000006900000}"/>
    <cellStyle name="Normal 22 4 2 3 3" xfId="26270" xr:uid="{00000000-0005-0000-0000-000007900000}"/>
    <cellStyle name="Normal 22 4 2 4" xfId="9574" xr:uid="{00000000-0005-0000-0000-000008900000}"/>
    <cellStyle name="Normal 22 4 2 4 2" xfId="35761" xr:uid="{00000000-0005-0000-0000-000009900000}"/>
    <cellStyle name="Normal 22 4 2 5" xfId="6622" xr:uid="{00000000-0005-0000-0000-00000A900000}"/>
    <cellStyle name="Normal 22 4 2 6" xfId="15893" xr:uid="{00000000-0005-0000-0000-00000B900000}"/>
    <cellStyle name="Normal 22 4 3" xfId="6950" xr:uid="{00000000-0005-0000-0000-00000C900000}"/>
    <cellStyle name="Normal 22 4 3 2" xfId="8427" xr:uid="{00000000-0005-0000-0000-00000D900000}"/>
    <cellStyle name="Normal 22 4 3 2 2" xfId="11324" xr:uid="{00000000-0005-0000-0000-00000E900000}"/>
    <cellStyle name="Normal 22 4 3 2 2 2" xfId="48799" xr:uid="{00000000-0005-0000-0000-00000F900000}"/>
    <cellStyle name="Normal 22 4 3 2 3" xfId="29610" xr:uid="{00000000-0005-0000-0000-000010900000}"/>
    <cellStyle name="Normal 22 4 3 3" xfId="9884" xr:uid="{00000000-0005-0000-0000-000011900000}"/>
    <cellStyle name="Normal 22 4 3 3 2" xfId="39101" xr:uid="{00000000-0005-0000-0000-000012900000}"/>
    <cellStyle name="Normal 22 4 3 4" xfId="19242" xr:uid="{00000000-0005-0000-0000-000013900000}"/>
    <cellStyle name="Normal 22 4 4" xfId="7767" xr:uid="{00000000-0005-0000-0000-000014900000}"/>
    <cellStyle name="Normal 22 4 4 2" xfId="10666" xr:uid="{00000000-0005-0000-0000-000015900000}"/>
    <cellStyle name="Normal 22 4 4 2 2" xfId="51969" xr:uid="{00000000-0005-0000-0000-000016900000}"/>
    <cellStyle name="Normal 22 4 4 2 3" xfId="32782" xr:uid="{00000000-0005-0000-0000-000017900000}"/>
    <cellStyle name="Normal 22 4 4 3" xfId="42271" xr:uid="{00000000-0005-0000-0000-000018900000}"/>
    <cellStyle name="Normal 22 4 4 4" xfId="22696" xr:uid="{00000000-0005-0000-0000-000019900000}"/>
    <cellStyle name="Normal 22 4 5" xfId="9226" xr:uid="{00000000-0005-0000-0000-00001A900000}"/>
    <cellStyle name="Normal 22 4 5 2" xfId="44344" xr:uid="{00000000-0005-0000-0000-00001B900000}"/>
    <cellStyle name="Normal 22 4 5 3" xfId="25155" xr:uid="{00000000-0005-0000-0000-00001C900000}"/>
    <cellStyle name="Normal 22 4 6" xfId="6251" xr:uid="{00000000-0005-0000-0000-00001D900000}"/>
    <cellStyle name="Normal 22 4 6 2" xfId="42624" xr:uid="{00000000-0005-0000-0000-00001E900000}"/>
    <cellStyle name="Normal 22 4 6 3" xfId="23055" xr:uid="{00000000-0005-0000-0000-00001F900000}"/>
    <cellStyle name="Normal 22 4 7" xfId="34646" xr:uid="{00000000-0005-0000-0000-000020900000}"/>
    <cellStyle name="Normal 22 4 8" xfId="53476" xr:uid="{00000000-0005-0000-0000-000021900000}"/>
    <cellStyle name="Normal 22 4 9" xfId="14764" xr:uid="{00000000-0005-0000-0000-000022900000}"/>
    <cellStyle name="Normal 22 5" xfId="1161" xr:uid="{00000000-0005-0000-0000-000023900000}"/>
    <cellStyle name="Normal 22 5 2" xfId="7065" xr:uid="{00000000-0005-0000-0000-000024900000}"/>
    <cellStyle name="Normal 22 5 2 2" xfId="8542" xr:uid="{00000000-0005-0000-0000-000025900000}"/>
    <cellStyle name="Normal 22 5 2 2 2" xfId="11439" xr:uid="{00000000-0005-0000-0000-000026900000}"/>
    <cellStyle name="Normal 22 5 2 2 2 2" xfId="49357" xr:uid="{00000000-0005-0000-0000-000027900000}"/>
    <cellStyle name="Normal 22 5 2 2 3" xfId="30168" xr:uid="{00000000-0005-0000-0000-000028900000}"/>
    <cellStyle name="Normal 22 5 2 3" xfId="9999" xr:uid="{00000000-0005-0000-0000-000029900000}"/>
    <cellStyle name="Normal 22 5 2 3 2" xfId="39659" xr:uid="{00000000-0005-0000-0000-00002A900000}"/>
    <cellStyle name="Normal 22 5 2 4" xfId="19800" xr:uid="{00000000-0005-0000-0000-00002B900000}"/>
    <cellStyle name="Normal 22 5 3" xfId="7883" xr:uid="{00000000-0005-0000-0000-00002C900000}"/>
    <cellStyle name="Normal 22 5 3 2" xfId="10781" xr:uid="{00000000-0005-0000-0000-00002D900000}"/>
    <cellStyle name="Normal 22 5 3 2 2" xfId="44902" xr:uid="{00000000-0005-0000-0000-00002E900000}"/>
    <cellStyle name="Normal 22 5 3 3" xfId="25713" xr:uid="{00000000-0005-0000-0000-00002F900000}"/>
    <cellStyle name="Normal 22 5 4" xfId="9341" xr:uid="{00000000-0005-0000-0000-000030900000}"/>
    <cellStyle name="Normal 22 5 4 2" xfId="35204" xr:uid="{00000000-0005-0000-0000-000031900000}"/>
    <cellStyle name="Normal 22 5 5" xfId="6386" xr:uid="{00000000-0005-0000-0000-000032900000}"/>
    <cellStyle name="Normal 22 5 6" xfId="15336" xr:uid="{00000000-0005-0000-0000-000033900000}"/>
    <cellStyle name="Normal 22 6" xfId="3388" xr:uid="{00000000-0005-0000-0000-000034900000}"/>
    <cellStyle name="Normal 22 6 2" xfId="8290" xr:uid="{00000000-0005-0000-0000-000035900000}"/>
    <cellStyle name="Normal 22 6 2 2" xfId="11187" xr:uid="{00000000-0005-0000-0000-000036900000}"/>
    <cellStyle name="Normal 22 6 2 2 2" xfId="51027" xr:uid="{00000000-0005-0000-0000-000037900000}"/>
    <cellStyle name="Normal 22 6 2 2 3" xfId="31838" xr:uid="{00000000-0005-0000-0000-000038900000}"/>
    <cellStyle name="Normal 22 6 2 3" xfId="41329" xr:uid="{00000000-0005-0000-0000-000039900000}"/>
    <cellStyle name="Normal 22 6 2 4" xfId="21470" xr:uid="{00000000-0005-0000-0000-00003A900000}"/>
    <cellStyle name="Normal 22 6 3" xfId="9747" xr:uid="{00000000-0005-0000-0000-00003B900000}"/>
    <cellStyle name="Normal 22 6 3 2" xfId="46572" xr:uid="{00000000-0005-0000-0000-00003C900000}"/>
    <cellStyle name="Normal 22 6 3 3" xfId="27383" xr:uid="{00000000-0005-0000-0000-00003D900000}"/>
    <cellStyle name="Normal 22 6 4" xfId="6809" xr:uid="{00000000-0005-0000-0000-00003E900000}"/>
    <cellStyle name="Normal 22 6 4 2" xfId="36874" xr:uid="{00000000-0005-0000-0000-00003F900000}"/>
    <cellStyle name="Normal 22 6 5" xfId="17006" xr:uid="{00000000-0005-0000-0000-000040900000}"/>
    <cellStyle name="Normal 22 7" xfId="7629" xr:uid="{00000000-0005-0000-0000-000041900000}"/>
    <cellStyle name="Normal 22 7 2" xfId="10529" xr:uid="{00000000-0005-0000-0000-000042900000}"/>
    <cellStyle name="Normal 22 7 2 2" xfId="32395" xr:uid="{00000000-0005-0000-0000-000043900000}"/>
    <cellStyle name="Normal 22 7 2 2 2" xfId="51584" xr:uid="{00000000-0005-0000-0000-000044900000}"/>
    <cellStyle name="Normal 22 7 2 3" xfId="41886" xr:uid="{00000000-0005-0000-0000-000045900000}"/>
    <cellStyle name="Normal 22 7 2 4" xfId="22027" xr:uid="{00000000-0005-0000-0000-000046900000}"/>
    <cellStyle name="Normal 22 7 3" xfId="27940" xr:uid="{00000000-0005-0000-0000-000047900000}"/>
    <cellStyle name="Normal 22 7 3 2" xfId="47129" xr:uid="{00000000-0005-0000-0000-000048900000}"/>
    <cellStyle name="Normal 22 7 4" xfId="37431" xr:uid="{00000000-0005-0000-0000-000049900000}"/>
    <cellStyle name="Normal 22 7 5" xfId="17572" xr:uid="{00000000-0005-0000-0000-00004A900000}"/>
    <cellStyle name="Normal 22 8" xfId="9089" xr:uid="{00000000-0005-0000-0000-00004B900000}"/>
    <cellStyle name="Normal 22 8 2" xfId="28497" xr:uid="{00000000-0005-0000-0000-00004C900000}"/>
    <cellStyle name="Normal 22 8 2 2" xfId="47686" xr:uid="{00000000-0005-0000-0000-00004D900000}"/>
    <cellStyle name="Normal 22 8 3" xfId="37988" xr:uid="{00000000-0005-0000-0000-00004E900000}"/>
    <cellStyle name="Normal 22 8 4" xfId="18129" xr:uid="{00000000-0005-0000-0000-00004F900000}"/>
    <cellStyle name="Normal 22 9" xfId="6094" xr:uid="{00000000-0005-0000-0000-000050900000}"/>
    <cellStyle name="Normal 22 9 2" xfId="32645" xr:uid="{00000000-0005-0000-0000-000051900000}"/>
    <cellStyle name="Normal 22 9 2 2" xfId="51832" xr:uid="{00000000-0005-0000-0000-000052900000}"/>
    <cellStyle name="Normal 22 9 3" xfId="42134" xr:uid="{00000000-0005-0000-0000-000053900000}"/>
    <cellStyle name="Normal 22 9 4" xfId="22518" xr:uid="{00000000-0005-0000-0000-000054900000}"/>
    <cellStyle name="Normal 23" xfId="1162" xr:uid="{00000000-0005-0000-0000-000055900000}"/>
    <cellStyle name="Normal 23 2" xfId="1163" xr:uid="{00000000-0005-0000-0000-000056900000}"/>
    <cellStyle name="Normal 23 2 2" xfId="1164" xr:uid="{00000000-0005-0000-0000-000057900000}"/>
    <cellStyle name="Normal 23 2 2 2" xfId="7415" xr:uid="{00000000-0005-0000-0000-000058900000}"/>
    <cellStyle name="Normal 23 2 2 2 2" xfId="8892" xr:uid="{00000000-0005-0000-0000-000059900000}"/>
    <cellStyle name="Normal 23 2 2 2 2 2" xfId="11789" xr:uid="{00000000-0005-0000-0000-00005A900000}"/>
    <cellStyle name="Normal 23 2 2 2 2 3" xfId="51914" xr:uid="{00000000-0005-0000-0000-00005B900000}"/>
    <cellStyle name="Normal 23 2 2 2 3" xfId="10349" xr:uid="{00000000-0005-0000-0000-00005C900000}"/>
    <cellStyle name="Normal 23 2 2 2 3 2" xfId="54072" xr:uid="{00000000-0005-0000-0000-00005D900000}"/>
    <cellStyle name="Normal 23 2 2 2 4" xfId="32727" xr:uid="{00000000-0005-0000-0000-00005E900000}"/>
    <cellStyle name="Normal 23 2 2 3" xfId="8234" xr:uid="{00000000-0005-0000-0000-00005F900000}"/>
    <cellStyle name="Normal 23 2 2 3 2" xfId="11131" xr:uid="{00000000-0005-0000-0000-000060900000}"/>
    <cellStyle name="Normal 23 2 2 3 3" xfId="42216" xr:uid="{00000000-0005-0000-0000-000061900000}"/>
    <cellStyle name="Normal 23 2 2 4" xfId="9691" xr:uid="{00000000-0005-0000-0000-000062900000}"/>
    <cellStyle name="Normal 23 2 2 4 2" xfId="53219" xr:uid="{00000000-0005-0000-0000-000063900000}"/>
    <cellStyle name="Normal 23 2 2 5" xfId="6739" xr:uid="{00000000-0005-0000-0000-000064900000}"/>
    <cellStyle name="Normal 23 2 2 6" xfId="22639" xr:uid="{00000000-0005-0000-0000-000065900000}"/>
    <cellStyle name="Normal 23 2 3" xfId="1165" xr:uid="{00000000-0005-0000-0000-000066900000}"/>
    <cellStyle name="Normal 23 2 3 2" xfId="7182" xr:uid="{00000000-0005-0000-0000-000067900000}"/>
    <cellStyle name="Normal 23 2 3 2 2" xfId="8659" xr:uid="{00000000-0005-0000-0000-000068900000}"/>
    <cellStyle name="Normal 23 2 3 2 2 2" xfId="11556" xr:uid="{00000000-0005-0000-0000-000069900000}"/>
    <cellStyle name="Normal 23 2 3 2 3" xfId="10116" xr:uid="{00000000-0005-0000-0000-00006A900000}"/>
    <cellStyle name="Normal 23 2 3 2 4" xfId="53676" xr:uid="{00000000-0005-0000-0000-00006B900000}"/>
    <cellStyle name="Normal 23 2 3 3" xfId="8001" xr:uid="{00000000-0005-0000-0000-00006C900000}"/>
    <cellStyle name="Normal 23 2 3 3 2" xfId="10898" xr:uid="{00000000-0005-0000-0000-00006D900000}"/>
    <cellStyle name="Normal 23 2 3 4" xfId="9458" xr:uid="{00000000-0005-0000-0000-00006E900000}"/>
    <cellStyle name="Normal 23 2 3 5" xfId="6506" xr:uid="{00000000-0005-0000-0000-00006F900000}"/>
    <cellStyle name="Normal 23 2 3 6" xfId="24126" xr:uid="{00000000-0005-0000-0000-000070900000}"/>
    <cellStyle name="Normal 23 2 4" xfId="6894" xr:uid="{00000000-0005-0000-0000-000071900000}"/>
    <cellStyle name="Normal 23 2 4 2" xfId="8372" xr:uid="{00000000-0005-0000-0000-000072900000}"/>
    <cellStyle name="Normal 23 2 4 2 2" xfId="11269" xr:uid="{00000000-0005-0000-0000-000073900000}"/>
    <cellStyle name="Normal 23 2 4 2 3" xfId="42569" xr:uid="{00000000-0005-0000-0000-000074900000}"/>
    <cellStyle name="Normal 23 2 4 3" xfId="9829" xr:uid="{00000000-0005-0000-0000-000075900000}"/>
    <cellStyle name="Normal 23 2 4 4" xfId="23000" xr:uid="{00000000-0005-0000-0000-000076900000}"/>
    <cellStyle name="Normal 23 2 5" xfId="7711" xr:uid="{00000000-0005-0000-0000-000077900000}"/>
    <cellStyle name="Normal 23 2 5 2" xfId="10611" xr:uid="{00000000-0005-0000-0000-000078900000}"/>
    <cellStyle name="Normal 23 2 5 3" xfId="52791" xr:uid="{00000000-0005-0000-0000-000079900000}"/>
    <cellStyle name="Normal 23 2 6" xfId="9171" xr:uid="{00000000-0005-0000-0000-00007A900000}"/>
    <cellStyle name="Normal 23 2 7" xfId="6190" xr:uid="{00000000-0005-0000-0000-00007B900000}"/>
    <cellStyle name="Normal 23 2 8" xfId="13439" xr:uid="{00000000-0005-0000-0000-00007C900000}"/>
    <cellStyle name="Normal 23 3" xfId="1166" xr:uid="{00000000-0005-0000-0000-00007D900000}"/>
    <cellStyle name="Normal 23 3 2" xfId="1167" xr:uid="{00000000-0005-0000-0000-00007E900000}"/>
    <cellStyle name="Normal 23 3 2 2" xfId="7299" xr:uid="{00000000-0005-0000-0000-00007F900000}"/>
    <cellStyle name="Normal 23 3 2 2 2" xfId="8776" xr:uid="{00000000-0005-0000-0000-000080900000}"/>
    <cellStyle name="Normal 23 3 2 2 2 2" xfId="11673" xr:uid="{00000000-0005-0000-0000-000081900000}"/>
    <cellStyle name="Normal 23 3 2 2 3" xfId="10233" xr:uid="{00000000-0005-0000-0000-000082900000}"/>
    <cellStyle name="Normal 23 3 2 2 4" xfId="51970" xr:uid="{00000000-0005-0000-0000-000083900000}"/>
    <cellStyle name="Normal 23 3 2 3" xfId="8118" xr:uid="{00000000-0005-0000-0000-000084900000}"/>
    <cellStyle name="Normal 23 3 2 3 2" xfId="11015" xr:uid="{00000000-0005-0000-0000-000085900000}"/>
    <cellStyle name="Normal 23 3 2 3 3" xfId="53876" xr:uid="{00000000-0005-0000-0000-000086900000}"/>
    <cellStyle name="Normal 23 3 2 4" xfId="9575" xr:uid="{00000000-0005-0000-0000-000087900000}"/>
    <cellStyle name="Normal 23 3 2 5" xfId="6623" xr:uid="{00000000-0005-0000-0000-000088900000}"/>
    <cellStyle name="Normal 23 3 2 6" xfId="32783" xr:uid="{00000000-0005-0000-0000-000089900000}"/>
    <cellStyle name="Normal 23 3 3" xfId="6951" xr:uid="{00000000-0005-0000-0000-00008A900000}"/>
    <cellStyle name="Normal 23 3 3 2" xfId="8428" xr:uid="{00000000-0005-0000-0000-00008B900000}"/>
    <cellStyle name="Normal 23 3 3 2 2" xfId="11325" xr:uid="{00000000-0005-0000-0000-00008C900000}"/>
    <cellStyle name="Normal 23 3 3 2 3" xfId="42625" xr:uid="{00000000-0005-0000-0000-00008D900000}"/>
    <cellStyle name="Normal 23 3 3 3" xfId="9885" xr:uid="{00000000-0005-0000-0000-00008E900000}"/>
    <cellStyle name="Normal 23 3 3 4" xfId="23056" xr:uid="{00000000-0005-0000-0000-00008F900000}"/>
    <cellStyle name="Normal 23 3 4" xfId="7768" xr:uid="{00000000-0005-0000-0000-000090900000}"/>
    <cellStyle name="Normal 23 3 4 2" xfId="10667" xr:uid="{00000000-0005-0000-0000-000091900000}"/>
    <cellStyle name="Normal 23 3 4 3" xfId="42272" xr:uid="{00000000-0005-0000-0000-000092900000}"/>
    <cellStyle name="Normal 23 3 5" xfId="9227" xr:uid="{00000000-0005-0000-0000-000093900000}"/>
    <cellStyle name="Normal 23 3 5 2" xfId="53001" xr:uid="{00000000-0005-0000-0000-000094900000}"/>
    <cellStyle name="Normal 23 3 6" xfId="6252" xr:uid="{00000000-0005-0000-0000-000095900000}"/>
    <cellStyle name="Normal 23 3 7" xfId="22697" xr:uid="{00000000-0005-0000-0000-000096900000}"/>
    <cellStyle name="Normal 23 4" xfId="1168" xr:uid="{00000000-0005-0000-0000-000097900000}"/>
    <cellStyle name="Normal 23 4 2" xfId="7066" xr:uid="{00000000-0005-0000-0000-000098900000}"/>
    <cellStyle name="Normal 23 4 2 2" xfId="8543" xr:uid="{00000000-0005-0000-0000-000099900000}"/>
    <cellStyle name="Normal 23 4 2 2 2" xfId="11440" xr:uid="{00000000-0005-0000-0000-00009A900000}"/>
    <cellStyle name="Normal 23 4 2 2 3" xfId="51833" xr:uid="{00000000-0005-0000-0000-00009B900000}"/>
    <cellStyle name="Normal 23 4 2 3" xfId="10000" xr:uid="{00000000-0005-0000-0000-00009C900000}"/>
    <cellStyle name="Normal 23 4 2 4" xfId="32646" xr:uid="{00000000-0005-0000-0000-00009D900000}"/>
    <cellStyle name="Normal 23 4 3" xfId="7884" xr:uid="{00000000-0005-0000-0000-00009E900000}"/>
    <cellStyle name="Normal 23 4 3 2" xfId="10782" xr:uid="{00000000-0005-0000-0000-00009F900000}"/>
    <cellStyle name="Normal 23 4 3 3" xfId="42135" xr:uid="{00000000-0005-0000-0000-0000A0900000}"/>
    <cellStyle name="Normal 23 4 4" xfId="9342" xr:uid="{00000000-0005-0000-0000-0000A1900000}"/>
    <cellStyle name="Normal 23 4 4 2" xfId="53480" xr:uid="{00000000-0005-0000-0000-0000A2900000}"/>
    <cellStyle name="Normal 23 4 5" xfId="6387" xr:uid="{00000000-0005-0000-0000-0000A3900000}"/>
    <cellStyle name="Normal 23 4 6" xfId="22522" xr:uid="{00000000-0005-0000-0000-0000A4900000}"/>
    <cellStyle name="Normal 23 5" xfId="3389" xr:uid="{00000000-0005-0000-0000-0000A5900000}"/>
    <cellStyle name="Normal 23 5 2" xfId="8291" xr:uid="{00000000-0005-0000-0000-0000A6900000}"/>
    <cellStyle name="Normal 23 5 2 2" xfId="11188" xr:uid="{00000000-0005-0000-0000-0000A7900000}"/>
    <cellStyle name="Normal 23 5 3" xfId="9748" xr:uid="{00000000-0005-0000-0000-0000A8900000}"/>
    <cellStyle name="Normal 23 5 4" xfId="6810" xr:uid="{00000000-0005-0000-0000-0000A9900000}"/>
    <cellStyle name="Normal 23 5 5" xfId="23994" xr:uid="{00000000-0005-0000-0000-0000AA900000}"/>
    <cellStyle name="Normal 23 6" xfId="7630" xr:uid="{00000000-0005-0000-0000-0000AB900000}"/>
    <cellStyle name="Normal 23 6 2" xfId="10530" xr:uid="{00000000-0005-0000-0000-0000AC900000}"/>
    <cellStyle name="Normal 23 6 2 2" xfId="42488" xr:uid="{00000000-0005-0000-0000-0000AD900000}"/>
    <cellStyle name="Normal 23 6 3" xfId="22919" xr:uid="{00000000-0005-0000-0000-0000AE900000}"/>
    <cellStyle name="Normal 23 7" xfId="9090" xr:uid="{00000000-0005-0000-0000-0000AF900000}"/>
    <cellStyle name="Normal 23 7 2" xfId="52591" xr:uid="{00000000-0005-0000-0000-0000B0900000}"/>
    <cellStyle name="Normal 23 8" xfId="6099" xr:uid="{00000000-0005-0000-0000-0000B1900000}"/>
    <cellStyle name="Normal 23 9" xfId="13281" xr:uid="{00000000-0005-0000-0000-0000B2900000}"/>
    <cellStyle name="Normal 24" xfId="1169" xr:uid="{00000000-0005-0000-0000-0000B3900000}"/>
    <cellStyle name="Normal 24 2" xfId="1170" xr:uid="{00000000-0005-0000-0000-0000B4900000}"/>
    <cellStyle name="Normal 24 2 2" xfId="6418" xr:uid="{00000000-0005-0000-0000-0000B5900000}"/>
    <cellStyle name="Normal 24 2 2 2" xfId="54101" xr:uid="{00000000-0005-0000-0000-0000B6900000}"/>
    <cellStyle name="Normal 24 2 2 3" xfId="53248" xr:uid="{00000000-0005-0000-0000-0000B7900000}"/>
    <cellStyle name="Normal 24 2 3" xfId="53705" xr:uid="{00000000-0005-0000-0000-0000B8900000}"/>
    <cellStyle name="Normal 24 2 4" xfId="52820" xr:uid="{00000000-0005-0000-0000-0000B9900000}"/>
    <cellStyle name="Normal 24 2 5" xfId="13427" xr:uid="{00000000-0005-0000-0000-0000BA900000}"/>
    <cellStyle name="Normal 24 3" xfId="3390" xr:uid="{00000000-0005-0000-0000-0000BB900000}"/>
    <cellStyle name="Normal 24 3 2" xfId="53905" xr:uid="{00000000-0005-0000-0000-0000BC900000}"/>
    <cellStyle name="Normal 24 3 3" xfId="53030" xr:uid="{00000000-0005-0000-0000-0000BD900000}"/>
    <cellStyle name="Normal 24 3 4" xfId="23995" xr:uid="{00000000-0005-0000-0000-0000BE900000}"/>
    <cellStyle name="Normal 24 4" xfId="53509" xr:uid="{00000000-0005-0000-0000-0000BF900000}"/>
    <cellStyle name="Normal 24 5" xfId="52624" xr:uid="{00000000-0005-0000-0000-0000C0900000}"/>
    <cellStyle name="Normal 25" xfId="1171" xr:uid="{00000000-0005-0000-0000-0000C1900000}"/>
    <cellStyle name="Normal 25 10" xfId="3392" xr:uid="{00000000-0005-0000-0000-0000C2900000}"/>
    <cellStyle name="Normal 25 100" xfId="3393" xr:uid="{00000000-0005-0000-0000-0000C3900000}"/>
    <cellStyle name="Normal 25 101" xfId="3394" xr:uid="{00000000-0005-0000-0000-0000C4900000}"/>
    <cellStyle name="Normal 25 102" xfId="3395" xr:uid="{00000000-0005-0000-0000-0000C5900000}"/>
    <cellStyle name="Normal 25 103" xfId="3396" xr:uid="{00000000-0005-0000-0000-0000C6900000}"/>
    <cellStyle name="Normal 25 104" xfId="3397" xr:uid="{00000000-0005-0000-0000-0000C7900000}"/>
    <cellStyle name="Normal 25 105" xfId="3398" xr:uid="{00000000-0005-0000-0000-0000C8900000}"/>
    <cellStyle name="Normal 25 106" xfId="3399" xr:uid="{00000000-0005-0000-0000-0000C9900000}"/>
    <cellStyle name="Normal 25 107" xfId="3400" xr:uid="{00000000-0005-0000-0000-0000CA900000}"/>
    <cellStyle name="Normal 25 108" xfId="3401" xr:uid="{00000000-0005-0000-0000-0000CB900000}"/>
    <cellStyle name="Normal 25 109" xfId="3402" xr:uid="{00000000-0005-0000-0000-0000CC900000}"/>
    <cellStyle name="Normal 25 11" xfId="3403" xr:uid="{00000000-0005-0000-0000-0000CD900000}"/>
    <cellStyle name="Normal 25 110" xfId="3391" xr:uid="{00000000-0005-0000-0000-0000CE900000}"/>
    <cellStyle name="Normal 25 111" xfId="13282" xr:uid="{00000000-0005-0000-0000-0000CF900000}"/>
    <cellStyle name="Normal 25 12" xfId="3404" xr:uid="{00000000-0005-0000-0000-0000D0900000}"/>
    <cellStyle name="Normal 25 13" xfId="3405" xr:uid="{00000000-0005-0000-0000-0000D1900000}"/>
    <cellStyle name="Normal 25 14" xfId="3406" xr:uid="{00000000-0005-0000-0000-0000D2900000}"/>
    <cellStyle name="Normal 25 15" xfId="3407" xr:uid="{00000000-0005-0000-0000-0000D3900000}"/>
    <cellStyle name="Normal 25 16" xfId="3408" xr:uid="{00000000-0005-0000-0000-0000D4900000}"/>
    <cellStyle name="Normal 25 17" xfId="3409" xr:uid="{00000000-0005-0000-0000-0000D5900000}"/>
    <cellStyle name="Normal 25 18" xfId="3410" xr:uid="{00000000-0005-0000-0000-0000D6900000}"/>
    <cellStyle name="Normal 25 19" xfId="3411" xr:uid="{00000000-0005-0000-0000-0000D7900000}"/>
    <cellStyle name="Normal 25 2" xfId="1172" xr:uid="{00000000-0005-0000-0000-0000D8900000}"/>
    <cellStyle name="Normal 25 2 2" xfId="3412" xr:uid="{00000000-0005-0000-0000-0000D9900000}"/>
    <cellStyle name="Normal 25 2 2 2" xfId="8807" xr:uid="{00000000-0005-0000-0000-0000DA900000}"/>
    <cellStyle name="Normal 25 2 2 2 2" xfId="11704" xr:uid="{00000000-0005-0000-0000-0000DB900000}"/>
    <cellStyle name="Normal 25 2 2 2 3" xfId="54105" xr:uid="{00000000-0005-0000-0000-0000DC900000}"/>
    <cellStyle name="Normal 25 2 2 3" xfId="10264" xr:uid="{00000000-0005-0000-0000-0000DD900000}"/>
    <cellStyle name="Normal 25 2 2 4" xfId="7330" xr:uid="{00000000-0005-0000-0000-0000DE900000}"/>
    <cellStyle name="Normal 25 2 2 5" xfId="53252" xr:uid="{00000000-0005-0000-0000-0000DF900000}"/>
    <cellStyle name="Normal 25 2 3" xfId="8149" xr:uid="{00000000-0005-0000-0000-0000E0900000}"/>
    <cellStyle name="Normal 25 2 3 2" xfId="11046" xr:uid="{00000000-0005-0000-0000-0000E1900000}"/>
    <cellStyle name="Normal 25 2 3 3" xfId="53709" xr:uid="{00000000-0005-0000-0000-0000E2900000}"/>
    <cellStyle name="Normal 25 2 4" xfId="9606" xr:uid="{00000000-0005-0000-0000-0000E3900000}"/>
    <cellStyle name="Normal 25 2 4 2" xfId="52824" xr:uid="{00000000-0005-0000-0000-0000E4900000}"/>
    <cellStyle name="Normal 25 2 5" xfId="6654" xr:uid="{00000000-0005-0000-0000-0000E5900000}"/>
    <cellStyle name="Normal 25 2 6" xfId="13431" xr:uid="{00000000-0005-0000-0000-0000E6900000}"/>
    <cellStyle name="Normal 25 20" xfId="3413" xr:uid="{00000000-0005-0000-0000-0000E7900000}"/>
    <cellStyle name="Normal 25 21" xfId="3414" xr:uid="{00000000-0005-0000-0000-0000E8900000}"/>
    <cellStyle name="Normal 25 22" xfId="3415" xr:uid="{00000000-0005-0000-0000-0000E9900000}"/>
    <cellStyle name="Normal 25 23" xfId="3416" xr:uid="{00000000-0005-0000-0000-0000EA900000}"/>
    <cellStyle name="Normal 25 24" xfId="3417" xr:uid="{00000000-0005-0000-0000-0000EB900000}"/>
    <cellStyle name="Normal 25 25" xfId="3418" xr:uid="{00000000-0005-0000-0000-0000EC900000}"/>
    <cellStyle name="Normal 25 26" xfId="3419" xr:uid="{00000000-0005-0000-0000-0000ED900000}"/>
    <cellStyle name="Normal 25 27" xfId="3420" xr:uid="{00000000-0005-0000-0000-0000EE900000}"/>
    <cellStyle name="Normal 25 28" xfId="3421" xr:uid="{00000000-0005-0000-0000-0000EF900000}"/>
    <cellStyle name="Normal 25 29" xfId="3422" xr:uid="{00000000-0005-0000-0000-0000F0900000}"/>
    <cellStyle name="Normal 25 3" xfId="1173" xr:uid="{00000000-0005-0000-0000-0000F1900000}"/>
    <cellStyle name="Normal 25 3 2" xfId="3423" xr:uid="{00000000-0005-0000-0000-0000F2900000}"/>
    <cellStyle name="Normal 25 3 2 2" xfId="8573" xr:uid="{00000000-0005-0000-0000-0000F3900000}"/>
    <cellStyle name="Normal 25 3 2 2 2" xfId="11470" xr:uid="{00000000-0005-0000-0000-0000F4900000}"/>
    <cellStyle name="Normal 25 3 2 3" xfId="10030" xr:uid="{00000000-0005-0000-0000-0000F5900000}"/>
    <cellStyle name="Normal 25 3 2 4" xfId="7096" xr:uid="{00000000-0005-0000-0000-0000F6900000}"/>
    <cellStyle name="Normal 25 3 2 5" xfId="53909" xr:uid="{00000000-0005-0000-0000-0000F7900000}"/>
    <cellStyle name="Normal 25 3 3" xfId="7914" xr:uid="{00000000-0005-0000-0000-0000F8900000}"/>
    <cellStyle name="Normal 25 3 3 2" xfId="10812" xr:uid="{00000000-0005-0000-0000-0000F9900000}"/>
    <cellStyle name="Normal 25 3 3 3" xfId="53034" xr:uid="{00000000-0005-0000-0000-0000FA900000}"/>
    <cellStyle name="Normal 25 3 4" xfId="9372" xr:uid="{00000000-0005-0000-0000-0000FB900000}"/>
    <cellStyle name="Normal 25 3 5" xfId="6417" xr:uid="{00000000-0005-0000-0000-0000FC900000}"/>
    <cellStyle name="Normal 25 3 6" xfId="23996" xr:uid="{00000000-0005-0000-0000-0000FD900000}"/>
    <cellStyle name="Normal 25 30" xfId="3424" xr:uid="{00000000-0005-0000-0000-0000FE900000}"/>
    <cellStyle name="Normal 25 31" xfId="3425" xr:uid="{00000000-0005-0000-0000-0000FF900000}"/>
    <cellStyle name="Normal 25 32" xfId="3426" xr:uid="{00000000-0005-0000-0000-000000910000}"/>
    <cellStyle name="Normal 25 33" xfId="3427" xr:uid="{00000000-0005-0000-0000-000001910000}"/>
    <cellStyle name="Normal 25 34" xfId="3428" xr:uid="{00000000-0005-0000-0000-000002910000}"/>
    <cellStyle name="Normal 25 35" xfId="3429" xr:uid="{00000000-0005-0000-0000-000003910000}"/>
    <cellStyle name="Normal 25 36" xfId="3430" xr:uid="{00000000-0005-0000-0000-000004910000}"/>
    <cellStyle name="Normal 25 37" xfId="3431" xr:uid="{00000000-0005-0000-0000-000005910000}"/>
    <cellStyle name="Normal 25 38" xfId="3432" xr:uid="{00000000-0005-0000-0000-000006910000}"/>
    <cellStyle name="Normal 25 39" xfId="3433" xr:uid="{00000000-0005-0000-0000-000007910000}"/>
    <cellStyle name="Normal 25 4" xfId="3434" xr:uid="{00000000-0005-0000-0000-000008910000}"/>
    <cellStyle name="Normal 25 4 2" xfId="53513" xr:uid="{00000000-0005-0000-0000-000009910000}"/>
    <cellStyle name="Normal 25 40" xfId="3435" xr:uid="{00000000-0005-0000-0000-00000A910000}"/>
    <cellStyle name="Normal 25 41" xfId="3436" xr:uid="{00000000-0005-0000-0000-00000B910000}"/>
    <cellStyle name="Normal 25 42" xfId="3437" xr:uid="{00000000-0005-0000-0000-00000C910000}"/>
    <cellStyle name="Normal 25 43" xfId="3438" xr:uid="{00000000-0005-0000-0000-00000D910000}"/>
    <cellStyle name="Normal 25 44" xfId="3439" xr:uid="{00000000-0005-0000-0000-00000E910000}"/>
    <cellStyle name="Normal 25 45" xfId="3440" xr:uid="{00000000-0005-0000-0000-00000F910000}"/>
    <cellStyle name="Normal 25 46" xfId="3441" xr:uid="{00000000-0005-0000-0000-000010910000}"/>
    <cellStyle name="Normal 25 47" xfId="3442" xr:uid="{00000000-0005-0000-0000-000011910000}"/>
    <cellStyle name="Normal 25 48" xfId="3443" xr:uid="{00000000-0005-0000-0000-000012910000}"/>
    <cellStyle name="Normal 25 49" xfId="3444" xr:uid="{00000000-0005-0000-0000-000013910000}"/>
    <cellStyle name="Normal 25 5" xfId="3445" xr:uid="{00000000-0005-0000-0000-000014910000}"/>
    <cellStyle name="Normal 25 5 2" xfId="52628" xr:uid="{00000000-0005-0000-0000-000015910000}"/>
    <cellStyle name="Normal 25 50" xfId="3446" xr:uid="{00000000-0005-0000-0000-000016910000}"/>
    <cellStyle name="Normal 25 51" xfId="3447" xr:uid="{00000000-0005-0000-0000-000017910000}"/>
    <cellStyle name="Normal 25 52" xfId="3448" xr:uid="{00000000-0005-0000-0000-000018910000}"/>
    <cellStyle name="Normal 25 53" xfId="3449" xr:uid="{00000000-0005-0000-0000-000019910000}"/>
    <cellStyle name="Normal 25 54" xfId="3450" xr:uid="{00000000-0005-0000-0000-00001A910000}"/>
    <cellStyle name="Normal 25 55" xfId="3451" xr:uid="{00000000-0005-0000-0000-00001B910000}"/>
    <cellStyle name="Normal 25 56" xfId="3452" xr:uid="{00000000-0005-0000-0000-00001C910000}"/>
    <cellStyle name="Normal 25 57" xfId="3453" xr:uid="{00000000-0005-0000-0000-00001D910000}"/>
    <cellStyle name="Normal 25 58" xfId="3454" xr:uid="{00000000-0005-0000-0000-00001E910000}"/>
    <cellStyle name="Normal 25 59" xfId="3455" xr:uid="{00000000-0005-0000-0000-00001F910000}"/>
    <cellStyle name="Normal 25 6" xfId="3456" xr:uid="{00000000-0005-0000-0000-000020910000}"/>
    <cellStyle name="Normal 25 60" xfId="3457" xr:uid="{00000000-0005-0000-0000-000021910000}"/>
    <cellStyle name="Normal 25 61" xfId="3458" xr:uid="{00000000-0005-0000-0000-000022910000}"/>
    <cellStyle name="Normal 25 62" xfId="3459" xr:uid="{00000000-0005-0000-0000-000023910000}"/>
    <cellStyle name="Normal 25 63" xfId="3460" xr:uid="{00000000-0005-0000-0000-000024910000}"/>
    <cellStyle name="Normal 25 64" xfId="3461" xr:uid="{00000000-0005-0000-0000-000025910000}"/>
    <cellStyle name="Normal 25 65" xfId="3462" xr:uid="{00000000-0005-0000-0000-000026910000}"/>
    <cellStyle name="Normal 25 66" xfId="3463" xr:uid="{00000000-0005-0000-0000-000027910000}"/>
    <cellStyle name="Normal 25 67" xfId="3464" xr:uid="{00000000-0005-0000-0000-000028910000}"/>
    <cellStyle name="Normal 25 68" xfId="3465" xr:uid="{00000000-0005-0000-0000-000029910000}"/>
    <cellStyle name="Normal 25 69" xfId="3466" xr:uid="{00000000-0005-0000-0000-00002A910000}"/>
    <cellStyle name="Normal 25 7" xfId="3467" xr:uid="{00000000-0005-0000-0000-00002B910000}"/>
    <cellStyle name="Normal 25 70" xfId="3468" xr:uid="{00000000-0005-0000-0000-00002C910000}"/>
    <cellStyle name="Normal 25 71" xfId="3469" xr:uid="{00000000-0005-0000-0000-00002D910000}"/>
    <cellStyle name="Normal 25 72" xfId="3470" xr:uid="{00000000-0005-0000-0000-00002E910000}"/>
    <cellStyle name="Normal 25 73" xfId="3471" xr:uid="{00000000-0005-0000-0000-00002F910000}"/>
    <cellStyle name="Normal 25 74" xfId="3472" xr:uid="{00000000-0005-0000-0000-000030910000}"/>
    <cellStyle name="Normal 25 75" xfId="3473" xr:uid="{00000000-0005-0000-0000-000031910000}"/>
    <cellStyle name="Normal 25 76" xfId="3474" xr:uid="{00000000-0005-0000-0000-000032910000}"/>
    <cellStyle name="Normal 25 77" xfId="3475" xr:uid="{00000000-0005-0000-0000-000033910000}"/>
    <cellStyle name="Normal 25 78" xfId="3476" xr:uid="{00000000-0005-0000-0000-000034910000}"/>
    <cellStyle name="Normal 25 79" xfId="3477" xr:uid="{00000000-0005-0000-0000-000035910000}"/>
    <cellStyle name="Normal 25 8" xfId="3478" xr:uid="{00000000-0005-0000-0000-000036910000}"/>
    <cellStyle name="Normal 25 80" xfId="3479" xr:uid="{00000000-0005-0000-0000-000037910000}"/>
    <cellStyle name="Normal 25 81" xfId="3480" xr:uid="{00000000-0005-0000-0000-000038910000}"/>
    <cellStyle name="Normal 25 82" xfId="3481" xr:uid="{00000000-0005-0000-0000-000039910000}"/>
    <cellStyle name="Normal 25 83" xfId="3482" xr:uid="{00000000-0005-0000-0000-00003A910000}"/>
    <cellStyle name="Normal 25 84" xfId="3483" xr:uid="{00000000-0005-0000-0000-00003B910000}"/>
    <cellStyle name="Normal 25 85" xfId="3484" xr:uid="{00000000-0005-0000-0000-00003C910000}"/>
    <cellStyle name="Normal 25 86" xfId="3485" xr:uid="{00000000-0005-0000-0000-00003D910000}"/>
    <cellStyle name="Normal 25 87" xfId="3486" xr:uid="{00000000-0005-0000-0000-00003E910000}"/>
    <cellStyle name="Normal 25 88" xfId="3487" xr:uid="{00000000-0005-0000-0000-00003F910000}"/>
    <cellStyle name="Normal 25 89" xfId="3488" xr:uid="{00000000-0005-0000-0000-000040910000}"/>
    <cellStyle name="Normal 25 9" xfId="3489" xr:uid="{00000000-0005-0000-0000-000041910000}"/>
    <cellStyle name="Normal 25 90" xfId="3490" xr:uid="{00000000-0005-0000-0000-000042910000}"/>
    <cellStyle name="Normal 25 91" xfId="3491" xr:uid="{00000000-0005-0000-0000-000043910000}"/>
    <cellStyle name="Normal 25 92" xfId="3492" xr:uid="{00000000-0005-0000-0000-000044910000}"/>
    <cellStyle name="Normal 25 93" xfId="3493" xr:uid="{00000000-0005-0000-0000-000045910000}"/>
    <cellStyle name="Normal 25 94" xfId="3494" xr:uid="{00000000-0005-0000-0000-000046910000}"/>
    <cellStyle name="Normal 25 95" xfId="3495" xr:uid="{00000000-0005-0000-0000-000047910000}"/>
    <cellStyle name="Normal 25 96" xfId="3496" xr:uid="{00000000-0005-0000-0000-000048910000}"/>
    <cellStyle name="Normal 25 97" xfId="3497" xr:uid="{00000000-0005-0000-0000-000049910000}"/>
    <cellStyle name="Normal 25 98" xfId="3498" xr:uid="{00000000-0005-0000-0000-00004A910000}"/>
    <cellStyle name="Normal 25 99" xfId="3499" xr:uid="{00000000-0005-0000-0000-00004B910000}"/>
    <cellStyle name="Normal 26" xfId="1174" xr:uid="{00000000-0005-0000-0000-00004C910000}"/>
    <cellStyle name="Normal 26 10" xfId="3501" xr:uid="{00000000-0005-0000-0000-00004D910000}"/>
    <cellStyle name="Normal 26 100" xfId="3502" xr:uid="{00000000-0005-0000-0000-00004E910000}"/>
    <cellStyle name="Normal 26 101" xfId="3503" xr:uid="{00000000-0005-0000-0000-00004F910000}"/>
    <cellStyle name="Normal 26 102" xfId="3504" xr:uid="{00000000-0005-0000-0000-000050910000}"/>
    <cellStyle name="Normal 26 103" xfId="3505" xr:uid="{00000000-0005-0000-0000-000051910000}"/>
    <cellStyle name="Normal 26 104" xfId="3506" xr:uid="{00000000-0005-0000-0000-000052910000}"/>
    <cellStyle name="Normal 26 105" xfId="3507" xr:uid="{00000000-0005-0000-0000-000053910000}"/>
    <cellStyle name="Normal 26 106" xfId="3508" xr:uid="{00000000-0005-0000-0000-000054910000}"/>
    <cellStyle name="Normal 26 107" xfId="3509" xr:uid="{00000000-0005-0000-0000-000055910000}"/>
    <cellStyle name="Normal 26 108" xfId="3510" xr:uid="{00000000-0005-0000-0000-000056910000}"/>
    <cellStyle name="Normal 26 109" xfId="3511" xr:uid="{00000000-0005-0000-0000-000057910000}"/>
    <cellStyle name="Normal 26 11" xfId="3512" xr:uid="{00000000-0005-0000-0000-000058910000}"/>
    <cellStyle name="Normal 26 110" xfId="3500" xr:uid="{00000000-0005-0000-0000-000059910000}"/>
    <cellStyle name="Normal 26 111" xfId="13283" xr:uid="{00000000-0005-0000-0000-00005A910000}"/>
    <cellStyle name="Normal 26 12" xfId="3513" xr:uid="{00000000-0005-0000-0000-00005B910000}"/>
    <cellStyle name="Normal 26 13" xfId="3514" xr:uid="{00000000-0005-0000-0000-00005C910000}"/>
    <cellStyle name="Normal 26 14" xfId="3515" xr:uid="{00000000-0005-0000-0000-00005D910000}"/>
    <cellStyle name="Normal 26 15" xfId="3516" xr:uid="{00000000-0005-0000-0000-00005E910000}"/>
    <cellStyle name="Normal 26 16" xfId="3517" xr:uid="{00000000-0005-0000-0000-00005F910000}"/>
    <cellStyle name="Normal 26 17" xfId="3518" xr:uid="{00000000-0005-0000-0000-000060910000}"/>
    <cellStyle name="Normal 26 18" xfId="3519" xr:uid="{00000000-0005-0000-0000-000061910000}"/>
    <cellStyle name="Normal 26 19" xfId="3520" xr:uid="{00000000-0005-0000-0000-000062910000}"/>
    <cellStyle name="Normal 26 2" xfId="1175" xr:uid="{00000000-0005-0000-0000-000063910000}"/>
    <cellStyle name="Normal 26 2 2" xfId="3521" xr:uid="{00000000-0005-0000-0000-000064910000}"/>
    <cellStyle name="Normal 26 2 2 2" xfId="8689" xr:uid="{00000000-0005-0000-0000-000065910000}"/>
    <cellStyle name="Normal 26 2 2 2 2" xfId="11586" xr:uid="{00000000-0005-0000-0000-000066910000}"/>
    <cellStyle name="Normal 26 2 2 3" xfId="10146" xr:uid="{00000000-0005-0000-0000-000067910000}"/>
    <cellStyle name="Normal 26 2 2 4" xfId="7212" xr:uid="{00000000-0005-0000-0000-000068910000}"/>
    <cellStyle name="Normal 26 2 3" xfId="8031" xr:uid="{00000000-0005-0000-0000-000069910000}"/>
    <cellStyle name="Normal 26 2 3 2" xfId="10928" xr:uid="{00000000-0005-0000-0000-00006A910000}"/>
    <cellStyle name="Normal 26 2 4" xfId="9488" xr:uid="{00000000-0005-0000-0000-00006B910000}"/>
    <cellStyle name="Normal 26 2 5" xfId="6536" xr:uid="{00000000-0005-0000-0000-00006C910000}"/>
    <cellStyle name="Normal 26 2 6" xfId="13488" xr:uid="{00000000-0005-0000-0000-00006D910000}"/>
    <cellStyle name="Normal 26 20" xfId="3522" xr:uid="{00000000-0005-0000-0000-00006E910000}"/>
    <cellStyle name="Normal 26 21" xfId="3523" xr:uid="{00000000-0005-0000-0000-00006F910000}"/>
    <cellStyle name="Normal 26 22" xfId="3524" xr:uid="{00000000-0005-0000-0000-000070910000}"/>
    <cellStyle name="Normal 26 23" xfId="3525" xr:uid="{00000000-0005-0000-0000-000071910000}"/>
    <cellStyle name="Normal 26 24" xfId="3526" xr:uid="{00000000-0005-0000-0000-000072910000}"/>
    <cellStyle name="Normal 26 25" xfId="3527" xr:uid="{00000000-0005-0000-0000-000073910000}"/>
    <cellStyle name="Normal 26 26" xfId="3528" xr:uid="{00000000-0005-0000-0000-000074910000}"/>
    <cellStyle name="Normal 26 27" xfId="3529" xr:uid="{00000000-0005-0000-0000-000075910000}"/>
    <cellStyle name="Normal 26 28" xfId="3530" xr:uid="{00000000-0005-0000-0000-000076910000}"/>
    <cellStyle name="Normal 26 29" xfId="3531" xr:uid="{00000000-0005-0000-0000-000077910000}"/>
    <cellStyle name="Normal 26 3" xfId="3532" xr:uid="{00000000-0005-0000-0000-000078910000}"/>
    <cellStyle name="Normal 26 3 2" xfId="23997" xr:uid="{00000000-0005-0000-0000-000079910000}"/>
    <cellStyle name="Normal 26 30" xfId="3533" xr:uid="{00000000-0005-0000-0000-00007A910000}"/>
    <cellStyle name="Normal 26 31" xfId="3534" xr:uid="{00000000-0005-0000-0000-00007B910000}"/>
    <cellStyle name="Normal 26 32" xfId="3535" xr:uid="{00000000-0005-0000-0000-00007C910000}"/>
    <cellStyle name="Normal 26 33" xfId="3536" xr:uid="{00000000-0005-0000-0000-00007D910000}"/>
    <cellStyle name="Normal 26 34" xfId="3537" xr:uid="{00000000-0005-0000-0000-00007E910000}"/>
    <cellStyle name="Normal 26 35" xfId="3538" xr:uid="{00000000-0005-0000-0000-00007F910000}"/>
    <cellStyle name="Normal 26 36" xfId="3539" xr:uid="{00000000-0005-0000-0000-000080910000}"/>
    <cellStyle name="Normal 26 37" xfId="3540" xr:uid="{00000000-0005-0000-0000-000081910000}"/>
    <cellStyle name="Normal 26 38" xfId="3541" xr:uid="{00000000-0005-0000-0000-000082910000}"/>
    <cellStyle name="Normal 26 39" xfId="3542" xr:uid="{00000000-0005-0000-0000-000083910000}"/>
    <cellStyle name="Normal 26 4" xfId="3543" xr:uid="{00000000-0005-0000-0000-000084910000}"/>
    <cellStyle name="Normal 26 40" xfId="3544" xr:uid="{00000000-0005-0000-0000-000085910000}"/>
    <cellStyle name="Normal 26 41" xfId="3545" xr:uid="{00000000-0005-0000-0000-000086910000}"/>
    <cellStyle name="Normal 26 42" xfId="3546" xr:uid="{00000000-0005-0000-0000-000087910000}"/>
    <cellStyle name="Normal 26 43" xfId="3547" xr:uid="{00000000-0005-0000-0000-000088910000}"/>
    <cellStyle name="Normal 26 44" xfId="3548" xr:uid="{00000000-0005-0000-0000-000089910000}"/>
    <cellStyle name="Normal 26 45" xfId="3549" xr:uid="{00000000-0005-0000-0000-00008A910000}"/>
    <cellStyle name="Normal 26 46" xfId="3550" xr:uid="{00000000-0005-0000-0000-00008B910000}"/>
    <cellStyle name="Normal 26 47" xfId="3551" xr:uid="{00000000-0005-0000-0000-00008C910000}"/>
    <cellStyle name="Normal 26 48" xfId="3552" xr:uid="{00000000-0005-0000-0000-00008D910000}"/>
    <cellStyle name="Normal 26 49" xfId="3553" xr:uid="{00000000-0005-0000-0000-00008E910000}"/>
    <cellStyle name="Normal 26 5" xfId="3554" xr:uid="{00000000-0005-0000-0000-00008F910000}"/>
    <cellStyle name="Normal 26 50" xfId="3555" xr:uid="{00000000-0005-0000-0000-000090910000}"/>
    <cellStyle name="Normal 26 51" xfId="3556" xr:uid="{00000000-0005-0000-0000-000091910000}"/>
    <cellStyle name="Normal 26 52" xfId="3557" xr:uid="{00000000-0005-0000-0000-000092910000}"/>
    <cellStyle name="Normal 26 53" xfId="3558" xr:uid="{00000000-0005-0000-0000-000093910000}"/>
    <cellStyle name="Normal 26 54" xfId="3559" xr:uid="{00000000-0005-0000-0000-000094910000}"/>
    <cellStyle name="Normal 26 55" xfId="3560" xr:uid="{00000000-0005-0000-0000-000095910000}"/>
    <cellStyle name="Normal 26 56" xfId="3561" xr:uid="{00000000-0005-0000-0000-000096910000}"/>
    <cellStyle name="Normal 26 57" xfId="3562" xr:uid="{00000000-0005-0000-0000-000097910000}"/>
    <cellStyle name="Normal 26 58" xfId="3563" xr:uid="{00000000-0005-0000-0000-000098910000}"/>
    <cellStyle name="Normal 26 59" xfId="3564" xr:uid="{00000000-0005-0000-0000-000099910000}"/>
    <cellStyle name="Normal 26 6" xfId="3565" xr:uid="{00000000-0005-0000-0000-00009A910000}"/>
    <cellStyle name="Normal 26 60" xfId="3566" xr:uid="{00000000-0005-0000-0000-00009B910000}"/>
    <cellStyle name="Normal 26 61" xfId="3567" xr:uid="{00000000-0005-0000-0000-00009C910000}"/>
    <cellStyle name="Normal 26 62" xfId="3568" xr:uid="{00000000-0005-0000-0000-00009D910000}"/>
    <cellStyle name="Normal 26 63" xfId="3569" xr:uid="{00000000-0005-0000-0000-00009E910000}"/>
    <cellStyle name="Normal 26 64" xfId="3570" xr:uid="{00000000-0005-0000-0000-00009F910000}"/>
    <cellStyle name="Normal 26 65" xfId="3571" xr:uid="{00000000-0005-0000-0000-0000A0910000}"/>
    <cellStyle name="Normal 26 66" xfId="3572" xr:uid="{00000000-0005-0000-0000-0000A1910000}"/>
    <cellStyle name="Normal 26 67" xfId="3573" xr:uid="{00000000-0005-0000-0000-0000A2910000}"/>
    <cellStyle name="Normal 26 68" xfId="3574" xr:uid="{00000000-0005-0000-0000-0000A3910000}"/>
    <cellStyle name="Normal 26 69" xfId="3575" xr:uid="{00000000-0005-0000-0000-0000A4910000}"/>
    <cellStyle name="Normal 26 7" xfId="3576" xr:uid="{00000000-0005-0000-0000-0000A5910000}"/>
    <cellStyle name="Normal 26 70" xfId="3577" xr:uid="{00000000-0005-0000-0000-0000A6910000}"/>
    <cellStyle name="Normal 26 71" xfId="3578" xr:uid="{00000000-0005-0000-0000-0000A7910000}"/>
    <cellStyle name="Normal 26 72" xfId="3579" xr:uid="{00000000-0005-0000-0000-0000A8910000}"/>
    <cellStyle name="Normal 26 73" xfId="3580" xr:uid="{00000000-0005-0000-0000-0000A9910000}"/>
    <cellStyle name="Normal 26 74" xfId="3581" xr:uid="{00000000-0005-0000-0000-0000AA910000}"/>
    <cellStyle name="Normal 26 75" xfId="3582" xr:uid="{00000000-0005-0000-0000-0000AB910000}"/>
    <cellStyle name="Normal 26 76" xfId="3583" xr:uid="{00000000-0005-0000-0000-0000AC910000}"/>
    <cellStyle name="Normal 26 77" xfId="3584" xr:uid="{00000000-0005-0000-0000-0000AD910000}"/>
    <cellStyle name="Normal 26 78" xfId="3585" xr:uid="{00000000-0005-0000-0000-0000AE910000}"/>
    <cellStyle name="Normal 26 79" xfId="3586" xr:uid="{00000000-0005-0000-0000-0000AF910000}"/>
    <cellStyle name="Normal 26 8" xfId="3587" xr:uid="{00000000-0005-0000-0000-0000B0910000}"/>
    <cellStyle name="Normal 26 80" xfId="3588" xr:uid="{00000000-0005-0000-0000-0000B1910000}"/>
    <cellStyle name="Normal 26 81" xfId="3589" xr:uid="{00000000-0005-0000-0000-0000B2910000}"/>
    <cellStyle name="Normal 26 82" xfId="3590" xr:uid="{00000000-0005-0000-0000-0000B3910000}"/>
    <cellStyle name="Normal 26 83" xfId="3591" xr:uid="{00000000-0005-0000-0000-0000B4910000}"/>
    <cellStyle name="Normal 26 84" xfId="3592" xr:uid="{00000000-0005-0000-0000-0000B5910000}"/>
    <cellStyle name="Normal 26 85" xfId="3593" xr:uid="{00000000-0005-0000-0000-0000B6910000}"/>
    <cellStyle name="Normal 26 86" xfId="3594" xr:uid="{00000000-0005-0000-0000-0000B7910000}"/>
    <cellStyle name="Normal 26 87" xfId="3595" xr:uid="{00000000-0005-0000-0000-0000B8910000}"/>
    <cellStyle name="Normal 26 88" xfId="3596" xr:uid="{00000000-0005-0000-0000-0000B9910000}"/>
    <cellStyle name="Normal 26 89" xfId="3597" xr:uid="{00000000-0005-0000-0000-0000BA910000}"/>
    <cellStyle name="Normal 26 9" xfId="3598" xr:uid="{00000000-0005-0000-0000-0000BB910000}"/>
    <cellStyle name="Normal 26 90" xfId="3599" xr:uid="{00000000-0005-0000-0000-0000BC910000}"/>
    <cellStyle name="Normal 26 91" xfId="3600" xr:uid="{00000000-0005-0000-0000-0000BD910000}"/>
    <cellStyle name="Normal 26 92" xfId="3601" xr:uid="{00000000-0005-0000-0000-0000BE910000}"/>
    <cellStyle name="Normal 26 93" xfId="3602" xr:uid="{00000000-0005-0000-0000-0000BF910000}"/>
    <cellStyle name="Normal 26 94" xfId="3603" xr:uid="{00000000-0005-0000-0000-0000C0910000}"/>
    <cellStyle name="Normal 26 95" xfId="3604" xr:uid="{00000000-0005-0000-0000-0000C1910000}"/>
    <cellStyle name="Normal 26 96" xfId="3605" xr:uid="{00000000-0005-0000-0000-0000C2910000}"/>
    <cellStyle name="Normal 26 97" xfId="3606" xr:uid="{00000000-0005-0000-0000-0000C3910000}"/>
    <cellStyle name="Normal 26 98" xfId="3607" xr:uid="{00000000-0005-0000-0000-0000C4910000}"/>
    <cellStyle name="Normal 26 99" xfId="3608" xr:uid="{00000000-0005-0000-0000-0000C5910000}"/>
    <cellStyle name="Normal 27" xfId="1176" xr:uid="{00000000-0005-0000-0000-0000C6910000}"/>
    <cellStyle name="Normal 27 10" xfId="3610" xr:uid="{00000000-0005-0000-0000-0000C7910000}"/>
    <cellStyle name="Normal 27 100" xfId="3611" xr:uid="{00000000-0005-0000-0000-0000C8910000}"/>
    <cellStyle name="Normal 27 101" xfId="3612" xr:uid="{00000000-0005-0000-0000-0000C9910000}"/>
    <cellStyle name="Normal 27 102" xfId="3613" xr:uid="{00000000-0005-0000-0000-0000CA910000}"/>
    <cellStyle name="Normal 27 103" xfId="3614" xr:uid="{00000000-0005-0000-0000-0000CB910000}"/>
    <cellStyle name="Normal 27 104" xfId="3615" xr:uid="{00000000-0005-0000-0000-0000CC910000}"/>
    <cellStyle name="Normal 27 105" xfId="3616" xr:uid="{00000000-0005-0000-0000-0000CD910000}"/>
    <cellStyle name="Normal 27 106" xfId="3617" xr:uid="{00000000-0005-0000-0000-0000CE910000}"/>
    <cellStyle name="Normal 27 107" xfId="3618" xr:uid="{00000000-0005-0000-0000-0000CF910000}"/>
    <cellStyle name="Normal 27 108" xfId="3619" xr:uid="{00000000-0005-0000-0000-0000D0910000}"/>
    <cellStyle name="Normal 27 109" xfId="3620" xr:uid="{00000000-0005-0000-0000-0000D1910000}"/>
    <cellStyle name="Normal 27 11" xfId="3621" xr:uid="{00000000-0005-0000-0000-0000D2910000}"/>
    <cellStyle name="Normal 27 110" xfId="3609" xr:uid="{00000000-0005-0000-0000-0000D3910000}"/>
    <cellStyle name="Normal 27 12" xfId="3622" xr:uid="{00000000-0005-0000-0000-0000D4910000}"/>
    <cellStyle name="Normal 27 13" xfId="3623" xr:uid="{00000000-0005-0000-0000-0000D5910000}"/>
    <cellStyle name="Normal 27 14" xfId="3624" xr:uid="{00000000-0005-0000-0000-0000D6910000}"/>
    <cellStyle name="Normal 27 15" xfId="3625" xr:uid="{00000000-0005-0000-0000-0000D7910000}"/>
    <cellStyle name="Normal 27 16" xfId="3626" xr:uid="{00000000-0005-0000-0000-0000D8910000}"/>
    <cellStyle name="Normal 27 17" xfId="3627" xr:uid="{00000000-0005-0000-0000-0000D9910000}"/>
    <cellStyle name="Normal 27 18" xfId="3628" xr:uid="{00000000-0005-0000-0000-0000DA910000}"/>
    <cellStyle name="Normal 27 19" xfId="3629" xr:uid="{00000000-0005-0000-0000-0000DB910000}"/>
    <cellStyle name="Normal 27 2" xfId="3630" xr:uid="{00000000-0005-0000-0000-0000DC910000}"/>
    <cellStyle name="Normal 27 20" xfId="3631" xr:uid="{00000000-0005-0000-0000-0000DD910000}"/>
    <cellStyle name="Normal 27 21" xfId="3632" xr:uid="{00000000-0005-0000-0000-0000DE910000}"/>
    <cellStyle name="Normal 27 22" xfId="3633" xr:uid="{00000000-0005-0000-0000-0000DF910000}"/>
    <cellStyle name="Normal 27 23" xfId="3634" xr:uid="{00000000-0005-0000-0000-0000E0910000}"/>
    <cellStyle name="Normal 27 24" xfId="3635" xr:uid="{00000000-0005-0000-0000-0000E1910000}"/>
    <cellStyle name="Normal 27 25" xfId="3636" xr:uid="{00000000-0005-0000-0000-0000E2910000}"/>
    <cellStyle name="Normal 27 26" xfId="3637" xr:uid="{00000000-0005-0000-0000-0000E3910000}"/>
    <cellStyle name="Normal 27 27" xfId="3638" xr:uid="{00000000-0005-0000-0000-0000E4910000}"/>
    <cellStyle name="Normal 27 28" xfId="3639" xr:uid="{00000000-0005-0000-0000-0000E5910000}"/>
    <cellStyle name="Normal 27 29" xfId="3640" xr:uid="{00000000-0005-0000-0000-0000E6910000}"/>
    <cellStyle name="Normal 27 3" xfId="3641" xr:uid="{00000000-0005-0000-0000-0000E7910000}"/>
    <cellStyle name="Normal 27 30" xfId="3642" xr:uid="{00000000-0005-0000-0000-0000E8910000}"/>
    <cellStyle name="Normal 27 31" xfId="3643" xr:uid="{00000000-0005-0000-0000-0000E9910000}"/>
    <cellStyle name="Normal 27 32" xfId="3644" xr:uid="{00000000-0005-0000-0000-0000EA910000}"/>
    <cellStyle name="Normal 27 33" xfId="3645" xr:uid="{00000000-0005-0000-0000-0000EB910000}"/>
    <cellStyle name="Normal 27 34" xfId="3646" xr:uid="{00000000-0005-0000-0000-0000EC910000}"/>
    <cellStyle name="Normal 27 35" xfId="3647" xr:uid="{00000000-0005-0000-0000-0000ED910000}"/>
    <cellStyle name="Normal 27 36" xfId="3648" xr:uid="{00000000-0005-0000-0000-0000EE910000}"/>
    <cellStyle name="Normal 27 37" xfId="3649" xr:uid="{00000000-0005-0000-0000-0000EF910000}"/>
    <cellStyle name="Normal 27 38" xfId="3650" xr:uid="{00000000-0005-0000-0000-0000F0910000}"/>
    <cellStyle name="Normal 27 39" xfId="3651" xr:uid="{00000000-0005-0000-0000-0000F1910000}"/>
    <cellStyle name="Normal 27 4" xfId="3652" xr:uid="{00000000-0005-0000-0000-0000F2910000}"/>
    <cellStyle name="Normal 27 40" xfId="3653" xr:uid="{00000000-0005-0000-0000-0000F3910000}"/>
    <cellStyle name="Normal 27 41" xfId="3654" xr:uid="{00000000-0005-0000-0000-0000F4910000}"/>
    <cellStyle name="Normal 27 42" xfId="3655" xr:uid="{00000000-0005-0000-0000-0000F5910000}"/>
    <cellStyle name="Normal 27 43" xfId="3656" xr:uid="{00000000-0005-0000-0000-0000F6910000}"/>
    <cellStyle name="Normal 27 44" xfId="3657" xr:uid="{00000000-0005-0000-0000-0000F7910000}"/>
    <cellStyle name="Normal 27 45" xfId="3658" xr:uid="{00000000-0005-0000-0000-0000F8910000}"/>
    <cellStyle name="Normal 27 46" xfId="3659" xr:uid="{00000000-0005-0000-0000-0000F9910000}"/>
    <cellStyle name="Normal 27 47" xfId="3660" xr:uid="{00000000-0005-0000-0000-0000FA910000}"/>
    <cellStyle name="Normal 27 48" xfId="3661" xr:uid="{00000000-0005-0000-0000-0000FB910000}"/>
    <cellStyle name="Normal 27 49" xfId="3662" xr:uid="{00000000-0005-0000-0000-0000FC910000}"/>
    <cellStyle name="Normal 27 5" xfId="3663" xr:uid="{00000000-0005-0000-0000-0000FD910000}"/>
    <cellStyle name="Normal 27 50" xfId="3664" xr:uid="{00000000-0005-0000-0000-0000FE910000}"/>
    <cellStyle name="Normal 27 51" xfId="3665" xr:uid="{00000000-0005-0000-0000-0000FF910000}"/>
    <cellStyle name="Normal 27 52" xfId="3666" xr:uid="{00000000-0005-0000-0000-000000920000}"/>
    <cellStyle name="Normal 27 53" xfId="3667" xr:uid="{00000000-0005-0000-0000-000001920000}"/>
    <cellStyle name="Normal 27 54" xfId="3668" xr:uid="{00000000-0005-0000-0000-000002920000}"/>
    <cellStyle name="Normal 27 55" xfId="3669" xr:uid="{00000000-0005-0000-0000-000003920000}"/>
    <cellStyle name="Normal 27 56" xfId="3670" xr:uid="{00000000-0005-0000-0000-000004920000}"/>
    <cellStyle name="Normal 27 57" xfId="3671" xr:uid="{00000000-0005-0000-0000-000005920000}"/>
    <cellStyle name="Normal 27 58" xfId="3672" xr:uid="{00000000-0005-0000-0000-000006920000}"/>
    <cellStyle name="Normal 27 59" xfId="3673" xr:uid="{00000000-0005-0000-0000-000007920000}"/>
    <cellStyle name="Normal 27 6" xfId="3674" xr:uid="{00000000-0005-0000-0000-000008920000}"/>
    <cellStyle name="Normal 27 60" xfId="3675" xr:uid="{00000000-0005-0000-0000-000009920000}"/>
    <cellStyle name="Normal 27 61" xfId="3676" xr:uid="{00000000-0005-0000-0000-00000A920000}"/>
    <cellStyle name="Normal 27 62" xfId="3677" xr:uid="{00000000-0005-0000-0000-00000B920000}"/>
    <cellStyle name="Normal 27 63" xfId="3678" xr:uid="{00000000-0005-0000-0000-00000C920000}"/>
    <cellStyle name="Normal 27 64" xfId="3679" xr:uid="{00000000-0005-0000-0000-00000D920000}"/>
    <cellStyle name="Normal 27 65" xfId="3680" xr:uid="{00000000-0005-0000-0000-00000E920000}"/>
    <cellStyle name="Normal 27 66" xfId="3681" xr:uid="{00000000-0005-0000-0000-00000F920000}"/>
    <cellStyle name="Normal 27 67" xfId="3682" xr:uid="{00000000-0005-0000-0000-000010920000}"/>
    <cellStyle name="Normal 27 68" xfId="3683" xr:uid="{00000000-0005-0000-0000-000011920000}"/>
    <cellStyle name="Normal 27 69" xfId="3684" xr:uid="{00000000-0005-0000-0000-000012920000}"/>
    <cellStyle name="Normal 27 7" xfId="3685" xr:uid="{00000000-0005-0000-0000-000013920000}"/>
    <cellStyle name="Normal 27 70" xfId="3686" xr:uid="{00000000-0005-0000-0000-000014920000}"/>
    <cellStyle name="Normal 27 71" xfId="3687" xr:uid="{00000000-0005-0000-0000-000015920000}"/>
    <cellStyle name="Normal 27 72" xfId="3688" xr:uid="{00000000-0005-0000-0000-000016920000}"/>
    <cellStyle name="Normal 27 73" xfId="3689" xr:uid="{00000000-0005-0000-0000-000017920000}"/>
    <cellStyle name="Normal 27 74" xfId="3690" xr:uid="{00000000-0005-0000-0000-000018920000}"/>
    <cellStyle name="Normal 27 75" xfId="3691" xr:uid="{00000000-0005-0000-0000-000019920000}"/>
    <cellStyle name="Normal 27 76" xfId="3692" xr:uid="{00000000-0005-0000-0000-00001A920000}"/>
    <cellStyle name="Normal 27 77" xfId="3693" xr:uid="{00000000-0005-0000-0000-00001B920000}"/>
    <cellStyle name="Normal 27 78" xfId="3694" xr:uid="{00000000-0005-0000-0000-00001C920000}"/>
    <cellStyle name="Normal 27 79" xfId="3695" xr:uid="{00000000-0005-0000-0000-00001D920000}"/>
    <cellStyle name="Normal 27 8" xfId="3696" xr:uid="{00000000-0005-0000-0000-00001E920000}"/>
    <cellStyle name="Normal 27 80" xfId="3697" xr:uid="{00000000-0005-0000-0000-00001F920000}"/>
    <cellStyle name="Normal 27 81" xfId="3698" xr:uid="{00000000-0005-0000-0000-000020920000}"/>
    <cellStyle name="Normal 27 82" xfId="3699" xr:uid="{00000000-0005-0000-0000-000021920000}"/>
    <cellStyle name="Normal 27 83" xfId="3700" xr:uid="{00000000-0005-0000-0000-000022920000}"/>
    <cellStyle name="Normal 27 84" xfId="3701" xr:uid="{00000000-0005-0000-0000-000023920000}"/>
    <cellStyle name="Normal 27 85" xfId="3702" xr:uid="{00000000-0005-0000-0000-000024920000}"/>
    <cellStyle name="Normal 27 86" xfId="3703" xr:uid="{00000000-0005-0000-0000-000025920000}"/>
    <cellStyle name="Normal 27 87" xfId="3704" xr:uid="{00000000-0005-0000-0000-000026920000}"/>
    <cellStyle name="Normal 27 88" xfId="3705" xr:uid="{00000000-0005-0000-0000-000027920000}"/>
    <cellStyle name="Normal 27 89" xfId="3706" xr:uid="{00000000-0005-0000-0000-000028920000}"/>
    <cellStyle name="Normal 27 9" xfId="3707" xr:uid="{00000000-0005-0000-0000-000029920000}"/>
    <cellStyle name="Normal 27 90" xfId="3708" xr:uid="{00000000-0005-0000-0000-00002A920000}"/>
    <cellStyle name="Normal 27 91" xfId="3709" xr:uid="{00000000-0005-0000-0000-00002B920000}"/>
    <cellStyle name="Normal 27 92" xfId="3710" xr:uid="{00000000-0005-0000-0000-00002C920000}"/>
    <cellStyle name="Normal 27 93" xfId="3711" xr:uid="{00000000-0005-0000-0000-00002D920000}"/>
    <cellStyle name="Normal 27 94" xfId="3712" xr:uid="{00000000-0005-0000-0000-00002E920000}"/>
    <cellStyle name="Normal 27 95" xfId="3713" xr:uid="{00000000-0005-0000-0000-00002F920000}"/>
    <cellStyle name="Normal 27 96" xfId="3714" xr:uid="{00000000-0005-0000-0000-000030920000}"/>
    <cellStyle name="Normal 27 97" xfId="3715" xr:uid="{00000000-0005-0000-0000-000031920000}"/>
    <cellStyle name="Normal 27 98" xfId="3716" xr:uid="{00000000-0005-0000-0000-000032920000}"/>
    <cellStyle name="Normal 27 99" xfId="3717" xr:uid="{00000000-0005-0000-0000-000033920000}"/>
    <cellStyle name="Normal 28" xfId="18" xr:uid="{00000000-0005-0000-0000-000034920000}"/>
    <cellStyle name="Normal 28 10" xfId="3719" xr:uid="{00000000-0005-0000-0000-000035920000}"/>
    <cellStyle name="Normal 28 100" xfId="3720" xr:uid="{00000000-0005-0000-0000-000036920000}"/>
    <cellStyle name="Normal 28 101" xfId="3721" xr:uid="{00000000-0005-0000-0000-000037920000}"/>
    <cellStyle name="Normal 28 102" xfId="3722" xr:uid="{00000000-0005-0000-0000-000038920000}"/>
    <cellStyle name="Normal 28 103" xfId="3723" xr:uid="{00000000-0005-0000-0000-000039920000}"/>
    <cellStyle name="Normal 28 104" xfId="3724" xr:uid="{00000000-0005-0000-0000-00003A920000}"/>
    <cellStyle name="Normal 28 105" xfId="3725" xr:uid="{00000000-0005-0000-0000-00003B920000}"/>
    <cellStyle name="Normal 28 106" xfId="3726" xr:uid="{00000000-0005-0000-0000-00003C920000}"/>
    <cellStyle name="Normal 28 107" xfId="3727" xr:uid="{00000000-0005-0000-0000-00003D920000}"/>
    <cellStyle name="Normal 28 108" xfId="3728" xr:uid="{00000000-0005-0000-0000-00003E920000}"/>
    <cellStyle name="Normal 28 109" xfId="3729" xr:uid="{00000000-0005-0000-0000-00003F920000}"/>
    <cellStyle name="Normal 28 11" xfId="3730" xr:uid="{00000000-0005-0000-0000-000040920000}"/>
    <cellStyle name="Normal 28 110" xfId="3718" xr:uid="{00000000-0005-0000-0000-000041920000}"/>
    <cellStyle name="Normal 28 111" xfId="6223" xr:uid="{00000000-0005-0000-0000-000042920000}"/>
    <cellStyle name="Normal 28 112" xfId="13485" xr:uid="{00000000-0005-0000-0000-000043920000}"/>
    <cellStyle name="Normal 28 12" xfId="3731" xr:uid="{00000000-0005-0000-0000-000044920000}"/>
    <cellStyle name="Normal 28 13" xfId="3732" xr:uid="{00000000-0005-0000-0000-000045920000}"/>
    <cellStyle name="Normal 28 14" xfId="3733" xr:uid="{00000000-0005-0000-0000-000046920000}"/>
    <cellStyle name="Normal 28 15" xfId="3734" xr:uid="{00000000-0005-0000-0000-000047920000}"/>
    <cellStyle name="Normal 28 16" xfId="3735" xr:uid="{00000000-0005-0000-0000-000048920000}"/>
    <cellStyle name="Normal 28 17" xfId="3736" xr:uid="{00000000-0005-0000-0000-000049920000}"/>
    <cellStyle name="Normal 28 18" xfId="3737" xr:uid="{00000000-0005-0000-0000-00004A920000}"/>
    <cellStyle name="Normal 28 19" xfId="3738" xr:uid="{00000000-0005-0000-0000-00004B920000}"/>
    <cellStyle name="Normal 28 2" xfId="3739" xr:uid="{00000000-0005-0000-0000-00004C920000}"/>
    <cellStyle name="Normal 28 2 2" xfId="22668" xr:uid="{00000000-0005-0000-0000-00004D920000}"/>
    <cellStyle name="Normal 28 20" xfId="3740" xr:uid="{00000000-0005-0000-0000-00004E920000}"/>
    <cellStyle name="Normal 28 21" xfId="3741" xr:uid="{00000000-0005-0000-0000-00004F920000}"/>
    <cellStyle name="Normal 28 22" xfId="3742" xr:uid="{00000000-0005-0000-0000-000050920000}"/>
    <cellStyle name="Normal 28 23" xfId="3743" xr:uid="{00000000-0005-0000-0000-000051920000}"/>
    <cellStyle name="Normal 28 24" xfId="3744" xr:uid="{00000000-0005-0000-0000-000052920000}"/>
    <cellStyle name="Normal 28 25" xfId="3745" xr:uid="{00000000-0005-0000-0000-000053920000}"/>
    <cellStyle name="Normal 28 26" xfId="3746" xr:uid="{00000000-0005-0000-0000-000054920000}"/>
    <cellStyle name="Normal 28 27" xfId="3747" xr:uid="{00000000-0005-0000-0000-000055920000}"/>
    <cellStyle name="Normal 28 28" xfId="3748" xr:uid="{00000000-0005-0000-0000-000056920000}"/>
    <cellStyle name="Normal 28 29" xfId="3749" xr:uid="{00000000-0005-0000-0000-000057920000}"/>
    <cellStyle name="Normal 28 3" xfId="3750" xr:uid="{00000000-0005-0000-0000-000058920000}"/>
    <cellStyle name="Normal 28 3 2" xfId="24170" xr:uid="{00000000-0005-0000-0000-000059920000}"/>
    <cellStyle name="Normal 28 30" xfId="3751" xr:uid="{00000000-0005-0000-0000-00005A920000}"/>
    <cellStyle name="Normal 28 31" xfId="3752" xr:uid="{00000000-0005-0000-0000-00005B920000}"/>
    <cellStyle name="Normal 28 32" xfId="3753" xr:uid="{00000000-0005-0000-0000-00005C920000}"/>
    <cellStyle name="Normal 28 33" xfId="3754" xr:uid="{00000000-0005-0000-0000-00005D920000}"/>
    <cellStyle name="Normal 28 34" xfId="3755" xr:uid="{00000000-0005-0000-0000-00005E920000}"/>
    <cellStyle name="Normal 28 35" xfId="3756" xr:uid="{00000000-0005-0000-0000-00005F920000}"/>
    <cellStyle name="Normal 28 36" xfId="3757" xr:uid="{00000000-0005-0000-0000-000060920000}"/>
    <cellStyle name="Normal 28 37" xfId="3758" xr:uid="{00000000-0005-0000-0000-000061920000}"/>
    <cellStyle name="Normal 28 38" xfId="3759" xr:uid="{00000000-0005-0000-0000-000062920000}"/>
    <cellStyle name="Normal 28 39" xfId="3760" xr:uid="{00000000-0005-0000-0000-000063920000}"/>
    <cellStyle name="Normal 28 4" xfId="3761" xr:uid="{00000000-0005-0000-0000-000064920000}"/>
    <cellStyle name="Normal 28 40" xfId="3762" xr:uid="{00000000-0005-0000-0000-000065920000}"/>
    <cellStyle name="Normal 28 41" xfId="3763" xr:uid="{00000000-0005-0000-0000-000066920000}"/>
    <cellStyle name="Normal 28 42" xfId="3764" xr:uid="{00000000-0005-0000-0000-000067920000}"/>
    <cellStyle name="Normal 28 43" xfId="3765" xr:uid="{00000000-0005-0000-0000-000068920000}"/>
    <cellStyle name="Normal 28 44" xfId="3766" xr:uid="{00000000-0005-0000-0000-000069920000}"/>
    <cellStyle name="Normal 28 45" xfId="3767" xr:uid="{00000000-0005-0000-0000-00006A920000}"/>
    <cellStyle name="Normal 28 46" xfId="3768" xr:uid="{00000000-0005-0000-0000-00006B920000}"/>
    <cellStyle name="Normal 28 47" xfId="3769" xr:uid="{00000000-0005-0000-0000-00006C920000}"/>
    <cellStyle name="Normal 28 48" xfId="3770" xr:uid="{00000000-0005-0000-0000-00006D920000}"/>
    <cellStyle name="Normal 28 49" xfId="3771" xr:uid="{00000000-0005-0000-0000-00006E920000}"/>
    <cellStyle name="Normal 28 5" xfId="3772" xr:uid="{00000000-0005-0000-0000-00006F920000}"/>
    <cellStyle name="Normal 28 50" xfId="3773" xr:uid="{00000000-0005-0000-0000-000070920000}"/>
    <cellStyle name="Normal 28 51" xfId="3774" xr:uid="{00000000-0005-0000-0000-000071920000}"/>
    <cellStyle name="Normal 28 52" xfId="3775" xr:uid="{00000000-0005-0000-0000-000072920000}"/>
    <cellStyle name="Normal 28 53" xfId="3776" xr:uid="{00000000-0005-0000-0000-000073920000}"/>
    <cellStyle name="Normal 28 54" xfId="3777" xr:uid="{00000000-0005-0000-0000-000074920000}"/>
    <cellStyle name="Normal 28 55" xfId="3778" xr:uid="{00000000-0005-0000-0000-000075920000}"/>
    <cellStyle name="Normal 28 56" xfId="3779" xr:uid="{00000000-0005-0000-0000-000076920000}"/>
    <cellStyle name="Normal 28 57" xfId="3780" xr:uid="{00000000-0005-0000-0000-000077920000}"/>
    <cellStyle name="Normal 28 58" xfId="3781" xr:uid="{00000000-0005-0000-0000-000078920000}"/>
    <cellStyle name="Normal 28 59" xfId="3782" xr:uid="{00000000-0005-0000-0000-000079920000}"/>
    <cellStyle name="Normal 28 6" xfId="3783" xr:uid="{00000000-0005-0000-0000-00007A920000}"/>
    <cellStyle name="Normal 28 60" xfId="3784" xr:uid="{00000000-0005-0000-0000-00007B920000}"/>
    <cellStyle name="Normal 28 61" xfId="3785" xr:uid="{00000000-0005-0000-0000-00007C920000}"/>
    <cellStyle name="Normal 28 62" xfId="3786" xr:uid="{00000000-0005-0000-0000-00007D920000}"/>
    <cellStyle name="Normal 28 63" xfId="3787" xr:uid="{00000000-0005-0000-0000-00007E920000}"/>
    <cellStyle name="Normal 28 64" xfId="3788" xr:uid="{00000000-0005-0000-0000-00007F920000}"/>
    <cellStyle name="Normal 28 65" xfId="3789" xr:uid="{00000000-0005-0000-0000-000080920000}"/>
    <cellStyle name="Normal 28 66" xfId="3790" xr:uid="{00000000-0005-0000-0000-000081920000}"/>
    <cellStyle name="Normal 28 67" xfId="3791" xr:uid="{00000000-0005-0000-0000-000082920000}"/>
    <cellStyle name="Normal 28 68" xfId="3792" xr:uid="{00000000-0005-0000-0000-000083920000}"/>
    <cellStyle name="Normal 28 69" xfId="3793" xr:uid="{00000000-0005-0000-0000-000084920000}"/>
    <cellStyle name="Normal 28 7" xfId="3794" xr:uid="{00000000-0005-0000-0000-000085920000}"/>
    <cellStyle name="Normal 28 70" xfId="3795" xr:uid="{00000000-0005-0000-0000-000086920000}"/>
    <cellStyle name="Normal 28 71" xfId="3796" xr:uid="{00000000-0005-0000-0000-000087920000}"/>
    <cellStyle name="Normal 28 72" xfId="3797" xr:uid="{00000000-0005-0000-0000-000088920000}"/>
    <cellStyle name="Normal 28 73" xfId="3798" xr:uid="{00000000-0005-0000-0000-000089920000}"/>
    <cellStyle name="Normal 28 74" xfId="3799" xr:uid="{00000000-0005-0000-0000-00008A920000}"/>
    <cellStyle name="Normal 28 75" xfId="3800" xr:uid="{00000000-0005-0000-0000-00008B920000}"/>
    <cellStyle name="Normal 28 76" xfId="3801" xr:uid="{00000000-0005-0000-0000-00008C920000}"/>
    <cellStyle name="Normal 28 77" xfId="3802" xr:uid="{00000000-0005-0000-0000-00008D920000}"/>
    <cellStyle name="Normal 28 78" xfId="3803" xr:uid="{00000000-0005-0000-0000-00008E920000}"/>
    <cellStyle name="Normal 28 79" xfId="3804" xr:uid="{00000000-0005-0000-0000-00008F920000}"/>
    <cellStyle name="Normal 28 8" xfId="3805" xr:uid="{00000000-0005-0000-0000-000090920000}"/>
    <cellStyle name="Normal 28 80" xfId="3806" xr:uid="{00000000-0005-0000-0000-000091920000}"/>
    <cellStyle name="Normal 28 81" xfId="3807" xr:uid="{00000000-0005-0000-0000-000092920000}"/>
    <cellStyle name="Normal 28 82" xfId="3808" xr:uid="{00000000-0005-0000-0000-000093920000}"/>
    <cellStyle name="Normal 28 83" xfId="3809" xr:uid="{00000000-0005-0000-0000-000094920000}"/>
    <cellStyle name="Normal 28 84" xfId="3810" xr:uid="{00000000-0005-0000-0000-000095920000}"/>
    <cellStyle name="Normal 28 85" xfId="3811" xr:uid="{00000000-0005-0000-0000-000096920000}"/>
    <cellStyle name="Normal 28 86" xfId="3812" xr:uid="{00000000-0005-0000-0000-000097920000}"/>
    <cellStyle name="Normal 28 87" xfId="3813" xr:uid="{00000000-0005-0000-0000-000098920000}"/>
    <cellStyle name="Normal 28 88" xfId="3814" xr:uid="{00000000-0005-0000-0000-000099920000}"/>
    <cellStyle name="Normal 28 89" xfId="3815" xr:uid="{00000000-0005-0000-0000-00009A920000}"/>
    <cellStyle name="Normal 28 9" xfId="3816" xr:uid="{00000000-0005-0000-0000-00009B920000}"/>
    <cellStyle name="Normal 28 90" xfId="3817" xr:uid="{00000000-0005-0000-0000-00009C920000}"/>
    <cellStyle name="Normal 28 91" xfId="3818" xr:uid="{00000000-0005-0000-0000-00009D920000}"/>
    <cellStyle name="Normal 28 92" xfId="3819" xr:uid="{00000000-0005-0000-0000-00009E920000}"/>
    <cellStyle name="Normal 28 93" xfId="3820" xr:uid="{00000000-0005-0000-0000-00009F920000}"/>
    <cellStyle name="Normal 28 94" xfId="3821" xr:uid="{00000000-0005-0000-0000-0000A0920000}"/>
    <cellStyle name="Normal 28 95" xfId="3822" xr:uid="{00000000-0005-0000-0000-0000A1920000}"/>
    <cellStyle name="Normal 28 96" xfId="3823" xr:uid="{00000000-0005-0000-0000-0000A2920000}"/>
    <cellStyle name="Normal 28 97" xfId="3824" xr:uid="{00000000-0005-0000-0000-0000A3920000}"/>
    <cellStyle name="Normal 28 98" xfId="3825" xr:uid="{00000000-0005-0000-0000-0000A4920000}"/>
    <cellStyle name="Normal 28 99" xfId="3826" xr:uid="{00000000-0005-0000-0000-0000A5920000}"/>
    <cellStyle name="Normal 29" xfId="1177" xr:uid="{00000000-0005-0000-0000-0000A6920000}"/>
    <cellStyle name="Normal 29 10" xfId="3828" xr:uid="{00000000-0005-0000-0000-0000A7920000}"/>
    <cellStyle name="Normal 29 100" xfId="3829" xr:uid="{00000000-0005-0000-0000-0000A8920000}"/>
    <cellStyle name="Normal 29 101" xfId="3830" xr:uid="{00000000-0005-0000-0000-0000A9920000}"/>
    <cellStyle name="Normal 29 102" xfId="3831" xr:uid="{00000000-0005-0000-0000-0000AA920000}"/>
    <cellStyle name="Normal 29 103" xfId="3832" xr:uid="{00000000-0005-0000-0000-0000AB920000}"/>
    <cellStyle name="Normal 29 104" xfId="3833" xr:uid="{00000000-0005-0000-0000-0000AC920000}"/>
    <cellStyle name="Normal 29 105" xfId="3834" xr:uid="{00000000-0005-0000-0000-0000AD920000}"/>
    <cellStyle name="Normal 29 106" xfId="3835" xr:uid="{00000000-0005-0000-0000-0000AE920000}"/>
    <cellStyle name="Normal 29 107" xfId="3836" xr:uid="{00000000-0005-0000-0000-0000AF920000}"/>
    <cellStyle name="Normal 29 108" xfId="3837" xr:uid="{00000000-0005-0000-0000-0000B0920000}"/>
    <cellStyle name="Normal 29 109" xfId="3838" xr:uid="{00000000-0005-0000-0000-0000B1920000}"/>
    <cellStyle name="Normal 29 11" xfId="3839" xr:uid="{00000000-0005-0000-0000-0000B2920000}"/>
    <cellStyle name="Normal 29 110" xfId="3827" xr:uid="{00000000-0005-0000-0000-0000B3920000}"/>
    <cellStyle name="Normal 29 111" xfId="6290" xr:uid="{00000000-0005-0000-0000-0000B4920000}"/>
    <cellStyle name="Normal 29 112" xfId="13437" xr:uid="{00000000-0005-0000-0000-0000B5920000}"/>
    <cellStyle name="Normal 29 12" xfId="3840" xr:uid="{00000000-0005-0000-0000-0000B6920000}"/>
    <cellStyle name="Normal 29 13" xfId="3841" xr:uid="{00000000-0005-0000-0000-0000B7920000}"/>
    <cellStyle name="Normal 29 14" xfId="3842" xr:uid="{00000000-0005-0000-0000-0000B8920000}"/>
    <cellStyle name="Normal 29 15" xfId="3843" xr:uid="{00000000-0005-0000-0000-0000B9920000}"/>
    <cellStyle name="Normal 29 16" xfId="3844" xr:uid="{00000000-0005-0000-0000-0000BA920000}"/>
    <cellStyle name="Normal 29 17" xfId="3845" xr:uid="{00000000-0005-0000-0000-0000BB920000}"/>
    <cellStyle name="Normal 29 18" xfId="3846" xr:uid="{00000000-0005-0000-0000-0000BC920000}"/>
    <cellStyle name="Normal 29 19" xfId="3847" xr:uid="{00000000-0005-0000-0000-0000BD920000}"/>
    <cellStyle name="Normal 29 2" xfId="3848" xr:uid="{00000000-0005-0000-0000-0000BE920000}"/>
    <cellStyle name="Normal 29 2 2" xfId="32812" xr:uid="{00000000-0005-0000-0000-0000BF920000}"/>
    <cellStyle name="Normal 29 2 2 2" xfId="51999" xr:uid="{00000000-0005-0000-0000-0000C0920000}"/>
    <cellStyle name="Normal 29 2 3" xfId="42301" xr:uid="{00000000-0005-0000-0000-0000C1920000}"/>
    <cellStyle name="Normal 29 2 4" xfId="22726" xr:uid="{00000000-0005-0000-0000-0000C2920000}"/>
    <cellStyle name="Normal 29 20" xfId="3849" xr:uid="{00000000-0005-0000-0000-0000C3920000}"/>
    <cellStyle name="Normal 29 21" xfId="3850" xr:uid="{00000000-0005-0000-0000-0000C4920000}"/>
    <cellStyle name="Normal 29 22" xfId="3851" xr:uid="{00000000-0005-0000-0000-0000C5920000}"/>
    <cellStyle name="Normal 29 23" xfId="3852" xr:uid="{00000000-0005-0000-0000-0000C6920000}"/>
    <cellStyle name="Normal 29 24" xfId="3853" xr:uid="{00000000-0005-0000-0000-0000C7920000}"/>
    <cellStyle name="Normal 29 25" xfId="3854" xr:uid="{00000000-0005-0000-0000-0000C8920000}"/>
    <cellStyle name="Normal 29 26" xfId="3855" xr:uid="{00000000-0005-0000-0000-0000C9920000}"/>
    <cellStyle name="Normal 29 27" xfId="3856" xr:uid="{00000000-0005-0000-0000-0000CA920000}"/>
    <cellStyle name="Normal 29 28" xfId="3857" xr:uid="{00000000-0005-0000-0000-0000CB920000}"/>
    <cellStyle name="Normal 29 29" xfId="3858" xr:uid="{00000000-0005-0000-0000-0000CC920000}"/>
    <cellStyle name="Normal 29 3" xfId="3859" xr:uid="{00000000-0005-0000-0000-0000CD920000}"/>
    <cellStyle name="Normal 29 3 2" xfId="24125" xr:uid="{00000000-0005-0000-0000-0000CE920000}"/>
    <cellStyle name="Normal 29 30" xfId="3860" xr:uid="{00000000-0005-0000-0000-0000CF920000}"/>
    <cellStyle name="Normal 29 31" xfId="3861" xr:uid="{00000000-0005-0000-0000-0000D0920000}"/>
    <cellStyle name="Normal 29 32" xfId="3862" xr:uid="{00000000-0005-0000-0000-0000D1920000}"/>
    <cellStyle name="Normal 29 33" xfId="3863" xr:uid="{00000000-0005-0000-0000-0000D2920000}"/>
    <cellStyle name="Normal 29 34" xfId="3864" xr:uid="{00000000-0005-0000-0000-0000D3920000}"/>
    <cellStyle name="Normal 29 35" xfId="3865" xr:uid="{00000000-0005-0000-0000-0000D4920000}"/>
    <cellStyle name="Normal 29 36" xfId="3866" xr:uid="{00000000-0005-0000-0000-0000D5920000}"/>
    <cellStyle name="Normal 29 37" xfId="3867" xr:uid="{00000000-0005-0000-0000-0000D6920000}"/>
    <cellStyle name="Normal 29 38" xfId="3868" xr:uid="{00000000-0005-0000-0000-0000D7920000}"/>
    <cellStyle name="Normal 29 39" xfId="3869" xr:uid="{00000000-0005-0000-0000-0000D8920000}"/>
    <cellStyle name="Normal 29 4" xfId="3870" xr:uid="{00000000-0005-0000-0000-0000D9920000}"/>
    <cellStyle name="Normal 29 4 2" xfId="42654" xr:uid="{00000000-0005-0000-0000-0000DA920000}"/>
    <cellStyle name="Normal 29 4 3" xfId="23085" xr:uid="{00000000-0005-0000-0000-0000DB920000}"/>
    <cellStyle name="Normal 29 40" xfId="3871" xr:uid="{00000000-0005-0000-0000-0000DC920000}"/>
    <cellStyle name="Normal 29 41" xfId="3872" xr:uid="{00000000-0005-0000-0000-0000DD920000}"/>
    <cellStyle name="Normal 29 42" xfId="3873" xr:uid="{00000000-0005-0000-0000-0000DE920000}"/>
    <cellStyle name="Normal 29 43" xfId="3874" xr:uid="{00000000-0005-0000-0000-0000DF920000}"/>
    <cellStyle name="Normal 29 44" xfId="3875" xr:uid="{00000000-0005-0000-0000-0000E0920000}"/>
    <cellStyle name="Normal 29 45" xfId="3876" xr:uid="{00000000-0005-0000-0000-0000E1920000}"/>
    <cellStyle name="Normal 29 46" xfId="3877" xr:uid="{00000000-0005-0000-0000-0000E2920000}"/>
    <cellStyle name="Normal 29 47" xfId="3878" xr:uid="{00000000-0005-0000-0000-0000E3920000}"/>
    <cellStyle name="Normal 29 48" xfId="3879" xr:uid="{00000000-0005-0000-0000-0000E4920000}"/>
    <cellStyle name="Normal 29 49" xfId="3880" xr:uid="{00000000-0005-0000-0000-0000E5920000}"/>
    <cellStyle name="Normal 29 5" xfId="3881" xr:uid="{00000000-0005-0000-0000-0000E6920000}"/>
    <cellStyle name="Normal 29 50" xfId="3882" xr:uid="{00000000-0005-0000-0000-0000E7920000}"/>
    <cellStyle name="Normal 29 51" xfId="3883" xr:uid="{00000000-0005-0000-0000-0000E8920000}"/>
    <cellStyle name="Normal 29 52" xfId="3884" xr:uid="{00000000-0005-0000-0000-0000E9920000}"/>
    <cellStyle name="Normal 29 53" xfId="3885" xr:uid="{00000000-0005-0000-0000-0000EA920000}"/>
    <cellStyle name="Normal 29 54" xfId="3886" xr:uid="{00000000-0005-0000-0000-0000EB920000}"/>
    <cellStyle name="Normal 29 55" xfId="3887" xr:uid="{00000000-0005-0000-0000-0000EC920000}"/>
    <cellStyle name="Normal 29 56" xfId="3888" xr:uid="{00000000-0005-0000-0000-0000ED920000}"/>
    <cellStyle name="Normal 29 57" xfId="3889" xr:uid="{00000000-0005-0000-0000-0000EE920000}"/>
    <cellStyle name="Normal 29 58" xfId="3890" xr:uid="{00000000-0005-0000-0000-0000EF920000}"/>
    <cellStyle name="Normal 29 59" xfId="3891" xr:uid="{00000000-0005-0000-0000-0000F0920000}"/>
    <cellStyle name="Normal 29 6" xfId="3892" xr:uid="{00000000-0005-0000-0000-0000F1920000}"/>
    <cellStyle name="Normal 29 60" xfId="3893" xr:uid="{00000000-0005-0000-0000-0000F2920000}"/>
    <cellStyle name="Normal 29 61" xfId="3894" xr:uid="{00000000-0005-0000-0000-0000F3920000}"/>
    <cellStyle name="Normal 29 62" xfId="3895" xr:uid="{00000000-0005-0000-0000-0000F4920000}"/>
    <cellStyle name="Normal 29 63" xfId="3896" xr:uid="{00000000-0005-0000-0000-0000F5920000}"/>
    <cellStyle name="Normal 29 64" xfId="3897" xr:uid="{00000000-0005-0000-0000-0000F6920000}"/>
    <cellStyle name="Normal 29 65" xfId="3898" xr:uid="{00000000-0005-0000-0000-0000F7920000}"/>
    <cellStyle name="Normal 29 66" xfId="3899" xr:uid="{00000000-0005-0000-0000-0000F8920000}"/>
    <cellStyle name="Normal 29 67" xfId="3900" xr:uid="{00000000-0005-0000-0000-0000F9920000}"/>
    <cellStyle name="Normal 29 68" xfId="3901" xr:uid="{00000000-0005-0000-0000-0000FA920000}"/>
    <cellStyle name="Normal 29 69" xfId="3902" xr:uid="{00000000-0005-0000-0000-0000FB920000}"/>
    <cellStyle name="Normal 29 7" xfId="3903" xr:uid="{00000000-0005-0000-0000-0000FC920000}"/>
    <cellStyle name="Normal 29 70" xfId="3904" xr:uid="{00000000-0005-0000-0000-0000FD920000}"/>
    <cellStyle name="Normal 29 71" xfId="3905" xr:uid="{00000000-0005-0000-0000-0000FE920000}"/>
    <cellStyle name="Normal 29 72" xfId="3906" xr:uid="{00000000-0005-0000-0000-0000FF920000}"/>
    <cellStyle name="Normal 29 73" xfId="3907" xr:uid="{00000000-0005-0000-0000-000000930000}"/>
    <cellStyle name="Normal 29 74" xfId="3908" xr:uid="{00000000-0005-0000-0000-000001930000}"/>
    <cellStyle name="Normal 29 75" xfId="3909" xr:uid="{00000000-0005-0000-0000-000002930000}"/>
    <cellStyle name="Normal 29 76" xfId="3910" xr:uid="{00000000-0005-0000-0000-000003930000}"/>
    <cellStyle name="Normal 29 77" xfId="3911" xr:uid="{00000000-0005-0000-0000-000004930000}"/>
    <cellStyle name="Normal 29 78" xfId="3912" xr:uid="{00000000-0005-0000-0000-000005930000}"/>
    <cellStyle name="Normal 29 79" xfId="3913" xr:uid="{00000000-0005-0000-0000-000006930000}"/>
    <cellStyle name="Normal 29 8" xfId="3914" xr:uid="{00000000-0005-0000-0000-000007930000}"/>
    <cellStyle name="Normal 29 80" xfId="3915" xr:uid="{00000000-0005-0000-0000-000008930000}"/>
    <cellStyle name="Normal 29 81" xfId="3916" xr:uid="{00000000-0005-0000-0000-000009930000}"/>
    <cellStyle name="Normal 29 82" xfId="3917" xr:uid="{00000000-0005-0000-0000-00000A930000}"/>
    <cellStyle name="Normal 29 83" xfId="3918" xr:uid="{00000000-0005-0000-0000-00000B930000}"/>
    <cellStyle name="Normal 29 84" xfId="3919" xr:uid="{00000000-0005-0000-0000-00000C930000}"/>
    <cellStyle name="Normal 29 85" xfId="3920" xr:uid="{00000000-0005-0000-0000-00000D930000}"/>
    <cellStyle name="Normal 29 86" xfId="3921" xr:uid="{00000000-0005-0000-0000-00000E930000}"/>
    <cellStyle name="Normal 29 87" xfId="3922" xr:uid="{00000000-0005-0000-0000-00000F930000}"/>
    <cellStyle name="Normal 29 88" xfId="3923" xr:uid="{00000000-0005-0000-0000-000010930000}"/>
    <cellStyle name="Normal 29 89" xfId="3924" xr:uid="{00000000-0005-0000-0000-000011930000}"/>
    <cellStyle name="Normal 29 9" xfId="3925" xr:uid="{00000000-0005-0000-0000-000012930000}"/>
    <cellStyle name="Normal 29 90" xfId="3926" xr:uid="{00000000-0005-0000-0000-000013930000}"/>
    <cellStyle name="Normal 29 91" xfId="3927" xr:uid="{00000000-0005-0000-0000-000014930000}"/>
    <cellStyle name="Normal 29 92" xfId="3928" xr:uid="{00000000-0005-0000-0000-000015930000}"/>
    <cellStyle name="Normal 29 93" xfId="3929" xr:uid="{00000000-0005-0000-0000-000016930000}"/>
    <cellStyle name="Normal 29 94" xfId="3930" xr:uid="{00000000-0005-0000-0000-000017930000}"/>
    <cellStyle name="Normal 29 95" xfId="3931" xr:uid="{00000000-0005-0000-0000-000018930000}"/>
    <cellStyle name="Normal 29 96" xfId="3932" xr:uid="{00000000-0005-0000-0000-000019930000}"/>
    <cellStyle name="Normal 29 97" xfId="3933" xr:uid="{00000000-0005-0000-0000-00001A930000}"/>
    <cellStyle name="Normal 29 98" xfId="3934" xr:uid="{00000000-0005-0000-0000-00001B930000}"/>
    <cellStyle name="Normal 29 99" xfId="3935" xr:uid="{00000000-0005-0000-0000-00001C930000}"/>
    <cellStyle name="Normal 3" xfId="12" xr:uid="{00000000-0005-0000-0000-00001D930000}"/>
    <cellStyle name="Normal-- 3" xfId="3937" xr:uid="{00000000-0005-0000-0000-00001E930000}"/>
    <cellStyle name="Normal 3 10" xfId="3938" xr:uid="{00000000-0005-0000-0000-00001F930000}"/>
    <cellStyle name="Normal 3 10 2" xfId="54170" xr:uid="{00000000-0005-0000-0000-000020930000}"/>
    <cellStyle name="Normal 3 10 3" xfId="53318" xr:uid="{00000000-0005-0000-0000-000021930000}"/>
    <cellStyle name="Normal 3 10 4" xfId="13284" xr:uid="{00000000-0005-0000-0000-000022930000}"/>
    <cellStyle name="Normal 3 11" xfId="3939" xr:uid="{00000000-0005-0000-0000-000023930000}"/>
    <cellStyle name="Normal 3 11 10" xfId="53346" xr:uid="{00000000-0005-0000-0000-000024930000}"/>
    <cellStyle name="Normal 3 11 11" xfId="13285" xr:uid="{00000000-0005-0000-0000-000025930000}"/>
    <cellStyle name="Normal 3 11 2" xfId="14186" xr:uid="{00000000-0005-0000-0000-000026930000}"/>
    <cellStyle name="Normal 3 11 2 2" xfId="16450" xr:uid="{00000000-0005-0000-0000-000027930000}"/>
    <cellStyle name="Normal 3 11 2 2 2" xfId="20914" xr:uid="{00000000-0005-0000-0000-000028930000}"/>
    <cellStyle name="Normal 3 11 2 2 2 2" xfId="31282" xr:uid="{00000000-0005-0000-0000-000029930000}"/>
    <cellStyle name="Normal 3 11 2 2 2 2 2" xfId="50471" xr:uid="{00000000-0005-0000-0000-00002A930000}"/>
    <cellStyle name="Normal 3 11 2 2 2 3" xfId="40773" xr:uid="{00000000-0005-0000-0000-00002B930000}"/>
    <cellStyle name="Normal 3 11 2 2 3" xfId="26827" xr:uid="{00000000-0005-0000-0000-00002C930000}"/>
    <cellStyle name="Normal 3 11 2 2 3 2" xfId="46016" xr:uid="{00000000-0005-0000-0000-00002D930000}"/>
    <cellStyle name="Normal 3 11 2 2 4" xfId="36318" xr:uid="{00000000-0005-0000-0000-00002E930000}"/>
    <cellStyle name="Normal 3 11 2 3" xfId="18686" xr:uid="{00000000-0005-0000-0000-00002F930000}"/>
    <cellStyle name="Normal 3 11 2 3 2" xfId="29054" xr:uid="{00000000-0005-0000-0000-000030930000}"/>
    <cellStyle name="Normal 3 11 2 3 2 2" xfId="48243" xr:uid="{00000000-0005-0000-0000-000031930000}"/>
    <cellStyle name="Normal 3 11 2 3 3" xfId="38545" xr:uid="{00000000-0005-0000-0000-000032930000}"/>
    <cellStyle name="Normal 3 11 2 4" xfId="24594" xr:uid="{00000000-0005-0000-0000-000033930000}"/>
    <cellStyle name="Normal 3 11 2 4 2" xfId="43788" xr:uid="{00000000-0005-0000-0000-000034930000}"/>
    <cellStyle name="Normal 3 11 2 5" xfId="34090" xr:uid="{00000000-0005-0000-0000-000035930000}"/>
    <cellStyle name="Normal 3 11 3" xfId="14765" xr:uid="{00000000-0005-0000-0000-000036930000}"/>
    <cellStyle name="Normal 3 11 3 2" xfId="15894" xr:uid="{00000000-0005-0000-0000-000037930000}"/>
    <cellStyle name="Normal 3 11 3 2 2" xfId="20358" xr:uid="{00000000-0005-0000-0000-000038930000}"/>
    <cellStyle name="Normal 3 11 3 2 2 2" xfId="30726" xr:uid="{00000000-0005-0000-0000-000039930000}"/>
    <cellStyle name="Normal 3 11 3 2 2 2 2" xfId="49915" xr:uid="{00000000-0005-0000-0000-00003A930000}"/>
    <cellStyle name="Normal 3 11 3 2 2 3" xfId="40217" xr:uid="{00000000-0005-0000-0000-00003B930000}"/>
    <cellStyle name="Normal 3 11 3 2 3" xfId="26271" xr:uid="{00000000-0005-0000-0000-00003C930000}"/>
    <cellStyle name="Normal 3 11 3 2 3 2" xfId="45460" xr:uid="{00000000-0005-0000-0000-00003D930000}"/>
    <cellStyle name="Normal 3 11 3 2 4" xfId="35762" xr:uid="{00000000-0005-0000-0000-00003E930000}"/>
    <cellStyle name="Normal 3 11 3 3" xfId="19243" xr:uid="{00000000-0005-0000-0000-00003F930000}"/>
    <cellStyle name="Normal 3 11 3 3 2" xfId="29611" xr:uid="{00000000-0005-0000-0000-000040930000}"/>
    <cellStyle name="Normal 3 11 3 3 2 2" xfId="48800" xr:uid="{00000000-0005-0000-0000-000041930000}"/>
    <cellStyle name="Normal 3 11 3 3 3" xfId="39102" xr:uid="{00000000-0005-0000-0000-000042930000}"/>
    <cellStyle name="Normal 3 11 3 4" xfId="25156" xr:uid="{00000000-0005-0000-0000-000043930000}"/>
    <cellStyle name="Normal 3 11 3 4 2" xfId="44345" xr:uid="{00000000-0005-0000-0000-000044930000}"/>
    <cellStyle name="Normal 3 11 3 5" xfId="34647" xr:uid="{00000000-0005-0000-0000-000045930000}"/>
    <cellStyle name="Normal 3 11 4" xfId="15337" xr:uid="{00000000-0005-0000-0000-000046930000}"/>
    <cellStyle name="Normal 3 11 4 2" xfId="19801" xr:uid="{00000000-0005-0000-0000-000047930000}"/>
    <cellStyle name="Normal 3 11 4 2 2" xfId="30169" xr:uid="{00000000-0005-0000-0000-000048930000}"/>
    <cellStyle name="Normal 3 11 4 2 2 2" xfId="49358" xr:uid="{00000000-0005-0000-0000-000049930000}"/>
    <cellStyle name="Normal 3 11 4 2 3" xfId="39660" xr:uid="{00000000-0005-0000-0000-00004A930000}"/>
    <cellStyle name="Normal 3 11 4 3" xfId="25714" xr:uid="{00000000-0005-0000-0000-00004B930000}"/>
    <cellStyle name="Normal 3 11 4 3 2" xfId="44903" xr:uid="{00000000-0005-0000-0000-00004C930000}"/>
    <cellStyle name="Normal 3 11 4 4" xfId="35205" xr:uid="{00000000-0005-0000-0000-00004D930000}"/>
    <cellStyle name="Normal 3 11 5" xfId="17007" xr:uid="{00000000-0005-0000-0000-00004E930000}"/>
    <cellStyle name="Normal 3 11 5 2" xfId="21471" xr:uid="{00000000-0005-0000-0000-00004F930000}"/>
    <cellStyle name="Normal 3 11 5 2 2" xfId="31839" xr:uid="{00000000-0005-0000-0000-000050930000}"/>
    <cellStyle name="Normal 3 11 5 2 2 2" xfId="51028" xr:uid="{00000000-0005-0000-0000-000051930000}"/>
    <cellStyle name="Normal 3 11 5 2 3" xfId="41330" xr:uid="{00000000-0005-0000-0000-000052930000}"/>
    <cellStyle name="Normal 3 11 5 3" xfId="27384" xr:uid="{00000000-0005-0000-0000-000053930000}"/>
    <cellStyle name="Normal 3 11 5 3 2" xfId="46573" xr:uid="{00000000-0005-0000-0000-000054930000}"/>
    <cellStyle name="Normal 3 11 5 4" xfId="36875" xr:uid="{00000000-0005-0000-0000-000055930000}"/>
    <cellStyle name="Normal 3 11 6" xfId="17573" xr:uid="{00000000-0005-0000-0000-000056930000}"/>
    <cellStyle name="Normal 3 11 6 2" xfId="22028" xr:uid="{00000000-0005-0000-0000-000057930000}"/>
    <cellStyle name="Normal 3 11 6 2 2" xfId="32396" xr:uid="{00000000-0005-0000-0000-000058930000}"/>
    <cellStyle name="Normal 3 11 6 2 2 2" xfId="51585" xr:uid="{00000000-0005-0000-0000-000059930000}"/>
    <cellStyle name="Normal 3 11 6 2 3" xfId="41887" xr:uid="{00000000-0005-0000-0000-00005A930000}"/>
    <cellStyle name="Normal 3 11 6 3" xfId="27941" xr:uid="{00000000-0005-0000-0000-00005B930000}"/>
    <cellStyle name="Normal 3 11 6 3 2" xfId="47130" xr:uid="{00000000-0005-0000-0000-00005C930000}"/>
    <cellStyle name="Normal 3 11 6 4" xfId="37432" xr:uid="{00000000-0005-0000-0000-00005D930000}"/>
    <cellStyle name="Normal 3 11 7" xfId="18130" xr:uid="{00000000-0005-0000-0000-00005E930000}"/>
    <cellStyle name="Normal 3 11 7 2" xfId="28498" xr:uid="{00000000-0005-0000-0000-00005F930000}"/>
    <cellStyle name="Normal 3 11 7 2 2" xfId="47687" xr:uid="{00000000-0005-0000-0000-000060930000}"/>
    <cellStyle name="Normal 3 11 7 3" xfId="37989" xr:uid="{00000000-0005-0000-0000-000061930000}"/>
    <cellStyle name="Normal 3 11 8" xfId="23998" xr:uid="{00000000-0005-0000-0000-000062930000}"/>
    <cellStyle name="Normal 3 11 8 2" xfId="43232" xr:uid="{00000000-0005-0000-0000-000063930000}"/>
    <cellStyle name="Normal 3 11 9" xfId="33534" xr:uid="{00000000-0005-0000-0000-000064930000}"/>
    <cellStyle name="Normal 3 12" xfId="3940" xr:uid="{00000000-0005-0000-0000-000065930000}"/>
    <cellStyle name="Normal 3 12 2" xfId="32565" xr:uid="{00000000-0005-0000-0000-000066930000}"/>
    <cellStyle name="Normal 3 12 2 2" xfId="51753" xr:uid="{00000000-0005-0000-0000-000067930000}"/>
    <cellStyle name="Normal 3 12 3" xfId="42055" xr:uid="{00000000-0005-0000-0000-000068930000}"/>
    <cellStyle name="Normal 3 12 4" xfId="22206" xr:uid="{00000000-0005-0000-0000-000069930000}"/>
    <cellStyle name="Normal 3 13" xfId="3941" xr:uid="{00000000-0005-0000-0000-00006A930000}"/>
    <cellStyle name="Normal 3 13 2" xfId="32591" xr:uid="{00000000-0005-0000-0000-00006B930000}"/>
    <cellStyle name="Normal 3 13 2 2" xfId="51779" xr:uid="{00000000-0005-0000-0000-00006C930000}"/>
    <cellStyle name="Normal 3 13 3" xfId="42081" xr:uid="{00000000-0005-0000-0000-00006D930000}"/>
    <cellStyle name="Normal 3 13 4" xfId="22234" xr:uid="{00000000-0005-0000-0000-00006E930000}"/>
    <cellStyle name="Normal 3 14" xfId="3942" xr:uid="{00000000-0005-0000-0000-00006F930000}"/>
    <cellStyle name="Normal 3 14 2" xfId="12499" xr:uid="{00000000-0005-0000-0000-000070930000}"/>
    <cellStyle name="Normal 3 15" xfId="3943" xr:uid="{00000000-0005-0000-0000-000071930000}"/>
    <cellStyle name="Normal 3 15 2" xfId="42814" xr:uid="{00000000-0005-0000-0000-000072930000}"/>
    <cellStyle name="Normal 3 15 3" xfId="23248" xr:uid="{00000000-0005-0000-0000-000073930000}"/>
    <cellStyle name="Normal 3 16" xfId="3944" xr:uid="{00000000-0005-0000-0000-000074930000}"/>
    <cellStyle name="Normal 3 16 2" xfId="52195" xr:uid="{00000000-0005-0000-0000-000075930000}"/>
    <cellStyle name="Normal 3 16 3" xfId="33009" xr:uid="{00000000-0005-0000-0000-000076930000}"/>
    <cellStyle name="Normal 3 17" xfId="3945" xr:uid="{00000000-0005-0000-0000-000077930000}"/>
    <cellStyle name="Normal 3 17 2" xfId="33106" xr:uid="{00000000-0005-0000-0000-000078930000}"/>
    <cellStyle name="Normal 3 18" xfId="3946" xr:uid="{00000000-0005-0000-0000-000079930000}"/>
    <cellStyle name="Normal 3 18 2" xfId="52290" xr:uid="{00000000-0005-0000-0000-00007A930000}"/>
    <cellStyle name="Normal 3 19" xfId="3947" xr:uid="{00000000-0005-0000-0000-00007B930000}"/>
    <cellStyle name="Normal 3 19 2" xfId="52345" xr:uid="{00000000-0005-0000-0000-00007C930000}"/>
    <cellStyle name="Normal 3 2" xfId="1178" xr:uid="{00000000-0005-0000-0000-00007D930000}"/>
    <cellStyle name="Normal 3 2 2" xfId="3949" xr:uid="{00000000-0005-0000-0000-00007E930000}"/>
    <cellStyle name="Normal 3 2 2 2" xfId="3950" xr:uid="{00000000-0005-0000-0000-00007F930000}"/>
    <cellStyle name="Normal 3 2 2 2 2" xfId="53969" xr:uid="{00000000-0005-0000-0000-000080930000}"/>
    <cellStyle name="Normal 3 2 2 2 3" xfId="53116" xr:uid="{00000000-0005-0000-0000-000081930000}"/>
    <cellStyle name="Normal 3 2 2 3" xfId="53573" xr:uid="{00000000-0005-0000-0000-000082930000}"/>
    <cellStyle name="Normal 3 2 2 4" xfId="52688" xr:uid="{00000000-0005-0000-0000-000083930000}"/>
    <cellStyle name="Normal 3 2 2 5" xfId="12757" xr:uid="{00000000-0005-0000-0000-000084930000}"/>
    <cellStyle name="Normal 3 2 3" xfId="3951" xr:uid="{00000000-0005-0000-0000-000085930000}"/>
    <cellStyle name="Normal 3 2 3 2" xfId="53773" xr:uid="{00000000-0005-0000-0000-000086930000}"/>
    <cellStyle name="Normal 3 2 3 3" xfId="52898" xr:uid="{00000000-0005-0000-0000-000087930000}"/>
    <cellStyle name="Normal 3 2 3 4" xfId="12500" xr:uid="{00000000-0005-0000-0000-000088930000}"/>
    <cellStyle name="Normal 3 2 4" xfId="3952" xr:uid="{00000000-0005-0000-0000-000089930000}"/>
    <cellStyle name="Normal 3 2 4 2" xfId="53377" xr:uid="{00000000-0005-0000-0000-00008A930000}"/>
    <cellStyle name="Normal 3 2 4 3" xfId="12205" xr:uid="{00000000-0005-0000-0000-00008B930000}"/>
    <cellStyle name="Normal 3 2 5" xfId="52484" xr:uid="{00000000-0005-0000-0000-00008C930000}"/>
    <cellStyle name="Normal 3 2 6" xfId="12054" xr:uid="{00000000-0005-0000-0000-00008D930000}"/>
    <cellStyle name="Normal 3 20" xfId="3953" xr:uid="{00000000-0005-0000-0000-00008E930000}"/>
    <cellStyle name="Normal 3 20 2" xfId="52392" xr:uid="{00000000-0005-0000-0000-00008F930000}"/>
    <cellStyle name="Normal 3 21" xfId="3954" xr:uid="{00000000-0005-0000-0000-000090930000}"/>
    <cellStyle name="Normal 3 21 2" xfId="12098" xr:uid="{00000000-0005-0000-0000-000091930000}"/>
    <cellStyle name="Normal 3 22" xfId="3955" xr:uid="{00000000-0005-0000-0000-000092930000}"/>
    <cellStyle name="Normal 3 22 2" xfId="3956" xr:uid="{00000000-0005-0000-0000-000093930000}"/>
    <cellStyle name="Normal 3 22 2 2" xfId="3957" xr:uid="{00000000-0005-0000-0000-000094930000}"/>
    <cellStyle name="Normal 3 22 2 2 2" xfId="3958" xr:uid="{00000000-0005-0000-0000-000095930000}"/>
    <cellStyle name="Normal 3 22 2 3" xfId="3959" xr:uid="{00000000-0005-0000-0000-000096930000}"/>
    <cellStyle name="Normal 3 22 3" xfId="3960" xr:uid="{00000000-0005-0000-0000-000097930000}"/>
    <cellStyle name="Normal 3 22 3 2" xfId="3961" xr:uid="{00000000-0005-0000-0000-000098930000}"/>
    <cellStyle name="Normal 3 22 4" xfId="3962" xr:uid="{00000000-0005-0000-0000-000099930000}"/>
    <cellStyle name="Normal 3 22 5" xfId="52433" xr:uid="{00000000-0005-0000-0000-00009A930000}"/>
    <cellStyle name="Normal 3 23" xfId="3963" xr:uid="{00000000-0005-0000-0000-00009B930000}"/>
    <cellStyle name="Normal 3 23 2" xfId="52444" xr:uid="{00000000-0005-0000-0000-00009C930000}"/>
    <cellStyle name="Normal 3 24" xfId="3964" xr:uid="{00000000-0005-0000-0000-00009D930000}"/>
    <cellStyle name="Normal 3 24 2" xfId="3965" xr:uid="{00000000-0005-0000-0000-00009E930000}"/>
    <cellStyle name="Normal 3 24 2 2" xfId="3966" xr:uid="{00000000-0005-0000-0000-00009F930000}"/>
    <cellStyle name="Normal 3 24 3" xfId="3967" xr:uid="{00000000-0005-0000-0000-0000A0930000}"/>
    <cellStyle name="Normal 3 25" xfId="3968" xr:uid="{00000000-0005-0000-0000-0000A1930000}"/>
    <cellStyle name="Normal 3 26" xfId="3969" xr:uid="{00000000-0005-0000-0000-0000A2930000}"/>
    <cellStyle name="Normal 3 27" xfId="3970" xr:uid="{00000000-0005-0000-0000-0000A3930000}"/>
    <cellStyle name="Normal 3 28" xfId="3971" xr:uid="{00000000-0005-0000-0000-0000A4930000}"/>
    <cellStyle name="Normal 3 29" xfId="3972" xr:uid="{00000000-0005-0000-0000-0000A5930000}"/>
    <cellStyle name="Normal 3 3" xfId="1179" xr:uid="{00000000-0005-0000-0000-0000A6930000}"/>
    <cellStyle name="Normal 3 3 2" xfId="1180" xr:uid="{00000000-0005-0000-0000-0000A7930000}"/>
    <cellStyle name="Normal 3 3 2 2" xfId="3974" xr:uid="{00000000-0005-0000-0000-0000A8930000}"/>
    <cellStyle name="Normal 3 3 2 2 2" xfId="54008" xr:uid="{00000000-0005-0000-0000-0000A9930000}"/>
    <cellStyle name="Normal 3 3 2 2 3" xfId="53155" xr:uid="{00000000-0005-0000-0000-0000AA930000}"/>
    <cellStyle name="Normal 3 3 2 3" xfId="53612" xr:uid="{00000000-0005-0000-0000-0000AB930000}"/>
    <cellStyle name="Normal 3 3 2 4" xfId="52727" xr:uid="{00000000-0005-0000-0000-0000AC930000}"/>
    <cellStyle name="Normal 3 3 3" xfId="3975" xr:uid="{00000000-0005-0000-0000-0000AD930000}"/>
    <cellStyle name="Normal 3 3 3 2" xfId="53812" xr:uid="{00000000-0005-0000-0000-0000AE930000}"/>
    <cellStyle name="Normal 3 3 3 3" xfId="52937" xr:uid="{00000000-0005-0000-0000-0000AF930000}"/>
    <cellStyle name="Normal 3 3 3 4" xfId="23449" xr:uid="{00000000-0005-0000-0000-0000B0930000}"/>
    <cellStyle name="Normal 3 3 4" xfId="3976" xr:uid="{00000000-0005-0000-0000-0000B1930000}"/>
    <cellStyle name="Normal 3 3 4 2" xfId="53416" xr:uid="{00000000-0005-0000-0000-0000B2930000}"/>
    <cellStyle name="Normal 3 3 4 3" xfId="12501" xr:uid="{00000000-0005-0000-0000-0000B3930000}"/>
    <cellStyle name="Normal 3 3 5" xfId="3973" xr:uid="{00000000-0005-0000-0000-0000B4930000}"/>
    <cellStyle name="Normal 3 3 5 2" xfId="52525" xr:uid="{00000000-0005-0000-0000-0000B5930000}"/>
    <cellStyle name="Normal 3 3 6" xfId="12055" xr:uid="{00000000-0005-0000-0000-0000B6930000}"/>
    <cellStyle name="Normal 3 30" xfId="3977" xr:uid="{00000000-0005-0000-0000-0000B7930000}"/>
    <cellStyle name="Normal 3 31" xfId="3978" xr:uid="{00000000-0005-0000-0000-0000B8930000}"/>
    <cellStyle name="Normal 3 32" xfId="3979" xr:uid="{00000000-0005-0000-0000-0000B9930000}"/>
    <cellStyle name="Normal 3 33" xfId="3980" xr:uid="{00000000-0005-0000-0000-0000BA930000}"/>
    <cellStyle name="Normal 3 34" xfId="3981" xr:uid="{00000000-0005-0000-0000-0000BB930000}"/>
    <cellStyle name="Normal 3 35" xfId="3982" xr:uid="{00000000-0005-0000-0000-0000BC930000}"/>
    <cellStyle name="Normal 3 36" xfId="3983" xr:uid="{00000000-0005-0000-0000-0000BD930000}"/>
    <cellStyle name="Normal 3 37" xfId="3984" xr:uid="{00000000-0005-0000-0000-0000BE930000}"/>
    <cellStyle name="Normal 3 38" xfId="3985" xr:uid="{00000000-0005-0000-0000-0000BF930000}"/>
    <cellStyle name="Normal 3 39" xfId="3986" xr:uid="{00000000-0005-0000-0000-0000C0930000}"/>
    <cellStyle name="Normal 3 39 2" xfId="3987" xr:uid="{00000000-0005-0000-0000-0000C1930000}"/>
    <cellStyle name="Normal 3 4" xfId="1181" xr:uid="{00000000-0005-0000-0000-0000C2930000}"/>
    <cellStyle name="Normal 3 4 10" xfId="12056" xr:uid="{00000000-0005-0000-0000-0000C3930000}"/>
    <cellStyle name="Normal 3 4 2" xfId="1182" xr:uid="{00000000-0005-0000-0000-0000C4930000}"/>
    <cellStyle name="Normal 3 4 2 10" xfId="18131" xr:uid="{00000000-0005-0000-0000-0000C5930000}"/>
    <cellStyle name="Normal 3 4 2 10 2" xfId="28499" xr:uid="{00000000-0005-0000-0000-0000C6930000}"/>
    <cellStyle name="Normal 3 4 2 10 2 2" xfId="47688" xr:uid="{00000000-0005-0000-0000-0000C7930000}"/>
    <cellStyle name="Normal 3 4 2 10 3" xfId="37990" xr:uid="{00000000-0005-0000-0000-0000C8930000}"/>
    <cellStyle name="Normal 3 4 2 11" xfId="22638" xr:uid="{00000000-0005-0000-0000-0000C9930000}"/>
    <cellStyle name="Normal 3 4 2 12" xfId="23999" xr:uid="{00000000-0005-0000-0000-0000CA930000}"/>
    <cellStyle name="Normal 3 4 2 12 2" xfId="43233" xr:uid="{00000000-0005-0000-0000-0000CB930000}"/>
    <cellStyle name="Normal 3 4 2 13" xfId="33535" xr:uid="{00000000-0005-0000-0000-0000CC930000}"/>
    <cellStyle name="Normal 3 4 2 14" xfId="52759" xr:uid="{00000000-0005-0000-0000-0000CD930000}"/>
    <cellStyle name="Normal 3 4 2 15" xfId="13286" xr:uid="{00000000-0005-0000-0000-0000CE930000}"/>
    <cellStyle name="Normal 3 4 2 2" xfId="3989" xr:uid="{00000000-0005-0000-0000-0000CF930000}"/>
    <cellStyle name="Normal 3 4 2 2 10" xfId="24000" xr:uid="{00000000-0005-0000-0000-0000D0930000}"/>
    <cellStyle name="Normal 3 4 2 2 10 2" xfId="43234" xr:uid="{00000000-0005-0000-0000-0000D1930000}"/>
    <cellStyle name="Normal 3 4 2 2 11" xfId="33536" xr:uid="{00000000-0005-0000-0000-0000D2930000}"/>
    <cellStyle name="Normal 3 4 2 2 12" xfId="53187" xr:uid="{00000000-0005-0000-0000-0000D3930000}"/>
    <cellStyle name="Normal 3 4 2 2 13" xfId="13287" xr:uid="{00000000-0005-0000-0000-0000D4930000}"/>
    <cellStyle name="Normal 3 4 2 2 2" xfId="13288" xr:uid="{00000000-0005-0000-0000-0000D5930000}"/>
    <cellStyle name="Normal 3 4 2 2 2 10" xfId="54040" xr:uid="{00000000-0005-0000-0000-0000D6930000}"/>
    <cellStyle name="Normal 3 4 2 2 2 2" xfId="14189" xr:uid="{00000000-0005-0000-0000-0000D7930000}"/>
    <cellStyle name="Normal 3 4 2 2 2 2 2" xfId="16453" xr:uid="{00000000-0005-0000-0000-0000D8930000}"/>
    <cellStyle name="Normal 3 4 2 2 2 2 2 2" xfId="20917" xr:uid="{00000000-0005-0000-0000-0000D9930000}"/>
    <cellStyle name="Normal 3 4 2 2 2 2 2 2 2" xfId="31285" xr:uid="{00000000-0005-0000-0000-0000DA930000}"/>
    <cellStyle name="Normal 3 4 2 2 2 2 2 2 2 2" xfId="50474" xr:uid="{00000000-0005-0000-0000-0000DB930000}"/>
    <cellStyle name="Normal 3 4 2 2 2 2 2 2 3" xfId="40776" xr:uid="{00000000-0005-0000-0000-0000DC930000}"/>
    <cellStyle name="Normal 3 4 2 2 2 2 2 3" xfId="26830" xr:uid="{00000000-0005-0000-0000-0000DD930000}"/>
    <cellStyle name="Normal 3 4 2 2 2 2 2 3 2" xfId="46019" xr:uid="{00000000-0005-0000-0000-0000DE930000}"/>
    <cellStyle name="Normal 3 4 2 2 2 2 2 4" xfId="36321" xr:uid="{00000000-0005-0000-0000-0000DF930000}"/>
    <cellStyle name="Normal 3 4 2 2 2 2 3" xfId="18689" xr:uid="{00000000-0005-0000-0000-0000E0930000}"/>
    <cellStyle name="Normal 3 4 2 2 2 2 3 2" xfId="29057" xr:uid="{00000000-0005-0000-0000-0000E1930000}"/>
    <cellStyle name="Normal 3 4 2 2 2 2 3 2 2" xfId="48246" xr:uid="{00000000-0005-0000-0000-0000E2930000}"/>
    <cellStyle name="Normal 3 4 2 2 2 2 3 3" xfId="38548" xr:uid="{00000000-0005-0000-0000-0000E3930000}"/>
    <cellStyle name="Normal 3 4 2 2 2 2 4" xfId="24597" xr:uid="{00000000-0005-0000-0000-0000E4930000}"/>
    <cellStyle name="Normal 3 4 2 2 2 2 4 2" xfId="43791" xr:uid="{00000000-0005-0000-0000-0000E5930000}"/>
    <cellStyle name="Normal 3 4 2 2 2 2 5" xfId="34093" xr:uid="{00000000-0005-0000-0000-0000E6930000}"/>
    <cellStyle name="Normal 3 4 2 2 2 3" xfId="14768" xr:uid="{00000000-0005-0000-0000-0000E7930000}"/>
    <cellStyle name="Normal 3 4 2 2 2 3 2" xfId="15897" xr:uid="{00000000-0005-0000-0000-0000E8930000}"/>
    <cellStyle name="Normal 3 4 2 2 2 3 2 2" xfId="20361" xr:uid="{00000000-0005-0000-0000-0000E9930000}"/>
    <cellStyle name="Normal 3 4 2 2 2 3 2 2 2" xfId="30729" xr:uid="{00000000-0005-0000-0000-0000EA930000}"/>
    <cellStyle name="Normal 3 4 2 2 2 3 2 2 2 2" xfId="49918" xr:uid="{00000000-0005-0000-0000-0000EB930000}"/>
    <cellStyle name="Normal 3 4 2 2 2 3 2 2 3" xfId="40220" xr:uid="{00000000-0005-0000-0000-0000EC930000}"/>
    <cellStyle name="Normal 3 4 2 2 2 3 2 3" xfId="26274" xr:uid="{00000000-0005-0000-0000-0000ED930000}"/>
    <cellStyle name="Normal 3 4 2 2 2 3 2 3 2" xfId="45463" xr:uid="{00000000-0005-0000-0000-0000EE930000}"/>
    <cellStyle name="Normal 3 4 2 2 2 3 2 4" xfId="35765" xr:uid="{00000000-0005-0000-0000-0000EF930000}"/>
    <cellStyle name="Normal 3 4 2 2 2 3 3" xfId="19246" xr:uid="{00000000-0005-0000-0000-0000F0930000}"/>
    <cellStyle name="Normal 3 4 2 2 2 3 3 2" xfId="29614" xr:uid="{00000000-0005-0000-0000-0000F1930000}"/>
    <cellStyle name="Normal 3 4 2 2 2 3 3 2 2" xfId="48803" xr:uid="{00000000-0005-0000-0000-0000F2930000}"/>
    <cellStyle name="Normal 3 4 2 2 2 3 3 3" xfId="39105" xr:uid="{00000000-0005-0000-0000-0000F3930000}"/>
    <cellStyle name="Normal 3 4 2 2 2 3 4" xfId="25159" xr:uid="{00000000-0005-0000-0000-0000F4930000}"/>
    <cellStyle name="Normal 3 4 2 2 2 3 4 2" xfId="44348" xr:uid="{00000000-0005-0000-0000-0000F5930000}"/>
    <cellStyle name="Normal 3 4 2 2 2 3 5" xfId="34650" xr:uid="{00000000-0005-0000-0000-0000F6930000}"/>
    <cellStyle name="Normal 3 4 2 2 2 4" xfId="15340" xr:uid="{00000000-0005-0000-0000-0000F7930000}"/>
    <cellStyle name="Normal 3 4 2 2 2 4 2" xfId="19804" xr:uid="{00000000-0005-0000-0000-0000F8930000}"/>
    <cellStyle name="Normal 3 4 2 2 2 4 2 2" xfId="30172" xr:uid="{00000000-0005-0000-0000-0000F9930000}"/>
    <cellStyle name="Normal 3 4 2 2 2 4 2 2 2" xfId="49361" xr:uid="{00000000-0005-0000-0000-0000FA930000}"/>
    <cellStyle name="Normal 3 4 2 2 2 4 2 3" xfId="39663" xr:uid="{00000000-0005-0000-0000-0000FB930000}"/>
    <cellStyle name="Normal 3 4 2 2 2 4 3" xfId="25717" xr:uid="{00000000-0005-0000-0000-0000FC930000}"/>
    <cellStyle name="Normal 3 4 2 2 2 4 3 2" xfId="44906" xr:uid="{00000000-0005-0000-0000-0000FD930000}"/>
    <cellStyle name="Normal 3 4 2 2 2 4 4" xfId="35208" xr:uid="{00000000-0005-0000-0000-0000FE930000}"/>
    <cellStyle name="Normal 3 4 2 2 2 5" xfId="17010" xr:uid="{00000000-0005-0000-0000-0000FF930000}"/>
    <cellStyle name="Normal 3 4 2 2 2 5 2" xfId="21474" xr:uid="{00000000-0005-0000-0000-000000940000}"/>
    <cellStyle name="Normal 3 4 2 2 2 5 2 2" xfId="31842" xr:uid="{00000000-0005-0000-0000-000001940000}"/>
    <cellStyle name="Normal 3 4 2 2 2 5 2 2 2" xfId="51031" xr:uid="{00000000-0005-0000-0000-000002940000}"/>
    <cellStyle name="Normal 3 4 2 2 2 5 2 3" xfId="41333" xr:uid="{00000000-0005-0000-0000-000003940000}"/>
    <cellStyle name="Normal 3 4 2 2 2 5 3" xfId="27387" xr:uid="{00000000-0005-0000-0000-000004940000}"/>
    <cellStyle name="Normal 3 4 2 2 2 5 3 2" xfId="46576" xr:uid="{00000000-0005-0000-0000-000005940000}"/>
    <cellStyle name="Normal 3 4 2 2 2 5 4" xfId="36878" xr:uid="{00000000-0005-0000-0000-000006940000}"/>
    <cellStyle name="Normal 3 4 2 2 2 6" xfId="17576" xr:uid="{00000000-0005-0000-0000-000007940000}"/>
    <cellStyle name="Normal 3 4 2 2 2 6 2" xfId="22031" xr:uid="{00000000-0005-0000-0000-000008940000}"/>
    <cellStyle name="Normal 3 4 2 2 2 6 2 2" xfId="32399" xr:uid="{00000000-0005-0000-0000-000009940000}"/>
    <cellStyle name="Normal 3 4 2 2 2 6 2 2 2" xfId="51588" xr:uid="{00000000-0005-0000-0000-00000A940000}"/>
    <cellStyle name="Normal 3 4 2 2 2 6 2 3" xfId="41890" xr:uid="{00000000-0005-0000-0000-00000B940000}"/>
    <cellStyle name="Normal 3 4 2 2 2 6 3" xfId="27944" xr:uid="{00000000-0005-0000-0000-00000C940000}"/>
    <cellStyle name="Normal 3 4 2 2 2 6 3 2" xfId="47133" xr:uid="{00000000-0005-0000-0000-00000D940000}"/>
    <cellStyle name="Normal 3 4 2 2 2 6 4" xfId="37435" xr:uid="{00000000-0005-0000-0000-00000E940000}"/>
    <cellStyle name="Normal 3 4 2 2 2 7" xfId="18133" xr:uid="{00000000-0005-0000-0000-00000F940000}"/>
    <cellStyle name="Normal 3 4 2 2 2 7 2" xfId="28501" xr:uid="{00000000-0005-0000-0000-000010940000}"/>
    <cellStyle name="Normal 3 4 2 2 2 7 2 2" xfId="47690" xr:uid="{00000000-0005-0000-0000-000011940000}"/>
    <cellStyle name="Normal 3 4 2 2 2 7 3" xfId="37992" xr:uid="{00000000-0005-0000-0000-000012940000}"/>
    <cellStyle name="Normal 3 4 2 2 2 8" xfId="24001" xr:uid="{00000000-0005-0000-0000-000013940000}"/>
    <cellStyle name="Normal 3 4 2 2 2 8 2" xfId="43235" xr:uid="{00000000-0005-0000-0000-000014940000}"/>
    <cellStyle name="Normal 3 4 2 2 2 9" xfId="33537" xr:uid="{00000000-0005-0000-0000-000015940000}"/>
    <cellStyle name="Normal 3 4 2 2 3" xfId="13289" xr:uid="{00000000-0005-0000-0000-000016940000}"/>
    <cellStyle name="Normal 3 4 2 2 3 2" xfId="14190" xr:uid="{00000000-0005-0000-0000-000017940000}"/>
    <cellStyle name="Normal 3 4 2 2 3 2 2" xfId="16454" xr:uid="{00000000-0005-0000-0000-000018940000}"/>
    <cellStyle name="Normal 3 4 2 2 3 2 2 2" xfId="20918" xr:uid="{00000000-0005-0000-0000-000019940000}"/>
    <cellStyle name="Normal 3 4 2 2 3 2 2 2 2" xfId="31286" xr:uid="{00000000-0005-0000-0000-00001A940000}"/>
    <cellStyle name="Normal 3 4 2 2 3 2 2 2 2 2" xfId="50475" xr:uid="{00000000-0005-0000-0000-00001B940000}"/>
    <cellStyle name="Normal 3 4 2 2 3 2 2 2 3" xfId="40777" xr:uid="{00000000-0005-0000-0000-00001C940000}"/>
    <cellStyle name="Normal 3 4 2 2 3 2 2 3" xfId="26831" xr:uid="{00000000-0005-0000-0000-00001D940000}"/>
    <cellStyle name="Normal 3 4 2 2 3 2 2 3 2" xfId="46020" xr:uid="{00000000-0005-0000-0000-00001E940000}"/>
    <cellStyle name="Normal 3 4 2 2 3 2 2 4" xfId="36322" xr:uid="{00000000-0005-0000-0000-00001F940000}"/>
    <cellStyle name="Normal 3 4 2 2 3 2 3" xfId="18690" xr:uid="{00000000-0005-0000-0000-000020940000}"/>
    <cellStyle name="Normal 3 4 2 2 3 2 3 2" xfId="29058" xr:uid="{00000000-0005-0000-0000-000021940000}"/>
    <cellStyle name="Normal 3 4 2 2 3 2 3 2 2" xfId="48247" xr:uid="{00000000-0005-0000-0000-000022940000}"/>
    <cellStyle name="Normal 3 4 2 2 3 2 3 3" xfId="38549" xr:uid="{00000000-0005-0000-0000-000023940000}"/>
    <cellStyle name="Normal 3 4 2 2 3 2 4" xfId="24598" xr:uid="{00000000-0005-0000-0000-000024940000}"/>
    <cellStyle name="Normal 3 4 2 2 3 2 4 2" xfId="43792" xr:uid="{00000000-0005-0000-0000-000025940000}"/>
    <cellStyle name="Normal 3 4 2 2 3 2 5" xfId="34094" xr:uid="{00000000-0005-0000-0000-000026940000}"/>
    <cellStyle name="Normal 3 4 2 2 3 3" xfId="14769" xr:uid="{00000000-0005-0000-0000-000027940000}"/>
    <cellStyle name="Normal 3 4 2 2 3 3 2" xfId="15898" xr:uid="{00000000-0005-0000-0000-000028940000}"/>
    <cellStyle name="Normal 3 4 2 2 3 3 2 2" xfId="20362" xr:uid="{00000000-0005-0000-0000-000029940000}"/>
    <cellStyle name="Normal 3 4 2 2 3 3 2 2 2" xfId="30730" xr:uid="{00000000-0005-0000-0000-00002A940000}"/>
    <cellStyle name="Normal 3 4 2 2 3 3 2 2 2 2" xfId="49919" xr:uid="{00000000-0005-0000-0000-00002B940000}"/>
    <cellStyle name="Normal 3 4 2 2 3 3 2 2 3" xfId="40221" xr:uid="{00000000-0005-0000-0000-00002C940000}"/>
    <cellStyle name="Normal 3 4 2 2 3 3 2 3" xfId="26275" xr:uid="{00000000-0005-0000-0000-00002D940000}"/>
    <cellStyle name="Normal 3 4 2 2 3 3 2 3 2" xfId="45464" xr:uid="{00000000-0005-0000-0000-00002E940000}"/>
    <cellStyle name="Normal 3 4 2 2 3 3 2 4" xfId="35766" xr:uid="{00000000-0005-0000-0000-00002F940000}"/>
    <cellStyle name="Normal 3 4 2 2 3 3 3" xfId="19247" xr:uid="{00000000-0005-0000-0000-000030940000}"/>
    <cellStyle name="Normal 3 4 2 2 3 3 3 2" xfId="29615" xr:uid="{00000000-0005-0000-0000-000031940000}"/>
    <cellStyle name="Normal 3 4 2 2 3 3 3 2 2" xfId="48804" xr:uid="{00000000-0005-0000-0000-000032940000}"/>
    <cellStyle name="Normal 3 4 2 2 3 3 3 3" xfId="39106" xr:uid="{00000000-0005-0000-0000-000033940000}"/>
    <cellStyle name="Normal 3 4 2 2 3 3 4" xfId="25160" xr:uid="{00000000-0005-0000-0000-000034940000}"/>
    <cellStyle name="Normal 3 4 2 2 3 3 4 2" xfId="44349" xr:uid="{00000000-0005-0000-0000-000035940000}"/>
    <cellStyle name="Normal 3 4 2 2 3 3 5" xfId="34651" xr:uid="{00000000-0005-0000-0000-000036940000}"/>
    <cellStyle name="Normal 3 4 2 2 3 4" xfId="15341" xr:uid="{00000000-0005-0000-0000-000037940000}"/>
    <cellStyle name="Normal 3 4 2 2 3 4 2" xfId="19805" xr:uid="{00000000-0005-0000-0000-000038940000}"/>
    <cellStyle name="Normal 3 4 2 2 3 4 2 2" xfId="30173" xr:uid="{00000000-0005-0000-0000-000039940000}"/>
    <cellStyle name="Normal 3 4 2 2 3 4 2 2 2" xfId="49362" xr:uid="{00000000-0005-0000-0000-00003A940000}"/>
    <cellStyle name="Normal 3 4 2 2 3 4 2 3" xfId="39664" xr:uid="{00000000-0005-0000-0000-00003B940000}"/>
    <cellStyle name="Normal 3 4 2 2 3 4 3" xfId="25718" xr:uid="{00000000-0005-0000-0000-00003C940000}"/>
    <cellStyle name="Normal 3 4 2 2 3 4 3 2" xfId="44907" xr:uid="{00000000-0005-0000-0000-00003D940000}"/>
    <cellStyle name="Normal 3 4 2 2 3 4 4" xfId="35209" xr:uid="{00000000-0005-0000-0000-00003E940000}"/>
    <cellStyle name="Normal 3 4 2 2 3 5" xfId="17011" xr:uid="{00000000-0005-0000-0000-00003F940000}"/>
    <cellStyle name="Normal 3 4 2 2 3 5 2" xfId="21475" xr:uid="{00000000-0005-0000-0000-000040940000}"/>
    <cellStyle name="Normal 3 4 2 2 3 5 2 2" xfId="31843" xr:uid="{00000000-0005-0000-0000-000041940000}"/>
    <cellStyle name="Normal 3 4 2 2 3 5 2 2 2" xfId="51032" xr:uid="{00000000-0005-0000-0000-000042940000}"/>
    <cellStyle name="Normal 3 4 2 2 3 5 2 3" xfId="41334" xr:uid="{00000000-0005-0000-0000-000043940000}"/>
    <cellStyle name="Normal 3 4 2 2 3 5 3" xfId="27388" xr:uid="{00000000-0005-0000-0000-000044940000}"/>
    <cellStyle name="Normal 3 4 2 2 3 5 3 2" xfId="46577" xr:uid="{00000000-0005-0000-0000-000045940000}"/>
    <cellStyle name="Normal 3 4 2 2 3 5 4" xfId="36879" xr:uid="{00000000-0005-0000-0000-000046940000}"/>
    <cellStyle name="Normal 3 4 2 2 3 6" xfId="17577" xr:uid="{00000000-0005-0000-0000-000047940000}"/>
    <cellStyle name="Normal 3 4 2 2 3 6 2" xfId="22032" xr:uid="{00000000-0005-0000-0000-000048940000}"/>
    <cellStyle name="Normal 3 4 2 2 3 6 2 2" xfId="32400" xr:uid="{00000000-0005-0000-0000-000049940000}"/>
    <cellStyle name="Normal 3 4 2 2 3 6 2 2 2" xfId="51589" xr:uid="{00000000-0005-0000-0000-00004A940000}"/>
    <cellStyle name="Normal 3 4 2 2 3 6 2 3" xfId="41891" xr:uid="{00000000-0005-0000-0000-00004B940000}"/>
    <cellStyle name="Normal 3 4 2 2 3 6 3" xfId="27945" xr:uid="{00000000-0005-0000-0000-00004C940000}"/>
    <cellStyle name="Normal 3 4 2 2 3 6 3 2" xfId="47134" xr:uid="{00000000-0005-0000-0000-00004D940000}"/>
    <cellStyle name="Normal 3 4 2 2 3 6 4" xfId="37436" xr:uid="{00000000-0005-0000-0000-00004E940000}"/>
    <cellStyle name="Normal 3 4 2 2 3 7" xfId="18134" xr:uid="{00000000-0005-0000-0000-00004F940000}"/>
    <cellStyle name="Normal 3 4 2 2 3 7 2" xfId="28502" xr:uid="{00000000-0005-0000-0000-000050940000}"/>
    <cellStyle name="Normal 3 4 2 2 3 7 2 2" xfId="47691" xr:uid="{00000000-0005-0000-0000-000051940000}"/>
    <cellStyle name="Normal 3 4 2 2 3 7 3" xfId="37993" xr:uid="{00000000-0005-0000-0000-000052940000}"/>
    <cellStyle name="Normal 3 4 2 2 3 8" xfId="24002" xr:uid="{00000000-0005-0000-0000-000053940000}"/>
    <cellStyle name="Normal 3 4 2 2 3 8 2" xfId="43236" xr:uid="{00000000-0005-0000-0000-000054940000}"/>
    <cellStyle name="Normal 3 4 2 2 3 9" xfId="33538" xr:uid="{00000000-0005-0000-0000-000055940000}"/>
    <cellStyle name="Normal 3 4 2 2 4" xfId="14188" xr:uid="{00000000-0005-0000-0000-000056940000}"/>
    <cellStyle name="Normal 3 4 2 2 4 2" xfId="16452" xr:uid="{00000000-0005-0000-0000-000057940000}"/>
    <cellStyle name="Normal 3 4 2 2 4 2 2" xfId="20916" xr:uid="{00000000-0005-0000-0000-000058940000}"/>
    <cellStyle name="Normal 3 4 2 2 4 2 2 2" xfId="31284" xr:uid="{00000000-0005-0000-0000-000059940000}"/>
    <cellStyle name="Normal 3 4 2 2 4 2 2 2 2" xfId="50473" xr:uid="{00000000-0005-0000-0000-00005A940000}"/>
    <cellStyle name="Normal 3 4 2 2 4 2 2 3" xfId="40775" xr:uid="{00000000-0005-0000-0000-00005B940000}"/>
    <cellStyle name="Normal 3 4 2 2 4 2 3" xfId="26829" xr:uid="{00000000-0005-0000-0000-00005C940000}"/>
    <cellStyle name="Normal 3 4 2 2 4 2 3 2" xfId="46018" xr:uid="{00000000-0005-0000-0000-00005D940000}"/>
    <cellStyle name="Normal 3 4 2 2 4 2 4" xfId="36320" xr:uid="{00000000-0005-0000-0000-00005E940000}"/>
    <cellStyle name="Normal 3 4 2 2 4 3" xfId="18688" xr:uid="{00000000-0005-0000-0000-00005F940000}"/>
    <cellStyle name="Normal 3 4 2 2 4 3 2" xfId="29056" xr:uid="{00000000-0005-0000-0000-000060940000}"/>
    <cellStyle name="Normal 3 4 2 2 4 3 2 2" xfId="48245" xr:uid="{00000000-0005-0000-0000-000061940000}"/>
    <cellStyle name="Normal 3 4 2 2 4 3 3" xfId="38547" xr:uid="{00000000-0005-0000-0000-000062940000}"/>
    <cellStyle name="Normal 3 4 2 2 4 4" xfId="24596" xr:uid="{00000000-0005-0000-0000-000063940000}"/>
    <cellStyle name="Normal 3 4 2 2 4 4 2" xfId="43790" xr:uid="{00000000-0005-0000-0000-000064940000}"/>
    <cellStyle name="Normal 3 4 2 2 4 5" xfId="34092" xr:uid="{00000000-0005-0000-0000-000065940000}"/>
    <cellStyle name="Normal 3 4 2 2 5" xfId="14767" xr:uid="{00000000-0005-0000-0000-000066940000}"/>
    <cellStyle name="Normal 3 4 2 2 5 2" xfId="15896" xr:uid="{00000000-0005-0000-0000-000067940000}"/>
    <cellStyle name="Normal 3 4 2 2 5 2 2" xfId="20360" xr:uid="{00000000-0005-0000-0000-000068940000}"/>
    <cellStyle name="Normal 3 4 2 2 5 2 2 2" xfId="30728" xr:uid="{00000000-0005-0000-0000-000069940000}"/>
    <cellStyle name="Normal 3 4 2 2 5 2 2 2 2" xfId="49917" xr:uid="{00000000-0005-0000-0000-00006A940000}"/>
    <cellStyle name="Normal 3 4 2 2 5 2 2 3" xfId="40219" xr:uid="{00000000-0005-0000-0000-00006B940000}"/>
    <cellStyle name="Normal 3 4 2 2 5 2 3" xfId="26273" xr:uid="{00000000-0005-0000-0000-00006C940000}"/>
    <cellStyle name="Normal 3 4 2 2 5 2 3 2" xfId="45462" xr:uid="{00000000-0005-0000-0000-00006D940000}"/>
    <cellStyle name="Normal 3 4 2 2 5 2 4" xfId="35764" xr:uid="{00000000-0005-0000-0000-00006E940000}"/>
    <cellStyle name="Normal 3 4 2 2 5 3" xfId="19245" xr:uid="{00000000-0005-0000-0000-00006F940000}"/>
    <cellStyle name="Normal 3 4 2 2 5 3 2" xfId="29613" xr:uid="{00000000-0005-0000-0000-000070940000}"/>
    <cellStyle name="Normal 3 4 2 2 5 3 2 2" xfId="48802" xr:uid="{00000000-0005-0000-0000-000071940000}"/>
    <cellStyle name="Normal 3 4 2 2 5 3 3" xfId="39104" xr:uid="{00000000-0005-0000-0000-000072940000}"/>
    <cellStyle name="Normal 3 4 2 2 5 4" xfId="25158" xr:uid="{00000000-0005-0000-0000-000073940000}"/>
    <cellStyle name="Normal 3 4 2 2 5 4 2" xfId="44347" xr:uid="{00000000-0005-0000-0000-000074940000}"/>
    <cellStyle name="Normal 3 4 2 2 5 5" xfId="34649" xr:uid="{00000000-0005-0000-0000-000075940000}"/>
    <cellStyle name="Normal 3 4 2 2 6" xfId="15339" xr:uid="{00000000-0005-0000-0000-000076940000}"/>
    <cellStyle name="Normal 3 4 2 2 6 2" xfId="19803" xr:uid="{00000000-0005-0000-0000-000077940000}"/>
    <cellStyle name="Normal 3 4 2 2 6 2 2" xfId="30171" xr:uid="{00000000-0005-0000-0000-000078940000}"/>
    <cellStyle name="Normal 3 4 2 2 6 2 2 2" xfId="49360" xr:uid="{00000000-0005-0000-0000-000079940000}"/>
    <cellStyle name="Normal 3 4 2 2 6 2 3" xfId="39662" xr:uid="{00000000-0005-0000-0000-00007A940000}"/>
    <cellStyle name="Normal 3 4 2 2 6 3" xfId="25716" xr:uid="{00000000-0005-0000-0000-00007B940000}"/>
    <cellStyle name="Normal 3 4 2 2 6 3 2" xfId="44905" xr:uid="{00000000-0005-0000-0000-00007C940000}"/>
    <cellStyle name="Normal 3 4 2 2 6 4" xfId="35207" xr:uid="{00000000-0005-0000-0000-00007D940000}"/>
    <cellStyle name="Normal 3 4 2 2 7" xfId="17009" xr:uid="{00000000-0005-0000-0000-00007E940000}"/>
    <cellStyle name="Normal 3 4 2 2 7 2" xfId="21473" xr:uid="{00000000-0005-0000-0000-00007F940000}"/>
    <cellStyle name="Normal 3 4 2 2 7 2 2" xfId="31841" xr:uid="{00000000-0005-0000-0000-000080940000}"/>
    <cellStyle name="Normal 3 4 2 2 7 2 2 2" xfId="51030" xr:uid="{00000000-0005-0000-0000-000081940000}"/>
    <cellStyle name="Normal 3 4 2 2 7 2 3" xfId="41332" xr:uid="{00000000-0005-0000-0000-000082940000}"/>
    <cellStyle name="Normal 3 4 2 2 7 3" xfId="27386" xr:uid="{00000000-0005-0000-0000-000083940000}"/>
    <cellStyle name="Normal 3 4 2 2 7 3 2" xfId="46575" xr:uid="{00000000-0005-0000-0000-000084940000}"/>
    <cellStyle name="Normal 3 4 2 2 7 4" xfId="36877" xr:uid="{00000000-0005-0000-0000-000085940000}"/>
    <cellStyle name="Normal 3 4 2 2 8" xfId="17575" xr:uid="{00000000-0005-0000-0000-000086940000}"/>
    <cellStyle name="Normal 3 4 2 2 8 2" xfId="22030" xr:uid="{00000000-0005-0000-0000-000087940000}"/>
    <cellStyle name="Normal 3 4 2 2 8 2 2" xfId="32398" xr:uid="{00000000-0005-0000-0000-000088940000}"/>
    <cellStyle name="Normal 3 4 2 2 8 2 2 2" xfId="51587" xr:uid="{00000000-0005-0000-0000-000089940000}"/>
    <cellStyle name="Normal 3 4 2 2 8 2 3" xfId="41889" xr:uid="{00000000-0005-0000-0000-00008A940000}"/>
    <cellStyle name="Normal 3 4 2 2 8 3" xfId="27943" xr:uid="{00000000-0005-0000-0000-00008B940000}"/>
    <cellStyle name="Normal 3 4 2 2 8 3 2" xfId="47132" xr:uid="{00000000-0005-0000-0000-00008C940000}"/>
    <cellStyle name="Normal 3 4 2 2 8 4" xfId="37434" xr:uid="{00000000-0005-0000-0000-00008D940000}"/>
    <cellStyle name="Normal 3 4 2 2 9" xfId="18132" xr:uid="{00000000-0005-0000-0000-00008E940000}"/>
    <cellStyle name="Normal 3 4 2 2 9 2" xfId="28500" xr:uid="{00000000-0005-0000-0000-00008F940000}"/>
    <cellStyle name="Normal 3 4 2 2 9 2 2" xfId="47689" xr:uid="{00000000-0005-0000-0000-000090940000}"/>
    <cellStyle name="Normal 3 4 2 2 9 3" xfId="37991" xr:uid="{00000000-0005-0000-0000-000091940000}"/>
    <cellStyle name="Normal 3 4 2 3" xfId="6189" xr:uid="{00000000-0005-0000-0000-000092940000}"/>
    <cellStyle name="Normal 3 4 2 3 10" xfId="53644" xr:uid="{00000000-0005-0000-0000-000093940000}"/>
    <cellStyle name="Normal 3 4 2 3 11" xfId="13290" xr:uid="{00000000-0005-0000-0000-000094940000}"/>
    <cellStyle name="Normal 3 4 2 3 2" xfId="14191" xr:uid="{00000000-0005-0000-0000-000095940000}"/>
    <cellStyle name="Normal 3 4 2 3 2 2" xfId="16455" xr:uid="{00000000-0005-0000-0000-000096940000}"/>
    <cellStyle name="Normal 3 4 2 3 2 2 2" xfId="20919" xr:uid="{00000000-0005-0000-0000-000097940000}"/>
    <cellStyle name="Normal 3 4 2 3 2 2 2 2" xfId="31287" xr:uid="{00000000-0005-0000-0000-000098940000}"/>
    <cellStyle name="Normal 3 4 2 3 2 2 2 2 2" xfId="50476" xr:uid="{00000000-0005-0000-0000-000099940000}"/>
    <cellStyle name="Normal 3 4 2 3 2 2 2 3" xfId="40778" xr:uid="{00000000-0005-0000-0000-00009A940000}"/>
    <cellStyle name="Normal 3 4 2 3 2 2 3" xfId="26832" xr:uid="{00000000-0005-0000-0000-00009B940000}"/>
    <cellStyle name="Normal 3 4 2 3 2 2 3 2" xfId="46021" xr:uid="{00000000-0005-0000-0000-00009C940000}"/>
    <cellStyle name="Normal 3 4 2 3 2 2 4" xfId="36323" xr:uid="{00000000-0005-0000-0000-00009D940000}"/>
    <cellStyle name="Normal 3 4 2 3 2 3" xfId="18691" xr:uid="{00000000-0005-0000-0000-00009E940000}"/>
    <cellStyle name="Normal 3 4 2 3 2 3 2" xfId="29059" xr:uid="{00000000-0005-0000-0000-00009F940000}"/>
    <cellStyle name="Normal 3 4 2 3 2 3 2 2" xfId="48248" xr:uid="{00000000-0005-0000-0000-0000A0940000}"/>
    <cellStyle name="Normal 3 4 2 3 2 3 3" xfId="38550" xr:uid="{00000000-0005-0000-0000-0000A1940000}"/>
    <cellStyle name="Normal 3 4 2 3 2 4" xfId="24599" xr:uid="{00000000-0005-0000-0000-0000A2940000}"/>
    <cellStyle name="Normal 3 4 2 3 2 4 2" xfId="43793" xr:uid="{00000000-0005-0000-0000-0000A3940000}"/>
    <cellStyle name="Normal 3 4 2 3 2 5" xfId="34095" xr:uid="{00000000-0005-0000-0000-0000A4940000}"/>
    <cellStyle name="Normal 3 4 2 3 3" xfId="14770" xr:uid="{00000000-0005-0000-0000-0000A5940000}"/>
    <cellStyle name="Normal 3 4 2 3 3 2" xfId="15899" xr:uid="{00000000-0005-0000-0000-0000A6940000}"/>
    <cellStyle name="Normal 3 4 2 3 3 2 2" xfId="20363" xr:uid="{00000000-0005-0000-0000-0000A7940000}"/>
    <cellStyle name="Normal 3 4 2 3 3 2 2 2" xfId="30731" xr:uid="{00000000-0005-0000-0000-0000A8940000}"/>
    <cellStyle name="Normal 3 4 2 3 3 2 2 2 2" xfId="49920" xr:uid="{00000000-0005-0000-0000-0000A9940000}"/>
    <cellStyle name="Normal 3 4 2 3 3 2 2 3" xfId="40222" xr:uid="{00000000-0005-0000-0000-0000AA940000}"/>
    <cellStyle name="Normal 3 4 2 3 3 2 3" xfId="26276" xr:uid="{00000000-0005-0000-0000-0000AB940000}"/>
    <cellStyle name="Normal 3 4 2 3 3 2 3 2" xfId="45465" xr:uid="{00000000-0005-0000-0000-0000AC940000}"/>
    <cellStyle name="Normal 3 4 2 3 3 2 4" xfId="35767" xr:uid="{00000000-0005-0000-0000-0000AD940000}"/>
    <cellStyle name="Normal 3 4 2 3 3 3" xfId="19248" xr:uid="{00000000-0005-0000-0000-0000AE940000}"/>
    <cellStyle name="Normal 3 4 2 3 3 3 2" xfId="29616" xr:uid="{00000000-0005-0000-0000-0000AF940000}"/>
    <cellStyle name="Normal 3 4 2 3 3 3 2 2" xfId="48805" xr:uid="{00000000-0005-0000-0000-0000B0940000}"/>
    <cellStyle name="Normal 3 4 2 3 3 3 3" xfId="39107" xr:uid="{00000000-0005-0000-0000-0000B1940000}"/>
    <cellStyle name="Normal 3 4 2 3 3 4" xfId="25161" xr:uid="{00000000-0005-0000-0000-0000B2940000}"/>
    <cellStyle name="Normal 3 4 2 3 3 4 2" xfId="44350" xr:uid="{00000000-0005-0000-0000-0000B3940000}"/>
    <cellStyle name="Normal 3 4 2 3 3 5" xfId="34652" xr:uid="{00000000-0005-0000-0000-0000B4940000}"/>
    <cellStyle name="Normal 3 4 2 3 4" xfId="15342" xr:uid="{00000000-0005-0000-0000-0000B5940000}"/>
    <cellStyle name="Normal 3 4 2 3 4 2" xfId="19806" xr:uid="{00000000-0005-0000-0000-0000B6940000}"/>
    <cellStyle name="Normal 3 4 2 3 4 2 2" xfId="30174" xr:uid="{00000000-0005-0000-0000-0000B7940000}"/>
    <cellStyle name="Normal 3 4 2 3 4 2 2 2" xfId="49363" xr:uid="{00000000-0005-0000-0000-0000B8940000}"/>
    <cellStyle name="Normal 3 4 2 3 4 2 3" xfId="39665" xr:uid="{00000000-0005-0000-0000-0000B9940000}"/>
    <cellStyle name="Normal 3 4 2 3 4 3" xfId="25719" xr:uid="{00000000-0005-0000-0000-0000BA940000}"/>
    <cellStyle name="Normal 3 4 2 3 4 3 2" xfId="44908" xr:uid="{00000000-0005-0000-0000-0000BB940000}"/>
    <cellStyle name="Normal 3 4 2 3 4 4" xfId="35210" xr:uid="{00000000-0005-0000-0000-0000BC940000}"/>
    <cellStyle name="Normal 3 4 2 3 5" xfId="17012" xr:uid="{00000000-0005-0000-0000-0000BD940000}"/>
    <cellStyle name="Normal 3 4 2 3 5 2" xfId="21476" xr:uid="{00000000-0005-0000-0000-0000BE940000}"/>
    <cellStyle name="Normal 3 4 2 3 5 2 2" xfId="31844" xr:uid="{00000000-0005-0000-0000-0000BF940000}"/>
    <cellStyle name="Normal 3 4 2 3 5 2 2 2" xfId="51033" xr:uid="{00000000-0005-0000-0000-0000C0940000}"/>
    <cellStyle name="Normal 3 4 2 3 5 2 3" xfId="41335" xr:uid="{00000000-0005-0000-0000-0000C1940000}"/>
    <cellStyle name="Normal 3 4 2 3 5 3" xfId="27389" xr:uid="{00000000-0005-0000-0000-0000C2940000}"/>
    <cellStyle name="Normal 3 4 2 3 5 3 2" xfId="46578" xr:uid="{00000000-0005-0000-0000-0000C3940000}"/>
    <cellStyle name="Normal 3 4 2 3 5 4" xfId="36880" xr:uid="{00000000-0005-0000-0000-0000C4940000}"/>
    <cellStyle name="Normal 3 4 2 3 6" xfId="17578" xr:uid="{00000000-0005-0000-0000-0000C5940000}"/>
    <cellStyle name="Normal 3 4 2 3 6 2" xfId="22033" xr:uid="{00000000-0005-0000-0000-0000C6940000}"/>
    <cellStyle name="Normal 3 4 2 3 6 2 2" xfId="32401" xr:uid="{00000000-0005-0000-0000-0000C7940000}"/>
    <cellStyle name="Normal 3 4 2 3 6 2 2 2" xfId="51590" xr:uid="{00000000-0005-0000-0000-0000C8940000}"/>
    <cellStyle name="Normal 3 4 2 3 6 2 3" xfId="41892" xr:uid="{00000000-0005-0000-0000-0000C9940000}"/>
    <cellStyle name="Normal 3 4 2 3 6 3" xfId="27946" xr:uid="{00000000-0005-0000-0000-0000CA940000}"/>
    <cellStyle name="Normal 3 4 2 3 6 3 2" xfId="47135" xr:uid="{00000000-0005-0000-0000-0000CB940000}"/>
    <cellStyle name="Normal 3 4 2 3 6 4" xfId="37437" xr:uid="{00000000-0005-0000-0000-0000CC940000}"/>
    <cellStyle name="Normal 3 4 2 3 7" xfId="18135" xr:uid="{00000000-0005-0000-0000-0000CD940000}"/>
    <cellStyle name="Normal 3 4 2 3 7 2" xfId="28503" xr:uid="{00000000-0005-0000-0000-0000CE940000}"/>
    <cellStyle name="Normal 3 4 2 3 7 2 2" xfId="47692" xr:uid="{00000000-0005-0000-0000-0000CF940000}"/>
    <cellStyle name="Normal 3 4 2 3 7 3" xfId="37994" xr:uid="{00000000-0005-0000-0000-0000D0940000}"/>
    <cellStyle name="Normal 3 4 2 3 8" xfId="24003" xr:uid="{00000000-0005-0000-0000-0000D1940000}"/>
    <cellStyle name="Normal 3 4 2 3 8 2" xfId="43237" xr:uid="{00000000-0005-0000-0000-0000D2940000}"/>
    <cellStyle name="Normal 3 4 2 3 9" xfId="33539" xr:uid="{00000000-0005-0000-0000-0000D3940000}"/>
    <cellStyle name="Normal 3 4 2 4" xfId="13291" xr:uid="{00000000-0005-0000-0000-0000D4940000}"/>
    <cellStyle name="Normal 3 4 2 4 2" xfId="14192" xr:uid="{00000000-0005-0000-0000-0000D5940000}"/>
    <cellStyle name="Normal 3 4 2 4 2 2" xfId="16456" xr:uid="{00000000-0005-0000-0000-0000D6940000}"/>
    <cellStyle name="Normal 3 4 2 4 2 2 2" xfId="20920" xr:uid="{00000000-0005-0000-0000-0000D7940000}"/>
    <cellStyle name="Normal 3 4 2 4 2 2 2 2" xfId="31288" xr:uid="{00000000-0005-0000-0000-0000D8940000}"/>
    <cellStyle name="Normal 3 4 2 4 2 2 2 2 2" xfId="50477" xr:uid="{00000000-0005-0000-0000-0000D9940000}"/>
    <cellStyle name="Normal 3 4 2 4 2 2 2 3" xfId="40779" xr:uid="{00000000-0005-0000-0000-0000DA940000}"/>
    <cellStyle name="Normal 3 4 2 4 2 2 3" xfId="26833" xr:uid="{00000000-0005-0000-0000-0000DB940000}"/>
    <cellStyle name="Normal 3 4 2 4 2 2 3 2" xfId="46022" xr:uid="{00000000-0005-0000-0000-0000DC940000}"/>
    <cellStyle name="Normal 3 4 2 4 2 2 4" xfId="36324" xr:uid="{00000000-0005-0000-0000-0000DD940000}"/>
    <cellStyle name="Normal 3 4 2 4 2 3" xfId="18692" xr:uid="{00000000-0005-0000-0000-0000DE940000}"/>
    <cellStyle name="Normal 3 4 2 4 2 3 2" xfId="29060" xr:uid="{00000000-0005-0000-0000-0000DF940000}"/>
    <cellStyle name="Normal 3 4 2 4 2 3 2 2" xfId="48249" xr:uid="{00000000-0005-0000-0000-0000E0940000}"/>
    <cellStyle name="Normal 3 4 2 4 2 3 3" xfId="38551" xr:uid="{00000000-0005-0000-0000-0000E1940000}"/>
    <cellStyle name="Normal 3 4 2 4 2 4" xfId="24600" xr:uid="{00000000-0005-0000-0000-0000E2940000}"/>
    <cellStyle name="Normal 3 4 2 4 2 4 2" xfId="43794" xr:uid="{00000000-0005-0000-0000-0000E3940000}"/>
    <cellStyle name="Normal 3 4 2 4 2 5" xfId="34096" xr:uid="{00000000-0005-0000-0000-0000E4940000}"/>
    <cellStyle name="Normal 3 4 2 4 3" xfId="14771" xr:uid="{00000000-0005-0000-0000-0000E5940000}"/>
    <cellStyle name="Normal 3 4 2 4 3 2" xfId="15900" xr:uid="{00000000-0005-0000-0000-0000E6940000}"/>
    <cellStyle name="Normal 3 4 2 4 3 2 2" xfId="20364" xr:uid="{00000000-0005-0000-0000-0000E7940000}"/>
    <cellStyle name="Normal 3 4 2 4 3 2 2 2" xfId="30732" xr:uid="{00000000-0005-0000-0000-0000E8940000}"/>
    <cellStyle name="Normal 3 4 2 4 3 2 2 2 2" xfId="49921" xr:uid="{00000000-0005-0000-0000-0000E9940000}"/>
    <cellStyle name="Normal 3 4 2 4 3 2 2 3" xfId="40223" xr:uid="{00000000-0005-0000-0000-0000EA940000}"/>
    <cellStyle name="Normal 3 4 2 4 3 2 3" xfId="26277" xr:uid="{00000000-0005-0000-0000-0000EB940000}"/>
    <cellStyle name="Normal 3 4 2 4 3 2 3 2" xfId="45466" xr:uid="{00000000-0005-0000-0000-0000EC940000}"/>
    <cellStyle name="Normal 3 4 2 4 3 2 4" xfId="35768" xr:uid="{00000000-0005-0000-0000-0000ED940000}"/>
    <cellStyle name="Normal 3 4 2 4 3 3" xfId="19249" xr:uid="{00000000-0005-0000-0000-0000EE940000}"/>
    <cellStyle name="Normal 3 4 2 4 3 3 2" xfId="29617" xr:uid="{00000000-0005-0000-0000-0000EF940000}"/>
    <cellStyle name="Normal 3 4 2 4 3 3 2 2" xfId="48806" xr:uid="{00000000-0005-0000-0000-0000F0940000}"/>
    <cellStyle name="Normal 3 4 2 4 3 3 3" xfId="39108" xr:uid="{00000000-0005-0000-0000-0000F1940000}"/>
    <cellStyle name="Normal 3 4 2 4 3 4" xfId="25162" xr:uid="{00000000-0005-0000-0000-0000F2940000}"/>
    <cellStyle name="Normal 3 4 2 4 3 4 2" xfId="44351" xr:uid="{00000000-0005-0000-0000-0000F3940000}"/>
    <cellStyle name="Normal 3 4 2 4 3 5" xfId="34653" xr:uid="{00000000-0005-0000-0000-0000F4940000}"/>
    <cellStyle name="Normal 3 4 2 4 4" xfId="15343" xr:uid="{00000000-0005-0000-0000-0000F5940000}"/>
    <cellStyle name="Normal 3 4 2 4 4 2" xfId="19807" xr:uid="{00000000-0005-0000-0000-0000F6940000}"/>
    <cellStyle name="Normal 3 4 2 4 4 2 2" xfId="30175" xr:uid="{00000000-0005-0000-0000-0000F7940000}"/>
    <cellStyle name="Normal 3 4 2 4 4 2 2 2" xfId="49364" xr:uid="{00000000-0005-0000-0000-0000F8940000}"/>
    <cellStyle name="Normal 3 4 2 4 4 2 3" xfId="39666" xr:uid="{00000000-0005-0000-0000-0000F9940000}"/>
    <cellStyle name="Normal 3 4 2 4 4 3" xfId="25720" xr:uid="{00000000-0005-0000-0000-0000FA940000}"/>
    <cellStyle name="Normal 3 4 2 4 4 3 2" xfId="44909" xr:uid="{00000000-0005-0000-0000-0000FB940000}"/>
    <cellStyle name="Normal 3 4 2 4 4 4" xfId="35211" xr:uid="{00000000-0005-0000-0000-0000FC940000}"/>
    <cellStyle name="Normal 3 4 2 4 5" xfId="17013" xr:uid="{00000000-0005-0000-0000-0000FD940000}"/>
    <cellStyle name="Normal 3 4 2 4 5 2" xfId="21477" xr:uid="{00000000-0005-0000-0000-0000FE940000}"/>
    <cellStyle name="Normal 3 4 2 4 5 2 2" xfId="31845" xr:uid="{00000000-0005-0000-0000-0000FF940000}"/>
    <cellStyle name="Normal 3 4 2 4 5 2 2 2" xfId="51034" xr:uid="{00000000-0005-0000-0000-000000950000}"/>
    <cellStyle name="Normal 3 4 2 4 5 2 3" xfId="41336" xr:uid="{00000000-0005-0000-0000-000001950000}"/>
    <cellStyle name="Normal 3 4 2 4 5 3" xfId="27390" xr:uid="{00000000-0005-0000-0000-000002950000}"/>
    <cellStyle name="Normal 3 4 2 4 5 3 2" xfId="46579" xr:uid="{00000000-0005-0000-0000-000003950000}"/>
    <cellStyle name="Normal 3 4 2 4 5 4" xfId="36881" xr:uid="{00000000-0005-0000-0000-000004950000}"/>
    <cellStyle name="Normal 3 4 2 4 6" xfId="17579" xr:uid="{00000000-0005-0000-0000-000005950000}"/>
    <cellStyle name="Normal 3 4 2 4 6 2" xfId="22034" xr:uid="{00000000-0005-0000-0000-000006950000}"/>
    <cellStyle name="Normal 3 4 2 4 6 2 2" xfId="32402" xr:uid="{00000000-0005-0000-0000-000007950000}"/>
    <cellStyle name="Normal 3 4 2 4 6 2 2 2" xfId="51591" xr:uid="{00000000-0005-0000-0000-000008950000}"/>
    <cellStyle name="Normal 3 4 2 4 6 2 3" xfId="41893" xr:uid="{00000000-0005-0000-0000-000009950000}"/>
    <cellStyle name="Normal 3 4 2 4 6 3" xfId="27947" xr:uid="{00000000-0005-0000-0000-00000A950000}"/>
    <cellStyle name="Normal 3 4 2 4 6 3 2" xfId="47136" xr:uid="{00000000-0005-0000-0000-00000B950000}"/>
    <cellStyle name="Normal 3 4 2 4 6 4" xfId="37438" xr:uid="{00000000-0005-0000-0000-00000C950000}"/>
    <cellStyle name="Normal 3 4 2 4 7" xfId="18136" xr:uid="{00000000-0005-0000-0000-00000D950000}"/>
    <cellStyle name="Normal 3 4 2 4 7 2" xfId="28504" xr:uid="{00000000-0005-0000-0000-00000E950000}"/>
    <cellStyle name="Normal 3 4 2 4 7 2 2" xfId="47693" xr:uid="{00000000-0005-0000-0000-00000F950000}"/>
    <cellStyle name="Normal 3 4 2 4 7 3" xfId="37995" xr:uid="{00000000-0005-0000-0000-000010950000}"/>
    <cellStyle name="Normal 3 4 2 4 8" xfId="24004" xr:uid="{00000000-0005-0000-0000-000011950000}"/>
    <cellStyle name="Normal 3 4 2 4 8 2" xfId="43238" xr:uid="{00000000-0005-0000-0000-000012950000}"/>
    <cellStyle name="Normal 3 4 2 4 9" xfId="33540" xr:uid="{00000000-0005-0000-0000-000013950000}"/>
    <cellStyle name="Normal 3 4 2 5" xfId="14187" xr:uid="{00000000-0005-0000-0000-000014950000}"/>
    <cellStyle name="Normal 3 4 2 5 2" xfId="16451" xr:uid="{00000000-0005-0000-0000-000015950000}"/>
    <cellStyle name="Normal 3 4 2 5 2 2" xfId="20915" xr:uid="{00000000-0005-0000-0000-000016950000}"/>
    <cellStyle name="Normal 3 4 2 5 2 2 2" xfId="31283" xr:uid="{00000000-0005-0000-0000-000017950000}"/>
    <cellStyle name="Normal 3 4 2 5 2 2 2 2" xfId="50472" xr:uid="{00000000-0005-0000-0000-000018950000}"/>
    <cellStyle name="Normal 3 4 2 5 2 2 3" xfId="40774" xr:uid="{00000000-0005-0000-0000-000019950000}"/>
    <cellStyle name="Normal 3 4 2 5 2 3" xfId="26828" xr:uid="{00000000-0005-0000-0000-00001A950000}"/>
    <cellStyle name="Normal 3 4 2 5 2 3 2" xfId="46017" xr:uid="{00000000-0005-0000-0000-00001B950000}"/>
    <cellStyle name="Normal 3 4 2 5 2 4" xfId="36319" xr:uid="{00000000-0005-0000-0000-00001C950000}"/>
    <cellStyle name="Normal 3 4 2 5 3" xfId="18687" xr:uid="{00000000-0005-0000-0000-00001D950000}"/>
    <cellStyle name="Normal 3 4 2 5 3 2" xfId="29055" xr:uid="{00000000-0005-0000-0000-00001E950000}"/>
    <cellStyle name="Normal 3 4 2 5 3 2 2" xfId="48244" xr:uid="{00000000-0005-0000-0000-00001F950000}"/>
    <cellStyle name="Normal 3 4 2 5 3 3" xfId="38546" xr:uid="{00000000-0005-0000-0000-000020950000}"/>
    <cellStyle name="Normal 3 4 2 5 4" xfId="24595" xr:uid="{00000000-0005-0000-0000-000021950000}"/>
    <cellStyle name="Normal 3 4 2 5 4 2" xfId="43789" xr:uid="{00000000-0005-0000-0000-000022950000}"/>
    <cellStyle name="Normal 3 4 2 5 5" xfId="34091" xr:uid="{00000000-0005-0000-0000-000023950000}"/>
    <cellStyle name="Normal 3 4 2 6" xfId="14766" xr:uid="{00000000-0005-0000-0000-000024950000}"/>
    <cellStyle name="Normal 3 4 2 6 2" xfId="15895" xr:uid="{00000000-0005-0000-0000-000025950000}"/>
    <cellStyle name="Normal 3 4 2 6 2 2" xfId="20359" xr:uid="{00000000-0005-0000-0000-000026950000}"/>
    <cellStyle name="Normal 3 4 2 6 2 2 2" xfId="30727" xr:uid="{00000000-0005-0000-0000-000027950000}"/>
    <cellStyle name="Normal 3 4 2 6 2 2 2 2" xfId="49916" xr:uid="{00000000-0005-0000-0000-000028950000}"/>
    <cellStyle name="Normal 3 4 2 6 2 2 3" xfId="40218" xr:uid="{00000000-0005-0000-0000-000029950000}"/>
    <cellStyle name="Normal 3 4 2 6 2 3" xfId="26272" xr:uid="{00000000-0005-0000-0000-00002A950000}"/>
    <cellStyle name="Normal 3 4 2 6 2 3 2" xfId="45461" xr:uid="{00000000-0005-0000-0000-00002B950000}"/>
    <cellStyle name="Normal 3 4 2 6 2 4" xfId="35763" xr:uid="{00000000-0005-0000-0000-00002C950000}"/>
    <cellStyle name="Normal 3 4 2 6 3" xfId="19244" xr:uid="{00000000-0005-0000-0000-00002D950000}"/>
    <cellStyle name="Normal 3 4 2 6 3 2" xfId="29612" xr:uid="{00000000-0005-0000-0000-00002E950000}"/>
    <cellStyle name="Normal 3 4 2 6 3 2 2" xfId="48801" xr:uid="{00000000-0005-0000-0000-00002F950000}"/>
    <cellStyle name="Normal 3 4 2 6 3 3" xfId="39103" xr:uid="{00000000-0005-0000-0000-000030950000}"/>
    <cellStyle name="Normal 3 4 2 6 4" xfId="25157" xr:uid="{00000000-0005-0000-0000-000031950000}"/>
    <cellStyle name="Normal 3 4 2 6 4 2" xfId="44346" xr:uid="{00000000-0005-0000-0000-000032950000}"/>
    <cellStyle name="Normal 3 4 2 6 5" xfId="34648" xr:uid="{00000000-0005-0000-0000-000033950000}"/>
    <cellStyle name="Normal 3 4 2 7" xfId="15338" xr:uid="{00000000-0005-0000-0000-000034950000}"/>
    <cellStyle name="Normal 3 4 2 7 2" xfId="19802" xr:uid="{00000000-0005-0000-0000-000035950000}"/>
    <cellStyle name="Normal 3 4 2 7 2 2" xfId="30170" xr:uid="{00000000-0005-0000-0000-000036950000}"/>
    <cellStyle name="Normal 3 4 2 7 2 2 2" xfId="49359" xr:uid="{00000000-0005-0000-0000-000037950000}"/>
    <cellStyle name="Normal 3 4 2 7 2 3" xfId="39661" xr:uid="{00000000-0005-0000-0000-000038950000}"/>
    <cellStyle name="Normal 3 4 2 7 3" xfId="25715" xr:uid="{00000000-0005-0000-0000-000039950000}"/>
    <cellStyle name="Normal 3 4 2 7 3 2" xfId="44904" xr:uid="{00000000-0005-0000-0000-00003A950000}"/>
    <cellStyle name="Normal 3 4 2 7 4" xfId="35206" xr:uid="{00000000-0005-0000-0000-00003B950000}"/>
    <cellStyle name="Normal 3 4 2 8" xfId="17008" xr:uid="{00000000-0005-0000-0000-00003C950000}"/>
    <cellStyle name="Normal 3 4 2 8 2" xfId="21472" xr:uid="{00000000-0005-0000-0000-00003D950000}"/>
    <cellStyle name="Normal 3 4 2 8 2 2" xfId="31840" xr:uid="{00000000-0005-0000-0000-00003E950000}"/>
    <cellStyle name="Normal 3 4 2 8 2 2 2" xfId="51029" xr:uid="{00000000-0005-0000-0000-00003F950000}"/>
    <cellStyle name="Normal 3 4 2 8 2 3" xfId="41331" xr:uid="{00000000-0005-0000-0000-000040950000}"/>
    <cellStyle name="Normal 3 4 2 8 3" xfId="27385" xr:uid="{00000000-0005-0000-0000-000041950000}"/>
    <cellStyle name="Normal 3 4 2 8 3 2" xfId="46574" xr:uid="{00000000-0005-0000-0000-000042950000}"/>
    <cellStyle name="Normal 3 4 2 8 4" xfId="36876" xr:uid="{00000000-0005-0000-0000-000043950000}"/>
    <cellStyle name="Normal 3 4 2 9" xfId="17574" xr:uid="{00000000-0005-0000-0000-000044950000}"/>
    <cellStyle name="Normal 3 4 2 9 2" xfId="22029" xr:uid="{00000000-0005-0000-0000-000045950000}"/>
    <cellStyle name="Normal 3 4 2 9 2 2" xfId="32397" xr:uid="{00000000-0005-0000-0000-000046950000}"/>
    <cellStyle name="Normal 3 4 2 9 2 2 2" xfId="51586" xr:uid="{00000000-0005-0000-0000-000047950000}"/>
    <cellStyle name="Normal 3 4 2 9 2 3" xfId="41888" xr:uid="{00000000-0005-0000-0000-000048950000}"/>
    <cellStyle name="Normal 3 4 2 9 3" xfId="27942" xr:uid="{00000000-0005-0000-0000-000049950000}"/>
    <cellStyle name="Normal 3 4 2 9 3 2" xfId="47131" xr:uid="{00000000-0005-0000-0000-00004A950000}"/>
    <cellStyle name="Normal 3 4 2 9 4" xfId="37433" xr:uid="{00000000-0005-0000-0000-00004B950000}"/>
    <cellStyle name="Normal 3 4 3" xfId="3990" xr:uid="{00000000-0005-0000-0000-00004C950000}"/>
    <cellStyle name="Normal 3 4 3 10" xfId="24005" xr:uid="{00000000-0005-0000-0000-00004D950000}"/>
    <cellStyle name="Normal 3 4 3 10 2" xfId="43239" xr:uid="{00000000-0005-0000-0000-00004E950000}"/>
    <cellStyle name="Normal 3 4 3 11" xfId="33541" xr:uid="{00000000-0005-0000-0000-00004F950000}"/>
    <cellStyle name="Normal 3 4 3 12" xfId="52969" xr:uid="{00000000-0005-0000-0000-000050950000}"/>
    <cellStyle name="Normal 3 4 3 13" xfId="13292" xr:uid="{00000000-0005-0000-0000-000051950000}"/>
    <cellStyle name="Normal 3 4 3 2" xfId="13293" xr:uid="{00000000-0005-0000-0000-000052950000}"/>
    <cellStyle name="Normal 3 4 3 2 10" xfId="53844" xr:uid="{00000000-0005-0000-0000-000053950000}"/>
    <cellStyle name="Normal 3 4 3 2 2" xfId="14194" xr:uid="{00000000-0005-0000-0000-000054950000}"/>
    <cellStyle name="Normal 3 4 3 2 2 2" xfId="16458" xr:uid="{00000000-0005-0000-0000-000055950000}"/>
    <cellStyle name="Normal 3 4 3 2 2 2 2" xfId="20922" xr:uid="{00000000-0005-0000-0000-000056950000}"/>
    <cellStyle name="Normal 3 4 3 2 2 2 2 2" xfId="31290" xr:uid="{00000000-0005-0000-0000-000057950000}"/>
    <cellStyle name="Normal 3 4 3 2 2 2 2 2 2" xfId="50479" xr:uid="{00000000-0005-0000-0000-000058950000}"/>
    <cellStyle name="Normal 3 4 3 2 2 2 2 3" xfId="40781" xr:uid="{00000000-0005-0000-0000-000059950000}"/>
    <cellStyle name="Normal 3 4 3 2 2 2 3" xfId="26835" xr:uid="{00000000-0005-0000-0000-00005A950000}"/>
    <cellStyle name="Normal 3 4 3 2 2 2 3 2" xfId="46024" xr:uid="{00000000-0005-0000-0000-00005B950000}"/>
    <cellStyle name="Normal 3 4 3 2 2 2 4" xfId="36326" xr:uid="{00000000-0005-0000-0000-00005C950000}"/>
    <cellStyle name="Normal 3 4 3 2 2 3" xfId="18694" xr:uid="{00000000-0005-0000-0000-00005D950000}"/>
    <cellStyle name="Normal 3 4 3 2 2 3 2" xfId="29062" xr:uid="{00000000-0005-0000-0000-00005E950000}"/>
    <cellStyle name="Normal 3 4 3 2 2 3 2 2" xfId="48251" xr:uid="{00000000-0005-0000-0000-00005F950000}"/>
    <cellStyle name="Normal 3 4 3 2 2 3 3" xfId="38553" xr:uid="{00000000-0005-0000-0000-000060950000}"/>
    <cellStyle name="Normal 3 4 3 2 2 4" xfId="24602" xr:uid="{00000000-0005-0000-0000-000061950000}"/>
    <cellStyle name="Normal 3 4 3 2 2 4 2" xfId="43796" xr:uid="{00000000-0005-0000-0000-000062950000}"/>
    <cellStyle name="Normal 3 4 3 2 2 5" xfId="34098" xr:uid="{00000000-0005-0000-0000-000063950000}"/>
    <cellStyle name="Normal 3 4 3 2 3" xfId="14773" xr:uid="{00000000-0005-0000-0000-000064950000}"/>
    <cellStyle name="Normal 3 4 3 2 3 2" xfId="15902" xr:uid="{00000000-0005-0000-0000-000065950000}"/>
    <cellStyle name="Normal 3 4 3 2 3 2 2" xfId="20366" xr:uid="{00000000-0005-0000-0000-000066950000}"/>
    <cellStyle name="Normal 3 4 3 2 3 2 2 2" xfId="30734" xr:uid="{00000000-0005-0000-0000-000067950000}"/>
    <cellStyle name="Normal 3 4 3 2 3 2 2 2 2" xfId="49923" xr:uid="{00000000-0005-0000-0000-000068950000}"/>
    <cellStyle name="Normal 3 4 3 2 3 2 2 3" xfId="40225" xr:uid="{00000000-0005-0000-0000-000069950000}"/>
    <cellStyle name="Normal 3 4 3 2 3 2 3" xfId="26279" xr:uid="{00000000-0005-0000-0000-00006A950000}"/>
    <cellStyle name="Normal 3 4 3 2 3 2 3 2" xfId="45468" xr:uid="{00000000-0005-0000-0000-00006B950000}"/>
    <cellStyle name="Normal 3 4 3 2 3 2 4" xfId="35770" xr:uid="{00000000-0005-0000-0000-00006C950000}"/>
    <cellStyle name="Normal 3 4 3 2 3 3" xfId="19251" xr:uid="{00000000-0005-0000-0000-00006D950000}"/>
    <cellStyle name="Normal 3 4 3 2 3 3 2" xfId="29619" xr:uid="{00000000-0005-0000-0000-00006E950000}"/>
    <cellStyle name="Normal 3 4 3 2 3 3 2 2" xfId="48808" xr:uid="{00000000-0005-0000-0000-00006F950000}"/>
    <cellStyle name="Normal 3 4 3 2 3 3 3" xfId="39110" xr:uid="{00000000-0005-0000-0000-000070950000}"/>
    <cellStyle name="Normal 3 4 3 2 3 4" xfId="25164" xr:uid="{00000000-0005-0000-0000-000071950000}"/>
    <cellStyle name="Normal 3 4 3 2 3 4 2" xfId="44353" xr:uid="{00000000-0005-0000-0000-000072950000}"/>
    <cellStyle name="Normal 3 4 3 2 3 5" xfId="34655" xr:uid="{00000000-0005-0000-0000-000073950000}"/>
    <cellStyle name="Normal 3 4 3 2 4" xfId="15345" xr:uid="{00000000-0005-0000-0000-000074950000}"/>
    <cellStyle name="Normal 3 4 3 2 4 2" xfId="19809" xr:uid="{00000000-0005-0000-0000-000075950000}"/>
    <cellStyle name="Normal 3 4 3 2 4 2 2" xfId="30177" xr:uid="{00000000-0005-0000-0000-000076950000}"/>
    <cellStyle name="Normal 3 4 3 2 4 2 2 2" xfId="49366" xr:uid="{00000000-0005-0000-0000-000077950000}"/>
    <cellStyle name="Normal 3 4 3 2 4 2 3" xfId="39668" xr:uid="{00000000-0005-0000-0000-000078950000}"/>
    <cellStyle name="Normal 3 4 3 2 4 3" xfId="25722" xr:uid="{00000000-0005-0000-0000-000079950000}"/>
    <cellStyle name="Normal 3 4 3 2 4 3 2" xfId="44911" xr:uid="{00000000-0005-0000-0000-00007A950000}"/>
    <cellStyle name="Normal 3 4 3 2 4 4" xfId="35213" xr:uid="{00000000-0005-0000-0000-00007B950000}"/>
    <cellStyle name="Normal 3 4 3 2 5" xfId="17015" xr:uid="{00000000-0005-0000-0000-00007C950000}"/>
    <cellStyle name="Normal 3 4 3 2 5 2" xfId="21479" xr:uid="{00000000-0005-0000-0000-00007D950000}"/>
    <cellStyle name="Normal 3 4 3 2 5 2 2" xfId="31847" xr:uid="{00000000-0005-0000-0000-00007E950000}"/>
    <cellStyle name="Normal 3 4 3 2 5 2 2 2" xfId="51036" xr:uid="{00000000-0005-0000-0000-00007F950000}"/>
    <cellStyle name="Normal 3 4 3 2 5 2 3" xfId="41338" xr:uid="{00000000-0005-0000-0000-000080950000}"/>
    <cellStyle name="Normal 3 4 3 2 5 3" xfId="27392" xr:uid="{00000000-0005-0000-0000-000081950000}"/>
    <cellStyle name="Normal 3 4 3 2 5 3 2" xfId="46581" xr:uid="{00000000-0005-0000-0000-000082950000}"/>
    <cellStyle name="Normal 3 4 3 2 5 4" xfId="36883" xr:uid="{00000000-0005-0000-0000-000083950000}"/>
    <cellStyle name="Normal 3 4 3 2 6" xfId="17581" xr:uid="{00000000-0005-0000-0000-000084950000}"/>
    <cellStyle name="Normal 3 4 3 2 6 2" xfId="22036" xr:uid="{00000000-0005-0000-0000-000085950000}"/>
    <cellStyle name="Normal 3 4 3 2 6 2 2" xfId="32404" xr:uid="{00000000-0005-0000-0000-000086950000}"/>
    <cellStyle name="Normal 3 4 3 2 6 2 2 2" xfId="51593" xr:uid="{00000000-0005-0000-0000-000087950000}"/>
    <cellStyle name="Normal 3 4 3 2 6 2 3" xfId="41895" xr:uid="{00000000-0005-0000-0000-000088950000}"/>
    <cellStyle name="Normal 3 4 3 2 6 3" xfId="27949" xr:uid="{00000000-0005-0000-0000-000089950000}"/>
    <cellStyle name="Normal 3 4 3 2 6 3 2" xfId="47138" xr:uid="{00000000-0005-0000-0000-00008A950000}"/>
    <cellStyle name="Normal 3 4 3 2 6 4" xfId="37440" xr:uid="{00000000-0005-0000-0000-00008B950000}"/>
    <cellStyle name="Normal 3 4 3 2 7" xfId="18138" xr:uid="{00000000-0005-0000-0000-00008C950000}"/>
    <cellStyle name="Normal 3 4 3 2 7 2" xfId="28506" xr:uid="{00000000-0005-0000-0000-00008D950000}"/>
    <cellStyle name="Normal 3 4 3 2 7 2 2" xfId="47695" xr:uid="{00000000-0005-0000-0000-00008E950000}"/>
    <cellStyle name="Normal 3 4 3 2 7 3" xfId="37997" xr:uid="{00000000-0005-0000-0000-00008F950000}"/>
    <cellStyle name="Normal 3 4 3 2 8" xfId="24006" xr:uid="{00000000-0005-0000-0000-000090950000}"/>
    <cellStyle name="Normal 3 4 3 2 8 2" xfId="43240" xr:uid="{00000000-0005-0000-0000-000091950000}"/>
    <cellStyle name="Normal 3 4 3 2 9" xfId="33542" xr:uid="{00000000-0005-0000-0000-000092950000}"/>
    <cellStyle name="Normal 3 4 3 3" xfId="13294" xr:uid="{00000000-0005-0000-0000-000093950000}"/>
    <cellStyle name="Normal 3 4 3 3 2" xfId="14195" xr:uid="{00000000-0005-0000-0000-000094950000}"/>
    <cellStyle name="Normal 3 4 3 3 2 2" xfId="16459" xr:uid="{00000000-0005-0000-0000-000095950000}"/>
    <cellStyle name="Normal 3 4 3 3 2 2 2" xfId="20923" xr:uid="{00000000-0005-0000-0000-000096950000}"/>
    <cellStyle name="Normal 3 4 3 3 2 2 2 2" xfId="31291" xr:uid="{00000000-0005-0000-0000-000097950000}"/>
    <cellStyle name="Normal 3 4 3 3 2 2 2 2 2" xfId="50480" xr:uid="{00000000-0005-0000-0000-000098950000}"/>
    <cellStyle name="Normal 3 4 3 3 2 2 2 3" xfId="40782" xr:uid="{00000000-0005-0000-0000-000099950000}"/>
    <cellStyle name="Normal 3 4 3 3 2 2 3" xfId="26836" xr:uid="{00000000-0005-0000-0000-00009A950000}"/>
    <cellStyle name="Normal 3 4 3 3 2 2 3 2" xfId="46025" xr:uid="{00000000-0005-0000-0000-00009B950000}"/>
    <cellStyle name="Normal 3 4 3 3 2 2 4" xfId="36327" xr:uid="{00000000-0005-0000-0000-00009C950000}"/>
    <cellStyle name="Normal 3 4 3 3 2 3" xfId="18695" xr:uid="{00000000-0005-0000-0000-00009D950000}"/>
    <cellStyle name="Normal 3 4 3 3 2 3 2" xfId="29063" xr:uid="{00000000-0005-0000-0000-00009E950000}"/>
    <cellStyle name="Normal 3 4 3 3 2 3 2 2" xfId="48252" xr:uid="{00000000-0005-0000-0000-00009F950000}"/>
    <cellStyle name="Normal 3 4 3 3 2 3 3" xfId="38554" xr:uid="{00000000-0005-0000-0000-0000A0950000}"/>
    <cellStyle name="Normal 3 4 3 3 2 4" xfId="24603" xr:uid="{00000000-0005-0000-0000-0000A1950000}"/>
    <cellStyle name="Normal 3 4 3 3 2 4 2" xfId="43797" xr:uid="{00000000-0005-0000-0000-0000A2950000}"/>
    <cellStyle name="Normal 3 4 3 3 2 5" xfId="34099" xr:uid="{00000000-0005-0000-0000-0000A3950000}"/>
    <cellStyle name="Normal 3 4 3 3 3" xfId="14774" xr:uid="{00000000-0005-0000-0000-0000A4950000}"/>
    <cellStyle name="Normal 3 4 3 3 3 2" xfId="15903" xr:uid="{00000000-0005-0000-0000-0000A5950000}"/>
    <cellStyle name="Normal 3 4 3 3 3 2 2" xfId="20367" xr:uid="{00000000-0005-0000-0000-0000A6950000}"/>
    <cellStyle name="Normal 3 4 3 3 3 2 2 2" xfId="30735" xr:uid="{00000000-0005-0000-0000-0000A7950000}"/>
    <cellStyle name="Normal 3 4 3 3 3 2 2 2 2" xfId="49924" xr:uid="{00000000-0005-0000-0000-0000A8950000}"/>
    <cellStyle name="Normal 3 4 3 3 3 2 2 3" xfId="40226" xr:uid="{00000000-0005-0000-0000-0000A9950000}"/>
    <cellStyle name="Normal 3 4 3 3 3 2 3" xfId="26280" xr:uid="{00000000-0005-0000-0000-0000AA950000}"/>
    <cellStyle name="Normal 3 4 3 3 3 2 3 2" xfId="45469" xr:uid="{00000000-0005-0000-0000-0000AB950000}"/>
    <cellStyle name="Normal 3 4 3 3 3 2 4" xfId="35771" xr:uid="{00000000-0005-0000-0000-0000AC950000}"/>
    <cellStyle name="Normal 3 4 3 3 3 3" xfId="19252" xr:uid="{00000000-0005-0000-0000-0000AD950000}"/>
    <cellStyle name="Normal 3 4 3 3 3 3 2" xfId="29620" xr:uid="{00000000-0005-0000-0000-0000AE950000}"/>
    <cellStyle name="Normal 3 4 3 3 3 3 2 2" xfId="48809" xr:uid="{00000000-0005-0000-0000-0000AF950000}"/>
    <cellStyle name="Normal 3 4 3 3 3 3 3" xfId="39111" xr:uid="{00000000-0005-0000-0000-0000B0950000}"/>
    <cellStyle name="Normal 3 4 3 3 3 4" xfId="25165" xr:uid="{00000000-0005-0000-0000-0000B1950000}"/>
    <cellStyle name="Normal 3 4 3 3 3 4 2" xfId="44354" xr:uid="{00000000-0005-0000-0000-0000B2950000}"/>
    <cellStyle name="Normal 3 4 3 3 3 5" xfId="34656" xr:uid="{00000000-0005-0000-0000-0000B3950000}"/>
    <cellStyle name="Normal 3 4 3 3 4" xfId="15346" xr:uid="{00000000-0005-0000-0000-0000B4950000}"/>
    <cellStyle name="Normal 3 4 3 3 4 2" xfId="19810" xr:uid="{00000000-0005-0000-0000-0000B5950000}"/>
    <cellStyle name="Normal 3 4 3 3 4 2 2" xfId="30178" xr:uid="{00000000-0005-0000-0000-0000B6950000}"/>
    <cellStyle name="Normal 3 4 3 3 4 2 2 2" xfId="49367" xr:uid="{00000000-0005-0000-0000-0000B7950000}"/>
    <cellStyle name="Normal 3 4 3 3 4 2 3" xfId="39669" xr:uid="{00000000-0005-0000-0000-0000B8950000}"/>
    <cellStyle name="Normal 3 4 3 3 4 3" xfId="25723" xr:uid="{00000000-0005-0000-0000-0000B9950000}"/>
    <cellStyle name="Normal 3 4 3 3 4 3 2" xfId="44912" xr:uid="{00000000-0005-0000-0000-0000BA950000}"/>
    <cellStyle name="Normal 3 4 3 3 4 4" xfId="35214" xr:uid="{00000000-0005-0000-0000-0000BB950000}"/>
    <cellStyle name="Normal 3 4 3 3 5" xfId="17016" xr:uid="{00000000-0005-0000-0000-0000BC950000}"/>
    <cellStyle name="Normal 3 4 3 3 5 2" xfId="21480" xr:uid="{00000000-0005-0000-0000-0000BD950000}"/>
    <cellStyle name="Normal 3 4 3 3 5 2 2" xfId="31848" xr:uid="{00000000-0005-0000-0000-0000BE950000}"/>
    <cellStyle name="Normal 3 4 3 3 5 2 2 2" xfId="51037" xr:uid="{00000000-0005-0000-0000-0000BF950000}"/>
    <cellStyle name="Normal 3 4 3 3 5 2 3" xfId="41339" xr:uid="{00000000-0005-0000-0000-0000C0950000}"/>
    <cellStyle name="Normal 3 4 3 3 5 3" xfId="27393" xr:uid="{00000000-0005-0000-0000-0000C1950000}"/>
    <cellStyle name="Normal 3 4 3 3 5 3 2" xfId="46582" xr:uid="{00000000-0005-0000-0000-0000C2950000}"/>
    <cellStyle name="Normal 3 4 3 3 5 4" xfId="36884" xr:uid="{00000000-0005-0000-0000-0000C3950000}"/>
    <cellStyle name="Normal 3 4 3 3 6" xfId="17582" xr:uid="{00000000-0005-0000-0000-0000C4950000}"/>
    <cellStyle name="Normal 3 4 3 3 6 2" xfId="22037" xr:uid="{00000000-0005-0000-0000-0000C5950000}"/>
    <cellStyle name="Normal 3 4 3 3 6 2 2" xfId="32405" xr:uid="{00000000-0005-0000-0000-0000C6950000}"/>
    <cellStyle name="Normal 3 4 3 3 6 2 2 2" xfId="51594" xr:uid="{00000000-0005-0000-0000-0000C7950000}"/>
    <cellStyle name="Normal 3 4 3 3 6 2 3" xfId="41896" xr:uid="{00000000-0005-0000-0000-0000C8950000}"/>
    <cellStyle name="Normal 3 4 3 3 6 3" xfId="27950" xr:uid="{00000000-0005-0000-0000-0000C9950000}"/>
    <cellStyle name="Normal 3 4 3 3 6 3 2" xfId="47139" xr:uid="{00000000-0005-0000-0000-0000CA950000}"/>
    <cellStyle name="Normal 3 4 3 3 6 4" xfId="37441" xr:uid="{00000000-0005-0000-0000-0000CB950000}"/>
    <cellStyle name="Normal 3 4 3 3 7" xfId="18139" xr:uid="{00000000-0005-0000-0000-0000CC950000}"/>
    <cellStyle name="Normal 3 4 3 3 7 2" xfId="28507" xr:uid="{00000000-0005-0000-0000-0000CD950000}"/>
    <cellStyle name="Normal 3 4 3 3 7 2 2" xfId="47696" xr:uid="{00000000-0005-0000-0000-0000CE950000}"/>
    <cellStyle name="Normal 3 4 3 3 7 3" xfId="37998" xr:uid="{00000000-0005-0000-0000-0000CF950000}"/>
    <cellStyle name="Normal 3 4 3 3 8" xfId="24007" xr:uid="{00000000-0005-0000-0000-0000D0950000}"/>
    <cellStyle name="Normal 3 4 3 3 8 2" xfId="43241" xr:uid="{00000000-0005-0000-0000-0000D1950000}"/>
    <cellStyle name="Normal 3 4 3 3 9" xfId="33543" xr:uid="{00000000-0005-0000-0000-0000D2950000}"/>
    <cellStyle name="Normal 3 4 3 4" xfId="14193" xr:uid="{00000000-0005-0000-0000-0000D3950000}"/>
    <cellStyle name="Normal 3 4 3 4 2" xfId="16457" xr:uid="{00000000-0005-0000-0000-0000D4950000}"/>
    <cellStyle name="Normal 3 4 3 4 2 2" xfId="20921" xr:uid="{00000000-0005-0000-0000-0000D5950000}"/>
    <cellStyle name="Normal 3 4 3 4 2 2 2" xfId="31289" xr:uid="{00000000-0005-0000-0000-0000D6950000}"/>
    <cellStyle name="Normal 3 4 3 4 2 2 2 2" xfId="50478" xr:uid="{00000000-0005-0000-0000-0000D7950000}"/>
    <cellStyle name="Normal 3 4 3 4 2 2 3" xfId="40780" xr:uid="{00000000-0005-0000-0000-0000D8950000}"/>
    <cellStyle name="Normal 3 4 3 4 2 3" xfId="26834" xr:uid="{00000000-0005-0000-0000-0000D9950000}"/>
    <cellStyle name="Normal 3 4 3 4 2 3 2" xfId="46023" xr:uid="{00000000-0005-0000-0000-0000DA950000}"/>
    <cellStyle name="Normal 3 4 3 4 2 4" xfId="36325" xr:uid="{00000000-0005-0000-0000-0000DB950000}"/>
    <cellStyle name="Normal 3 4 3 4 3" xfId="18693" xr:uid="{00000000-0005-0000-0000-0000DC950000}"/>
    <cellStyle name="Normal 3 4 3 4 3 2" xfId="29061" xr:uid="{00000000-0005-0000-0000-0000DD950000}"/>
    <cellStyle name="Normal 3 4 3 4 3 2 2" xfId="48250" xr:uid="{00000000-0005-0000-0000-0000DE950000}"/>
    <cellStyle name="Normal 3 4 3 4 3 3" xfId="38552" xr:uid="{00000000-0005-0000-0000-0000DF950000}"/>
    <cellStyle name="Normal 3 4 3 4 4" xfId="24601" xr:uid="{00000000-0005-0000-0000-0000E0950000}"/>
    <cellStyle name="Normal 3 4 3 4 4 2" xfId="43795" xr:uid="{00000000-0005-0000-0000-0000E1950000}"/>
    <cellStyle name="Normal 3 4 3 4 5" xfId="34097" xr:uid="{00000000-0005-0000-0000-0000E2950000}"/>
    <cellStyle name="Normal 3 4 3 5" xfId="14772" xr:uid="{00000000-0005-0000-0000-0000E3950000}"/>
    <cellStyle name="Normal 3 4 3 5 2" xfId="15901" xr:uid="{00000000-0005-0000-0000-0000E4950000}"/>
    <cellStyle name="Normal 3 4 3 5 2 2" xfId="20365" xr:uid="{00000000-0005-0000-0000-0000E5950000}"/>
    <cellStyle name="Normal 3 4 3 5 2 2 2" xfId="30733" xr:uid="{00000000-0005-0000-0000-0000E6950000}"/>
    <cellStyle name="Normal 3 4 3 5 2 2 2 2" xfId="49922" xr:uid="{00000000-0005-0000-0000-0000E7950000}"/>
    <cellStyle name="Normal 3 4 3 5 2 2 3" xfId="40224" xr:uid="{00000000-0005-0000-0000-0000E8950000}"/>
    <cellStyle name="Normal 3 4 3 5 2 3" xfId="26278" xr:uid="{00000000-0005-0000-0000-0000E9950000}"/>
    <cellStyle name="Normal 3 4 3 5 2 3 2" xfId="45467" xr:uid="{00000000-0005-0000-0000-0000EA950000}"/>
    <cellStyle name="Normal 3 4 3 5 2 4" xfId="35769" xr:uid="{00000000-0005-0000-0000-0000EB950000}"/>
    <cellStyle name="Normal 3 4 3 5 3" xfId="19250" xr:uid="{00000000-0005-0000-0000-0000EC950000}"/>
    <cellStyle name="Normal 3 4 3 5 3 2" xfId="29618" xr:uid="{00000000-0005-0000-0000-0000ED950000}"/>
    <cellStyle name="Normal 3 4 3 5 3 2 2" xfId="48807" xr:uid="{00000000-0005-0000-0000-0000EE950000}"/>
    <cellStyle name="Normal 3 4 3 5 3 3" xfId="39109" xr:uid="{00000000-0005-0000-0000-0000EF950000}"/>
    <cellStyle name="Normal 3 4 3 5 4" xfId="25163" xr:uid="{00000000-0005-0000-0000-0000F0950000}"/>
    <cellStyle name="Normal 3 4 3 5 4 2" xfId="44352" xr:uid="{00000000-0005-0000-0000-0000F1950000}"/>
    <cellStyle name="Normal 3 4 3 5 5" xfId="34654" xr:uid="{00000000-0005-0000-0000-0000F2950000}"/>
    <cellStyle name="Normal 3 4 3 6" xfId="15344" xr:uid="{00000000-0005-0000-0000-0000F3950000}"/>
    <cellStyle name="Normal 3 4 3 6 2" xfId="19808" xr:uid="{00000000-0005-0000-0000-0000F4950000}"/>
    <cellStyle name="Normal 3 4 3 6 2 2" xfId="30176" xr:uid="{00000000-0005-0000-0000-0000F5950000}"/>
    <cellStyle name="Normal 3 4 3 6 2 2 2" xfId="49365" xr:uid="{00000000-0005-0000-0000-0000F6950000}"/>
    <cellStyle name="Normal 3 4 3 6 2 3" xfId="39667" xr:uid="{00000000-0005-0000-0000-0000F7950000}"/>
    <cellStyle name="Normal 3 4 3 6 3" xfId="25721" xr:uid="{00000000-0005-0000-0000-0000F8950000}"/>
    <cellStyle name="Normal 3 4 3 6 3 2" xfId="44910" xr:uid="{00000000-0005-0000-0000-0000F9950000}"/>
    <cellStyle name="Normal 3 4 3 6 4" xfId="35212" xr:uid="{00000000-0005-0000-0000-0000FA950000}"/>
    <cellStyle name="Normal 3 4 3 7" xfId="17014" xr:uid="{00000000-0005-0000-0000-0000FB950000}"/>
    <cellStyle name="Normal 3 4 3 7 2" xfId="21478" xr:uid="{00000000-0005-0000-0000-0000FC950000}"/>
    <cellStyle name="Normal 3 4 3 7 2 2" xfId="31846" xr:uid="{00000000-0005-0000-0000-0000FD950000}"/>
    <cellStyle name="Normal 3 4 3 7 2 2 2" xfId="51035" xr:uid="{00000000-0005-0000-0000-0000FE950000}"/>
    <cellStyle name="Normal 3 4 3 7 2 3" xfId="41337" xr:uid="{00000000-0005-0000-0000-0000FF950000}"/>
    <cellStyle name="Normal 3 4 3 7 3" xfId="27391" xr:uid="{00000000-0005-0000-0000-000000960000}"/>
    <cellStyle name="Normal 3 4 3 7 3 2" xfId="46580" xr:uid="{00000000-0005-0000-0000-000001960000}"/>
    <cellStyle name="Normal 3 4 3 7 4" xfId="36882" xr:uid="{00000000-0005-0000-0000-000002960000}"/>
    <cellStyle name="Normal 3 4 3 8" xfId="17580" xr:uid="{00000000-0005-0000-0000-000003960000}"/>
    <cellStyle name="Normal 3 4 3 8 2" xfId="22035" xr:uid="{00000000-0005-0000-0000-000004960000}"/>
    <cellStyle name="Normal 3 4 3 8 2 2" xfId="32403" xr:uid="{00000000-0005-0000-0000-000005960000}"/>
    <cellStyle name="Normal 3 4 3 8 2 2 2" xfId="51592" xr:uid="{00000000-0005-0000-0000-000006960000}"/>
    <cellStyle name="Normal 3 4 3 8 2 3" xfId="41894" xr:uid="{00000000-0005-0000-0000-000007960000}"/>
    <cellStyle name="Normal 3 4 3 8 3" xfId="27948" xr:uid="{00000000-0005-0000-0000-000008960000}"/>
    <cellStyle name="Normal 3 4 3 8 3 2" xfId="47137" xr:uid="{00000000-0005-0000-0000-000009960000}"/>
    <cellStyle name="Normal 3 4 3 8 4" xfId="37439" xr:uid="{00000000-0005-0000-0000-00000A960000}"/>
    <cellStyle name="Normal 3 4 3 9" xfId="18137" xr:uid="{00000000-0005-0000-0000-00000B960000}"/>
    <cellStyle name="Normal 3 4 3 9 2" xfId="28505" xr:uid="{00000000-0005-0000-0000-00000C960000}"/>
    <cellStyle name="Normal 3 4 3 9 2 2" xfId="47694" xr:uid="{00000000-0005-0000-0000-00000D960000}"/>
    <cellStyle name="Normal 3 4 3 9 3" xfId="37996" xr:uid="{00000000-0005-0000-0000-00000E960000}"/>
    <cellStyle name="Normal 3 4 4" xfId="3988" xr:uid="{00000000-0005-0000-0000-00000F960000}"/>
    <cellStyle name="Normal 3 4 4 10" xfId="53448" xr:uid="{00000000-0005-0000-0000-000010960000}"/>
    <cellStyle name="Normal 3 4 4 11" xfId="13295" xr:uid="{00000000-0005-0000-0000-000011960000}"/>
    <cellStyle name="Normal 3 4 4 2" xfId="14196" xr:uid="{00000000-0005-0000-0000-000012960000}"/>
    <cellStyle name="Normal 3 4 4 2 2" xfId="16460" xr:uid="{00000000-0005-0000-0000-000013960000}"/>
    <cellStyle name="Normal 3 4 4 2 2 2" xfId="20924" xr:uid="{00000000-0005-0000-0000-000014960000}"/>
    <cellStyle name="Normal 3 4 4 2 2 2 2" xfId="31292" xr:uid="{00000000-0005-0000-0000-000015960000}"/>
    <cellStyle name="Normal 3 4 4 2 2 2 2 2" xfId="50481" xr:uid="{00000000-0005-0000-0000-000016960000}"/>
    <cellStyle name="Normal 3 4 4 2 2 2 3" xfId="40783" xr:uid="{00000000-0005-0000-0000-000017960000}"/>
    <cellStyle name="Normal 3 4 4 2 2 3" xfId="26837" xr:uid="{00000000-0005-0000-0000-000018960000}"/>
    <cellStyle name="Normal 3 4 4 2 2 3 2" xfId="46026" xr:uid="{00000000-0005-0000-0000-000019960000}"/>
    <cellStyle name="Normal 3 4 4 2 2 4" xfId="36328" xr:uid="{00000000-0005-0000-0000-00001A960000}"/>
    <cellStyle name="Normal 3 4 4 2 3" xfId="18696" xr:uid="{00000000-0005-0000-0000-00001B960000}"/>
    <cellStyle name="Normal 3 4 4 2 3 2" xfId="29064" xr:uid="{00000000-0005-0000-0000-00001C960000}"/>
    <cellStyle name="Normal 3 4 4 2 3 2 2" xfId="48253" xr:uid="{00000000-0005-0000-0000-00001D960000}"/>
    <cellStyle name="Normal 3 4 4 2 3 3" xfId="38555" xr:uid="{00000000-0005-0000-0000-00001E960000}"/>
    <cellStyle name="Normal 3 4 4 2 4" xfId="24604" xr:uid="{00000000-0005-0000-0000-00001F960000}"/>
    <cellStyle name="Normal 3 4 4 2 4 2" xfId="43798" xr:uid="{00000000-0005-0000-0000-000020960000}"/>
    <cellStyle name="Normal 3 4 4 2 5" xfId="34100" xr:uid="{00000000-0005-0000-0000-000021960000}"/>
    <cellStyle name="Normal 3 4 4 3" xfId="14775" xr:uid="{00000000-0005-0000-0000-000022960000}"/>
    <cellStyle name="Normal 3 4 4 3 2" xfId="15904" xr:uid="{00000000-0005-0000-0000-000023960000}"/>
    <cellStyle name="Normal 3 4 4 3 2 2" xfId="20368" xr:uid="{00000000-0005-0000-0000-000024960000}"/>
    <cellStyle name="Normal 3 4 4 3 2 2 2" xfId="30736" xr:uid="{00000000-0005-0000-0000-000025960000}"/>
    <cellStyle name="Normal 3 4 4 3 2 2 2 2" xfId="49925" xr:uid="{00000000-0005-0000-0000-000026960000}"/>
    <cellStyle name="Normal 3 4 4 3 2 2 3" xfId="40227" xr:uid="{00000000-0005-0000-0000-000027960000}"/>
    <cellStyle name="Normal 3 4 4 3 2 3" xfId="26281" xr:uid="{00000000-0005-0000-0000-000028960000}"/>
    <cellStyle name="Normal 3 4 4 3 2 3 2" xfId="45470" xr:uid="{00000000-0005-0000-0000-000029960000}"/>
    <cellStyle name="Normal 3 4 4 3 2 4" xfId="35772" xr:uid="{00000000-0005-0000-0000-00002A960000}"/>
    <cellStyle name="Normal 3 4 4 3 3" xfId="19253" xr:uid="{00000000-0005-0000-0000-00002B960000}"/>
    <cellStyle name="Normal 3 4 4 3 3 2" xfId="29621" xr:uid="{00000000-0005-0000-0000-00002C960000}"/>
    <cellStyle name="Normal 3 4 4 3 3 2 2" xfId="48810" xr:uid="{00000000-0005-0000-0000-00002D960000}"/>
    <cellStyle name="Normal 3 4 4 3 3 3" xfId="39112" xr:uid="{00000000-0005-0000-0000-00002E960000}"/>
    <cellStyle name="Normal 3 4 4 3 4" xfId="25166" xr:uid="{00000000-0005-0000-0000-00002F960000}"/>
    <cellStyle name="Normal 3 4 4 3 4 2" xfId="44355" xr:uid="{00000000-0005-0000-0000-000030960000}"/>
    <cellStyle name="Normal 3 4 4 3 5" xfId="34657" xr:uid="{00000000-0005-0000-0000-000031960000}"/>
    <cellStyle name="Normal 3 4 4 4" xfId="15347" xr:uid="{00000000-0005-0000-0000-000032960000}"/>
    <cellStyle name="Normal 3 4 4 4 2" xfId="19811" xr:uid="{00000000-0005-0000-0000-000033960000}"/>
    <cellStyle name="Normal 3 4 4 4 2 2" xfId="30179" xr:uid="{00000000-0005-0000-0000-000034960000}"/>
    <cellStyle name="Normal 3 4 4 4 2 2 2" xfId="49368" xr:uid="{00000000-0005-0000-0000-000035960000}"/>
    <cellStyle name="Normal 3 4 4 4 2 3" xfId="39670" xr:uid="{00000000-0005-0000-0000-000036960000}"/>
    <cellStyle name="Normal 3 4 4 4 3" xfId="25724" xr:uid="{00000000-0005-0000-0000-000037960000}"/>
    <cellStyle name="Normal 3 4 4 4 3 2" xfId="44913" xr:uid="{00000000-0005-0000-0000-000038960000}"/>
    <cellStyle name="Normal 3 4 4 4 4" xfId="35215" xr:uid="{00000000-0005-0000-0000-000039960000}"/>
    <cellStyle name="Normal 3 4 4 5" xfId="17017" xr:uid="{00000000-0005-0000-0000-00003A960000}"/>
    <cellStyle name="Normal 3 4 4 5 2" xfId="21481" xr:uid="{00000000-0005-0000-0000-00003B960000}"/>
    <cellStyle name="Normal 3 4 4 5 2 2" xfId="31849" xr:uid="{00000000-0005-0000-0000-00003C960000}"/>
    <cellStyle name="Normal 3 4 4 5 2 2 2" xfId="51038" xr:uid="{00000000-0005-0000-0000-00003D960000}"/>
    <cellStyle name="Normal 3 4 4 5 2 3" xfId="41340" xr:uid="{00000000-0005-0000-0000-00003E960000}"/>
    <cellStyle name="Normal 3 4 4 5 3" xfId="27394" xr:uid="{00000000-0005-0000-0000-00003F960000}"/>
    <cellStyle name="Normal 3 4 4 5 3 2" xfId="46583" xr:uid="{00000000-0005-0000-0000-000040960000}"/>
    <cellStyle name="Normal 3 4 4 5 4" xfId="36885" xr:uid="{00000000-0005-0000-0000-000041960000}"/>
    <cellStyle name="Normal 3 4 4 6" xfId="17583" xr:uid="{00000000-0005-0000-0000-000042960000}"/>
    <cellStyle name="Normal 3 4 4 6 2" xfId="22038" xr:uid="{00000000-0005-0000-0000-000043960000}"/>
    <cellStyle name="Normal 3 4 4 6 2 2" xfId="32406" xr:uid="{00000000-0005-0000-0000-000044960000}"/>
    <cellStyle name="Normal 3 4 4 6 2 2 2" xfId="51595" xr:uid="{00000000-0005-0000-0000-000045960000}"/>
    <cellStyle name="Normal 3 4 4 6 2 3" xfId="41897" xr:uid="{00000000-0005-0000-0000-000046960000}"/>
    <cellStyle name="Normal 3 4 4 6 3" xfId="27951" xr:uid="{00000000-0005-0000-0000-000047960000}"/>
    <cellStyle name="Normal 3 4 4 6 3 2" xfId="47140" xr:uid="{00000000-0005-0000-0000-000048960000}"/>
    <cellStyle name="Normal 3 4 4 6 4" xfId="37442" xr:uid="{00000000-0005-0000-0000-000049960000}"/>
    <cellStyle name="Normal 3 4 4 7" xfId="18140" xr:uid="{00000000-0005-0000-0000-00004A960000}"/>
    <cellStyle name="Normal 3 4 4 7 2" xfId="28508" xr:uid="{00000000-0005-0000-0000-00004B960000}"/>
    <cellStyle name="Normal 3 4 4 7 2 2" xfId="47697" xr:uid="{00000000-0005-0000-0000-00004C960000}"/>
    <cellStyle name="Normal 3 4 4 7 3" xfId="37999" xr:uid="{00000000-0005-0000-0000-00004D960000}"/>
    <cellStyle name="Normal 3 4 4 8" xfId="24008" xr:uid="{00000000-0005-0000-0000-00004E960000}"/>
    <cellStyle name="Normal 3 4 4 8 2" xfId="43242" xr:uid="{00000000-0005-0000-0000-00004F960000}"/>
    <cellStyle name="Normal 3 4 4 9" xfId="33544" xr:uid="{00000000-0005-0000-0000-000050960000}"/>
    <cellStyle name="Normal 3 4 5" xfId="6095" xr:uid="{00000000-0005-0000-0000-000051960000}"/>
    <cellStyle name="Normal 3 4 5 10" xfId="13296" xr:uid="{00000000-0005-0000-0000-000052960000}"/>
    <cellStyle name="Normal 3 4 5 2" xfId="14197" xr:uid="{00000000-0005-0000-0000-000053960000}"/>
    <cellStyle name="Normal 3 4 5 2 2" xfId="16461" xr:uid="{00000000-0005-0000-0000-000054960000}"/>
    <cellStyle name="Normal 3 4 5 2 2 2" xfId="20925" xr:uid="{00000000-0005-0000-0000-000055960000}"/>
    <cellStyle name="Normal 3 4 5 2 2 2 2" xfId="31293" xr:uid="{00000000-0005-0000-0000-000056960000}"/>
    <cellStyle name="Normal 3 4 5 2 2 2 2 2" xfId="50482" xr:uid="{00000000-0005-0000-0000-000057960000}"/>
    <cellStyle name="Normal 3 4 5 2 2 2 3" xfId="40784" xr:uid="{00000000-0005-0000-0000-000058960000}"/>
    <cellStyle name="Normal 3 4 5 2 2 3" xfId="26838" xr:uid="{00000000-0005-0000-0000-000059960000}"/>
    <cellStyle name="Normal 3 4 5 2 2 3 2" xfId="46027" xr:uid="{00000000-0005-0000-0000-00005A960000}"/>
    <cellStyle name="Normal 3 4 5 2 2 4" xfId="36329" xr:uid="{00000000-0005-0000-0000-00005B960000}"/>
    <cellStyle name="Normal 3 4 5 2 3" xfId="18697" xr:uid="{00000000-0005-0000-0000-00005C960000}"/>
    <cellStyle name="Normal 3 4 5 2 3 2" xfId="29065" xr:uid="{00000000-0005-0000-0000-00005D960000}"/>
    <cellStyle name="Normal 3 4 5 2 3 2 2" xfId="48254" xr:uid="{00000000-0005-0000-0000-00005E960000}"/>
    <cellStyle name="Normal 3 4 5 2 3 3" xfId="38556" xr:uid="{00000000-0005-0000-0000-00005F960000}"/>
    <cellStyle name="Normal 3 4 5 2 4" xfId="24605" xr:uid="{00000000-0005-0000-0000-000060960000}"/>
    <cellStyle name="Normal 3 4 5 2 4 2" xfId="43799" xr:uid="{00000000-0005-0000-0000-000061960000}"/>
    <cellStyle name="Normal 3 4 5 2 5" xfId="34101" xr:uid="{00000000-0005-0000-0000-000062960000}"/>
    <cellStyle name="Normal 3 4 5 3" xfId="14776" xr:uid="{00000000-0005-0000-0000-000063960000}"/>
    <cellStyle name="Normal 3 4 5 3 2" xfId="15905" xr:uid="{00000000-0005-0000-0000-000064960000}"/>
    <cellStyle name="Normal 3 4 5 3 2 2" xfId="20369" xr:uid="{00000000-0005-0000-0000-000065960000}"/>
    <cellStyle name="Normal 3 4 5 3 2 2 2" xfId="30737" xr:uid="{00000000-0005-0000-0000-000066960000}"/>
    <cellStyle name="Normal 3 4 5 3 2 2 2 2" xfId="49926" xr:uid="{00000000-0005-0000-0000-000067960000}"/>
    <cellStyle name="Normal 3 4 5 3 2 2 3" xfId="40228" xr:uid="{00000000-0005-0000-0000-000068960000}"/>
    <cellStyle name="Normal 3 4 5 3 2 3" xfId="26282" xr:uid="{00000000-0005-0000-0000-000069960000}"/>
    <cellStyle name="Normal 3 4 5 3 2 3 2" xfId="45471" xr:uid="{00000000-0005-0000-0000-00006A960000}"/>
    <cellStyle name="Normal 3 4 5 3 2 4" xfId="35773" xr:uid="{00000000-0005-0000-0000-00006B960000}"/>
    <cellStyle name="Normal 3 4 5 3 3" xfId="19254" xr:uid="{00000000-0005-0000-0000-00006C960000}"/>
    <cellStyle name="Normal 3 4 5 3 3 2" xfId="29622" xr:uid="{00000000-0005-0000-0000-00006D960000}"/>
    <cellStyle name="Normal 3 4 5 3 3 2 2" xfId="48811" xr:uid="{00000000-0005-0000-0000-00006E960000}"/>
    <cellStyle name="Normal 3 4 5 3 3 3" xfId="39113" xr:uid="{00000000-0005-0000-0000-00006F960000}"/>
    <cellStyle name="Normal 3 4 5 3 4" xfId="25167" xr:uid="{00000000-0005-0000-0000-000070960000}"/>
    <cellStyle name="Normal 3 4 5 3 4 2" xfId="44356" xr:uid="{00000000-0005-0000-0000-000071960000}"/>
    <cellStyle name="Normal 3 4 5 3 5" xfId="34658" xr:uid="{00000000-0005-0000-0000-000072960000}"/>
    <cellStyle name="Normal 3 4 5 4" xfId="15348" xr:uid="{00000000-0005-0000-0000-000073960000}"/>
    <cellStyle name="Normal 3 4 5 4 2" xfId="19812" xr:uid="{00000000-0005-0000-0000-000074960000}"/>
    <cellStyle name="Normal 3 4 5 4 2 2" xfId="30180" xr:uid="{00000000-0005-0000-0000-000075960000}"/>
    <cellStyle name="Normal 3 4 5 4 2 2 2" xfId="49369" xr:uid="{00000000-0005-0000-0000-000076960000}"/>
    <cellStyle name="Normal 3 4 5 4 2 3" xfId="39671" xr:uid="{00000000-0005-0000-0000-000077960000}"/>
    <cellStyle name="Normal 3 4 5 4 3" xfId="25725" xr:uid="{00000000-0005-0000-0000-000078960000}"/>
    <cellStyle name="Normal 3 4 5 4 3 2" xfId="44914" xr:uid="{00000000-0005-0000-0000-000079960000}"/>
    <cellStyle name="Normal 3 4 5 4 4" xfId="35216" xr:uid="{00000000-0005-0000-0000-00007A960000}"/>
    <cellStyle name="Normal 3 4 5 5" xfId="17018" xr:uid="{00000000-0005-0000-0000-00007B960000}"/>
    <cellStyle name="Normal 3 4 5 5 2" xfId="21482" xr:uid="{00000000-0005-0000-0000-00007C960000}"/>
    <cellStyle name="Normal 3 4 5 5 2 2" xfId="31850" xr:uid="{00000000-0005-0000-0000-00007D960000}"/>
    <cellStyle name="Normal 3 4 5 5 2 2 2" xfId="51039" xr:uid="{00000000-0005-0000-0000-00007E960000}"/>
    <cellStyle name="Normal 3 4 5 5 2 3" xfId="41341" xr:uid="{00000000-0005-0000-0000-00007F960000}"/>
    <cellStyle name="Normal 3 4 5 5 3" xfId="27395" xr:uid="{00000000-0005-0000-0000-000080960000}"/>
    <cellStyle name="Normal 3 4 5 5 3 2" xfId="46584" xr:uid="{00000000-0005-0000-0000-000081960000}"/>
    <cellStyle name="Normal 3 4 5 5 4" xfId="36886" xr:uid="{00000000-0005-0000-0000-000082960000}"/>
    <cellStyle name="Normal 3 4 5 6" xfId="17584" xr:uid="{00000000-0005-0000-0000-000083960000}"/>
    <cellStyle name="Normal 3 4 5 6 2" xfId="22039" xr:uid="{00000000-0005-0000-0000-000084960000}"/>
    <cellStyle name="Normal 3 4 5 6 2 2" xfId="32407" xr:uid="{00000000-0005-0000-0000-000085960000}"/>
    <cellStyle name="Normal 3 4 5 6 2 2 2" xfId="51596" xr:uid="{00000000-0005-0000-0000-000086960000}"/>
    <cellStyle name="Normal 3 4 5 6 2 3" xfId="41898" xr:uid="{00000000-0005-0000-0000-000087960000}"/>
    <cellStyle name="Normal 3 4 5 6 3" xfId="27952" xr:uid="{00000000-0005-0000-0000-000088960000}"/>
    <cellStyle name="Normal 3 4 5 6 3 2" xfId="47141" xr:uid="{00000000-0005-0000-0000-000089960000}"/>
    <cellStyle name="Normal 3 4 5 6 4" xfId="37443" xr:uid="{00000000-0005-0000-0000-00008A960000}"/>
    <cellStyle name="Normal 3 4 5 7" xfId="18141" xr:uid="{00000000-0005-0000-0000-00008B960000}"/>
    <cellStyle name="Normal 3 4 5 7 2" xfId="28509" xr:uid="{00000000-0005-0000-0000-00008C960000}"/>
    <cellStyle name="Normal 3 4 5 7 2 2" xfId="47698" xr:uid="{00000000-0005-0000-0000-00008D960000}"/>
    <cellStyle name="Normal 3 4 5 7 3" xfId="38000" xr:uid="{00000000-0005-0000-0000-00008E960000}"/>
    <cellStyle name="Normal 3 4 5 8" xfId="24009" xr:uid="{00000000-0005-0000-0000-00008F960000}"/>
    <cellStyle name="Normal 3 4 5 8 2" xfId="43243" xr:uid="{00000000-0005-0000-0000-000090960000}"/>
    <cellStyle name="Normal 3 4 5 9" xfId="33545" xr:uid="{00000000-0005-0000-0000-000091960000}"/>
    <cellStyle name="Normal 3 4 6" xfId="22519" xr:uid="{00000000-0005-0000-0000-000092960000}"/>
    <cellStyle name="Normal 3 4 7" xfId="23450" xr:uid="{00000000-0005-0000-0000-000093960000}"/>
    <cellStyle name="Normal 3 4 8" xfId="12502" xr:uid="{00000000-0005-0000-0000-000094960000}"/>
    <cellStyle name="Normal 3 4 9" xfId="52559" xr:uid="{00000000-0005-0000-0000-000095960000}"/>
    <cellStyle name="Normal 3 40" xfId="3991" xr:uid="{00000000-0005-0000-0000-000096960000}"/>
    <cellStyle name="Normal 3 41" xfId="3992" xr:uid="{00000000-0005-0000-0000-000097960000}"/>
    <cellStyle name="Normal 3 42" xfId="3993" xr:uid="{00000000-0005-0000-0000-000098960000}"/>
    <cellStyle name="Normal 3 43" xfId="3994" xr:uid="{00000000-0005-0000-0000-000099960000}"/>
    <cellStyle name="Normal 3 44" xfId="3995" xr:uid="{00000000-0005-0000-0000-00009A960000}"/>
    <cellStyle name="Normal 3 45" xfId="3996" xr:uid="{00000000-0005-0000-0000-00009B960000}"/>
    <cellStyle name="Normal 3 46" xfId="3997" xr:uid="{00000000-0005-0000-0000-00009C960000}"/>
    <cellStyle name="Normal 3 47" xfId="3998" xr:uid="{00000000-0005-0000-0000-00009D960000}"/>
    <cellStyle name="Normal 3 48" xfId="3999" xr:uid="{00000000-0005-0000-0000-00009E960000}"/>
    <cellStyle name="Normal 3 49" xfId="4000" xr:uid="{00000000-0005-0000-0000-00009F960000}"/>
    <cellStyle name="Normal 3 5" xfId="1183" xr:uid="{00000000-0005-0000-0000-0000A0960000}"/>
    <cellStyle name="Normal 3 5 10" xfId="52592" xr:uid="{00000000-0005-0000-0000-0000A1960000}"/>
    <cellStyle name="Normal 3 5 11" xfId="12053" xr:uid="{00000000-0005-0000-0000-0000A2960000}"/>
    <cellStyle name="Normal 3 5 2" xfId="4002" xr:uid="{00000000-0005-0000-0000-0000A3960000}"/>
    <cellStyle name="Normal 3 5 2 10" xfId="24010" xr:uid="{00000000-0005-0000-0000-0000A4960000}"/>
    <cellStyle name="Normal 3 5 2 10 2" xfId="43244" xr:uid="{00000000-0005-0000-0000-0000A5960000}"/>
    <cellStyle name="Normal 3 5 2 11" xfId="33546" xr:uid="{00000000-0005-0000-0000-0000A6960000}"/>
    <cellStyle name="Normal 3 5 2 12" xfId="52792" xr:uid="{00000000-0005-0000-0000-0000A7960000}"/>
    <cellStyle name="Normal 3 5 2 13" xfId="13297" xr:uid="{00000000-0005-0000-0000-0000A8960000}"/>
    <cellStyle name="Normal 3 5 2 2" xfId="8320" xr:uid="{00000000-0005-0000-0000-0000A9960000}"/>
    <cellStyle name="Normal 3 5 2 2 10" xfId="53220" xr:uid="{00000000-0005-0000-0000-0000AA960000}"/>
    <cellStyle name="Normal 3 5 2 2 11" xfId="13298" xr:uid="{00000000-0005-0000-0000-0000AB960000}"/>
    <cellStyle name="Normal 3 5 2 2 2" xfId="11217" xr:uid="{00000000-0005-0000-0000-0000AC960000}"/>
    <cellStyle name="Normal 3 5 2 2 2 2" xfId="16463" xr:uid="{00000000-0005-0000-0000-0000AD960000}"/>
    <cellStyle name="Normal 3 5 2 2 2 2 2" xfId="20927" xr:uid="{00000000-0005-0000-0000-0000AE960000}"/>
    <cellStyle name="Normal 3 5 2 2 2 2 2 2" xfId="31295" xr:uid="{00000000-0005-0000-0000-0000AF960000}"/>
    <cellStyle name="Normal 3 5 2 2 2 2 2 2 2" xfId="50484" xr:uid="{00000000-0005-0000-0000-0000B0960000}"/>
    <cellStyle name="Normal 3 5 2 2 2 2 2 3" xfId="40786" xr:uid="{00000000-0005-0000-0000-0000B1960000}"/>
    <cellStyle name="Normal 3 5 2 2 2 2 3" xfId="26840" xr:uid="{00000000-0005-0000-0000-0000B2960000}"/>
    <cellStyle name="Normal 3 5 2 2 2 2 3 2" xfId="46029" xr:uid="{00000000-0005-0000-0000-0000B3960000}"/>
    <cellStyle name="Normal 3 5 2 2 2 2 4" xfId="36331" xr:uid="{00000000-0005-0000-0000-0000B4960000}"/>
    <cellStyle name="Normal 3 5 2 2 2 3" xfId="18699" xr:uid="{00000000-0005-0000-0000-0000B5960000}"/>
    <cellStyle name="Normal 3 5 2 2 2 3 2" xfId="29067" xr:uid="{00000000-0005-0000-0000-0000B6960000}"/>
    <cellStyle name="Normal 3 5 2 2 2 3 2 2" xfId="48256" xr:uid="{00000000-0005-0000-0000-0000B7960000}"/>
    <cellStyle name="Normal 3 5 2 2 2 3 3" xfId="38558" xr:uid="{00000000-0005-0000-0000-0000B8960000}"/>
    <cellStyle name="Normal 3 5 2 2 2 4" xfId="24607" xr:uid="{00000000-0005-0000-0000-0000B9960000}"/>
    <cellStyle name="Normal 3 5 2 2 2 4 2" xfId="43801" xr:uid="{00000000-0005-0000-0000-0000BA960000}"/>
    <cellStyle name="Normal 3 5 2 2 2 5" xfId="34103" xr:uid="{00000000-0005-0000-0000-0000BB960000}"/>
    <cellStyle name="Normal 3 5 2 2 2 6" xfId="54073" xr:uid="{00000000-0005-0000-0000-0000BC960000}"/>
    <cellStyle name="Normal 3 5 2 2 2 7" xfId="14199" xr:uid="{00000000-0005-0000-0000-0000BD960000}"/>
    <cellStyle name="Normal 3 5 2 2 3" xfId="14778" xr:uid="{00000000-0005-0000-0000-0000BE960000}"/>
    <cellStyle name="Normal 3 5 2 2 3 2" xfId="15907" xr:uid="{00000000-0005-0000-0000-0000BF960000}"/>
    <cellStyle name="Normal 3 5 2 2 3 2 2" xfId="20371" xr:uid="{00000000-0005-0000-0000-0000C0960000}"/>
    <cellStyle name="Normal 3 5 2 2 3 2 2 2" xfId="30739" xr:uid="{00000000-0005-0000-0000-0000C1960000}"/>
    <cellStyle name="Normal 3 5 2 2 3 2 2 2 2" xfId="49928" xr:uid="{00000000-0005-0000-0000-0000C2960000}"/>
    <cellStyle name="Normal 3 5 2 2 3 2 2 3" xfId="40230" xr:uid="{00000000-0005-0000-0000-0000C3960000}"/>
    <cellStyle name="Normal 3 5 2 2 3 2 3" xfId="26284" xr:uid="{00000000-0005-0000-0000-0000C4960000}"/>
    <cellStyle name="Normal 3 5 2 2 3 2 3 2" xfId="45473" xr:uid="{00000000-0005-0000-0000-0000C5960000}"/>
    <cellStyle name="Normal 3 5 2 2 3 2 4" xfId="35775" xr:uid="{00000000-0005-0000-0000-0000C6960000}"/>
    <cellStyle name="Normal 3 5 2 2 3 3" xfId="19256" xr:uid="{00000000-0005-0000-0000-0000C7960000}"/>
    <cellStyle name="Normal 3 5 2 2 3 3 2" xfId="29624" xr:uid="{00000000-0005-0000-0000-0000C8960000}"/>
    <cellStyle name="Normal 3 5 2 2 3 3 2 2" xfId="48813" xr:uid="{00000000-0005-0000-0000-0000C9960000}"/>
    <cellStyle name="Normal 3 5 2 2 3 3 3" xfId="39115" xr:uid="{00000000-0005-0000-0000-0000CA960000}"/>
    <cellStyle name="Normal 3 5 2 2 3 4" xfId="25169" xr:uid="{00000000-0005-0000-0000-0000CB960000}"/>
    <cellStyle name="Normal 3 5 2 2 3 4 2" xfId="44358" xr:uid="{00000000-0005-0000-0000-0000CC960000}"/>
    <cellStyle name="Normal 3 5 2 2 3 5" xfId="34660" xr:uid="{00000000-0005-0000-0000-0000CD960000}"/>
    <cellStyle name="Normal 3 5 2 2 4" xfId="15350" xr:uid="{00000000-0005-0000-0000-0000CE960000}"/>
    <cellStyle name="Normal 3 5 2 2 4 2" xfId="19814" xr:uid="{00000000-0005-0000-0000-0000CF960000}"/>
    <cellStyle name="Normal 3 5 2 2 4 2 2" xfId="30182" xr:uid="{00000000-0005-0000-0000-0000D0960000}"/>
    <cellStyle name="Normal 3 5 2 2 4 2 2 2" xfId="49371" xr:uid="{00000000-0005-0000-0000-0000D1960000}"/>
    <cellStyle name="Normal 3 5 2 2 4 2 3" xfId="39673" xr:uid="{00000000-0005-0000-0000-0000D2960000}"/>
    <cellStyle name="Normal 3 5 2 2 4 3" xfId="25727" xr:uid="{00000000-0005-0000-0000-0000D3960000}"/>
    <cellStyle name="Normal 3 5 2 2 4 3 2" xfId="44916" xr:uid="{00000000-0005-0000-0000-0000D4960000}"/>
    <cellStyle name="Normal 3 5 2 2 4 4" xfId="35218" xr:uid="{00000000-0005-0000-0000-0000D5960000}"/>
    <cellStyle name="Normal 3 5 2 2 5" xfId="17020" xr:uid="{00000000-0005-0000-0000-0000D6960000}"/>
    <cellStyle name="Normal 3 5 2 2 5 2" xfId="21484" xr:uid="{00000000-0005-0000-0000-0000D7960000}"/>
    <cellStyle name="Normal 3 5 2 2 5 2 2" xfId="31852" xr:uid="{00000000-0005-0000-0000-0000D8960000}"/>
    <cellStyle name="Normal 3 5 2 2 5 2 2 2" xfId="51041" xr:uid="{00000000-0005-0000-0000-0000D9960000}"/>
    <cellStyle name="Normal 3 5 2 2 5 2 3" xfId="41343" xr:uid="{00000000-0005-0000-0000-0000DA960000}"/>
    <cellStyle name="Normal 3 5 2 2 5 3" xfId="27397" xr:uid="{00000000-0005-0000-0000-0000DB960000}"/>
    <cellStyle name="Normal 3 5 2 2 5 3 2" xfId="46586" xr:uid="{00000000-0005-0000-0000-0000DC960000}"/>
    <cellStyle name="Normal 3 5 2 2 5 4" xfId="36888" xr:uid="{00000000-0005-0000-0000-0000DD960000}"/>
    <cellStyle name="Normal 3 5 2 2 6" xfId="17586" xr:uid="{00000000-0005-0000-0000-0000DE960000}"/>
    <cellStyle name="Normal 3 5 2 2 6 2" xfId="22041" xr:uid="{00000000-0005-0000-0000-0000DF960000}"/>
    <cellStyle name="Normal 3 5 2 2 6 2 2" xfId="32409" xr:uid="{00000000-0005-0000-0000-0000E0960000}"/>
    <cellStyle name="Normal 3 5 2 2 6 2 2 2" xfId="51598" xr:uid="{00000000-0005-0000-0000-0000E1960000}"/>
    <cellStyle name="Normal 3 5 2 2 6 2 3" xfId="41900" xr:uid="{00000000-0005-0000-0000-0000E2960000}"/>
    <cellStyle name="Normal 3 5 2 2 6 3" xfId="27954" xr:uid="{00000000-0005-0000-0000-0000E3960000}"/>
    <cellStyle name="Normal 3 5 2 2 6 3 2" xfId="47143" xr:uid="{00000000-0005-0000-0000-0000E4960000}"/>
    <cellStyle name="Normal 3 5 2 2 6 4" xfId="37445" xr:uid="{00000000-0005-0000-0000-0000E5960000}"/>
    <cellStyle name="Normal 3 5 2 2 7" xfId="18143" xr:uid="{00000000-0005-0000-0000-0000E6960000}"/>
    <cellStyle name="Normal 3 5 2 2 7 2" xfId="28511" xr:uid="{00000000-0005-0000-0000-0000E7960000}"/>
    <cellStyle name="Normal 3 5 2 2 7 2 2" xfId="47700" xr:uid="{00000000-0005-0000-0000-0000E8960000}"/>
    <cellStyle name="Normal 3 5 2 2 7 3" xfId="38002" xr:uid="{00000000-0005-0000-0000-0000E9960000}"/>
    <cellStyle name="Normal 3 5 2 2 8" xfId="24011" xr:uid="{00000000-0005-0000-0000-0000EA960000}"/>
    <cellStyle name="Normal 3 5 2 2 8 2" xfId="43245" xr:uid="{00000000-0005-0000-0000-0000EB960000}"/>
    <cellStyle name="Normal 3 5 2 2 9" xfId="33547" xr:uid="{00000000-0005-0000-0000-0000EC960000}"/>
    <cellStyle name="Normal 3 5 2 3" xfId="9777" xr:uid="{00000000-0005-0000-0000-0000ED960000}"/>
    <cellStyle name="Normal 3 5 2 3 10" xfId="53677" xr:uid="{00000000-0005-0000-0000-0000EE960000}"/>
    <cellStyle name="Normal 3 5 2 3 11" xfId="13299" xr:uid="{00000000-0005-0000-0000-0000EF960000}"/>
    <cellStyle name="Normal 3 5 2 3 2" xfId="14200" xr:uid="{00000000-0005-0000-0000-0000F0960000}"/>
    <cellStyle name="Normal 3 5 2 3 2 2" xfId="16464" xr:uid="{00000000-0005-0000-0000-0000F1960000}"/>
    <cellStyle name="Normal 3 5 2 3 2 2 2" xfId="20928" xr:uid="{00000000-0005-0000-0000-0000F2960000}"/>
    <cellStyle name="Normal 3 5 2 3 2 2 2 2" xfId="31296" xr:uid="{00000000-0005-0000-0000-0000F3960000}"/>
    <cellStyle name="Normal 3 5 2 3 2 2 2 2 2" xfId="50485" xr:uid="{00000000-0005-0000-0000-0000F4960000}"/>
    <cellStyle name="Normal 3 5 2 3 2 2 2 3" xfId="40787" xr:uid="{00000000-0005-0000-0000-0000F5960000}"/>
    <cellStyle name="Normal 3 5 2 3 2 2 3" xfId="26841" xr:uid="{00000000-0005-0000-0000-0000F6960000}"/>
    <cellStyle name="Normal 3 5 2 3 2 2 3 2" xfId="46030" xr:uid="{00000000-0005-0000-0000-0000F7960000}"/>
    <cellStyle name="Normal 3 5 2 3 2 2 4" xfId="36332" xr:uid="{00000000-0005-0000-0000-0000F8960000}"/>
    <cellStyle name="Normal 3 5 2 3 2 3" xfId="18700" xr:uid="{00000000-0005-0000-0000-0000F9960000}"/>
    <cellStyle name="Normal 3 5 2 3 2 3 2" xfId="29068" xr:uid="{00000000-0005-0000-0000-0000FA960000}"/>
    <cellStyle name="Normal 3 5 2 3 2 3 2 2" xfId="48257" xr:uid="{00000000-0005-0000-0000-0000FB960000}"/>
    <cellStyle name="Normal 3 5 2 3 2 3 3" xfId="38559" xr:uid="{00000000-0005-0000-0000-0000FC960000}"/>
    <cellStyle name="Normal 3 5 2 3 2 4" xfId="24608" xr:uid="{00000000-0005-0000-0000-0000FD960000}"/>
    <cellStyle name="Normal 3 5 2 3 2 4 2" xfId="43802" xr:uid="{00000000-0005-0000-0000-0000FE960000}"/>
    <cellStyle name="Normal 3 5 2 3 2 5" xfId="34104" xr:uid="{00000000-0005-0000-0000-0000FF960000}"/>
    <cellStyle name="Normal 3 5 2 3 3" xfId="14779" xr:uid="{00000000-0005-0000-0000-000000970000}"/>
    <cellStyle name="Normal 3 5 2 3 3 2" xfId="15908" xr:uid="{00000000-0005-0000-0000-000001970000}"/>
    <cellStyle name="Normal 3 5 2 3 3 2 2" xfId="20372" xr:uid="{00000000-0005-0000-0000-000002970000}"/>
    <cellStyle name="Normal 3 5 2 3 3 2 2 2" xfId="30740" xr:uid="{00000000-0005-0000-0000-000003970000}"/>
    <cellStyle name="Normal 3 5 2 3 3 2 2 2 2" xfId="49929" xr:uid="{00000000-0005-0000-0000-000004970000}"/>
    <cellStyle name="Normal 3 5 2 3 3 2 2 3" xfId="40231" xr:uid="{00000000-0005-0000-0000-000005970000}"/>
    <cellStyle name="Normal 3 5 2 3 3 2 3" xfId="26285" xr:uid="{00000000-0005-0000-0000-000006970000}"/>
    <cellStyle name="Normal 3 5 2 3 3 2 3 2" xfId="45474" xr:uid="{00000000-0005-0000-0000-000007970000}"/>
    <cellStyle name="Normal 3 5 2 3 3 2 4" xfId="35776" xr:uid="{00000000-0005-0000-0000-000008970000}"/>
    <cellStyle name="Normal 3 5 2 3 3 3" xfId="19257" xr:uid="{00000000-0005-0000-0000-000009970000}"/>
    <cellStyle name="Normal 3 5 2 3 3 3 2" xfId="29625" xr:uid="{00000000-0005-0000-0000-00000A970000}"/>
    <cellStyle name="Normal 3 5 2 3 3 3 2 2" xfId="48814" xr:uid="{00000000-0005-0000-0000-00000B970000}"/>
    <cellStyle name="Normal 3 5 2 3 3 3 3" xfId="39116" xr:uid="{00000000-0005-0000-0000-00000C970000}"/>
    <cellStyle name="Normal 3 5 2 3 3 4" xfId="25170" xr:uid="{00000000-0005-0000-0000-00000D970000}"/>
    <cellStyle name="Normal 3 5 2 3 3 4 2" xfId="44359" xr:uid="{00000000-0005-0000-0000-00000E970000}"/>
    <cellStyle name="Normal 3 5 2 3 3 5" xfId="34661" xr:uid="{00000000-0005-0000-0000-00000F970000}"/>
    <cellStyle name="Normal 3 5 2 3 4" xfId="15351" xr:uid="{00000000-0005-0000-0000-000010970000}"/>
    <cellStyle name="Normal 3 5 2 3 4 2" xfId="19815" xr:uid="{00000000-0005-0000-0000-000011970000}"/>
    <cellStyle name="Normal 3 5 2 3 4 2 2" xfId="30183" xr:uid="{00000000-0005-0000-0000-000012970000}"/>
    <cellStyle name="Normal 3 5 2 3 4 2 2 2" xfId="49372" xr:uid="{00000000-0005-0000-0000-000013970000}"/>
    <cellStyle name="Normal 3 5 2 3 4 2 3" xfId="39674" xr:uid="{00000000-0005-0000-0000-000014970000}"/>
    <cellStyle name="Normal 3 5 2 3 4 3" xfId="25728" xr:uid="{00000000-0005-0000-0000-000015970000}"/>
    <cellStyle name="Normal 3 5 2 3 4 3 2" xfId="44917" xr:uid="{00000000-0005-0000-0000-000016970000}"/>
    <cellStyle name="Normal 3 5 2 3 4 4" xfId="35219" xr:uid="{00000000-0005-0000-0000-000017970000}"/>
    <cellStyle name="Normal 3 5 2 3 5" xfId="17021" xr:uid="{00000000-0005-0000-0000-000018970000}"/>
    <cellStyle name="Normal 3 5 2 3 5 2" xfId="21485" xr:uid="{00000000-0005-0000-0000-000019970000}"/>
    <cellStyle name="Normal 3 5 2 3 5 2 2" xfId="31853" xr:uid="{00000000-0005-0000-0000-00001A970000}"/>
    <cellStyle name="Normal 3 5 2 3 5 2 2 2" xfId="51042" xr:uid="{00000000-0005-0000-0000-00001B970000}"/>
    <cellStyle name="Normal 3 5 2 3 5 2 3" xfId="41344" xr:uid="{00000000-0005-0000-0000-00001C970000}"/>
    <cellStyle name="Normal 3 5 2 3 5 3" xfId="27398" xr:uid="{00000000-0005-0000-0000-00001D970000}"/>
    <cellStyle name="Normal 3 5 2 3 5 3 2" xfId="46587" xr:uid="{00000000-0005-0000-0000-00001E970000}"/>
    <cellStyle name="Normal 3 5 2 3 5 4" xfId="36889" xr:uid="{00000000-0005-0000-0000-00001F970000}"/>
    <cellStyle name="Normal 3 5 2 3 6" xfId="17587" xr:uid="{00000000-0005-0000-0000-000020970000}"/>
    <cellStyle name="Normal 3 5 2 3 6 2" xfId="22042" xr:uid="{00000000-0005-0000-0000-000021970000}"/>
    <cellStyle name="Normal 3 5 2 3 6 2 2" xfId="32410" xr:uid="{00000000-0005-0000-0000-000022970000}"/>
    <cellStyle name="Normal 3 5 2 3 6 2 2 2" xfId="51599" xr:uid="{00000000-0005-0000-0000-000023970000}"/>
    <cellStyle name="Normal 3 5 2 3 6 2 3" xfId="41901" xr:uid="{00000000-0005-0000-0000-000024970000}"/>
    <cellStyle name="Normal 3 5 2 3 6 3" xfId="27955" xr:uid="{00000000-0005-0000-0000-000025970000}"/>
    <cellStyle name="Normal 3 5 2 3 6 3 2" xfId="47144" xr:uid="{00000000-0005-0000-0000-000026970000}"/>
    <cellStyle name="Normal 3 5 2 3 6 4" xfId="37446" xr:uid="{00000000-0005-0000-0000-000027970000}"/>
    <cellStyle name="Normal 3 5 2 3 7" xfId="18144" xr:uid="{00000000-0005-0000-0000-000028970000}"/>
    <cellStyle name="Normal 3 5 2 3 7 2" xfId="28512" xr:uid="{00000000-0005-0000-0000-000029970000}"/>
    <cellStyle name="Normal 3 5 2 3 7 2 2" xfId="47701" xr:uid="{00000000-0005-0000-0000-00002A970000}"/>
    <cellStyle name="Normal 3 5 2 3 7 3" xfId="38003" xr:uid="{00000000-0005-0000-0000-00002B970000}"/>
    <cellStyle name="Normal 3 5 2 3 8" xfId="24012" xr:uid="{00000000-0005-0000-0000-00002C970000}"/>
    <cellStyle name="Normal 3 5 2 3 8 2" xfId="43246" xr:uid="{00000000-0005-0000-0000-00002D970000}"/>
    <cellStyle name="Normal 3 5 2 3 9" xfId="33548" xr:uid="{00000000-0005-0000-0000-00002E970000}"/>
    <cellStyle name="Normal 3 5 2 4" xfId="6840" xr:uid="{00000000-0005-0000-0000-00002F970000}"/>
    <cellStyle name="Normal 3 5 2 4 2" xfId="16462" xr:uid="{00000000-0005-0000-0000-000030970000}"/>
    <cellStyle name="Normal 3 5 2 4 2 2" xfId="20926" xr:uid="{00000000-0005-0000-0000-000031970000}"/>
    <cellStyle name="Normal 3 5 2 4 2 2 2" xfId="31294" xr:uid="{00000000-0005-0000-0000-000032970000}"/>
    <cellStyle name="Normal 3 5 2 4 2 2 2 2" xfId="50483" xr:uid="{00000000-0005-0000-0000-000033970000}"/>
    <cellStyle name="Normal 3 5 2 4 2 2 3" xfId="40785" xr:uid="{00000000-0005-0000-0000-000034970000}"/>
    <cellStyle name="Normal 3 5 2 4 2 3" xfId="26839" xr:uid="{00000000-0005-0000-0000-000035970000}"/>
    <cellStyle name="Normal 3 5 2 4 2 3 2" xfId="46028" xr:uid="{00000000-0005-0000-0000-000036970000}"/>
    <cellStyle name="Normal 3 5 2 4 2 4" xfId="36330" xr:uid="{00000000-0005-0000-0000-000037970000}"/>
    <cellStyle name="Normal 3 5 2 4 3" xfId="18698" xr:uid="{00000000-0005-0000-0000-000038970000}"/>
    <cellStyle name="Normal 3 5 2 4 3 2" xfId="29066" xr:uid="{00000000-0005-0000-0000-000039970000}"/>
    <cellStyle name="Normal 3 5 2 4 3 2 2" xfId="48255" xr:uid="{00000000-0005-0000-0000-00003A970000}"/>
    <cellStyle name="Normal 3 5 2 4 3 3" xfId="38557" xr:uid="{00000000-0005-0000-0000-00003B970000}"/>
    <cellStyle name="Normal 3 5 2 4 4" xfId="24606" xr:uid="{00000000-0005-0000-0000-00003C970000}"/>
    <cellStyle name="Normal 3 5 2 4 4 2" xfId="43800" xr:uid="{00000000-0005-0000-0000-00003D970000}"/>
    <cellStyle name="Normal 3 5 2 4 5" xfId="34102" xr:uid="{00000000-0005-0000-0000-00003E970000}"/>
    <cellStyle name="Normal 3 5 2 4 6" xfId="14198" xr:uid="{00000000-0005-0000-0000-00003F970000}"/>
    <cellStyle name="Normal 3 5 2 5" xfId="14777" xr:uid="{00000000-0005-0000-0000-000040970000}"/>
    <cellStyle name="Normal 3 5 2 5 2" xfId="15906" xr:uid="{00000000-0005-0000-0000-000041970000}"/>
    <cellStyle name="Normal 3 5 2 5 2 2" xfId="20370" xr:uid="{00000000-0005-0000-0000-000042970000}"/>
    <cellStyle name="Normal 3 5 2 5 2 2 2" xfId="30738" xr:uid="{00000000-0005-0000-0000-000043970000}"/>
    <cellStyle name="Normal 3 5 2 5 2 2 2 2" xfId="49927" xr:uid="{00000000-0005-0000-0000-000044970000}"/>
    <cellStyle name="Normal 3 5 2 5 2 2 3" xfId="40229" xr:uid="{00000000-0005-0000-0000-000045970000}"/>
    <cellStyle name="Normal 3 5 2 5 2 3" xfId="26283" xr:uid="{00000000-0005-0000-0000-000046970000}"/>
    <cellStyle name="Normal 3 5 2 5 2 3 2" xfId="45472" xr:uid="{00000000-0005-0000-0000-000047970000}"/>
    <cellStyle name="Normal 3 5 2 5 2 4" xfId="35774" xr:uid="{00000000-0005-0000-0000-000048970000}"/>
    <cellStyle name="Normal 3 5 2 5 3" xfId="19255" xr:uid="{00000000-0005-0000-0000-000049970000}"/>
    <cellStyle name="Normal 3 5 2 5 3 2" xfId="29623" xr:uid="{00000000-0005-0000-0000-00004A970000}"/>
    <cellStyle name="Normal 3 5 2 5 3 2 2" xfId="48812" xr:uid="{00000000-0005-0000-0000-00004B970000}"/>
    <cellStyle name="Normal 3 5 2 5 3 3" xfId="39114" xr:uid="{00000000-0005-0000-0000-00004C970000}"/>
    <cellStyle name="Normal 3 5 2 5 4" xfId="25168" xr:uid="{00000000-0005-0000-0000-00004D970000}"/>
    <cellStyle name="Normal 3 5 2 5 4 2" xfId="44357" xr:uid="{00000000-0005-0000-0000-00004E970000}"/>
    <cellStyle name="Normal 3 5 2 5 5" xfId="34659" xr:uid="{00000000-0005-0000-0000-00004F970000}"/>
    <cellStyle name="Normal 3 5 2 6" xfId="15349" xr:uid="{00000000-0005-0000-0000-000050970000}"/>
    <cellStyle name="Normal 3 5 2 6 2" xfId="19813" xr:uid="{00000000-0005-0000-0000-000051970000}"/>
    <cellStyle name="Normal 3 5 2 6 2 2" xfId="30181" xr:uid="{00000000-0005-0000-0000-000052970000}"/>
    <cellStyle name="Normal 3 5 2 6 2 2 2" xfId="49370" xr:uid="{00000000-0005-0000-0000-000053970000}"/>
    <cellStyle name="Normal 3 5 2 6 2 3" xfId="39672" xr:uid="{00000000-0005-0000-0000-000054970000}"/>
    <cellStyle name="Normal 3 5 2 6 3" xfId="25726" xr:uid="{00000000-0005-0000-0000-000055970000}"/>
    <cellStyle name="Normal 3 5 2 6 3 2" xfId="44915" xr:uid="{00000000-0005-0000-0000-000056970000}"/>
    <cellStyle name="Normal 3 5 2 6 4" xfId="35217" xr:uid="{00000000-0005-0000-0000-000057970000}"/>
    <cellStyle name="Normal 3 5 2 7" xfId="17019" xr:uid="{00000000-0005-0000-0000-000058970000}"/>
    <cellStyle name="Normal 3 5 2 7 2" xfId="21483" xr:uid="{00000000-0005-0000-0000-000059970000}"/>
    <cellStyle name="Normal 3 5 2 7 2 2" xfId="31851" xr:uid="{00000000-0005-0000-0000-00005A970000}"/>
    <cellStyle name="Normal 3 5 2 7 2 2 2" xfId="51040" xr:uid="{00000000-0005-0000-0000-00005B970000}"/>
    <cellStyle name="Normal 3 5 2 7 2 3" xfId="41342" xr:uid="{00000000-0005-0000-0000-00005C970000}"/>
    <cellStyle name="Normal 3 5 2 7 3" xfId="27396" xr:uid="{00000000-0005-0000-0000-00005D970000}"/>
    <cellStyle name="Normal 3 5 2 7 3 2" xfId="46585" xr:uid="{00000000-0005-0000-0000-00005E970000}"/>
    <cellStyle name="Normal 3 5 2 7 4" xfId="36887" xr:uid="{00000000-0005-0000-0000-00005F970000}"/>
    <cellStyle name="Normal 3 5 2 8" xfId="17585" xr:uid="{00000000-0005-0000-0000-000060970000}"/>
    <cellStyle name="Normal 3 5 2 8 2" xfId="22040" xr:uid="{00000000-0005-0000-0000-000061970000}"/>
    <cellStyle name="Normal 3 5 2 8 2 2" xfId="32408" xr:uid="{00000000-0005-0000-0000-000062970000}"/>
    <cellStyle name="Normal 3 5 2 8 2 2 2" xfId="51597" xr:uid="{00000000-0005-0000-0000-000063970000}"/>
    <cellStyle name="Normal 3 5 2 8 2 3" xfId="41899" xr:uid="{00000000-0005-0000-0000-000064970000}"/>
    <cellStyle name="Normal 3 5 2 8 3" xfId="27953" xr:uid="{00000000-0005-0000-0000-000065970000}"/>
    <cellStyle name="Normal 3 5 2 8 3 2" xfId="47142" xr:uid="{00000000-0005-0000-0000-000066970000}"/>
    <cellStyle name="Normal 3 5 2 8 4" xfId="37444" xr:uid="{00000000-0005-0000-0000-000067970000}"/>
    <cellStyle name="Normal 3 5 2 9" xfId="18142" xr:uid="{00000000-0005-0000-0000-000068970000}"/>
    <cellStyle name="Normal 3 5 2 9 2" xfId="28510" xr:uid="{00000000-0005-0000-0000-000069970000}"/>
    <cellStyle name="Normal 3 5 2 9 2 2" xfId="47699" xr:uid="{00000000-0005-0000-0000-00006A970000}"/>
    <cellStyle name="Normal 3 5 2 9 3" xfId="38001" xr:uid="{00000000-0005-0000-0000-00006B970000}"/>
    <cellStyle name="Normal 3 5 3" xfId="4001" xr:uid="{00000000-0005-0000-0000-00006C970000}"/>
    <cellStyle name="Normal 3 5 3 10" xfId="24013" xr:uid="{00000000-0005-0000-0000-00006D970000}"/>
    <cellStyle name="Normal 3 5 3 10 2" xfId="43247" xr:uid="{00000000-0005-0000-0000-00006E970000}"/>
    <cellStyle name="Normal 3 5 3 11" xfId="33549" xr:uid="{00000000-0005-0000-0000-00006F970000}"/>
    <cellStyle name="Normal 3 5 3 12" xfId="53002" xr:uid="{00000000-0005-0000-0000-000070970000}"/>
    <cellStyle name="Normal 3 5 3 13" xfId="13300" xr:uid="{00000000-0005-0000-0000-000071970000}"/>
    <cellStyle name="Normal 3 5 3 2" xfId="10559" xr:uid="{00000000-0005-0000-0000-000072970000}"/>
    <cellStyle name="Normal 3 5 3 2 10" xfId="53877" xr:uid="{00000000-0005-0000-0000-000073970000}"/>
    <cellStyle name="Normal 3 5 3 2 11" xfId="13301" xr:uid="{00000000-0005-0000-0000-000074970000}"/>
    <cellStyle name="Normal 3 5 3 2 2" xfId="14202" xr:uid="{00000000-0005-0000-0000-000075970000}"/>
    <cellStyle name="Normal 3 5 3 2 2 2" xfId="16466" xr:uid="{00000000-0005-0000-0000-000076970000}"/>
    <cellStyle name="Normal 3 5 3 2 2 2 2" xfId="20930" xr:uid="{00000000-0005-0000-0000-000077970000}"/>
    <cellStyle name="Normal 3 5 3 2 2 2 2 2" xfId="31298" xr:uid="{00000000-0005-0000-0000-000078970000}"/>
    <cellStyle name="Normal 3 5 3 2 2 2 2 2 2" xfId="50487" xr:uid="{00000000-0005-0000-0000-000079970000}"/>
    <cellStyle name="Normal 3 5 3 2 2 2 2 3" xfId="40789" xr:uid="{00000000-0005-0000-0000-00007A970000}"/>
    <cellStyle name="Normal 3 5 3 2 2 2 3" xfId="26843" xr:uid="{00000000-0005-0000-0000-00007B970000}"/>
    <cellStyle name="Normal 3 5 3 2 2 2 3 2" xfId="46032" xr:uid="{00000000-0005-0000-0000-00007C970000}"/>
    <cellStyle name="Normal 3 5 3 2 2 2 4" xfId="36334" xr:uid="{00000000-0005-0000-0000-00007D970000}"/>
    <cellStyle name="Normal 3 5 3 2 2 3" xfId="18702" xr:uid="{00000000-0005-0000-0000-00007E970000}"/>
    <cellStyle name="Normal 3 5 3 2 2 3 2" xfId="29070" xr:uid="{00000000-0005-0000-0000-00007F970000}"/>
    <cellStyle name="Normal 3 5 3 2 2 3 2 2" xfId="48259" xr:uid="{00000000-0005-0000-0000-000080970000}"/>
    <cellStyle name="Normal 3 5 3 2 2 3 3" xfId="38561" xr:uid="{00000000-0005-0000-0000-000081970000}"/>
    <cellStyle name="Normal 3 5 3 2 2 4" xfId="24610" xr:uid="{00000000-0005-0000-0000-000082970000}"/>
    <cellStyle name="Normal 3 5 3 2 2 4 2" xfId="43804" xr:uid="{00000000-0005-0000-0000-000083970000}"/>
    <cellStyle name="Normal 3 5 3 2 2 5" xfId="34106" xr:uid="{00000000-0005-0000-0000-000084970000}"/>
    <cellStyle name="Normal 3 5 3 2 3" xfId="14781" xr:uid="{00000000-0005-0000-0000-000085970000}"/>
    <cellStyle name="Normal 3 5 3 2 3 2" xfId="15910" xr:uid="{00000000-0005-0000-0000-000086970000}"/>
    <cellStyle name="Normal 3 5 3 2 3 2 2" xfId="20374" xr:uid="{00000000-0005-0000-0000-000087970000}"/>
    <cellStyle name="Normal 3 5 3 2 3 2 2 2" xfId="30742" xr:uid="{00000000-0005-0000-0000-000088970000}"/>
    <cellStyle name="Normal 3 5 3 2 3 2 2 2 2" xfId="49931" xr:uid="{00000000-0005-0000-0000-000089970000}"/>
    <cellStyle name="Normal 3 5 3 2 3 2 2 3" xfId="40233" xr:uid="{00000000-0005-0000-0000-00008A970000}"/>
    <cellStyle name="Normal 3 5 3 2 3 2 3" xfId="26287" xr:uid="{00000000-0005-0000-0000-00008B970000}"/>
    <cellStyle name="Normal 3 5 3 2 3 2 3 2" xfId="45476" xr:uid="{00000000-0005-0000-0000-00008C970000}"/>
    <cellStyle name="Normal 3 5 3 2 3 2 4" xfId="35778" xr:uid="{00000000-0005-0000-0000-00008D970000}"/>
    <cellStyle name="Normal 3 5 3 2 3 3" xfId="19259" xr:uid="{00000000-0005-0000-0000-00008E970000}"/>
    <cellStyle name="Normal 3 5 3 2 3 3 2" xfId="29627" xr:uid="{00000000-0005-0000-0000-00008F970000}"/>
    <cellStyle name="Normal 3 5 3 2 3 3 2 2" xfId="48816" xr:uid="{00000000-0005-0000-0000-000090970000}"/>
    <cellStyle name="Normal 3 5 3 2 3 3 3" xfId="39118" xr:uid="{00000000-0005-0000-0000-000091970000}"/>
    <cellStyle name="Normal 3 5 3 2 3 4" xfId="25172" xr:uid="{00000000-0005-0000-0000-000092970000}"/>
    <cellStyle name="Normal 3 5 3 2 3 4 2" xfId="44361" xr:uid="{00000000-0005-0000-0000-000093970000}"/>
    <cellStyle name="Normal 3 5 3 2 3 5" xfId="34663" xr:uid="{00000000-0005-0000-0000-000094970000}"/>
    <cellStyle name="Normal 3 5 3 2 4" xfId="15353" xr:uid="{00000000-0005-0000-0000-000095970000}"/>
    <cellStyle name="Normal 3 5 3 2 4 2" xfId="19817" xr:uid="{00000000-0005-0000-0000-000096970000}"/>
    <cellStyle name="Normal 3 5 3 2 4 2 2" xfId="30185" xr:uid="{00000000-0005-0000-0000-000097970000}"/>
    <cellStyle name="Normal 3 5 3 2 4 2 2 2" xfId="49374" xr:uid="{00000000-0005-0000-0000-000098970000}"/>
    <cellStyle name="Normal 3 5 3 2 4 2 3" xfId="39676" xr:uid="{00000000-0005-0000-0000-000099970000}"/>
    <cellStyle name="Normal 3 5 3 2 4 3" xfId="25730" xr:uid="{00000000-0005-0000-0000-00009A970000}"/>
    <cellStyle name="Normal 3 5 3 2 4 3 2" xfId="44919" xr:uid="{00000000-0005-0000-0000-00009B970000}"/>
    <cellStyle name="Normal 3 5 3 2 4 4" xfId="35221" xr:uid="{00000000-0005-0000-0000-00009C970000}"/>
    <cellStyle name="Normal 3 5 3 2 5" xfId="17023" xr:uid="{00000000-0005-0000-0000-00009D970000}"/>
    <cellStyle name="Normal 3 5 3 2 5 2" xfId="21487" xr:uid="{00000000-0005-0000-0000-00009E970000}"/>
    <cellStyle name="Normal 3 5 3 2 5 2 2" xfId="31855" xr:uid="{00000000-0005-0000-0000-00009F970000}"/>
    <cellStyle name="Normal 3 5 3 2 5 2 2 2" xfId="51044" xr:uid="{00000000-0005-0000-0000-0000A0970000}"/>
    <cellStyle name="Normal 3 5 3 2 5 2 3" xfId="41346" xr:uid="{00000000-0005-0000-0000-0000A1970000}"/>
    <cellStyle name="Normal 3 5 3 2 5 3" xfId="27400" xr:uid="{00000000-0005-0000-0000-0000A2970000}"/>
    <cellStyle name="Normal 3 5 3 2 5 3 2" xfId="46589" xr:uid="{00000000-0005-0000-0000-0000A3970000}"/>
    <cellStyle name="Normal 3 5 3 2 5 4" xfId="36891" xr:uid="{00000000-0005-0000-0000-0000A4970000}"/>
    <cellStyle name="Normal 3 5 3 2 6" xfId="17589" xr:uid="{00000000-0005-0000-0000-0000A5970000}"/>
    <cellStyle name="Normal 3 5 3 2 6 2" xfId="22044" xr:uid="{00000000-0005-0000-0000-0000A6970000}"/>
    <cellStyle name="Normal 3 5 3 2 6 2 2" xfId="32412" xr:uid="{00000000-0005-0000-0000-0000A7970000}"/>
    <cellStyle name="Normal 3 5 3 2 6 2 2 2" xfId="51601" xr:uid="{00000000-0005-0000-0000-0000A8970000}"/>
    <cellStyle name="Normal 3 5 3 2 6 2 3" xfId="41903" xr:uid="{00000000-0005-0000-0000-0000A9970000}"/>
    <cellStyle name="Normal 3 5 3 2 6 3" xfId="27957" xr:uid="{00000000-0005-0000-0000-0000AA970000}"/>
    <cellStyle name="Normal 3 5 3 2 6 3 2" xfId="47146" xr:uid="{00000000-0005-0000-0000-0000AB970000}"/>
    <cellStyle name="Normal 3 5 3 2 6 4" xfId="37448" xr:uid="{00000000-0005-0000-0000-0000AC970000}"/>
    <cellStyle name="Normal 3 5 3 2 7" xfId="18146" xr:uid="{00000000-0005-0000-0000-0000AD970000}"/>
    <cellStyle name="Normal 3 5 3 2 7 2" xfId="28514" xr:uid="{00000000-0005-0000-0000-0000AE970000}"/>
    <cellStyle name="Normal 3 5 3 2 7 2 2" xfId="47703" xr:uid="{00000000-0005-0000-0000-0000AF970000}"/>
    <cellStyle name="Normal 3 5 3 2 7 3" xfId="38005" xr:uid="{00000000-0005-0000-0000-0000B0970000}"/>
    <cellStyle name="Normal 3 5 3 2 8" xfId="24014" xr:uid="{00000000-0005-0000-0000-0000B1970000}"/>
    <cellStyle name="Normal 3 5 3 2 8 2" xfId="43248" xr:uid="{00000000-0005-0000-0000-0000B2970000}"/>
    <cellStyle name="Normal 3 5 3 2 9" xfId="33550" xr:uid="{00000000-0005-0000-0000-0000B3970000}"/>
    <cellStyle name="Normal 3 5 3 3" xfId="7659" xr:uid="{00000000-0005-0000-0000-0000B4970000}"/>
    <cellStyle name="Normal 3 5 3 3 10" xfId="13302" xr:uid="{00000000-0005-0000-0000-0000B5970000}"/>
    <cellStyle name="Normal 3 5 3 3 2" xfId="14203" xr:uid="{00000000-0005-0000-0000-0000B6970000}"/>
    <cellStyle name="Normal 3 5 3 3 2 2" xfId="16467" xr:uid="{00000000-0005-0000-0000-0000B7970000}"/>
    <cellStyle name="Normal 3 5 3 3 2 2 2" xfId="20931" xr:uid="{00000000-0005-0000-0000-0000B8970000}"/>
    <cellStyle name="Normal 3 5 3 3 2 2 2 2" xfId="31299" xr:uid="{00000000-0005-0000-0000-0000B9970000}"/>
    <cellStyle name="Normal 3 5 3 3 2 2 2 2 2" xfId="50488" xr:uid="{00000000-0005-0000-0000-0000BA970000}"/>
    <cellStyle name="Normal 3 5 3 3 2 2 2 3" xfId="40790" xr:uid="{00000000-0005-0000-0000-0000BB970000}"/>
    <cellStyle name="Normal 3 5 3 3 2 2 3" xfId="26844" xr:uid="{00000000-0005-0000-0000-0000BC970000}"/>
    <cellStyle name="Normal 3 5 3 3 2 2 3 2" xfId="46033" xr:uid="{00000000-0005-0000-0000-0000BD970000}"/>
    <cellStyle name="Normal 3 5 3 3 2 2 4" xfId="36335" xr:uid="{00000000-0005-0000-0000-0000BE970000}"/>
    <cellStyle name="Normal 3 5 3 3 2 3" xfId="18703" xr:uid="{00000000-0005-0000-0000-0000BF970000}"/>
    <cellStyle name="Normal 3 5 3 3 2 3 2" xfId="29071" xr:uid="{00000000-0005-0000-0000-0000C0970000}"/>
    <cellStyle name="Normal 3 5 3 3 2 3 2 2" xfId="48260" xr:uid="{00000000-0005-0000-0000-0000C1970000}"/>
    <cellStyle name="Normal 3 5 3 3 2 3 3" xfId="38562" xr:uid="{00000000-0005-0000-0000-0000C2970000}"/>
    <cellStyle name="Normal 3 5 3 3 2 4" xfId="24611" xr:uid="{00000000-0005-0000-0000-0000C3970000}"/>
    <cellStyle name="Normal 3 5 3 3 2 4 2" xfId="43805" xr:uid="{00000000-0005-0000-0000-0000C4970000}"/>
    <cellStyle name="Normal 3 5 3 3 2 5" xfId="34107" xr:uid="{00000000-0005-0000-0000-0000C5970000}"/>
    <cellStyle name="Normal 3 5 3 3 3" xfId="14782" xr:uid="{00000000-0005-0000-0000-0000C6970000}"/>
    <cellStyle name="Normal 3 5 3 3 3 2" xfId="15911" xr:uid="{00000000-0005-0000-0000-0000C7970000}"/>
    <cellStyle name="Normal 3 5 3 3 3 2 2" xfId="20375" xr:uid="{00000000-0005-0000-0000-0000C8970000}"/>
    <cellStyle name="Normal 3 5 3 3 3 2 2 2" xfId="30743" xr:uid="{00000000-0005-0000-0000-0000C9970000}"/>
    <cellStyle name="Normal 3 5 3 3 3 2 2 2 2" xfId="49932" xr:uid="{00000000-0005-0000-0000-0000CA970000}"/>
    <cellStyle name="Normal 3 5 3 3 3 2 2 3" xfId="40234" xr:uid="{00000000-0005-0000-0000-0000CB970000}"/>
    <cellStyle name="Normal 3 5 3 3 3 2 3" xfId="26288" xr:uid="{00000000-0005-0000-0000-0000CC970000}"/>
    <cellStyle name="Normal 3 5 3 3 3 2 3 2" xfId="45477" xr:uid="{00000000-0005-0000-0000-0000CD970000}"/>
    <cellStyle name="Normal 3 5 3 3 3 2 4" xfId="35779" xr:uid="{00000000-0005-0000-0000-0000CE970000}"/>
    <cellStyle name="Normal 3 5 3 3 3 3" xfId="19260" xr:uid="{00000000-0005-0000-0000-0000CF970000}"/>
    <cellStyle name="Normal 3 5 3 3 3 3 2" xfId="29628" xr:uid="{00000000-0005-0000-0000-0000D0970000}"/>
    <cellStyle name="Normal 3 5 3 3 3 3 2 2" xfId="48817" xr:uid="{00000000-0005-0000-0000-0000D1970000}"/>
    <cellStyle name="Normal 3 5 3 3 3 3 3" xfId="39119" xr:uid="{00000000-0005-0000-0000-0000D2970000}"/>
    <cellStyle name="Normal 3 5 3 3 3 4" xfId="25173" xr:uid="{00000000-0005-0000-0000-0000D3970000}"/>
    <cellStyle name="Normal 3 5 3 3 3 4 2" xfId="44362" xr:uid="{00000000-0005-0000-0000-0000D4970000}"/>
    <cellStyle name="Normal 3 5 3 3 3 5" xfId="34664" xr:uid="{00000000-0005-0000-0000-0000D5970000}"/>
    <cellStyle name="Normal 3 5 3 3 4" xfId="15354" xr:uid="{00000000-0005-0000-0000-0000D6970000}"/>
    <cellStyle name="Normal 3 5 3 3 4 2" xfId="19818" xr:uid="{00000000-0005-0000-0000-0000D7970000}"/>
    <cellStyle name="Normal 3 5 3 3 4 2 2" xfId="30186" xr:uid="{00000000-0005-0000-0000-0000D8970000}"/>
    <cellStyle name="Normal 3 5 3 3 4 2 2 2" xfId="49375" xr:uid="{00000000-0005-0000-0000-0000D9970000}"/>
    <cellStyle name="Normal 3 5 3 3 4 2 3" xfId="39677" xr:uid="{00000000-0005-0000-0000-0000DA970000}"/>
    <cellStyle name="Normal 3 5 3 3 4 3" xfId="25731" xr:uid="{00000000-0005-0000-0000-0000DB970000}"/>
    <cellStyle name="Normal 3 5 3 3 4 3 2" xfId="44920" xr:uid="{00000000-0005-0000-0000-0000DC970000}"/>
    <cellStyle name="Normal 3 5 3 3 4 4" xfId="35222" xr:uid="{00000000-0005-0000-0000-0000DD970000}"/>
    <cellStyle name="Normal 3 5 3 3 5" xfId="17024" xr:uid="{00000000-0005-0000-0000-0000DE970000}"/>
    <cellStyle name="Normal 3 5 3 3 5 2" xfId="21488" xr:uid="{00000000-0005-0000-0000-0000DF970000}"/>
    <cellStyle name="Normal 3 5 3 3 5 2 2" xfId="31856" xr:uid="{00000000-0005-0000-0000-0000E0970000}"/>
    <cellStyle name="Normal 3 5 3 3 5 2 2 2" xfId="51045" xr:uid="{00000000-0005-0000-0000-0000E1970000}"/>
    <cellStyle name="Normal 3 5 3 3 5 2 3" xfId="41347" xr:uid="{00000000-0005-0000-0000-0000E2970000}"/>
    <cellStyle name="Normal 3 5 3 3 5 3" xfId="27401" xr:uid="{00000000-0005-0000-0000-0000E3970000}"/>
    <cellStyle name="Normal 3 5 3 3 5 3 2" xfId="46590" xr:uid="{00000000-0005-0000-0000-0000E4970000}"/>
    <cellStyle name="Normal 3 5 3 3 5 4" xfId="36892" xr:uid="{00000000-0005-0000-0000-0000E5970000}"/>
    <cellStyle name="Normal 3 5 3 3 6" xfId="17590" xr:uid="{00000000-0005-0000-0000-0000E6970000}"/>
    <cellStyle name="Normal 3 5 3 3 6 2" xfId="22045" xr:uid="{00000000-0005-0000-0000-0000E7970000}"/>
    <cellStyle name="Normal 3 5 3 3 6 2 2" xfId="32413" xr:uid="{00000000-0005-0000-0000-0000E8970000}"/>
    <cellStyle name="Normal 3 5 3 3 6 2 2 2" xfId="51602" xr:uid="{00000000-0005-0000-0000-0000E9970000}"/>
    <cellStyle name="Normal 3 5 3 3 6 2 3" xfId="41904" xr:uid="{00000000-0005-0000-0000-0000EA970000}"/>
    <cellStyle name="Normal 3 5 3 3 6 3" xfId="27958" xr:uid="{00000000-0005-0000-0000-0000EB970000}"/>
    <cellStyle name="Normal 3 5 3 3 6 3 2" xfId="47147" xr:uid="{00000000-0005-0000-0000-0000EC970000}"/>
    <cellStyle name="Normal 3 5 3 3 6 4" xfId="37449" xr:uid="{00000000-0005-0000-0000-0000ED970000}"/>
    <cellStyle name="Normal 3 5 3 3 7" xfId="18147" xr:uid="{00000000-0005-0000-0000-0000EE970000}"/>
    <cellStyle name="Normal 3 5 3 3 7 2" xfId="28515" xr:uid="{00000000-0005-0000-0000-0000EF970000}"/>
    <cellStyle name="Normal 3 5 3 3 7 2 2" xfId="47704" xr:uid="{00000000-0005-0000-0000-0000F0970000}"/>
    <cellStyle name="Normal 3 5 3 3 7 3" xfId="38006" xr:uid="{00000000-0005-0000-0000-0000F1970000}"/>
    <cellStyle name="Normal 3 5 3 3 8" xfId="24015" xr:uid="{00000000-0005-0000-0000-0000F2970000}"/>
    <cellStyle name="Normal 3 5 3 3 8 2" xfId="43249" xr:uid="{00000000-0005-0000-0000-0000F3970000}"/>
    <cellStyle name="Normal 3 5 3 3 9" xfId="33551" xr:uid="{00000000-0005-0000-0000-0000F4970000}"/>
    <cellStyle name="Normal 3 5 3 4" xfId="14201" xr:uid="{00000000-0005-0000-0000-0000F5970000}"/>
    <cellStyle name="Normal 3 5 3 4 2" xfId="16465" xr:uid="{00000000-0005-0000-0000-0000F6970000}"/>
    <cellStyle name="Normal 3 5 3 4 2 2" xfId="20929" xr:uid="{00000000-0005-0000-0000-0000F7970000}"/>
    <cellStyle name="Normal 3 5 3 4 2 2 2" xfId="31297" xr:uid="{00000000-0005-0000-0000-0000F8970000}"/>
    <cellStyle name="Normal 3 5 3 4 2 2 2 2" xfId="50486" xr:uid="{00000000-0005-0000-0000-0000F9970000}"/>
    <cellStyle name="Normal 3 5 3 4 2 2 3" xfId="40788" xr:uid="{00000000-0005-0000-0000-0000FA970000}"/>
    <cellStyle name="Normal 3 5 3 4 2 3" xfId="26842" xr:uid="{00000000-0005-0000-0000-0000FB970000}"/>
    <cellStyle name="Normal 3 5 3 4 2 3 2" xfId="46031" xr:uid="{00000000-0005-0000-0000-0000FC970000}"/>
    <cellStyle name="Normal 3 5 3 4 2 4" xfId="36333" xr:uid="{00000000-0005-0000-0000-0000FD970000}"/>
    <cellStyle name="Normal 3 5 3 4 3" xfId="18701" xr:uid="{00000000-0005-0000-0000-0000FE970000}"/>
    <cellStyle name="Normal 3 5 3 4 3 2" xfId="29069" xr:uid="{00000000-0005-0000-0000-0000FF970000}"/>
    <cellStyle name="Normal 3 5 3 4 3 2 2" xfId="48258" xr:uid="{00000000-0005-0000-0000-000000980000}"/>
    <cellStyle name="Normal 3 5 3 4 3 3" xfId="38560" xr:uid="{00000000-0005-0000-0000-000001980000}"/>
    <cellStyle name="Normal 3 5 3 4 4" xfId="24609" xr:uid="{00000000-0005-0000-0000-000002980000}"/>
    <cellStyle name="Normal 3 5 3 4 4 2" xfId="43803" xr:uid="{00000000-0005-0000-0000-000003980000}"/>
    <cellStyle name="Normal 3 5 3 4 5" xfId="34105" xr:uid="{00000000-0005-0000-0000-000004980000}"/>
    <cellStyle name="Normal 3 5 3 5" xfId="14780" xr:uid="{00000000-0005-0000-0000-000005980000}"/>
    <cellStyle name="Normal 3 5 3 5 2" xfId="15909" xr:uid="{00000000-0005-0000-0000-000006980000}"/>
    <cellStyle name="Normal 3 5 3 5 2 2" xfId="20373" xr:uid="{00000000-0005-0000-0000-000007980000}"/>
    <cellStyle name="Normal 3 5 3 5 2 2 2" xfId="30741" xr:uid="{00000000-0005-0000-0000-000008980000}"/>
    <cellStyle name="Normal 3 5 3 5 2 2 2 2" xfId="49930" xr:uid="{00000000-0005-0000-0000-000009980000}"/>
    <cellStyle name="Normal 3 5 3 5 2 2 3" xfId="40232" xr:uid="{00000000-0005-0000-0000-00000A980000}"/>
    <cellStyle name="Normal 3 5 3 5 2 3" xfId="26286" xr:uid="{00000000-0005-0000-0000-00000B980000}"/>
    <cellStyle name="Normal 3 5 3 5 2 3 2" xfId="45475" xr:uid="{00000000-0005-0000-0000-00000C980000}"/>
    <cellStyle name="Normal 3 5 3 5 2 4" xfId="35777" xr:uid="{00000000-0005-0000-0000-00000D980000}"/>
    <cellStyle name="Normal 3 5 3 5 3" xfId="19258" xr:uid="{00000000-0005-0000-0000-00000E980000}"/>
    <cellStyle name="Normal 3 5 3 5 3 2" xfId="29626" xr:uid="{00000000-0005-0000-0000-00000F980000}"/>
    <cellStyle name="Normal 3 5 3 5 3 2 2" xfId="48815" xr:uid="{00000000-0005-0000-0000-000010980000}"/>
    <cellStyle name="Normal 3 5 3 5 3 3" xfId="39117" xr:uid="{00000000-0005-0000-0000-000011980000}"/>
    <cellStyle name="Normal 3 5 3 5 4" xfId="25171" xr:uid="{00000000-0005-0000-0000-000012980000}"/>
    <cellStyle name="Normal 3 5 3 5 4 2" xfId="44360" xr:uid="{00000000-0005-0000-0000-000013980000}"/>
    <cellStyle name="Normal 3 5 3 5 5" xfId="34662" xr:uid="{00000000-0005-0000-0000-000014980000}"/>
    <cellStyle name="Normal 3 5 3 6" xfId="15352" xr:uid="{00000000-0005-0000-0000-000015980000}"/>
    <cellStyle name="Normal 3 5 3 6 2" xfId="19816" xr:uid="{00000000-0005-0000-0000-000016980000}"/>
    <cellStyle name="Normal 3 5 3 6 2 2" xfId="30184" xr:uid="{00000000-0005-0000-0000-000017980000}"/>
    <cellStyle name="Normal 3 5 3 6 2 2 2" xfId="49373" xr:uid="{00000000-0005-0000-0000-000018980000}"/>
    <cellStyle name="Normal 3 5 3 6 2 3" xfId="39675" xr:uid="{00000000-0005-0000-0000-000019980000}"/>
    <cellStyle name="Normal 3 5 3 6 3" xfId="25729" xr:uid="{00000000-0005-0000-0000-00001A980000}"/>
    <cellStyle name="Normal 3 5 3 6 3 2" xfId="44918" xr:uid="{00000000-0005-0000-0000-00001B980000}"/>
    <cellStyle name="Normal 3 5 3 6 4" xfId="35220" xr:uid="{00000000-0005-0000-0000-00001C980000}"/>
    <cellStyle name="Normal 3 5 3 7" xfId="17022" xr:uid="{00000000-0005-0000-0000-00001D980000}"/>
    <cellStyle name="Normal 3 5 3 7 2" xfId="21486" xr:uid="{00000000-0005-0000-0000-00001E980000}"/>
    <cellStyle name="Normal 3 5 3 7 2 2" xfId="31854" xr:uid="{00000000-0005-0000-0000-00001F980000}"/>
    <cellStyle name="Normal 3 5 3 7 2 2 2" xfId="51043" xr:uid="{00000000-0005-0000-0000-000020980000}"/>
    <cellStyle name="Normal 3 5 3 7 2 3" xfId="41345" xr:uid="{00000000-0005-0000-0000-000021980000}"/>
    <cellStyle name="Normal 3 5 3 7 3" xfId="27399" xr:uid="{00000000-0005-0000-0000-000022980000}"/>
    <cellStyle name="Normal 3 5 3 7 3 2" xfId="46588" xr:uid="{00000000-0005-0000-0000-000023980000}"/>
    <cellStyle name="Normal 3 5 3 7 4" xfId="36890" xr:uid="{00000000-0005-0000-0000-000024980000}"/>
    <cellStyle name="Normal 3 5 3 8" xfId="17588" xr:uid="{00000000-0005-0000-0000-000025980000}"/>
    <cellStyle name="Normal 3 5 3 8 2" xfId="22043" xr:uid="{00000000-0005-0000-0000-000026980000}"/>
    <cellStyle name="Normal 3 5 3 8 2 2" xfId="32411" xr:uid="{00000000-0005-0000-0000-000027980000}"/>
    <cellStyle name="Normal 3 5 3 8 2 2 2" xfId="51600" xr:uid="{00000000-0005-0000-0000-000028980000}"/>
    <cellStyle name="Normal 3 5 3 8 2 3" xfId="41902" xr:uid="{00000000-0005-0000-0000-000029980000}"/>
    <cellStyle name="Normal 3 5 3 8 3" xfId="27956" xr:uid="{00000000-0005-0000-0000-00002A980000}"/>
    <cellStyle name="Normal 3 5 3 8 3 2" xfId="47145" xr:uid="{00000000-0005-0000-0000-00002B980000}"/>
    <cellStyle name="Normal 3 5 3 8 4" xfId="37447" xr:uid="{00000000-0005-0000-0000-00002C980000}"/>
    <cellStyle name="Normal 3 5 3 9" xfId="18145" xr:uid="{00000000-0005-0000-0000-00002D980000}"/>
    <cellStyle name="Normal 3 5 3 9 2" xfId="28513" xr:uid="{00000000-0005-0000-0000-00002E980000}"/>
    <cellStyle name="Normal 3 5 3 9 2 2" xfId="47702" xr:uid="{00000000-0005-0000-0000-00002F980000}"/>
    <cellStyle name="Normal 3 5 3 9 3" xfId="38004" xr:uid="{00000000-0005-0000-0000-000030980000}"/>
    <cellStyle name="Normal 3 5 4" xfId="9119" xr:uid="{00000000-0005-0000-0000-000031980000}"/>
    <cellStyle name="Normal 3 5 4 10" xfId="53481" xr:uid="{00000000-0005-0000-0000-000032980000}"/>
    <cellStyle name="Normal 3 5 4 11" xfId="13303" xr:uid="{00000000-0005-0000-0000-000033980000}"/>
    <cellStyle name="Normal 3 5 4 2" xfId="14204" xr:uid="{00000000-0005-0000-0000-000034980000}"/>
    <cellStyle name="Normal 3 5 4 2 2" xfId="16468" xr:uid="{00000000-0005-0000-0000-000035980000}"/>
    <cellStyle name="Normal 3 5 4 2 2 2" xfId="20932" xr:uid="{00000000-0005-0000-0000-000036980000}"/>
    <cellStyle name="Normal 3 5 4 2 2 2 2" xfId="31300" xr:uid="{00000000-0005-0000-0000-000037980000}"/>
    <cellStyle name="Normal 3 5 4 2 2 2 2 2" xfId="50489" xr:uid="{00000000-0005-0000-0000-000038980000}"/>
    <cellStyle name="Normal 3 5 4 2 2 2 3" xfId="40791" xr:uid="{00000000-0005-0000-0000-000039980000}"/>
    <cellStyle name="Normal 3 5 4 2 2 3" xfId="26845" xr:uid="{00000000-0005-0000-0000-00003A980000}"/>
    <cellStyle name="Normal 3 5 4 2 2 3 2" xfId="46034" xr:uid="{00000000-0005-0000-0000-00003B980000}"/>
    <cellStyle name="Normal 3 5 4 2 2 4" xfId="36336" xr:uid="{00000000-0005-0000-0000-00003C980000}"/>
    <cellStyle name="Normal 3 5 4 2 3" xfId="18704" xr:uid="{00000000-0005-0000-0000-00003D980000}"/>
    <cellStyle name="Normal 3 5 4 2 3 2" xfId="29072" xr:uid="{00000000-0005-0000-0000-00003E980000}"/>
    <cellStyle name="Normal 3 5 4 2 3 2 2" xfId="48261" xr:uid="{00000000-0005-0000-0000-00003F980000}"/>
    <cellStyle name="Normal 3 5 4 2 3 3" xfId="38563" xr:uid="{00000000-0005-0000-0000-000040980000}"/>
    <cellStyle name="Normal 3 5 4 2 4" xfId="24612" xr:uid="{00000000-0005-0000-0000-000041980000}"/>
    <cellStyle name="Normal 3 5 4 2 4 2" xfId="43806" xr:uid="{00000000-0005-0000-0000-000042980000}"/>
    <cellStyle name="Normal 3 5 4 2 5" xfId="34108" xr:uid="{00000000-0005-0000-0000-000043980000}"/>
    <cellStyle name="Normal 3 5 4 3" xfId="14783" xr:uid="{00000000-0005-0000-0000-000044980000}"/>
    <cellStyle name="Normal 3 5 4 3 2" xfId="15912" xr:uid="{00000000-0005-0000-0000-000045980000}"/>
    <cellStyle name="Normal 3 5 4 3 2 2" xfId="20376" xr:uid="{00000000-0005-0000-0000-000046980000}"/>
    <cellStyle name="Normal 3 5 4 3 2 2 2" xfId="30744" xr:uid="{00000000-0005-0000-0000-000047980000}"/>
    <cellStyle name="Normal 3 5 4 3 2 2 2 2" xfId="49933" xr:uid="{00000000-0005-0000-0000-000048980000}"/>
    <cellStyle name="Normal 3 5 4 3 2 2 3" xfId="40235" xr:uid="{00000000-0005-0000-0000-000049980000}"/>
    <cellStyle name="Normal 3 5 4 3 2 3" xfId="26289" xr:uid="{00000000-0005-0000-0000-00004A980000}"/>
    <cellStyle name="Normal 3 5 4 3 2 3 2" xfId="45478" xr:uid="{00000000-0005-0000-0000-00004B980000}"/>
    <cellStyle name="Normal 3 5 4 3 2 4" xfId="35780" xr:uid="{00000000-0005-0000-0000-00004C980000}"/>
    <cellStyle name="Normal 3 5 4 3 3" xfId="19261" xr:uid="{00000000-0005-0000-0000-00004D980000}"/>
    <cellStyle name="Normal 3 5 4 3 3 2" xfId="29629" xr:uid="{00000000-0005-0000-0000-00004E980000}"/>
    <cellStyle name="Normal 3 5 4 3 3 2 2" xfId="48818" xr:uid="{00000000-0005-0000-0000-00004F980000}"/>
    <cellStyle name="Normal 3 5 4 3 3 3" xfId="39120" xr:uid="{00000000-0005-0000-0000-000050980000}"/>
    <cellStyle name="Normal 3 5 4 3 4" xfId="25174" xr:uid="{00000000-0005-0000-0000-000051980000}"/>
    <cellStyle name="Normal 3 5 4 3 4 2" xfId="44363" xr:uid="{00000000-0005-0000-0000-000052980000}"/>
    <cellStyle name="Normal 3 5 4 3 5" xfId="34665" xr:uid="{00000000-0005-0000-0000-000053980000}"/>
    <cellStyle name="Normal 3 5 4 4" xfId="15355" xr:uid="{00000000-0005-0000-0000-000054980000}"/>
    <cellStyle name="Normal 3 5 4 4 2" xfId="19819" xr:uid="{00000000-0005-0000-0000-000055980000}"/>
    <cellStyle name="Normal 3 5 4 4 2 2" xfId="30187" xr:uid="{00000000-0005-0000-0000-000056980000}"/>
    <cellStyle name="Normal 3 5 4 4 2 2 2" xfId="49376" xr:uid="{00000000-0005-0000-0000-000057980000}"/>
    <cellStyle name="Normal 3 5 4 4 2 3" xfId="39678" xr:uid="{00000000-0005-0000-0000-000058980000}"/>
    <cellStyle name="Normal 3 5 4 4 3" xfId="25732" xr:uid="{00000000-0005-0000-0000-000059980000}"/>
    <cellStyle name="Normal 3 5 4 4 3 2" xfId="44921" xr:uid="{00000000-0005-0000-0000-00005A980000}"/>
    <cellStyle name="Normal 3 5 4 4 4" xfId="35223" xr:uid="{00000000-0005-0000-0000-00005B980000}"/>
    <cellStyle name="Normal 3 5 4 5" xfId="17025" xr:uid="{00000000-0005-0000-0000-00005C980000}"/>
    <cellStyle name="Normal 3 5 4 5 2" xfId="21489" xr:uid="{00000000-0005-0000-0000-00005D980000}"/>
    <cellStyle name="Normal 3 5 4 5 2 2" xfId="31857" xr:uid="{00000000-0005-0000-0000-00005E980000}"/>
    <cellStyle name="Normal 3 5 4 5 2 2 2" xfId="51046" xr:uid="{00000000-0005-0000-0000-00005F980000}"/>
    <cellStyle name="Normal 3 5 4 5 2 3" xfId="41348" xr:uid="{00000000-0005-0000-0000-000060980000}"/>
    <cellStyle name="Normal 3 5 4 5 3" xfId="27402" xr:uid="{00000000-0005-0000-0000-000061980000}"/>
    <cellStyle name="Normal 3 5 4 5 3 2" xfId="46591" xr:uid="{00000000-0005-0000-0000-000062980000}"/>
    <cellStyle name="Normal 3 5 4 5 4" xfId="36893" xr:uid="{00000000-0005-0000-0000-000063980000}"/>
    <cellStyle name="Normal 3 5 4 6" xfId="17591" xr:uid="{00000000-0005-0000-0000-000064980000}"/>
    <cellStyle name="Normal 3 5 4 6 2" xfId="22046" xr:uid="{00000000-0005-0000-0000-000065980000}"/>
    <cellStyle name="Normal 3 5 4 6 2 2" xfId="32414" xr:uid="{00000000-0005-0000-0000-000066980000}"/>
    <cellStyle name="Normal 3 5 4 6 2 2 2" xfId="51603" xr:uid="{00000000-0005-0000-0000-000067980000}"/>
    <cellStyle name="Normal 3 5 4 6 2 3" xfId="41905" xr:uid="{00000000-0005-0000-0000-000068980000}"/>
    <cellStyle name="Normal 3 5 4 6 3" xfId="27959" xr:uid="{00000000-0005-0000-0000-000069980000}"/>
    <cellStyle name="Normal 3 5 4 6 3 2" xfId="47148" xr:uid="{00000000-0005-0000-0000-00006A980000}"/>
    <cellStyle name="Normal 3 5 4 6 4" xfId="37450" xr:uid="{00000000-0005-0000-0000-00006B980000}"/>
    <cellStyle name="Normal 3 5 4 7" xfId="18148" xr:uid="{00000000-0005-0000-0000-00006C980000}"/>
    <cellStyle name="Normal 3 5 4 7 2" xfId="28516" xr:uid="{00000000-0005-0000-0000-00006D980000}"/>
    <cellStyle name="Normal 3 5 4 7 2 2" xfId="47705" xr:uid="{00000000-0005-0000-0000-00006E980000}"/>
    <cellStyle name="Normal 3 5 4 7 3" xfId="38007" xr:uid="{00000000-0005-0000-0000-00006F980000}"/>
    <cellStyle name="Normal 3 5 4 8" xfId="24016" xr:uid="{00000000-0005-0000-0000-000070980000}"/>
    <cellStyle name="Normal 3 5 4 8 2" xfId="43250" xr:uid="{00000000-0005-0000-0000-000071980000}"/>
    <cellStyle name="Normal 3 5 4 9" xfId="33552" xr:uid="{00000000-0005-0000-0000-000072980000}"/>
    <cellStyle name="Normal 3 5 5" xfId="6133" xr:uid="{00000000-0005-0000-0000-000073980000}"/>
    <cellStyle name="Normal 3 5 5 10" xfId="13304" xr:uid="{00000000-0005-0000-0000-000074980000}"/>
    <cellStyle name="Normal 3 5 5 2" xfId="14205" xr:uid="{00000000-0005-0000-0000-000075980000}"/>
    <cellStyle name="Normal 3 5 5 2 2" xfId="16469" xr:uid="{00000000-0005-0000-0000-000076980000}"/>
    <cellStyle name="Normal 3 5 5 2 2 2" xfId="20933" xr:uid="{00000000-0005-0000-0000-000077980000}"/>
    <cellStyle name="Normal 3 5 5 2 2 2 2" xfId="31301" xr:uid="{00000000-0005-0000-0000-000078980000}"/>
    <cellStyle name="Normal 3 5 5 2 2 2 2 2" xfId="50490" xr:uid="{00000000-0005-0000-0000-000079980000}"/>
    <cellStyle name="Normal 3 5 5 2 2 2 3" xfId="40792" xr:uid="{00000000-0005-0000-0000-00007A980000}"/>
    <cellStyle name="Normal 3 5 5 2 2 3" xfId="26846" xr:uid="{00000000-0005-0000-0000-00007B980000}"/>
    <cellStyle name="Normal 3 5 5 2 2 3 2" xfId="46035" xr:uid="{00000000-0005-0000-0000-00007C980000}"/>
    <cellStyle name="Normal 3 5 5 2 2 4" xfId="36337" xr:uid="{00000000-0005-0000-0000-00007D980000}"/>
    <cellStyle name="Normal 3 5 5 2 3" xfId="18705" xr:uid="{00000000-0005-0000-0000-00007E980000}"/>
    <cellStyle name="Normal 3 5 5 2 3 2" xfId="29073" xr:uid="{00000000-0005-0000-0000-00007F980000}"/>
    <cellStyle name="Normal 3 5 5 2 3 2 2" xfId="48262" xr:uid="{00000000-0005-0000-0000-000080980000}"/>
    <cellStyle name="Normal 3 5 5 2 3 3" xfId="38564" xr:uid="{00000000-0005-0000-0000-000081980000}"/>
    <cellStyle name="Normal 3 5 5 2 4" xfId="24613" xr:uid="{00000000-0005-0000-0000-000082980000}"/>
    <cellStyle name="Normal 3 5 5 2 4 2" xfId="43807" xr:uid="{00000000-0005-0000-0000-000083980000}"/>
    <cellStyle name="Normal 3 5 5 2 5" xfId="34109" xr:uid="{00000000-0005-0000-0000-000084980000}"/>
    <cellStyle name="Normal 3 5 5 3" xfId="14784" xr:uid="{00000000-0005-0000-0000-000085980000}"/>
    <cellStyle name="Normal 3 5 5 3 2" xfId="15913" xr:uid="{00000000-0005-0000-0000-000086980000}"/>
    <cellStyle name="Normal 3 5 5 3 2 2" xfId="20377" xr:uid="{00000000-0005-0000-0000-000087980000}"/>
    <cellStyle name="Normal 3 5 5 3 2 2 2" xfId="30745" xr:uid="{00000000-0005-0000-0000-000088980000}"/>
    <cellStyle name="Normal 3 5 5 3 2 2 2 2" xfId="49934" xr:uid="{00000000-0005-0000-0000-000089980000}"/>
    <cellStyle name="Normal 3 5 5 3 2 2 3" xfId="40236" xr:uid="{00000000-0005-0000-0000-00008A980000}"/>
    <cellStyle name="Normal 3 5 5 3 2 3" xfId="26290" xr:uid="{00000000-0005-0000-0000-00008B980000}"/>
    <cellStyle name="Normal 3 5 5 3 2 3 2" xfId="45479" xr:uid="{00000000-0005-0000-0000-00008C980000}"/>
    <cellStyle name="Normal 3 5 5 3 2 4" xfId="35781" xr:uid="{00000000-0005-0000-0000-00008D980000}"/>
    <cellStyle name="Normal 3 5 5 3 3" xfId="19262" xr:uid="{00000000-0005-0000-0000-00008E980000}"/>
    <cellStyle name="Normal 3 5 5 3 3 2" xfId="29630" xr:uid="{00000000-0005-0000-0000-00008F980000}"/>
    <cellStyle name="Normal 3 5 5 3 3 2 2" xfId="48819" xr:uid="{00000000-0005-0000-0000-000090980000}"/>
    <cellStyle name="Normal 3 5 5 3 3 3" xfId="39121" xr:uid="{00000000-0005-0000-0000-000091980000}"/>
    <cellStyle name="Normal 3 5 5 3 4" xfId="25175" xr:uid="{00000000-0005-0000-0000-000092980000}"/>
    <cellStyle name="Normal 3 5 5 3 4 2" xfId="44364" xr:uid="{00000000-0005-0000-0000-000093980000}"/>
    <cellStyle name="Normal 3 5 5 3 5" xfId="34666" xr:uid="{00000000-0005-0000-0000-000094980000}"/>
    <cellStyle name="Normal 3 5 5 4" xfId="15356" xr:uid="{00000000-0005-0000-0000-000095980000}"/>
    <cellStyle name="Normal 3 5 5 4 2" xfId="19820" xr:uid="{00000000-0005-0000-0000-000096980000}"/>
    <cellStyle name="Normal 3 5 5 4 2 2" xfId="30188" xr:uid="{00000000-0005-0000-0000-000097980000}"/>
    <cellStyle name="Normal 3 5 5 4 2 2 2" xfId="49377" xr:uid="{00000000-0005-0000-0000-000098980000}"/>
    <cellStyle name="Normal 3 5 5 4 2 3" xfId="39679" xr:uid="{00000000-0005-0000-0000-000099980000}"/>
    <cellStyle name="Normal 3 5 5 4 3" xfId="25733" xr:uid="{00000000-0005-0000-0000-00009A980000}"/>
    <cellStyle name="Normal 3 5 5 4 3 2" xfId="44922" xr:uid="{00000000-0005-0000-0000-00009B980000}"/>
    <cellStyle name="Normal 3 5 5 4 4" xfId="35224" xr:uid="{00000000-0005-0000-0000-00009C980000}"/>
    <cellStyle name="Normal 3 5 5 5" xfId="17026" xr:uid="{00000000-0005-0000-0000-00009D980000}"/>
    <cellStyle name="Normal 3 5 5 5 2" xfId="21490" xr:uid="{00000000-0005-0000-0000-00009E980000}"/>
    <cellStyle name="Normal 3 5 5 5 2 2" xfId="31858" xr:uid="{00000000-0005-0000-0000-00009F980000}"/>
    <cellStyle name="Normal 3 5 5 5 2 2 2" xfId="51047" xr:uid="{00000000-0005-0000-0000-0000A0980000}"/>
    <cellStyle name="Normal 3 5 5 5 2 3" xfId="41349" xr:uid="{00000000-0005-0000-0000-0000A1980000}"/>
    <cellStyle name="Normal 3 5 5 5 3" xfId="27403" xr:uid="{00000000-0005-0000-0000-0000A2980000}"/>
    <cellStyle name="Normal 3 5 5 5 3 2" xfId="46592" xr:uid="{00000000-0005-0000-0000-0000A3980000}"/>
    <cellStyle name="Normal 3 5 5 5 4" xfId="36894" xr:uid="{00000000-0005-0000-0000-0000A4980000}"/>
    <cellStyle name="Normal 3 5 5 6" xfId="17592" xr:uid="{00000000-0005-0000-0000-0000A5980000}"/>
    <cellStyle name="Normal 3 5 5 6 2" xfId="22047" xr:uid="{00000000-0005-0000-0000-0000A6980000}"/>
    <cellStyle name="Normal 3 5 5 6 2 2" xfId="32415" xr:uid="{00000000-0005-0000-0000-0000A7980000}"/>
    <cellStyle name="Normal 3 5 5 6 2 2 2" xfId="51604" xr:uid="{00000000-0005-0000-0000-0000A8980000}"/>
    <cellStyle name="Normal 3 5 5 6 2 3" xfId="41906" xr:uid="{00000000-0005-0000-0000-0000A9980000}"/>
    <cellStyle name="Normal 3 5 5 6 3" xfId="27960" xr:uid="{00000000-0005-0000-0000-0000AA980000}"/>
    <cellStyle name="Normal 3 5 5 6 3 2" xfId="47149" xr:uid="{00000000-0005-0000-0000-0000AB980000}"/>
    <cellStyle name="Normal 3 5 5 6 4" xfId="37451" xr:uid="{00000000-0005-0000-0000-0000AC980000}"/>
    <cellStyle name="Normal 3 5 5 7" xfId="18149" xr:uid="{00000000-0005-0000-0000-0000AD980000}"/>
    <cellStyle name="Normal 3 5 5 7 2" xfId="28517" xr:uid="{00000000-0005-0000-0000-0000AE980000}"/>
    <cellStyle name="Normal 3 5 5 7 2 2" xfId="47706" xr:uid="{00000000-0005-0000-0000-0000AF980000}"/>
    <cellStyle name="Normal 3 5 5 7 3" xfId="38008" xr:uid="{00000000-0005-0000-0000-0000B0980000}"/>
    <cellStyle name="Normal 3 5 5 8" xfId="24017" xr:uid="{00000000-0005-0000-0000-0000B1980000}"/>
    <cellStyle name="Normal 3 5 5 8 2" xfId="43251" xr:uid="{00000000-0005-0000-0000-0000B2980000}"/>
    <cellStyle name="Normal 3 5 5 9" xfId="33553" xr:uid="{00000000-0005-0000-0000-0000B3980000}"/>
    <cellStyle name="Normal 3 5 6" xfId="22555" xr:uid="{00000000-0005-0000-0000-0000B4980000}"/>
    <cellStyle name="Normal 3 5 6 2" xfId="32675" xr:uid="{00000000-0005-0000-0000-0000B5980000}"/>
    <cellStyle name="Normal 3 5 6 2 2" xfId="51862" xr:uid="{00000000-0005-0000-0000-0000B6980000}"/>
    <cellStyle name="Normal 3 5 6 3" xfId="42164" xr:uid="{00000000-0005-0000-0000-0000B7980000}"/>
    <cellStyle name="Normal 3 5 7" xfId="23451" xr:uid="{00000000-0005-0000-0000-0000B8980000}"/>
    <cellStyle name="Normal 3 5 8" xfId="22948" xr:uid="{00000000-0005-0000-0000-0000B9980000}"/>
    <cellStyle name="Normal 3 5 8 2" xfId="42517" xr:uid="{00000000-0005-0000-0000-0000BA980000}"/>
    <cellStyle name="Normal 3 5 9" xfId="12503" xr:uid="{00000000-0005-0000-0000-0000BB980000}"/>
    <cellStyle name="Normal 3 50" xfId="4003" xr:uid="{00000000-0005-0000-0000-0000BC980000}"/>
    <cellStyle name="Normal 3 51" xfId="4004" xr:uid="{00000000-0005-0000-0000-0000BD980000}"/>
    <cellStyle name="Normal 3 52" xfId="4005" xr:uid="{00000000-0005-0000-0000-0000BE980000}"/>
    <cellStyle name="Normal 3 53" xfId="4006" xr:uid="{00000000-0005-0000-0000-0000BF980000}"/>
    <cellStyle name="Normal 3 54" xfId="3936" xr:uid="{00000000-0005-0000-0000-0000C0980000}"/>
    <cellStyle name="Normal 3 55" xfId="6004" xr:uid="{00000000-0005-0000-0000-0000C1980000}"/>
    <cellStyle name="Normal 3 56" xfId="6003" xr:uid="{00000000-0005-0000-0000-0000C2980000}"/>
    <cellStyle name="Normal 3 57" xfId="6030" xr:uid="{00000000-0005-0000-0000-0000C3980000}"/>
    <cellStyle name="Normal 3 58" xfId="6032" xr:uid="{00000000-0005-0000-0000-0000C4980000}"/>
    <cellStyle name="Normal 3 59" xfId="6033" xr:uid="{00000000-0005-0000-0000-0000C5980000}"/>
    <cellStyle name="Normal 3 6" xfId="1184" xr:uid="{00000000-0005-0000-0000-0000C6980000}"/>
    <cellStyle name="Normal 3 6 2" xfId="4007" xr:uid="{00000000-0005-0000-0000-0000C7980000}"/>
    <cellStyle name="Normal 3 6 2 10" xfId="24018" xr:uid="{00000000-0005-0000-0000-0000C8980000}"/>
    <cellStyle name="Normal 3 6 2 10 2" xfId="43252" xr:uid="{00000000-0005-0000-0000-0000C9980000}"/>
    <cellStyle name="Normal 3 6 2 11" xfId="33554" xr:uid="{00000000-0005-0000-0000-0000CA980000}"/>
    <cellStyle name="Normal 3 6 2 12" xfId="52825" xr:uid="{00000000-0005-0000-0000-0000CB980000}"/>
    <cellStyle name="Normal 3 6 2 13" xfId="13305" xr:uid="{00000000-0005-0000-0000-0000CC980000}"/>
    <cellStyle name="Normal 3 6 2 2" xfId="8457" xr:uid="{00000000-0005-0000-0000-0000CD980000}"/>
    <cellStyle name="Normal 3 6 2 2 10" xfId="53253" xr:uid="{00000000-0005-0000-0000-0000CE980000}"/>
    <cellStyle name="Normal 3 6 2 2 11" xfId="13306" xr:uid="{00000000-0005-0000-0000-0000CF980000}"/>
    <cellStyle name="Normal 3 6 2 2 2" xfId="11354" xr:uid="{00000000-0005-0000-0000-0000D0980000}"/>
    <cellStyle name="Normal 3 6 2 2 2 2" xfId="16471" xr:uid="{00000000-0005-0000-0000-0000D1980000}"/>
    <cellStyle name="Normal 3 6 2 2 2 2 2" xfId="20935" xr:uid="{00000000-0005-0000-0000-0000D2980000}"/>
    <cellStyle name="Normal 3 6 2 2 2 2 2 2" xfId="31303" xr:uid="{00000000-0005-0000-0000-0000D3980000}"/>
    <cellStyle name="Normal 3 6 2 2 2 2 2 2 2" xfId="50492" xr:uid="{00000000-0005-0000-0000-0000D4980000}"/>
    <cellStyle name="Normal 3 6 2 2 2 2 2 3" xfId="40794" xr:uid="{00000000-0005-0000-0000-0000D5980000}"/>
    <cellStyle name="Normal 3 6 2 2 2 2 3" xfId="26848" xr:uid="{00000000-0005-0000-0000-0000D6980000}"/>
    <cellStyle name="Normal 3 6 2 2 2 2 3 2" xfId="46037" xr:uid="{00000000-0005-0000-0000-0000D7980000}"/>
    <cellStyle name="Normal 3 6 2 2 2 2 4" xfId="36339" xr:uid="{00000000-0005-0000-0000-0000D8980000}"/>
    <cellStyle name="Normal 3 6 2 2 2 3" xfId="18707" xr:uid="{00000000-0005-0000-0000-0000D9980000}"/>
    <cellStyle name="Normal 3 6 2 2 2 3 2" xfId="29075" xr:uid="{00000000-0005-0000-0000-0000DA980000}"/>
    <cellStyle name="Normal 3 6 2 2 2 3 2 2" xfId="48264" xr:uid="{00000000-0005-0000-0000-0000DB980000}"/>
    <cellStyle name="Normal 3 6 2 2 2 3 3" xfId="38566" xr:uid="{00000000-0005-0000-0000-0000DC980000}"/>
    <cellStyle name="Normal 3 6 2 2 2 4" xfId="24615" xr:uid="{00000000-0005-0000-0000-0000DD980000}"/>
    <cellStyle name="Normal 3 6 2 2 2 4 2" xfId="43809" xr:uid="{00000000-0005-0000-0000-0000DE980000}"/>
    <cellStyle name="Normal 3 6 2 2 2 5" xfId="34111" xr:uid="{00000000-0005-0000-0000-0000DF980000}"/>
    <cellStyle name="Normal 3 6 2 2 2 6" xfId="54106" xr:uid="{00000000-0005-0000-0000-0000E0980000}"/>
    <cellStyle name="Normal 3 6 2 2 2 7" xfId="14207" xr:uid="{00000000-0005-0000-0000-0000E1980000}"/>
    <cellStyle name="Normal 3 6 2 2 3" xfId="14786" xr:uid="{00000000-0005-0000-0000-0000E2980000}"/>
    <cellStyle name="Normal 3 6 2 2 3 2" xfId="15915" xr:uid="{00000000-0005-0000-0000-0000E3980000}"/>
    <cellStyle name="Normal 3 6 2 2 3 2 2" xfId="20379" xr:uid="{00000000-0005-0000-0000-0000E4980000}"/>
    <cellStyle name="Normal 3 6 2 2 3 2 2 2" xfId="30747" xr:uid="{00000000-0005-0000-0000-0000E5980000}"/>
    <cellStyle name="Normal 3 6 2 2 3 2 2 2 2" xfId="49936" xr:uid="{00000000-0005-0000-0000-0000E6980000}"/>
    <cellStyle name="Normal 3 6 2 2 3 2 2 3" xfId="40238" xr:uid="{00000000-0005-0000-0000-0000E7980000}"/>
    <cellStyle name="Normal 3 6 2 2 3 2 3" xfId="26292" xr:uid="{00000000-0005-0000-0000-0000E8980000}"/>
    <cellStyle name="Normal 3 6 2 2 3 2 3 2" xfId="45481" xr:uid="{00000000-0005-0000-0000-0000E9980000}"/>
    <cellStyle name="Normal 3 6 2 2 3 2 4" xfId="35783" xr:uid="{00000000-0005-0000-0000-0000EA980000}"/>
    <cellStyle name="Normal 3 6 2 2 3 3" xfId="19264" xr:uid="{00000000-0005-0000-0000-0000EB980000}"/>
    <cellStyle name="Normal 3 6 2 2 3 3 2" xfId="29632" xr:uid="{00000000-0005-0000-0000-0000EC980000}"/>
    <cellStyle name="Normal 3 6 2 2 3 3 2 2" xfId="48821" xr:uid="{00000000-0005-0000-0000-0000ED980000}"/>
    <cellStyle name="Normal 3 6 2 2 3 3 3" xfId="39123" xr:uid="{00000000-0005-0000-0000-0000EE980000}"/>
    <cellStyle name="Normal 3 6 2 2 3 4" xfId="25177" xr:uid="{00000000-0005-0000-0000-0000EF980000}"/>
    <cellStyle name="Normal 3 6 2 2 3 4 2" xfId="44366" xr:uid="{00000000-0005-0000-0000-0000F0980000}"/>
    <cellStyle name="Normal 3 6 2 2 3 5" xfId="34668" xr:uid="{00000000-0005-0000-0000-0000F1980000}"/>
    <cellStyle name="Normal 3 6 2 2 4" xfId="15358" xr:uid="{00000000-0005-0000-0000-0000F2980000}"/>
    <cellStyle name="Normal 3 6 2 2 4 2" xfId="19822" xr:uid="{00000000-0005-0000-0000-0000F3980000}"/>
    <cellStyle name="Normal 3 6 2 2 4 2 2" xfId="30190" xr:uid="{00000000-0005-0000-0000-0000F4980000}"/>
    <cellStyle name="Normal 3 6 2 2 4 2 2 2" xfId="49379" xr:uid="{00000000-0005-0000-0000-0000F5980000}"/>
    <cellStyle name="Normal 3 6 2 2 4 2 3" xfId="39681" xr:uid="{00000000-0005-0000-0000-0000F6980000}"/>
    <cellStyle name="Normal 3 6 2 2 4 3" xfId="25735" xr:uid="{00000000-0005-0000-0000-0000F7980000}"/>
    <cellStyle name="Normal 3 6 2 2 4 3 2" xfId="44924" xr:uid="{00000000-0005-0000-0000-0000F8980000}"/>
    <cellStyle name="Normal 3 6 2 2 4 4" xfId="35226" xr:uid="{00000000-0005-0000-0000-0000F9980000}"/>
    <cellStyle name="Normal 3 6 2 2 5" xfId="17028" xr:uid="{00000000-0005-0000-0000-0000FA980000}"/>
    <cellStyle name="Normal 3 6 2 2 5 2" xfId="21492" xr:uid="{00000000-0005-0000-0000-0000FB980000}"/>
    <cellStyle name="Normal 3 6 2 2 5 2 2" xfId="31860" xr:uid="{00000000-0005-0000-0000-0000FC980000}"/>
    <cellStyle name="Normal 3 6 2 2 5 2 2 2" xfId="51049" xr:uid="{00000000-0005-0000-0000-0000FD980000}"/>
    <cellStyle name="Normal 3 6 2 2 5 2 3" xfId="41351" xr:uid="{00000000-0005-0000-0000-0000FE980000}"/>
    <cellStyle name="Normal 3 6 2 2 5 3" xfId="27405" xr:uid="{00000000-0005-0000-0000-0000FF980000}"/>
    <cellStyle name="Normal 3 6 2 2 5 3 2" xfId="46594" xr:uid="{00000000-0005-0000-0000-000000990000}"/>
    <cellStyle name="Normal 3 6 2 2 5 4" xfId="36896" xr:uid="{00000000-0005-0000-0000-000001990000}"/>
    <cellStyle name="Normal 3 6 2 2 6" xfId="17594" xr:uid="{00000000-0005-0000-0000-000002990000}"/>
    <cellStyle name="Normal 3 6 2 2 6 2" xfId="22049" xr:uid="{00000000-0005-0000-0000-000003990000}"/>
    <cellStyle name="Normal 3 6 2 2 6 2 2" xfId="32417" xr:uid="{00000000-0005-0000-0000-000004990000}"/>
    <cellStyle name="Normal 3 6 2 2 6 2 2 2" xfId="51606" xr:uid="{00000000-0005-0000-0000-000005990000}"/>
    <cellStyle name="Normal 3 6 2 2 6 2 3" xfId="41908" xr:uid="{00000000-0005-0000-0000-000006990000}"/>
    <cellStyle name="Normal 3 6 2 2 6 3" xfId="27962" xr:uid="{00000000-0005-0000-0000-000007990000}"/>
    <cellStyle name="Normal 3 6 2 2 6 3 2" xfId="47151" xr:uid="{00000000-0005-0000-0000-000008990000}"/>
    <cellStyle name="Normal 3 6 2 2 6 4" xfId="37453" xr:uid="{00000000-0005-0000-0000-000009990000}"/>
    <cellStyle name="Normal 3 6 2 2 7" xfId="18151" xr:uid="{00000000-0005-0000-0000-00000A990000}"/>
    <cellStyle name="Normal 3 6 2 2 7 2" xfId="28519" xr:uid="{00000000-0005-0000-0000-00000B990000}"/>
    <cellStyle name="Normal 3 6 2 2 7 2 2" xfId="47708" xr:uid="{00000000-0005-0000-0000-00000C990000}"/>
    <cellStyle name="Normal 3 6 2 2 7 3" xfId="38010" xr:uid="{00000000-0005-0000-0000-00000D990000}"/>
    <cellStyle name="Normal 3 6 2 2 8" xfId="24019" xr:uid="{00000000-0005-0000-0000-00000E990000}"/>
    <cellStyle name="Normal 3 6 2 2 8 2" xfId="43253" xr:uid="{00000000-0005-0000-0000-00000F990000}"/>
    <cellStyle name="Normal 3 6 2 2 9" xfId="33555" xr:uid="{00000000-0005-0000-0000-000010990000}"/>
    <cellStyle name="Normal 3 6 2 3" xfId="9914" xr:uid="{00000000-0005-0000-0000-000011990000}"/>
    <cellStyle name="Normal 3 6 2 3 10" xfId="53710" xr:uid="{00000000-0005-0000-0000-000012990000}"/>
    <cellStyle name="Normal 3 6 2 3 11" xfId="13307" xr:uid="{00000000-0005-0000-0000-000013990000}"/>
    <cellStyle name="Normal 3 6 2 3 2" xfId="14208" xr:uid="{00000000-0005-0000-0000-000014990000}"/>
    <cellStyle name="Normal 3 6 2 3 2 2" xfId="16472" xr:uid="{00000000-0005-0000-0000-000015990000}"/>
    <cellStyle name="Normal 3 6 2 3 2 2 2" xfId="20936" xr:uid="{00000000-0005-0000-0000-000016990000}"/>
    <cellStyle name="Normal 3 6 2 3 2 2 2 2" xfId="31304" xr:uid="{00000000-0005-0000-0000-000017990000}"/>
    <cellStyle name="Normal 3 6 2 3 2 2 2 2 2" xfId="50493" xr:uid="{00000000-0005-0000-0000-000018990000}"/>
    <cellStyle name="Normal 3 6 2 3 2 2 2 3" xfId="40795" xr:uid="{00000000-0005-0000-0000-000019990000}"/>
    <cellStyle name="Normal 3 6 2 3 2 2 3" xfId="26849" xr:uid="{00000000-0005-0000-0000-00001A990000}"/>
    <cellStyle name="Normal 3 6 2 3 2 2 3 2" xfId="46038" xr:uid="{00000000-0005-0000-0000-00001B990000}"/>
    <cellStyle name="Normal 3 6 2 3 2 2 4" xfId="36340" xr:uid="{00000000-0005-0000-0000-00001C990000}"/>
    <cellStyle name="Normal 3 6 2 3 2 3" xfId="18708" xr:uid="{00000000-0005-0000-0000-00001D990000}"/>
    <cellStyle name="Normal 3 6 2 3 2 3 2" xfId="29076" xr:uid="{00000000-0005-0000-0000-00001E990000}"/>
    <cellStyle name="Normal 3 6 2 3 2 3 2 2" xfId="48265" xr:uid="{00000000-0005-0000-0000-00001F990000}"/>
    <cellStyle name="Normal 3 6 2 3 2 3 3" xfId="38567" xr:uid="{00000000-0005-0000-0000-000020990000}"/>
    <cellStyle name="Normal 3 6 2 3 2 4" xfId="24616" xr:uid="{00000000-0005-0000-0000-000021990000}"/>
    <cellStyle name="Normal 3 6 2 3 2 4 2" xfId="43810" xr:uid="{00000000-0005-0000-0000-000022990000}"/>
    <cellStyle name="Normal 3 6 2 3 2 5" xfId="34112" xr:uid="{00000000-0005-0000-0000-000023990000}"/>
    <cellStyle name="Normal 3 6 2 3 3" xfId="14787" xr:uid="{00000000-0005-0000-0000-000024990000}"/>
    <cellStyle name="Normal 3 6 2 3 3 2" xfId="15916" xr:uid="{00000000-0005-0000-0000-000025990000}"/>
    <cellStyle name="Normal 3 6 2 3 3 2 2" xfId="20380" xr:uid="{00000000-0005-0000-0000-000026990000}"/>
    <cellStyle name="Normal 3 6 2 3 3 2 2 2" xfId="30748" xr:uid="{00000000-0005-0000-0000-000027990000}"/>
    <cellStyle name="Normal 3 6 2 3 3 2 2 2 2" xfId="49937" xr:uid="{00000000-0005-0000-0000-000028990000}"/>
    <cellStyle name="Normal 3 6 2 3 3 2 2 3" xfId="40239" xr:uid="{00000000-0005-0000-0000-000029990000}"/>
    <cellStyle name="Normal 3 6 2 3 3 2 3" xfId="26293" xr:uid="{00000000-0005-0000-0000-00002A990000}"/>
    <cellStyle name="Normal 3 6 2 3 3 2 3 2" xfId="45482" xr:uid="{00000000-0005-0000-0000-00002B990000}"/>
    <cellStyle name="Normal 3 6 2 3 3 2 4" xfId="35784" xr:uid="{00000000-0005-0000-0000-00002C990000}"/>
    <cellStyle name="Normal 3 6 2 3 3 3" xfId="19265" xr:uid="{00000000-0005-0000-0000-00002D990000}"/>
    <cellStyle name="Normal 3 6 2 3 3 3 2" xfId="29633" xr:uid="{00000000-0005-0000-0000-00002E990000}"/>
    <cellStyle name="Normal 3 6 2 3 3 3 2 2" xfId="48822" xr:uid="{00000000-0005-0000-0000-00002F990000}"/>
    <cellStyle name="Normal 3 6 2 3 3 3 3" xfId="39124" xr:uid="{00000000-0005-0000-0000-000030990000}"/>
    <cellStyle name="Normal 3 6 2 3 3 4" xfId="25178" xr:uid="{00000000-0005-0000-0000-000031990000}"/>
    <cellStyle name="Normal 3 6 2 3 3 4 2" xfId="44367" xr:uid="{00000000-0005-0000-0000-000032990000}"/>
    <cellStyle name="Normal 3 6 2 3 3 5" xfId="34669" xr:uid="{00000000-0005-0000-0000-000033990000}"/>
    <cellStyle name="Normal 3 6 2 3 4" xfId="15359" xr:uid="{00000000-0005-0000-0000-000034990000}"/>
    <cellStyle name="Normal 3 6 2 3 4 2" xfId="19823" xr:uid="{00000000-0005-0000-0000-000035990000}"/>
    <cellStyle name="Normal 3 6 2 3 4 2 2" xfId="30191" xr:uid="{00000000-0005-0000-0000-000036990000}"/>
    <cellStyle name="Normal 3 6 2 3 4 2 2 2" xfId="49380" xr:uid="{00000000-0005-0000-0000-000037990000}"/>
    <cellStyle name="Normal 3 6 2 3 4 2 3" xfId="39682" xr:uid="{00000000-0005-0000-0000-000038990000}"/>
    <cellStyle name="Normal 3 6 2 3 4 3" xfId="25736" xr:uid="{00000000-0005-0000-0000-000039990000}"/>
    <cellStyle name="Normal 3 6 2 3 4 3 2" xfId="44925" xr:uid="{00000000-0005-0000-0000-00003A990000}"/>
    <cellStyle name="Normal 3 6 2 3 4 4" xfId="35227" xr:uid="{00000000-0005-0000-0000-00003B990000}"/>
    <cellStyle name="Normal 3 6 2 3 5" xfId="17029" xr:uid="{00000000-0005-0000-0000-00003C990000}"/>
    <cellStyle name="Normal 3 6 2 3 5 2" xfId="21493" xr:uid="{00000000-0005-0000-0000-00003D990000}"/>
    <cellStyle name="Normal 3 6 2 3 5 2 2" xfId="31861" xr:uid="{00000000-0005-0000-0000-00003E990000}"/>
    <cellStyle name="Normal 3 6 2 3 5 2 2 2" xfId="51050" xr:uid="{00000000-0005-0000-0000-00003F990000}"/>
    <cellStyle name="Normal 3 6 2 3 5 2 3" xfId="41352" xr:uid="{00000000-0005-0000-0000-000040990000}"/>
    <cellStyle name="Normal 3 6 2 3 5 3" xfId="27406" xr:uid="{00000000-0005-0000-0000-000041990000}"/>
    <cellStyle name="Normal 3 6 2 3 5 3 2" xfId="46595" xr:uid="{00000000-0005-0000-0000-000042990000}"/>
    <cellStyle name="Normal 3 6 2 3 5 4" xfId="36897" xr:uid="{00000000-0005-0000-0000-000043990000}"/>
    <cellStyle name="Normal 3 6 2 3 6" xfId="17595" xr:uid="{00000000-0005-0000-0000-000044990000}"/>
    <cellStyle name="Normal 3 6 2 3 6 2" xfId="22050" xr:uid="{00000000-0005-0000-0000-000045990000}"/>
    <cellStyle name="Normal 3 6 2 3 6 2 2" xfId="32418" xr:uid="{00000000-0005-0000-0000-000046990000}"/>
    <cellStyle name="Normal 3 6 2 3 6 2 2 2" xfId="51607" xr:uid="{00000000-0005-0000-0000-000047990000}"/>
    <cellStyle name="Normal 3 6 2 3 6 2 3" xfId="41909" xr:uid="{00000000-0005-0000-0000-000048990000}"/>
    <cellStyle name="Normal 3 6 2 3 6 3" xfId="27963" xr:uid="{00000000-0005-0000-0000-000049990000}"/>
    <cellStyle name="Normal 3 6 2 3 6 3 2" xfId="47152" xr:uid="{00000000-0005-0000-0000-00004A990000}"/>
    <cellStyle name="Normal 3 6 2 3 6 4" xfId="37454" xr:uid="{00000000-0005-0000-0000-00004B990000}"/>
    <cellStyle name="Normal 3 6 2 3 7" xfId="18152" xr:uid="{00000000-0005-0000-0000-00004C990000}"/>
    <cellStyle name="Normal 3 6 2 3 7 2" xfId="28520" xr:uid="{00000000-0005-0000-0000-00004D990000}"/>
    <cellStyle name="Normal 3 6 2 3 7 2 2" xfId="47709" xr:uid="{00000000-0005-0000-0000-00004E990000}"/>
    <cellStyle name="Normal 3 6 2 3 7 3" xfId="38011" xr:uid="{00000000-0005-0000-0000-00004F990000}"/>
    <cellStyle name="Normal 3 6 2 3 8" xfId="24020" xr:uid="{00000000-0005-0000-0000-000050990000}"/>
    <cellStyle name="Normal 3 6 2 3 8 2" xfId="43254" xr:uid="{00000000-0005-0000-0000-000051990000}"/>
    <cellStyle name="Normal 3 6 2 3 9" xfId="33556" xr:uid="{00000000-0005-0000-0000-000052990000}"/>
    <cellStyle name="Normal 3 6 2 4" xfId="6980" xr:uid="{00000000-0005-0000-0000-000053990000}"/>
    <cellStyle name="Normal 3 6 2 4 2" xfId="16470" xr:uid="{00000000-0005-0000-0000-000054990000}"/>
    <cellStyle name="Normal 3 6 2 4 2 2" xfId="20934" xr:uid="{00000000-0005-0000-0000-000055990000}"/>
    <cellStyle name="Normal 3 6 2 4 2 2 2" xfId="31302" xr:uid="{00000000-0005-0000-0000-000056990000}"/>
    <cellStyle name="Normal 3 6 2 4 2 2 2 2" xfId="50491" xr:uid="{00000000-0005-0000-0000-000057990000}"/>
    <cellStyle name="Normal 3 6 2 4 2 2 3" xfId="40793" xr:uid="{00000000-0005-0000-0000-000058990000}"/>
    <cellStyle name="Normal 3 6 2 4 2 3" xfId="26847" xr:uid="{00000000-0005-0000-0000-000059990000}"/>
    <cellStyle name="Normal 3 6 2 4 2 3 2" xfId="46036" xr:uid="{00000000-0005-0000-0000-00005A990000}"/>
    <cellStyle name="Normal 3 6 2 4 2 4" xfId="36338" xr:uid="{00000000-0005-0000-0000-00005B990000}"/>
    <cellStyle name="Normal 3 6 2 4 3" xfId="18706" xr:uid="{00000000-0005-0000-0000-00005C990000}"/>
    <cellStyle name="Normal 3 6 2 4 3 2" xfId="29074" xr:uid="{00000000-0005-0000-0000-00005D990000}"/>
    <cellStyle name="Normal 3 6 2 4 3 2 2" xfId="48263" xr:uid="{00000000-0005-0000-0000-00005E990000}"/>
    <cellStyle name="Normal 3 6 2 4 3 3" xfId="38565" xr:uid="{00000000-0005-0000-0000-00005F990000}"/>
    <cellStyle name="Normal 3 6 2 4 4" xfId="24614" xr:uid="{00000000-0005-0000-0000-000060990000}"/>
    <cellStyle name="Normal 3 6 2 4 4 2" xfId="43808" xr:uid="{00000000-0005-0000-0000-000061990000}"/>
    <cellStyle name="Normal 3 6 2 4 5" xfId="34110" xr:uid="{00000000-0005-0000-0000-000062990000}"/>
    <cellStyle name="Normal 3 6 2 4 6" xfId="14206" xr:uid="{00000000-0005-0000-0000-000063990000}"/>
    <cellStyle name="Normal 3 6 2 5" xfId="14785" xr:uid="{00000000-0005-0000-0000-000064990000}"/>
    <cellStyle name="Normal 3 6 2 5 2" xfId="15914" xr:uid="{00000000-0005-0000-0000-000065990000}"/>
    <cellStyle name="Normal 3 6 2 5 2 2" xfId="20378" xr:uid="{00000000-0005-0000-0000-000066990000}"/>
    <cellStyle name="Normal 3 6 2 5 2 2 2" xfId="30746" xr:uid="{00000000-0005-0000-0000-000067990000}"/>
    <cellStyle name="Normal 3 6 2 5 2 2 2 2" xfId="49935" xr:uid="{00000000-0005-0000-0000-000068990000}"/>
    <cellStyle name="Normal 3 6 2 5 2 2 3" xfId="40237" xr:uid="{00000000-0005-0000-0000-000069990000}"/>
    <cellStyle name="Normal 3 6 2 5 2 3" xfId="26291" xr:uid="{00000000-0005-0000-0000-00006A990000}"/>
    <cellStyle name="Normal 3 6 2 5 2 3 2" xfId="45480" xr:uid="{00000000-0005-0000-0000-00006B990000}"/>
    <cellStyle name="Normal 3 6 2 5 2 4" xfId="35782" xr:uid="{00000000-0005-0000-0000-00006C990000}"/>
    <cellStyle name="Normal 3 6 2 5 3" xfId="19263" xr:uid="{00000000-0005-0000-0000-00006D990000}"/>
    <cellStyle name="Normal 3 6 2 5 3 2" xfId="29631" xr:uid="{00000000-0005-0000-0000-00006E990000}"/>
    <cellStyle name="Normal 3 6 2 5 3 2 2" xfId="48820" xr:uid="{00000000-0005-0000-0000-00006F990000}"/>
    <cellStyle name="Normal 3 6 2 5 3 3" xfId="39122" xr:uid="{00000000-0005-0000-0000-000070990000}"/>
    <cellStyle name="Normal 3 6 2 5 4" xfId="25176" xr:uid="{00000000-0005-0000-0000-000071990000}"/>
    <cellStyle name="Normal 3 6 2 5 4 2" xfId="44365" xr:uid="{00000000-0005-0000-0000-000072990000}"/>
    <cellStyle name="Normal 3 6 2 5 5" xfId="34667" xr:uid="{00000000-0005-0000-0000-000073990000}"/>
    <cellStyle name="Normal 3 6 2 6" xfId="15357" xr:uid="{00000000-0005-0000-0000-000074990000}"/>
    <cellStyle name="Normal 3 6 2 6 2" xfId="19821" xr:uid="{00000000-0005-0000-0000-000075990000}"/>
    <cellStyle name="Normal 3 6 2 6 2 2" xfId="30189" xr:uid="{00000000-0005-0000-0000-000076990000}"/>
    <cellStyle name="Normal 3 6 2 6 2 2 2" xfId="49378" xr:uid="{00000000-0005-0000-0000-000077990000}"/>
    <cellStyle name="Normal 3 6 2 6 2 3" xfId="39680" xr:uid="{00000000-0005-0000-0000-000078990000}"/>
    <cellStyle name="Normal 3 6 2 6 3" xfId="25734" xr:uid="{00000000-0005-0000-0000-000079990000}"/>
    <cellStyle name="Normal 3 6 2 6 3 2" xfId="44923" xr:uid="{00000000-0005-0000-0000-00007A990000}"/>
    <cellStyle name="Normal 3 6 2 6 4" xfId="35225" xr:uid="{00000000-0005-0000-0000-00007B990000}"/>
    <cellStyle name="Normal 3 6 2 7" xfId="17027" xr:uid="{00000000-0005-0000-0000-00007C990000}"/>
    <cellStyle name="Normal 3 6 2 7 2" xfId="21491" xr:uid="{00000000-0005-0000-0000-00007D990000}"/>
    <cellStyle name="Normal 3 6 2 7 2 2" xfId="31859" xr:uid="{00000000-0005-0000-0000-00007E990000}"/>
    <cellStyle name="Normal 3 6 2 7 2 2 2" xfId="51048" xr:uid="{00000000-0005-0000-0000-00007F990000}"/>
    <cellStyle name="Normal 3 6 2 7 2 3" xfId="41350" xr:uid="{00000000-0005-0000-0000-000080990000}"/>
    <cellStyle name="Normal 3 6 2 7 3" xfId="27404" xr:uid="{00000000-0005-0000-0000-000081990000}"/>
    <cellStyle name="Normal 3 6 2 7 3 2" xfId="46593" xr:uid="{00000000-0005-0000-0000-000082990000}"/>
    <cellStyle name="Normal 3 6 2 7 4" xfId="36895" xr:uid="{00000000-0005-0000-0000-000083990000}"/>
    <cellStyle name="Normal 3 6 2 8" xfId="17593" xr:uid="{00000000-0005-0000-0000-000084990000}"/>
    <cellStyle name="Normal 3 6 2 8 2" xfId="22048" xr:uid="{00000000-0005-0000-0000-000085990000}"/>
    <cellStyle name="Normal 3 6 2 8 2 2" xfId="32416" xr:uid="{00000000-0005-0000-0000-000086990000}"/>
    <cellStyle name="Normal 3 6 2 8 2 2 2" xfId="51605" xr:uid="{00000000-0005-0000-0000-000087990000}"/>
    <cellStyle name="Normal 3 6 2 8 2 3" xfId="41907" xr:uid="{00000000-0005-0000-0000-000088990000}"/>
    <cellStyle name="Normal 3 6 2 8 3" xfId="27961" xr:uid="{00000000-0005-0000-0000-000089990000}"/>
    <cellStyle name="Normal 3 6 2 8 3 2" xfId="47150" xr:uid="{00000000-0005-0000-0000-00008A990000}"/>
    <cellStyle name="Normal 3 6 2 8 4" xfId="37452" xr:uid="{00000000-0005-0000-0000-00008B990000}"/>
    <cellStyle name="Normal 3 6 2 9" xfId="18150" xr:uid="{00000000-0005-0000-0000-00008C990000}"/>
    <cellStyle name="Normal 3 6 2 9 2" xfId="28518" xr:uid="{00000000-0005-0000-0000-00008D990000}"/>
    <cellStyle name="Normal 3 6 2 9 2 2" xfId="47707" xr:uid="{00000000-0005-0000-0000-00008E990000}"/>
    <cellStyle name="Normal 3 6 2 9 3" xfId="38009" xr:uid="{00000000-0005-0000-0000-00008F990000}"/>
    <cellStyle name="Normal 3 6 3" xfId="7798" xr:uid="{00000000-0005-0000-0000-000090990000}"/>
    <cellStyle name="Normal 3 6 3 10" xfId="53035" xr:uid="{00000000-0005-0000-0000-000091990000}"/>
    <cellStyle name="Normal 3 6 3 11" xfId="13308" xr:uid="{00000000-0005-0000-0000-000092990000}"/>
    <cellStyle name="Normal 3 6 3 2" xfId="10696" xr:uid="{00000000-0005-0000-0000-000093990000}"/>
    <cellStyle name="Normal 3 6 3 2 2" xfId="16473" xr:uid="{00000000-0005-0000-0000-000094990000}"/>
    <cellStyle name="Normal 3 6 3 2 2 2" xfId="20937" xr:uid="{00000000-0005-0000-0000-000095990000}"/>
    <cellStyle name="Normal 3 6 3 2 2 2 2" xfId="31305" xr:uid="{00000000-0005-0000-0000-000096990000}"/>
    <cellStyle name="Normal 3 6 3 2 2 2 2 2" xfId="50494" xr:uid="{00000000-0005-0000-0000-000097990000}"/>
    <cellStyle name="Normal 3 6 3 2 2 2 3" xfId="40796" xr:uid="{00000000-0005-0000-0000-000098990000}"/>
    <cellStyle name="Normal 3 6 3 2 2 3" xfId="26850" xr:uid="{00000000-0005-0000-0000-000099990000}"/>
    <cellStyle name="Normal 3 6 3 2 2 3 2" xfId="46039" xr:uid="{00000000-0005-0000-0000-00009A990000}"/>
    <cellStyle name="Normal 3 6 3 2 2 4" xfId="36341" xr:uid="{00000000-0005-0000-0000-00009B990000}"/>
    <cellStyle name="Normal 3 6 3 2 3" xfId="18709" xr:uid="{00000000-0005-0000-0000-00009C990000}"/>
    <cellStyle name="Normal 3 6 3 2 3 2" xfId="29077" xr:uid="{00000000-0005-0000-0000-00009D990000}"/>
    <cellStyle name="Normal 3 6 3 2 3 2 2" xfId="48266" xr:uid="{00000000-0005-0000-0000-00009E990000}"/>
    <cellStyle name="Normal 3 6 3 2 3 3" xfId="38568" xr:uid="{00000000-0005-0000-0000-00009F990000}"/>
    <cellStyle name="Normal 3 6 3 2 4" xfId="24617" xr:uid="{00000000-0005-0000-0000-0000A0990000}"/>
    <cellStyle name="Normal 3 6 3 2 4 2" xfId="43811" xr:uid="{00000000-0005-0000-0000-0000A1990000}"/>
    <cellStyle name="Normal 3 6 3 2 5" xfId="34113" xr:uid="{00000000-0005-0000-0000-0000A2990000}"/>
    <cellStyle name="Normal 3 6 3 2 6" xfId="53910" xr:uid="{00000000-0005-0000-0000-0000A3990000}"/>
    <cellStyle name="Normal 3 6 3 2 7" xfId="14209" xr:uid="{00000000-0005-0000-0000-0000A4990000}"/>
    <cellStyle name="Normal 3 6 3 3" xfId="14788" xr:uid="{00000000-0005-0000-0000-0000A5990000}"/>
    <cellStyle name="Normal 3 6 3 3 2" xfId="15917" xr:uid="{00000000-0005-0000-0000-0000A6990000}"/>
    <cellStyle name="Normal 3 6 3 3 2 2" xfId="20381" xr:uid="{00000000-0005-0000-0000-0000A7990000}"/>
    <cellStyle name="Normal 3 6 3 3 2 2 2" xfId="30749" xr:uid="{00000000-0005-0000-0000-0000A8990000}"/>
    <cellStyle name="Normal 3 6 3 3 2 2 2 2" xfId="49938" xr:uid="{00000000-0005-0000-0000-0000A9990000}"/>
    <cellStyle name="Normal 3 6 3 3 2 2 3" xfId="40240" xr:uid="{00000000-0005-0000-0000-0000AA990000}"/>
    <cellStyle name="Normal 3 6 3 3 2 3" xfId="26294" xr:uid="{00000000-0005-0000-0000-0000AB990000}"/>
    <cellStyle name="Normal 3 6 3 3 2 3 2" xfId="45483" xr:uid="{00000000-0005-0000-0000-0000AC990000}"/>
    <cellStyle name="Normal 3 6 3 3 2 4" xfId="35785" xr:uid="{00000000-0005-0000-0000-0000AD990000}"/>
    <cellStyle name="Normal 3 6 3 3 3" xfId="19266" xr:uid="{00000000-0005-0000-0000-0000AE990000}"/>
    <cellStyle name="Normal 3 6 3 3 3 2" xfId="29634" xr:uid="{00000000-0005-0000-0000-0000AF990000}"/>
    <cellStyle name="Normal 3 6 3 3 3 2 2" xfId="48823" xr:uid="{00000000-0005-0000-0000-0000B0990000}"/>
    <cellStyle name="Normal 3 6 3 3 3 3" xfId="39125" xr:uid="{00000000-0005-0000-0000-0000B1990000}"/>
    <cellStyle name="Normal 3 6 3 3 4" xfId="25179" xr:uid="{00000000-0005-0000-0000-0000B2990000}"/>
    <cellStyle name="Normal 3 6 3 3 4 2" xfId="44368" xr:uid="{00000000-0005-0000-0000-0000B3990000}"/>
    <cellStyle name="Normal 3 6 3 3 5" xfId="34670" xr:uid="{00000000-0005-0000-0000-0000B4990000}"/>
    <cellStyle name="Normal 3 6 3 4" xfId="15360" xr:uid="{00000000-0005-0000-0000-0000B5990000}"/>
    <cellStyle name="Normal 3 6 3 4 2" xfId="19824" xr:uid="{00000000-0005-0000-0000-0000B6990000}"/>
    <cellStyle name="Normal 3 6 3 4 2 2" xfId="30192" xr:uid="{00000000-0005-0000-0000-0000B7990000}"/>
    <cellStyle name="Normal 3 6 3 4 2 2 2" xfId="49381" xr:uid="{00000000-0005-0000-0000-0000B8990000}"/>
    <cellStyle name="Normal 3 6 3 4 2 3" xfId="39683" xr:uid="{00000000-0005-0000-0000-0000B9990000}"/>
    <cellStyle name="Normal 3 6 3 4 3" xfId="25737" xr:uid="{00000000-0005-0000-0000-0000BA990000}"/>
    <cellStyle name="Normal 3 6 3 4 3 2" xfId="44926" xr:uid="{00000000-0005-0000-0000-0000BB990000}"/>
    <cellStyle name="Normal 3 6 3 4 4" xfId="35228" xr:uid="{00000000-0005-0000-0000-0000BC990000}"/>
    <cellStyle name="Normal 3 6 3 5" xfId="17030" xr:uid="{00000000-0005-0000-0000-0000BD990000}"/>
    <cellStyle name="Normal 3 6 3 5 2" xfId="21494" xr:uid="{00000000-0005-0000-0000-0000BE990000}"/>
    <cellStyle name="Normal 3 6 3 5 2 2" xfId="31862" xr:uid="{00000000-0005-0000-0000-0000BF990000}"/>
    <cellStyle name="Normal 3 6 3 5 2 2 2" xfId="51051" xr:uid="{00000000-0005-0000-0000-0000C0990000}"/>
    <cellStyle name="Normal 3 6 3 5 2 3" xfId="41353" xr:uid="{00000000-0005-0000-0000-0000C1990000}"/>
    <cellStyle name="Normal 3 6 3 5 3" xfId="27407" xr:uid="{00000000-0005-0000-0000-0000C2990000}"/>
    <cellStyle name="Normal 3 6 3 5 3 2" xfId="46596" xr:uid="{00000000-0005-0000-0000-0000C3990000}"/>
    <cellStyle name="Normal 3 6 3 5 4" xfId="36898" xr:uid="{00000000-0005-0000-0000-0000C4990000}"/>
    <cellStyle name="Normal 3 6 3 6" xfId="17596" xr:uid="{00000000-0005-0000-0000-0000C5990000}"/>
    <cellStyle name="Normal 3 6 3 6 2" xfId="22051" xr:uid="{00000000-0005-0000-0000-0000C6990000}"/>
    <cellStyle name="Normal 3 6 3 6 2 2" xfId="32419" xr:uid="{00000000-0005-0000-0000-0000C7990000}"/>
    <cellStyle name="Normal 3 6 3 6 2 2 2" xfId="51608" xr:uid="{00000000-0005-0000-0000-0000C8990000}"/>
    <cellStyle name="Normal 3 6 3 6 2 3" xfId="41910" xr:uid="{00000000-0005-0000-0000-0000C9990000}"/>
    <cellStyle name="Normal 3 6 3 6 3" xfId="27964" xr:uid="{00000000-0005-0000-0000-0000CA990000}"/>
    <cellStyle name="Normal 3 6 3 6 3 2" xfId="47153" xr:uid="{00000000-0005-0000-0000-0000CB990000}"/>
    <cellStyle name="Normal 3 6 3 6 4" xfId="37455" xr:uid="{00000000-0005-0000-0000-0000CC990000}"/>
    <cellStyle name="Normal 3 6 3 7" xfId="18153" xr:uid="{00000000-0005-0000-0000-0000CD990000}"/>
    <cellStyle name="Normal 3 6 3 7 2" xfId="28521" xr:uid="{00000000-0005-0000-0000-0000CE990000}"/>
    <cellStyle name="Normal 3 6 3 7 2 2" xfId="47710" xr:uid="{00000000-0005-0000-0000-0000CF990000}"/>
    <cellStyle name="Normal 3 6 3 7 3" xfId="38012" xr:uid="{00000000-0005-0000-0000-0000D0990000}"/>
    <cellStyle name="Normal 3 6 3 8" xfId="24021" xr:uid="{00000000-0005-0000-0000-0000D1990000}"/>
    <cellStyle name="Normal 3 6 3 8 2" xfId="43255" xr:uid="{00000000-0005-0000-0000-0000D2990000}"/>
    <cellStyle name="Normal 3 6 3 9" xfId="33557" xr:uid="{00000000-0005-0000-0000-0000D3990000}"/>
    <cellStyle name="Normal 3 6 4" xfId="9256" xr:uid="{00000000-0005-0000-0000-0000D4990000}"/>
    <cellStyle name="Normal 3 6 4 10" xfId="53514" xr:uid="{00000000-0005-0000-0000-0000D5990000}"/>
    <cellStyle name="Normal 3 6 4 11" xfId="13309" xr:uid="{00000000-0005-0000-0000-0000D6990000}"/>
    <cellStyle name="Normal 3 6 4 2" xfId="14210" xr:uid="{00000000-0005-0000-0000-0000D7990000}"/>
    <cellStyle name="Normal 3 6 4 2 2" xfId="16474" xr:uid="{00000000-0005-0000-0000-0000D8990000}"/>
    <cellStyle name="Normal 3 6 4 2 2 2" xfId="20938" xr:uid="{00000000-0005-0000-0000-0000D9990000}"/>
    <cellStyle name="Normal 3 6 4 2 2 2 2" xfId="31306" xr:uid="{00000000-0005-0000-0000-0000DA990000}"/>
    <cellStyle name="Normal 3 6 4 2 2 2 2 2" xfId="50495" xr:uid="{00000000-0005-0000-0000-0000DB990000}"/>
    <cellStyle name="Normal 3 6 4 2 2 2 3" xfId="40797" xr:uid="{00000000-0005-0000-0000-0000DC990000}"/>
    <cellStyle name="Normal 3 6 4 2 2 3" xfId="26851" xr:uid="{00000000-0005-0000-0000-0000DD990000}"/>
    <cellStyle name="Normal 3 6 4 2 2 3 2" xfId="46040" xr:uid="{00000000-0005-0000-0000-0000DE990000}"/>
    <cellStyle name="Normal 3 6 4 2 2 4" xfId="36342" xr:uid="{00000000-0005-0000-0000-0000DF990000}"/>
    <cellStyle name="Normal 3 6 4 2 3" xfId="18710" xr:uid="{00000000-0005-0000-0000-0000E0990000}"/>
    <cellStyle name="Normal 3 6 4 2 3 2" xfId="29078" xr:uid="{00000000-0005-0000-0000-0000E1990000}"/>
    <cellStyle name="Normal 3 6 4 2 3 2 2" xfId="48267" xr:uid="{00000000-0005-0000-0000-0000E2990000}"/>
    <cellStyle name="Normal 3 6 4 2 3 3" xfId="38569" xr:uid="{00000000-0005-0000-0000-0000E3990000}"/>
    <cellStyle name="Normal 3 6 4 2 4" xfId="24618" xr:uid="{00000000-0005-0000-0000-0000E4990000}"/>
    <cellStyle name="Normal 3 6 4 2 4 2" xfId="43812" xr:uid="{00000000-0005-0000-0000-0000E5990000}"/>
    <cellStyle name="Normal 3 6 4 2 5" xfId="34114" xr:uid="{00000000-0005-0000-0000-0000E6990000}"/>
    <cellStyle name="Normal 3 6 4 3" xfId="14789" xr:uid="{00000000-0005-0000-0000-0000E7990000}"/>
    <cellStyle name="Normal 3 6 4 3 2" xfId="15918" xr:uid="{00000000-0005-0000-0000-0000E8990000}"/>
    <cellStyle name="Normal 3 6 4 3 2 2" xfId="20382" xr:uid="{00000000-0005-0000-0000-0000E9990000}"/>
    <cellStyle name="Normal 3 6 4 3 2 2 2" xfId="30750" xr:uid="{00000000-0005-0000-0000-0000EA990000}"/>
    <cellStyle name="Normal 3 6 4 3 2 2 2 2" xfId="49939" xr:uid="{00000000-0005-0000-0000-0000EB990000}"/>
    <cellStyle name="Normal 3 6 4 3 2 2 3" xfId="40241" xr:uid="{00000000-0005-0000-0000-0000EC990000}"/>
    <cellStyle name="Normal 3 6 4 3 2 3" xfId="26295" xr:uid="{00000000-0005-0000-0000-0000ED990000}"/>
    <cellStyle name="Normal 3 6 4 3 2 3 2" xfId="45484" xr:uid="{00000000-0005-0000-0000-0000EE990000}"/>
    <cellStyle name="Normal 3 6 4 3 2 4" xfId="35786" xr:uid="{00000000-0005-0000-0000-0000EF990000}"/>
    <cellStyle name="Normal 3 6 4 3 3" xfId="19267" xr:uid="{00000000-0005-0000-0000-0000F0990000}"/>
    <cellStyle name="Normal 3 6 4 3 3 2" xfId="29635" xr:uid="{00000000-0005-0000-0000-0000F1990000}"/>
    <cellStyle name="Normal 3 6 4 3 3 2 2" xfId="48824" xr:uid="{00000000-0005-0000-0000-0000F2990000}"/>
    <cellStyle name="Normal 3 6 4 3 3 3" xfId="39126" xr:uid="{00000000-0005-0000-0000-0000F3990000}"/>
    <cellStyle name="Normal 3 6 4 3 4" xfId="25180" xr:uid="{00000000-0005-0000-0000-0000F4990000}"/>
    <cellStyle name="Normal 3 6 4 3 4 2" xfId="44369" xr:uid="{00000000-0005-0000-0000-0000F5990000}"/>
    <cellStyle name="Normal 3 6 4 3 5" xfId="34671" xr:uid="{00000000-0005-0000-0000-0000F6990000}"/>
    <cellStyle name="Normal 3 6 4 4" xfId="15361" xr:uid="{00000000-0005-0000-0000-0000F7990000}"/>
    <cellStyle name="Normal 3 6 4 4 2" xfId="19825" xr:uid="{00000000-0005-0000-0000-0000F8990000}"/>
    <cellStyle name="Normal 3 6 4 4 2 2" xfId="30193" xr:uid="{00000000-0005-0000-0000-0000F9990000}"/>
    <cellStyle name="Normal 3 6 4 4 2 2 2" xfId="49382" xr:uid="{00000000-0005-0000-0000-0000FA990000}"/>
    <cellStyle name="Normal 3 6 4 4 2 3" xfId="39684" xr:uid="{00000000-0005-0000-0000-0000FB990000}"/>
    <cellStyle name="Normal 3 6 4 4 3" xfId="25738" xr:uid="{00000000-0005-0000-0000-0000FC990000}"/>
    <cellStyle name="Normal 3 6 4 4 3 2" xfId="44927" xr:uid="{00000000-0005-0000-0000-0000FD990000}"/>
    <cellStyle name="Normal 3 6 4 4 4" xfId="35229" xr:uid="{00000000-0005-0000-0000-0000FE990000}"/>
    <cellStyle name="Normal 3 6 4 5" xfId="17031" xr:uid="{00000000-0005-0000-0000-0000FF990000}"/>
    <cellStyle name="Normal 3 6 4 5 2" xfId="21495" xr:uid="{00000000-0005-0000-0000-0000009A0000}"/>
    <cellStyle name="Normal 3 6 4 5 2 2" xfId="31863" xr:uid="{00000000-0005-0000-0000-0000019A0000}"/>
    <cellStyle name="Normal 3 6 4 5 2 2 2" xfId="51052" xr:uid="{00000000-0005-0000-0000-0000029A0000}"/>
    <cellStyle name="Normal 3 6 4 5 2 3" xfId="41354" xr:uid="{00000000-0005-0000-0000-0000039A0000}"/>
    <cellStyle name="Normal 3 6 4 5 3" xfId="27408" xr:uid="{00000000-0005-0000-0000-0000049A0000}"/>
    <cellStyle name="Normal 3 6 4 5 3 2" xfId="46597" xr:uid="{00000000-0005-0000-0000-0000059A0000}"/>
    <cellStyle name="Normal 3 6 4 5 4" xfId="36899" xr:uid="{00000000-0005-0000-0000-0000069A0000}"/>
    <cellStyle name="Normal 3 6 4 6" xfId="17597" xr:uid="{00000000-0005-0000-0000-0000079A0000}"/>
    <cellStyle name="Normal 3 6 4 6 2" xfId="22052" xr:uid="{00000000-0005-0000-0000-0000089A0000}"/>
    <cellStyle name="Normal 3 6 4 6 2 2" xfId="32420" xr:uid="{00000000-0005-0000-0000-0000099A0000}"/>
    <cellStyle name="Normal 3 6 4 6 2 2 2" xfId="51609" xr:uid="{00000000-0005-0000-0000-00000A9A0000}"/>
    <cellStyle name="Normal 3 6 4 6 2 3" xfId="41911" xr:uid="{00000000-0005-0000-0000-00000B9A0000}"/>
    <cellStyle name="Normal 3 6 4 6 3" xfId="27965" xr:uid="{00000000-0005-0000-0000-00000C9A0000}"/>
    <cellStyle name="Normal 3 6 4 6 3 2" xfId="47154" xr:uid="{00000000-0005-0000-0000-00000D9A0000}"/>
    <cellStyle name="Normal 3 6 4 6 4" xfId="37456" xr:uid="{00000000-0005-0000-0000-00000E9A0000}"/>
    <cellStyle name="Normal 3 6 4 7" xfId="18154" xr:uid="{00000000-0005-0000-0000-00000F9A0000}"/>
    <cellStyle name="Normal 3 6 4 7 2" xfId="28522" xr:uid="{00000000-0005-0000-0000-0000109A0000}"/>
    <cellStyle name="Normal 3 6 4 7 2 2" xfId="47711" xr:uid="{00000000-0005-0000-0000-0000119A0000}"/>
    <cellStyle name="Normal 3 6 4 7 3" xfId="38013" xr:uid="{00000000-0005-0000-0000-0000129A0000}"/>
    <cellStyle name="Normal 3 6 4 8" xfId="24022" xr:uid="{00000000-0005-0000-0000-0000139A0000}"/>
    <cellStyle name="Normal 3 6 4 8 2" xfId="43256" xr:uid="{00000000-0005-0000-0000-0000149A0000}"/>
    <cellStyle name="Normal 3 6 4 9" xfId="33558" xr:uid="{00000000-0005-0000-0000-0000159A0000}"/>
    <cellStyle name="Normal 3 6 5" xfId="6286" xr:uid="{00000000-0005-0000-0000-0000169A0000}"/>
    <cellStyle name="Normal 3 6 5 2" xfId="32946" xr:uid="{00000000-0005-0000-0000-0000179A0000}"/>
    <cellStyle name="Normal 3 6 5 2 2" xfId="52132" xr:uid="{00000000-0005-0000-0000-0000189A0000}"/>
    <cellStyle name="Normal 3 6 5 3" xfId="42434" xr:uid="{00000000-0005-0000-0000-0000199A0000}"/>
    <cellStyle name="Normal 3 6 5 4" xfId="22862" xr:uid="{00000000-0005-0000-0000-00001A9A0000}"/>
    <cellStyle name="Normal 3 6 6" xfId="23452" xr:uid="{00000000-0005-0000-0000-00001B9A0000}"/>
    <cellStyle name="Normal 3 6 7" xfId="23219" xr:uid="{00000000-0005-0000-0000-00001C9A0000}"/>
    <cellStyle name="Normal 3 6 7 2" xfId="42787" xr:uid="{00000000-0005-0000-0000-00001D9A0000}"/>
    <cellStyle name="Normal 3 6 8" xfId="52629" xr:uid="{00000000-0005-0000-0000-00001E9A0000}"/>
    <cellStyle name="Normal 3 6 9" xfId="12504" xr:uid="{00000000-0005-0000-0000-00001F9A0000}"/>
    <cellStyle name="Normal 3 60" xfId="6036" xr:uid="{00000000-0005-0000-0000-0000209A0000}"/>
    <cellStyle name="Normal 3 61" xfId="6037" xr:uid="{00000000-0005-0000-0000-0000219A0000}"/>
    <cellStyle name="Normal 3 62" xfId="6040" xr:uid="{00000000-0005-0000-0000-0000229A0000}"/>
    <cellStyle name="Normal 3 63" xfId="6041" xr:uid="{00000000-0005-0000-0000-0000239A0000}"/>
    <cellStyle name="Normal 3 64" xfId="6038" xr:uid="{00000000-0005-0000-0000-0000249A0000}"/>
    <cellStyle name="Normal 3 65" xfId="6039" xr:uid="{00000000-0005-0000-0000-0000259A0000}"/>
    <cellStyle name="Normal 3 66" xfId="6042" xr:uid="{00000000-0005-0000-0000-0000269A0000}"/>
    <cellStyle name="Normal 3 67" xfId="6050" xr:uid="{00000000-0005-0000-0000-0000279A0000}"/>
    <cellStyle name="Normal 3 68" xfId="6066" xr:uid="{00000000-0005-0000-0000-0000289A0000}"/>
    <cellStyle name="Normal 3 69" xfId="11955" xr:uid="{00000000-0005-0000-0000-0000299A0000}"/>
    <cellStyle name="Normal 3 7" xfId="1185" xr:uid="{00000000-0005-0000-0000-00002A9A0000}"/>
    <cellStyle name="Normal 3 7 2" xfId="4008" xr:uid="{00000000-0005-0000-0000-00002B9A0000}"/>
    <cellStyle name="Normal 3 7 2 10" xfId="53085" xr:uid="{00000000-0005-0000-0000-00002C9A0000}"/>
    <cellStyle name="Normal 3 7 2 11" xfId="13310" xr:uid="{00000000-0005-0000-0000-00002D9A0000}"/>
    <cellStyle name="Normal 3 7 2 2" xfId="14211" xr:uid="{00000000-0005-0000-0000-00002E9A0000}"/>
    <cellStyle name="Normal 3 7 2 2 2" xfId="16475" xr:uid="{00000000-0005-0000-0000-00002F9A0000}"/>
    <cellStyle name="Normal 3 7 2 2 2 2" xfId="20939" xr:uid="{00000000-0005-0000-0000-0000309A0000}"/>
    <cellStyle name="Normal 3 7 2 2 2 2 2" xfId="31307" xr:uid="{00000000-0005-0000-0000-0000319A0000}"/>
    <cellStyle name="Normal 3 7 2 2 2 2 2 2" xfId="50496" xr:uid="{00000000-0005-0000-0000-0000329A0000}"/>
    <cellStyle name="Normal 3 7 2 2 2 2 3" xfId="40798" xr:uid="{00000000-0005-0000-0000-0000339A0000}"/>
    <cellStyle name="Normal 3 7 2 2 2 3" xfId="26852" xr:uid="{00000000-0005-0000-0000-0000349A0000}"/>
    <cellStyle name="Normal 3 7 2 2 2 3 2" xfId="46041" xr:uid="{00000000-0005-0000-0000-0000359A0000}"/>
    <cellStyle name="Normal 3 7 2 2 2 4" xfId="36343" xr:uid="{00000000-0005-0000-0000-0000369A0000}"/>
    <cellStyle name="Normal 3 7 2 2 3" xfId="18711" xr:uid="{00000000-0005-0000-0000-0000379A0000}"/>
    <cellStyle name="Normal 3 7 2 2 3 2" xfId="29079" xr:uid="{00000000-0005-0000-0000-0000389A0000}"/>
    <cellStyle name="Normal 3 7 2 2 3 2 2" xfId="48268" xr:uid="{00000000-0005-0000-0000-0000399A0000}"/>
    <cellStyle name="Normal 3 7 2 2 3 3" xfId="38570" xr:uid="{00000000-0005-0000-0000-00003A9A0000}"/>
    <cellStyle name="Normal 3 7 2 2 4" xfId="24619" xr:uid="{00000000-0005-0000-0000-00003B9A0000}"/>
    <cellStyle name="Normal 3 7 2 2 4 2" xfId="43813" xr:uid="{00000000-0005-0000-0000-00003C9A0000}"/>
    <cellStyle name="Normal 3 7 2 2 5" xfId="34115" xr:uid="{00000000-0005-0000-0000-00003D9A0000}"/>
    <cellStyle name="Normal 3 7 2 2 6" xfId="53938" xr:uid="{00000000-0005-0000-0000-00003E9A0000}"/>
    <cellStyle name="Normal 3 7 2 3" xfId="14790" xr:uid="{00000000-0005-0000-0000-00003F9A0000}"/>
    <cellStyle name="Normal 3 7 2 3 2" xfId="15919" xr:uid="{00000000-0005-0000-0000-0000409A0000}"/>
    <cellStyle name="Normal 3 7 2 3 2 2" xfId="20383" xr:uid="{00000000-0005-0000-0000-0000419A0000}"/>
    <cellStyle name="Normal 3 7 2 3 2 2 2" xfId="30751" xr:uid="{00000000-0005-0000-0000-0000429A0000}"/>
    <cellStyle name="Normal 3 7 2 3 2 2 2 2" xfId="49940" xr:uid="{00000000-0005-0000-0000-0000439A0000}"/>
    <cellStyle name="Normal 3 7 2 3 2 2 3" xfId="40242" xr:uid="{00000000-0005-0000-0000-0000449A0000}"/>
    <cellStyle name="Normal 3 7 2 3 2 3" xfId="26296" xr:uid="{00000000-0005-0000-0000-0000459A0000}"/>
    <cellStyle name="Normal 3 7 2 3 2 3 2" xfId="45485" xr:uid="{00000000-0005-0000-0000-0000469A0000}"/>
    <cellStyle name="Normal 3 7 2 3 2 4" xfId="35787" xr:uid="{00000000-0005-0000-0000-0000479A0000}"/>
    <cellStyle name="Normal 3 7 2 3 3" xfId="19268" xr:uid="{00000000-0005-0000-0000-0000489A0000}"/>
    <cellStyle name="Normal 3 7 2 3 3 2" xfId="29636" xr:uid="{00000000-0005-0000-0000-0000499A0000}"/>
    <cellStyle name="Normal 3 7 2 3 3 2 2" xfId="48825" xr:uid="{00000000-0005-0000-0000-00004A9A0000}"/>
    <cellStyle name="Normal 3 7 2 3 3 3" xfId="39127" xr:uid="{00000000-0005-0000-0000-00004B9A0000}"/>
    <cellStyle name="Normal 3 7 2 3 4" xfId="25181" xr:uid="{00000000-0005-0000-0000-00004C9A0000}"/>
    <cellStyle name="Normal 3 7 2 3 4 2" xfId="44370" xr:uid="{00000000-0005-0000-0000-00004D9A0000}"/>
    <cellStyle name="Normal 3 7 2 3 5" xfId="34672" xr:uid="{00000000-0005-0000-0000-00004E9A0000}"/>
    <cellStyle name="Normal 3 7 2 4" xfId="15362" xr:uid="{00000000-0005-0000-0000-00004F9A0000}"/>
    <cellStyle name="Normal 3 7 2 4 2" xfId="19826" xr:uid="{00000000-0005-0000-0000-0000509A0000}"/>
    <cellStyle name="Normal 3 7 2 4 2 2" xfId="30194" xr:uid="{00000000-0005-0000-0000-0000519A0000}"/>
    <cellStyle name="Normal 3 7 2 4 2 2 2" xfId="49383" xr:uid="{00000000-0005-0000-0000-0000529A0000}"/>
    <cellStyle name="Normal 3 7 2 4 2 3" xfId="39685" xr:uid="{00000000-0005-0000-0000-0000539A0000}"/>
    <cellStyle name="Normal 3 7 2 4 3" xfId="25739" xr:uid="{00000000-0005-0000-0000-0000549A0000}"/>
    <cellStyle name="Normal 3 7 2 4 3 2" xfId="44928" xr:uid="{00000000-0005-0000-0000-0000559A0000}"/>
    <cellStyle name="Normal 3 7 2 4 4" xfId="35230" xr:uid="{00000000-0005-0000-0000-0000569A0000}"/>
    <cellStyle name="Normal 3 7 2 5" xfId="17032" xr:uid="{00000000-0005-0000-0000-0000579A0000}"/>
    <cellStyle name="Normal 3 7 2 5 2" xfId="21496" xr:uid="{00000000-0005-0000-0000-0000589A0000}"/>
    <cellStyle name="Normal 3 7 2 5 2 2" xfId="31864" xr:uid="{00000000-0005-0000-0000-0000599A0000}"/>
    <cellStyle name="Normal 3 7 2 5 2 2 2" xfId="51053" xr:uid="{00000000-0005-0000-0000-00005A9A0000}"/>
    <cellStyle name="Normal 3 7 2 5 2 3" xfId="41355" xr:uid="{00000000-0005-0000-0000-00005B9A0000}"/>
    <cellStyle name="Normal 3 7 2 5 3" xfId="27409" xr:uid="{00000000-0005-0000-0000-00005C9A0000}"/>
    <cellStyle name="Normal 3 7 2 5 3 2" xfId="46598" xr:uid="{00000000-0005-0000-0000-00005D9A0000}"/>
    <cellStyle name="Normal 3 7 2 5 4" xfId="36900" xr:uid="{00000000-0005-0000-0000-00005E9A0000}"/>
    <cellStyle name="Normal 3 7 2 6" xfId="17598" xr:uid="{00000000-0005-0000-0000-00005F9A0000}"/>
    <cellStyle name="Normal 3 7 2 6 2" xfId="22053" xr:uid="{00000000-0005-0000-0000-0000609A0000}"/>
    <cellStyle name="Normal 3 7 2 6 2 2" xfId="32421" xr:uid="{00000000-0005-0000-0000-0000619A0000}"/>
    <cellStyle name="Normal 3 7 2 6 2 2 2" xfId="51610" xr:uid="{00000000-0005-0000-0000-0000629A0000}"/>
    <cellStyle name="Normal 3 7 2 6 2 3" xfId="41912" xr:uid="{00000000-0005-0000-0000-0000639A0000}"/>
    <cellStyle name="Normal 3 7 2 6 3" xfId="27966" xr:uid="{00000000-0005-0000-0000-0000649A0000}"/>
    <cellStyle name="Normal 3 7 2 6 3 2" xfId="47155" xr:uid="{00000000-0005-0000-0000-0000659A0000}"/>
    <cellStyle name="Normal 3 7 2 6 4" xfId="37457" xr:uid="{00000000-0005-0000-0000-0000669A0000}"/>
    <cellStyle name="Normal 3 7 2 7" xfId="18155" xr:uid="{00000000-0005-0000-0000-0000679A0000}"/>
    <cellStyle name="Normal 3 7 2 7 2" xfId="28523" xr:uid="{00000000-0005-0000-0000-0000689A0000}"/>
    <cellStyle name="Normal 3 7 2 7 2 2" xfId="47712" xr:uid="{00000000-0005-0000-0000-0000699A0000}"/>
    <cellStyle name="Normal 3 7 2 7 3" xfId="38014" xr:uid="{00000000-0005-0000-0000-00006A9A0000}"/>
    <cellStyle name="Normal 3 7 2 8" xfId="24023" xr:uid="{00000000-0005-0000-0000-00006B9A0000}"/>
    <cellStyle name="Normal 3 7 2 8 2" xfId="43257" xr:uid="{00000000-0005-0000-0000-00006C9A0000}"/>
    <cellStyle name="Normal 3 7 2 9" xfId="33559" xr:uid="{00000000-0005-0000-0000-00006D9A0000}"/>
    <cellStyle name="Normal 3 7 3" xfId="6063" xr:uid="{00000000-0005-0000-0000-00006E9A0000}"/>
    <cellStyle name="Normal 3 7 3 10" xfId="53542" xr:uid="{00000000-0005-0000-0000-00006F9A0000}"/>
    <cellStyle name="Normal 3 7 3 11" xfId="13311" xr:uid="{00000000-0005-0000-0000-0000709A0000}"/>
    <cellStyle name="Normal 3 7 3 2" xfId="14212" xr:uid="{00000000-0005-0000-0000-0000719A0000}"/>
    <cellStyle name="Normal 3 7 3 2 2" xfId="16476" xr:uid="{00000000-0005-0000-0000-0000729A0000}"/>
    <cellStyle name="Normal 3 7 3 2 2 2" xfId="20940" xr:uid="{00000000-0005-0000-0000-0000739A0000}"/>
    <cellStyle name="Normal 3 7 3 2 2 2 2" xfId="31308" xr:uid="{00000000-0005-0000-0000-0000749A0000}"/>
    <cellStyle name="Normal 3 7 3 2 2 2 2 2" xfId="50497" xr:uid="{00000000-0005-0000-0000-0000759A0000}"/>
    <cellStyle name="Normal 3 7 3 2 2 2 3" xfId="40799" xr:uid="{00000000-0005-0000-0000-0000769A0000}"/>
    <cellStyle name="Normal 3 7 3 2 2 3" xfId="26853" xr:uid="{00000000-0005-0000-0000-0000779A0000}"/>
    <cellStyle name="Normal 3 7 3 2 2 3 2" xfId="46042" xr:uid="{00000000-0005-0000-0000-0000789A0000}"/>
    <cellStyle name="Normal 3 7 3 2 2 4" xfId="36344" xr:uid="{00000000-0005-0000-0000-0000799A0000}"/>
    <cellStyle name="Normal 3 7 3 2 3" xfId="18712" xr:uid="{00000000-0005-0000-0000-00007A9A0000}"/>
    <cellStyle name="Normal 3 7 3 2 3 2" xfId="29080" xr:uid="{00000000-0005-0000-0000-00007B9A0000}"/>
    <cellStyle name="Normal 3 7 3 2 3 2 2" xfId="48269" xr:uid="{00000000-0005-0000-0000-00007C9A0000}"/>
    <cellStyle name="Normal 3 7 3 2 3 3" xfId="38571" xr:uid="{00000000-0005-0000-0000-00007D9A0000}"/>
    <cellStyle name="Normal 3 7 3 2 4" xfId="24620" xr:uid="{00000000-0005-0000-0000-00007E9A0000}"/>
    <cellStyle name="Normal 3 7 3 2 4 2" xfId="43814" xr:uid="{00000000-0005-0000-0000-00007F9A0000}"/>
    <cellStyle name="Normal 3 7 3 2 5" xfId="34116" xr:uid="{00000000-0005-0000-0000-0000809A0000}"/>
    <cellStyle name="Normal 3 7 3 3" xfId="14791" xr:uid="{00000000-0005-0000-0000-0000819A0000}"/>
    <cellStyle name="Normal 3 7 3 3 2" xfId="15920" xr:uid="{00000000-0005-0000-0000-0000829A0000}"/>
    <cellStyle name="Normal 3 7 3 3 2 2" xfId="20384" xr:uid="{00000000-0005-0000-0000-0000839A0000}"/>
    <cellStyle name="Normal 3 7 3 3 2 2 2" xfId="30752" xr:uid="{00000000-0005-0000-0000-0000849A0000}"/>
    <cellStyle name="Normal 3 7 3 3 2 2 2 2" xfId="49941" xr:uid="{00000000-0005-0000-0000-0000859A0000}"/>
    <cellStyle name="Normal 3 7 3 3 2 2 3" xfId="40243" xr:uid="{00000000-0005-0000-0000-0000869A0000}"/>
    <cellStyle name="Normal 3 7 3 3 2 3" xfId="26297" xr:uid="{00000000-0005-0000-0000-0000879A0000}"/>
    <cellStyle name="Normal 3 7 3 3 2 3 2" xfId="45486" xr:uid="{00000000-0005-0000-0000-0000889A0000}"/>
    <cellStyle name="Normal 3 7 3 3 2 4" xfId="35788" xr:uid="{00000000-0005-0000-0000-0000899A0000}"/>
    <cellStyle name="Normal 3 7 3 3 3" xfId="19269" xr:uid="{00000000-0005-0000-0000-00008A9A0000}"/>
    <cellStyle name="Normal 3 7 3 3 3 2" xfId="29637" xr:uid="{00000000-0005-0000-0000-00008B9A0000}"/>
    <cellStyle name="Normal 3 7 3 3 3 2 2" xfId="48826" xr:uid="{00000000-0005-0000-0000-00008C9A0000}"/>
    <cellStyle name="Normal 3 7 3 3 3 3" xfId="39128" xr:uid="{00000000-0005-0000-0000-00008D9A0000}"/>
    <cellStyle name="Normal 3 7 3 3 4" xfId="25182" xr:uid="{00000000-0005-0000-0000-00008E9A0000}"/>
    <cellStyle name="Normal 3 7 3 3 4 2" xfId="44371" xr:uid="{00000000-0005-0000-0000-00008F9A0000}"/>
    <cellStyle name="Normal 3 7 3 3 5" xfId="34673" xr:uid="{00000000-0005-0000-0000-0000909A0000}"/>
    <cellStyle name="Normal 3 7 3 4" xfId="15363" xr:uid="{00000000-0005-0000-0000-0000919A0000}"/>
    <cellStyle name="Normal 3 7 3 4 2" xfId="19827" xr:uid="{00000000-0005-0000-0000-0000929A0000}"/>
    <cellStyle name="Normal 3 7 3 4 2 2" xfId="30195" xr:uid="{00000000-0005-0000-0000-0000939A0000}"/>
    <cellStyle name="Normal 3 7 3 4 2 2 2" xfId="49384" xr:uid="{00000000-0005-0000-0000-0000949A0000}"/>
    <cellStyle name="Normal 3 7 3 4 2 3" xfId="39686" xr:uid="{00000000-0005-0000-0000-0000959A0000}"/>
    <cellStyle name="Normal 3 7 3 4 3" xfId="25740" xr:uid="{00000000-0005-0000-0000-0000969A0000}"/>
    <cellStyle name="Normal 3 7 3 4 3 2" xfId="44929" xr:uid="{00000000-0005-0000-0000-0000979A0000}"/>
    <cellStyle name="Normal 3 7 3 4 4" xfId="35231" xr:uid="{00000000-0005-0000-0000-0000989A0000}"/>
    <cellStyle name="Normal 3 7 3 5" xfId="17033" xr:uid="{00000000-0005-0000-0000-0000999A0000}"/>
    <cellStyle name="Normal 3 7 3 5 2" xfId="21497" xr:uid="{00000000-0005-0000-0000-00009A9A0000}"/>
    <cellStyle name="Normal 3 7 3 5 2 2" xfId="31865" xr:uid="{00000000-0005-0000-0000-00009B9A0000}"/>
    <cellStyle name="Normal 3 7 3 5 2 2 2" xfId="51054" xr:uid="{00000000-0005-0000-0000-00009C9A0000}"/>
    <cellStyle name="Normal 3 7 3 5 2 3" xfId="41356" xr:uid="{00000000-0005-0000-0000-00009D9A0000}"/>
    <cellStyle name="Normal 3 7 3 5 3" xfId="27410" xr:uid="{00000000-0005-0000-0000-00009E9A0000}"/>
    <cellStyle name="Normal 3 7 3 5 3 2" xfId="46599" xr:uid="{00000000-0005-0000-0000-00009F9A0000}"/>
    <cellStyle name="Normal 3 7 3 5 4" xfId="36901" xr:uid="{00000000-0005-0000-0000-0000A09A0000}"/>
    <cellStyle name="Normal 3 7 3 6" xfId="17599" xr:uid="{00000000-0005-0000-0000-0000A19A0000}"/>
    <cellStyle name="Normal 3 7 3 6 2" xfId="22054" xr:uid="{00000000-0005-0000-0000-0000A29A0000}"/>
    <cellStyle name="Normal 3 7 3 6 2 2" xfId="32422" xr:uid="{00000000-0005-0000-0000-0000A39A0000}"/>
    <cellStyle name="Normal 3 7 3 6 2 2 2" xfId="51611" xr:uid="{00000000-0005-0000-0000-0000A49A0000}"/>
    <cellStyle name="Normal 3 7 3 6 2 3" xfId="41913" xr:uid="{00000000-0005-0000-0000-0000A59A0000}"/>
    <cellStyle name="Normal 3 7 3 6 3" xfId="27967" xr:uid="{00000000-0005-0000-0000-0000A69A0000}"/>
    <cellStyle name="Normal 3 7 3 6 3 2" xfId="47156" xr:uid="{00000000-0005-0000-0000-0000A79A0000}"/>
    <cellStyle name="Normal 3 7 3 6 4" xfId="37458" xr:uid="{00000000-0005-0000-0000-0000A89A0000}"/>
    <cellStyle name="Normal 3 7 3 7" xfId="18156" xr:uid="{00000000-0005-0000-0000-0000A99A0000}"/>
    <cellStyle name="Normal 3 7 3 7 2" xfId="28524" xr:uid="{00000000-0005-0000-0000-0000AA9A0000}"/>
    <cellStyle name="Normal 3 7 3 7 2 2" xfId="47713" xr:uid="{00000000-0005-0000-0000-0000AB9A0000}"/>
    <cellStyle name="Normal 3 7 3 7 3" xfId="38015" xr:uid="{00000000-0005-0000-0000-0000AC9A0000}"/>
    <cellStyle name="Normal 3 7 3 8" xfId="24024" xr:uid="{00000000-0005-0000-0000-0000AD9A0000}"/>
    <cellStyle name="Normal 3 7 3 8 2" xfId="43258" xr:uid="{00000000-0005-0000-0000-0000AE9A0000}"/>
    <cellStyle name="Normal 3 7 3 9" xfId="33560" xr:uid="{00000000-0005-0000-0000-0000AF9A0000}"/>
    <cellStyle name="Normal 3 7 4" xfId="52657" xr:uid="{00000000-0005-0000-0000-0000B09A0000}"/>
    <cellStyle name="Normal 3 7 5" xfId="12505" xr:uid="{00000000-0005-0000-0000-0000B19A0000}"/>
    <cellStyle name="Normal 3 8" xfId="1507" xr:uid="{00000000-0005-0000-0000-0000B29A0000}"/>
    <cellStyle name="Normal 3 8 10" xfId="52857" xr:uid="{00000000-0005-0000-0000-0000B39A0000}"/>
    <cellStyle name="Normal 3 8 11" xfId="12620" xr:uid="{00000000-0005-0000-0000-0000B49A0000}"/>
    <cellStyle name="Normal 3 8 2" xfId="4009" xr:uid="{00000000-0005-0000-0000-0000B59A0000}"/>
    <cellStyle name="Normal 3 8 2 2" xfId="16064" xr:uid="{00000000-0005-0000-0000-0000B69A0000}"/>
    <cellStyle name="Normal 3 8 2 2 2" xfId="20528" xr:uid="{00000000-0005-0000-0000-0000B79A0000}"/>
    <cellStyle name="Normal 3 8 2 2 2 2" xfId="30896" xr:uid="{00000000-0005-0000-0000-0000B89A0000}"/>
    <cellStyle name="Normal 3 8 2 2 2 2 2" xfId="50085" xr:uid="{00000000-0005-0000-0000-0000B99A0000}"/>
    <cellStyle name="Normal 3 8 2 2 2 3" xfId="40387" xr:uid="{00000000-0005-0000-0000-0000BA9A0000}"/>
    <cellStyle name="Normal 3 8 2 2 3" xfId="26441" xr:uid="{00000000-0005-0000-0000-0000BB9A0000}"/>
    <cellStyle name="Normal 3 8 2 2 3 2" xfId="45630" xr:uid="{00000000-0005-0000-0000-0000BC9A0000}"/>
    <cellStyle name="Normal 3 8 2 2 4" xfId="35932" xr:uid="{00000000-0005-0000-0000-0000BD9A0000}"/>
    <cellStyle name="Normal 3 8 2 3" xfId="18300" xr:uid="{00000000-0005-0000-0000-0000BE9A0000}"/>
    <cellStyle name="Normal 3 8 2 3 2" xfId="28668" xr:uid="{00000000-0005-0000-0000-0000BF9A0000}"/>
    <cellStyle name="Normal 3 8 2 3 2 2" xfId="47857" xr:uid="{00000000-0005-0000-0000-0000C09A0000}"/>
    <cellStyle name="Normal 3 8 2 3 3" xfId="38159" xr:uid="{00000000-0005-0000-0000-0000C19A0000}"/>
    <cellStyle name="Normal 3 8 2 4" xfId="24208" xr:uid="{00000000-0005-0000-0000-0000C29A0000}"/>
    <cellStyle name="Normal 3 8 2 4 2" xfId="43402" xr:uid="{00000000-0005-0000-0000-0000C39A0000}"/>
    <cellStyle name="Normal 3 8 2 5" xfId="33704" xr:uid="{00000000-0005-0000-0000-0000C49A0000}"/>
    <cellStyle name="Normal 3 8 2 6" xfId="53741" xr:uid="{00000000-0005-0000-0000-0000C59A0000}"/>
    <cellStyle name="Normal 3 8 2 7" xfId="13800" xr:uid="{00000000-0005-0000-0000-0000C69A0000}"/>
    <cellStyle name="Normal 3 8 3" xfId="14379" xr:uid="{00000000-0005-0000-0000-0000C79A0000}"/>
    <cellStyle name="Normal 3 8 3 2" xfId="15508" xr:uid="{00000000-0005-0000-0000-0000C89A0000}"/>
    <cellStyle name="Normal 3 8 3 2 2" xfId="19972" xr:uid="{00000000-0005-0000-0000-0000C99A0000}"/>
    <cellStyle name="Normal 3 8 3 2 2 2" xfId="30340" xr:uid="{00000000-0005-0000-0000-0000CA9A0000}"/>
    <cellStyle name="Normal 3 8 3 2 2 2 2" xfId="49529" xr:uid="{00000000-0005-0000-0000-0000CB9A0000}"/>
    <cellStyle name="Normal 3 8 3 2 2 3" xfId="39831" xr:uid="{00000000-0005-0000-0000-0000CC9A0000}"/>
    <cellStyle name="Normal 3 8 3 2 3" xfId="25885" xr:uid="{00000000-0005-0000-0000-0000CD9A0000}"/>
    <cellStyle name="Normal 3 8 3 2 3 2" xfId="45074" xr:uid="{00000000-0005-0000-0000-0000CE9A0000}"/>
    <cellStyle name="Normal 3 8 3 2 4" xfId="35376" xr:uid="{00000000-0005-0000-0000-0000CF9A0000}"/>
    <cellStyle name="Normal 3 8 3 3" xfId="18857" xr:uid="{00000000-0005-0000-0000-0000D09A0000}"/>
    <cellStyle name="Normal 3 8 3 3 2" xfId="29225" xr:uid="{00000000-0005-0000-0000-0000D19A0000}"/>
    <cellStyle name="Normal 3 8 3 3 2 2" xfId="48414" xr:uid="{00000000-0005-0000-0000-0000D29A0000}"/>
    <cellStyle name="Normal 3 8 3 3 3" xfId="38716" xr:uid="{00000000-0005-0000-0000-0000D39A0000}"/>
    <cellStyle name="Normal 3 8 3 4" xfId="24770" xr:uid="{00000000-0005-0000-0000-0000D49A0000}"/>
    <cellStyle name="Normal 3 8 3 4 2" xfId="43959" xr:uid="{00000000-0005-0000-0000-0000D59A0000}"/>
    <cellStyle name="Normal 3 8 3 5" xfId="34261" xr:uid="{00000000-0005-0000-0000-0000D69A0000}"/>
    <cellStyle name="Normal 3 8 4" xfId="14951" xr:uid="{00000000-0005-0000-0000-0000D79A0000}"/>
    <cellStyle name="Normal 3 8 4 2" xfId="19415" xr:uid="{00000000-0005-0000-0000-0000D89A0000}"/>
    <cellStyle name="Normal 3 8 4 2 2" xfId="29783" xr:uid="{00000000-0005-0000-0000-0000D99A0000}"/>
    <cellStyle name="Normal 3 8 4 2 2 2" xfId="48972" xr:uid="{00000000-0005-0000-0000-0000DA9A0000}"/>
    <cellStyle name="Normal 3 8 4 2 3" xfId="39274" xr:uid="{00000000-0005-0000-0000-0000DB9A0000}"/>
    <cellStyle name="Normal 3 8 4 3" xfId="25328" xr:uid="{00000000-0005-0000-0000-0000DC9A0000}"/>
    <cellStyle name="Normal 3 8 4 3 2" xfId="44517" xr:uid="{00000000-0005-0000-0000-0000DD9A0000}"/>
    <cellStyle name="Normal 3 8 4 4" xfId="34819" xr:uid="{00000000-0005-0000-0000-0000DE9A0000}"/>
    <cellStyle name="Normal 3 8 5" xfId="16621" xr:uid="{00000000-0005-0000-0000-0000DF9A0000}"/>
    <cellStyle name="Normal 3 8 5 2" xfId="21085" xr:uid="{00000000-0005-0000-0000-0000E09A0000}"/>
    <cellStyle name="Normal 3 8 5 2 2" xfId="31453" xr:uid="{00000000-0005-0000-0000-0000E19A0000}"/>
    <cellStyle name="Normal 3 8 5 2 2 2" xfId="50642" xr:uid="{00000000-0005-0000-0000-0000E29A0000}"/>
    <cellStyle name="Normal 3 8 5 2 3" xfId="40944" xr:uid="{00000000-0005-0000-0000-0000E39A0000}"/>
    <cellStyle name="Normal 3 8 5 3" xfId="26998" xr:uid="{00000000-0005-0000-0000-0000E49A0000}"/>
    <cellStyle name="Normal 3 8 5 3 2" xfId="46187" xr:uid="{00000000-0005-0000-0000-0000E59A0000}"/>
    <cellStyle name="Normal 3 8 5 4" xfId="36489" xr:uid="{00000000-0005-0000-0000-0000E69A0000}"/>
    <cellStyle name="Normal 3 8 6" xfId="17187" xr:uid="{00000000-0005-0000-0000-0000E79A0000}"/>
    <cellStyle name="Normal 3 8 6 2" xfId="21642" xr:uid="{00000000-0005-0000-0000-0000E89A0000}"/>
    <cellStyle name="Normal 3 8 6 2 2" xfId="32010" xr:uid="{00000000-0005-0000-0000-0000E99A0000}"/>
    <cellStyle name="Normal 3 8 6 2 2 2" xfId="51199" xr:uid="{00000000-0005-0000-0000-0000EA9A0000}"/>
    <cellStyle name="Normal 3 8 6 2 3" xfId="41501" xr:uid="{00000000-0005-0000-0000-0000EB9A0000}"/>
    <cellStyle name="Normal 3 8 6 3" xfId="27555" xr:uid="{00000000-0005-0000-0000-0000EC9A0000}"/>
    <cellStyle name="Normal 3 8 6 3 2" xfId="46744" xr:uid="{00000000-0005-0000-0000-0000ED9A0000}"/>
    <cellStyle name="Normal 3 8 6 4" xfId="37046" xr:uid="{00000000-0005-0000-0000-0000EE9A0000}"/>
    <cellStyle name="Normal 3 8 7" xfId="17744" xr:uid="{00000000-0005-0000-0000-0000EF9A0000}"/>
    <cellStyle name="Normal 3 8 7 2" xfId="28112" xr:uid="{00000000-0005-0000-0000-0000F09A0000}"/>
    <cellStyle name="Normal 3 8 7 2 2" xfId="47301" xr:uid="{00000000-0005-0000-0000-0000F19A0000}"/>
    <cellStyle name="Normal 3 8 7 3" xfId="37603" xr:uid="{00000000-0005-0000-0000-0000F29A0000}"/>
    <cellStyle name="Normal 3 8 8" xfId="23518" xr:uid="{00000000-0005-0000-0000-0000F39A0000}"/>
    <cellStyle name="Normal 3 8 8 2" xfId="42846" xr:uid="{00000000-0005-0000-0000-0000F49A0000}"/>
    <cellStyle name="Normal 3 8 9" xfId="33148" xr:uid="{00000000-0005-0000-0000-0000F59A0000}"/>
    <cellStyle name="Normal 3 9" xfId="4010" xr:uid="{00000000-0005-0000-0000-0000F69A0000}"/>
    <cellStyle name="Normal 3 9 10" xfId="53286" xr:uid="{00000000-0005-0000-0000-0000F79A0000}"/>
    <cellStyle name="Normal 3 9 11" xfId="12871" xr:uid="{00000000-0005-0000-0000-0000F89A0000}"/>
    <cellStyle name="Normal 3 9 2" xfId="13836" xr:uid="{00000000-0005-0000-0000-0000F99A0000}"/>
    <cellStyle name="Normal 3 9 2 2" xfId="16100" xr:uid="{00000000-0005-0000-0000-0000FA9A0000}"/>
    <cellStyle name="Normal 3 9 2 2 2" xfId="20564" xr:uid="{00000000-0005-0000-0000-0000FB9A0000}"/>
    <cellStyle name="Normal 3 9 2 2 2 2" xfId="30932" xr:uid="{00000000-0005-0000-0000-0000FC9A0000}"/>
    <cellStyle name="Normal 3 9 2 2 2 2 2" xfId="50121" xr:uid="{00000000-0005-0000-0000-0000FD9A0000}"/>
    <cellStyle name="Normal 3 9 2 2 2 3" xfId="40423" xr:uid="{00000000-0005-0000-0000-0000FE9A0000}"/>
    <cellStyle name="Normal 3 9 2 2 3" xfId="26477" xr:uid="{00000000-0005-0000-0000-0000FF9A0000}"/>
    <cellStyle name="Normal 3 9 2 2 3 2" xfId="45666" xr:uid="{00000000-0005-0000-0000-0000009B0000}"/>
    <cellStyle name="Normal 3 9 2 2 4" xfId="35968" xr:uid="{00000000-0005-0000-0000-0000019B0000}"/>
    <cellStyle name="Normal 3 9 2 3" xfId="18336" xr:uid="{00000000-0005-0000-0000-0000029B0000}"/>
    <cellStyle name="Normal 3 9 2 3 2" xfId="28704" xr:uid="{00000000-0005-0000-0000-0000039B0000}"/>
    <cellStyle name="Normal 3 9 2 3 2 2" xfId="47893" xr:uid="{00000000-0005-0000-0000-0000049B0000}"/>
    <cellStyle name="Normal 3 9 2 3 3" xfId="38195" xr:uid="{00000000-0005-0000-0000-0000059B0000}"/>
    <cellStyle name="Normal 3 9 2 4" xfId="24244" xr:uid="{00000000-0005-0000-0000-0000069B0000}"/>
    <cellStyle name="Normal 3 9 2 4 2" xfId="43438" xr:uid="{00000000-0005-0000-0000-0000079B0000}"/>
    <cellStyle name="Normal 3 9 2 5" xfId="33740" xr:uid="{00000000-0005-0000-0000-0000089B0000}"/>
    <cellStyle name="Normal 3 9 2 6" xfId="54138" xr:uid="{00000000-0005-0000-0000-0000099B0000}"/>
    <cellStyle name="Normal 3 9 3" xfId="14415" xr:uid="{00000000-0005-0000-0000-00000A9B0000}"/>
    <cellStyle name="Normal 3 9 3 2" xfId="15544" xr:uid="{00000000-0005-0000-0000-00000B9B0000}"/>
    <cellStyle name="Normal 3 9 3 2 2" xfId="20008" xr:uid="{00000000-0005-0000-0000-00000C9B0000}"/>
    <cellStyle name="Normal 3 9 3 2 2 2" xfId="30376" xr:uid="{00000000-0005-0000-0000-00000D9B0000}"/>
    <cellStyle name="Normal 3 9 3 2 2 2 2" xfId="49565" xr:uid="{00000000-0005-0000-0000-00000E9B0000}"/>
    <cellStyle name="Normal 3 9 3 2 2 3" xfId="39867" xr:uid="{00000000-0005-0000-0000-00000F9B0000}"/>
    <cellStyle name="Normal 3 9 3 2 3" xfId="25921" xr:uid="{00000000-0005-0000-0000-0000109B0000}"/>
    <cellStyle name="Normal 3 9 3 2 3 2" xfId="45110" xr:uid="{00000000-0005-0000-0000-0000119B0000}"/>
    <cellStyle name="Normal 3 9 3 2 4" xfId="35412" xr:uid="{00000000-0005-0000-0000-0000129B0000}"/>
    <cellStyle name="Normal 3 9 3 3" xfId="18893" xr:uid="{00000000-0005-0000-0000-0000139B0000}"/>
    <cellStyle name="Normal 3 9 3 3 2" xfId="29261" xr:uid="{00000000-0005-0000-0000-0000149B0000}"/>
    <cellStyle name="Normal 3 9 3 3 2 2" xfId="48450" xr:uid="{00000000-0005-0000-0000-0000159B0000}"/>
    <cellStyle name="Normal 3 9 3 3 3" xfId="38752" xr:uid="{00000000-0005-0000-0000-0000169B0000}"/>
    <cellStyle name="Normal 3 9 3 4" xfId="24806" xr:uid="{00000000-0005-0000-0000-0000179B0000}"/>
    <cellStyle name="Normal 3 9 3 4 2" xfId="43995" xr:uid="{00000000-0005-0000-0000-0000189B0000}"/>
    <cellStyle name="Normal 3 9 3 5" xfId="34297" xr:uid="{00000000-0005-0000-0000-0000199B0000}"/>
    <cellStyle name="Normal 3 9 4" xfId="14987" xr:uid="{00000000-0005-0000-0000-00001A9B0000}"/>
    <cellStyle name="Normal 3 9 4 2" xfId="19451" xr:uid="{00000000-0005-0000-0000-00001B9B0000}"/>
    <cellStyle name="Normal 3 9 4 2 2" xfId="29819" xr:uid="{00000000-0005-0000-0000-00001C9B0000}"/>
    <cellStyle name="Normal 3 9 4 2 2 2" xfId="49008" xr:uid="{00000000-0005-0000-0000-00001D9B0000}"/>
    <cellStyle name="Normal 3 9 4 2 3" xfId="39310" xr:uid="{00000000-0005-0000-0000-00001E9B0000}"/>
    <cellStyle name="Normal 3 9 4 3" xfId="25364" xr:uid="{00000000-0005-0000-0000-00001F9B0000}"/>
    <cellStyle name="Normal 3 9 4 3 2" xfId="44553" xr:uid="{00000000-0005-0000-0000-0000209B0000}"/>
    <cellStyle name="Normal 3 9 4 4" xfId="34855" xr:uid="{00000000-0005-0000-0000-0000219B0000}"/>
    <cellStyle name="Normal 3 9 5" xfId="16657" xr:uid="{00000000-0005-0000-0000-0000229B0000}"/>
    <cellStyle name="Normal 3 9 5 2" xfId="21121" xr:uid="{00000000-0005-0000-0000-0000239B0000}"/>
    <cellStyle name="Normal 3 9 5 2 2" xfId="31489" xr:uid="{00000000-0005-0000-0000-0000249B0000}"/>
    <cellStyle name="Normal 3 9 5 2 2 2" xfId="50678" xr:uid="{00000000-0005-0000-0000-0000259B0000}"/>
    <cellStyle name="Normal 3 9 5 2 3" xfId="40980" xr:uid="{00000000-0005-0000-0000-0000269B0000}"/>
    <cellStyle name="Normal 3 9 5 3" xfId="27034" xr:uid="{00000000-0005-0000-0000-0000279B0000}"/>
    <cellStyle name="Normal 3 9 5 3 2" xfId="46223" xr:uid="{00000000-0005-0000-0000-0000289B0000}"/>
    <cellStyle name="Normal 3 9 5 4" xfId="36525" xr:uid="{00000000-0005-0000-0000-0000299B0000}"/>
    <cellStyle name="Normal 3 9 6" xfId="17223" xr:uid="{00000000-0005-0000-0000-00002A9B0000}"/>
    <cellStyle name="Normal 3 9 6 2" xfId="21678" xr:uid="{00000000-0005-0000-0000-00002B9B0000}"/>
    <cellStyle name="Normal 3 9 6 2 2" xfId="32046" xr:uid="{00000000-0005-0000-0000-00002C9B0000}"/>
    <cellStyle name="Normal 3 9 6 2 2 2" xfId="51235" xr:uid="{00000000-0005-0000-0000-00002D9B0000}"/>
    <cellStyle name="Normal 3 9 6 2 3" xfId="41537" xr:uid="{00000000-0005-0000-0000-00002E9B0000}"/>
    <cellStyle name="Normal 3 9 6 3" xfId="27591" xr:uid="{00000000-0005-0000-0000-00002F9B0000}"/>
    <cellStyle name="Normal 3 9 6 3 2" xfId="46780" xr:uid="{00000000-0005-0000-0000-0000309B0000}"/>
    <cellStyle name="Normal 3 9 6 4" xfId="37082" xr:uid="{00000000-0005-0000-0000-0000319B0000}"/>
    <cellStyle name="Normal 3 9 7" xfId="17780" xr:uid="{00000000-0005-0000-0000-0000329B0000}"/>
    <cellStyle name="Normal 3 9 7 2" xfId="28148" xr:uid="{00000000-0005-0000-0000-0000339B0000}"/>
    <cellStyle name="Normal 3 9 7 2 2" xfId="47337" xr:uid="{00000000-0005-0000-0000-0000349B0000}"/>
    <cellStyle name="Normal 3 9 7 3" xfId="37639" xr:uid="{00000000-0005-0000-0000-0000359B0000}"/>
    <cellStyle name="Normal 3 9 8" xfId="23639" xr:uid="{00000000-0005-0000-0000-0000369B0000}"/>
    <cellStyle name="Normal 3 9 8 2" xfId="42882" xr:uid="{00000000-0005-0000-0000-0000379B0000}"/>
    <cellStyle name="Normal 3 9 9" xfId="33184" xr:uid="{00000000-0005-0000-0000-0000389B0000}"/>
    <cellStyle name="Normal 30" xfId="1186" xr:uid="{00000000-0005-0000-0000-0000399B0000}"/>
    <cellStyle name="Normal 30 10" xfId="4012" xr:uid="{00000000-0005-0000-0000-00003A9B0000}"/>
    <cellStyle name="Normal 30 100" xfId="4013" xr:uid="{00000000-0005-0000-0000-00003B9B0000}"/>
    <cellStyle name="Normal 30 101" xfId="4014" xr:uid="{00000000-0005-0000-0000-00003C9B0000}"/>
    <cellStyle name="Normal 30 102" xfId="4015" xr:uid="{00000000-0005-0000-0000-00003D9B0000}"/>
    <cellStyle name="Normal 30 103" xfId="4016" xr:uid="{00000000-0005-0000-0000-00003E9B0000}"/>
    <cellStyle name="Normal 30 104" xfId="4017" xr:uid="{00000000-0005-0000-0000-00003F9B0000}"/>
    <cellStyle name="Normal 30 105" xfId="4018" xr:uid="{00000000-0005-0000-0000-0000409B0000}"/>
    <cellStyle name="Normal 30 106" xfId="4019" xr:uid="{00000000-0005-0000-0000-0000419B0000}"/>
    <cellStyle name="Normal 30 107" xfId="4020" xr:uid="{00000000-0005-0000-0000-0000429B0000}"/>
    <cellStyle name="Normal 30 108" xfId="4021" xr:uid="{00000000-0005-0000-0000-0000439B0000}"/>
    <cellStyle name="Normal 30 109" xfId="4022" xr:uid="{00000000-0005-0000-0000-0000449B0000}"/>
    <cellStyle name="Normal 30 11" xfId="4023" xr:uid="{00000000-0005-0000-0000-0000459B0000}"/>
    <cellStyle name="Normal 30 110" xfId="4011" xr:uid="{00000000-0005-0000-0000-0000469B0000}"/>
    <cellStyle name="Normal 30 111" xfId="6288" xr:uid="{00000000-0005-0000-0000-0000479B0000}"/>
    <cellStyle name="Normal 30 112" xfId="13486" xr:uid="{00000000-0005-0000-0000-0000489B0000}"/>
    <cellStyle name="Normal 30 12" xfId="4024" xr:uid="{00000000-0005-0000-0000-0000499B0000}"/>
    <cellStyle name="Normal 30 13" xfId="4025" xr:uid="{00000000-0005-0000-0000-00004A9B0000}"/>
    <cellStyle name="Normal 30 14" xfId="4026" xr:uid="{00000000-0005-0000-0000-00004B9B0000}"/>
    <cellStyle name="Normal 30 15" xfId="4027" xr:uid="{00000000-0005-0000-0000-00004C9B0000}"/>
    <cellStyle name="Normal 30 16" xfId="4028" xr:uid="{00000000-0005-0000-0000-00004D9B0000}"/>
    <cellStyle name="Normal 30 17" xfId="4029" xr:uid="{00000000-0005-0000-0000-00004E9B0000}"/>
    <cellStyle name="Normal 30 18" xfId="4030" xr:uid="{00000000-0005-0000-0000-00004F9B0000}"/>
    <cellStyle name="Normal 30 19" xfId="4031" xr:uid="{00000000-0005-0000-0000-0000509B0000}"/>
    <cellStyle name="Normal 30 2" xfId="4032" xr:uid="{00000000-0005-0000-0000-0000519B0000}"/>
    <cellStyle name="Normal 30 2 2" xfId="32815" xr:uid="{00000000-0005-0000-0000-0000529B0000}"/>
    <cellStyle name="Normal 30 2 2 2" xfId="52002" xr:uid="{00000000-0005-0000-0000-0000539B0000}"/>
    <cellStyle name="Normal 30 2 3" xfId="42304" xr:uid="{00000000-0005-0000-0000-0000549B0000}"/>
    <cellStyle name="Normal 30 2 4" xfId="22729" xr:uid="{00000000-0005-0000-0000-0000559B0000}"/>
    <cellStyle name="Normal 30 20" xfId="4033" xr:uid="{00000000-0005-0000-0000-0000569B0000}"/>
    <cellStyle name="Normal 30 21" xfId="4034" xr:uid="{00000000-0005-0000-0000-0000579B0000}"/>
    <cellStyle name="Normal 30 22" xfId="4035" xr:uid="{00000000-0005-0000-0000-0000589B0000}"/>
    <cellStyle name="Normal 30 23" xfId="4036" xr:uid="{00000000-0005-0000-0000-0000599B0000}"/>
    <cellStyle name="Normal 30 24" xfId="4037" xr:uid="{00000000-0005-0000-0000-00005A9B0000}"/>
    <cellStyle name="Normal 30 25" xfId="4038" xr:uid="{00000000-0005-0000-0000-00005B9B0000}"/>
    <cellStyle name="Normal 30 26" xfId="4039" xr:uid="{00000000-0005-0000-0000-00005C9B0000}"/>
    <cellStyle name="Normal 30 27" xfId="4040" xr:uid="{00000000-0005-0000-0000-00005D9B0000}"/>
    <cellStyle name="Normal 30 28" xfId="4041" xr:uid="{00000000-0005-0000-0000-00005E9B0000}"/>
    <cellStyle name="Normal 30 29" xfId="4042" xr:uid="{00000000-0005-0000-0000-00005F9B0000}"/>
    <cellStyle name="Normal 30 3" xfId="4043" xr:uid="{00000000-0005-0000-0000-0000609B0000}"/>
    <cellStyle name="Normal 30 3 2" xfId="24171" xr:uid="{00000000-0005-0000-0000-0000619B0000}"/>
    <cellStyle name="Normal 30 30" xfId="4044" xr:uid="{00000000-0005-0000-0000-0000629B0000}"/>
    <cellStyle name="Normal 30 31" xfId="4045" xr:uid="{00000000-0005-0000-0000-0000639B0000}"/>
    <cellStyle name="Normal 30 32" xfId="4046" xr:uid="{00000000-0005-0000-0000-0000649B0000}"/>
    <cellStyle name="Normal 30 33" xfId="4047" xr:uid="{00000000-0005-0000-0000-0000659B0000}"/>
    <cellStyle name="Normal 30 34" xfId="4048" xr:uid="{00000000-0005-0000-0000-0000669B0000}"/>
    <cellStyle name="Normal 30 35" xfId="4049" xr:uid="{00000000-0005-0000-0000-0000679B0000}"/>
    <cellStyle name="Normal 30 36" xfId="4050" xr:uid="{00000000-0005-0000-0000-0000689B0000}"/>
    <cellStyle name="Normal 30 37" xfId="4051" xr:uid="{00000000-0005-0000-0000-0000699B0000}"/>
    <cellStyle name="Normal 30 38" xfId="4052" xr:uid="{00000000-0005-0000-0000-00006A9B0000}"/>
    <cellStyle name="Normal 30 39" xfId="4053" xr:uid="{00000000-0005-0000-0000-00006B9B0000}"/>
    <cellStyle name="Normal 30 4" xfId="4054" xr:uid="{00000000-0005-0000-0000-00006C9B0000}"/>
    <cellStyle name="Normal 30 4 2" xfId="42657" xr:uid="{00000000-0005-0000-0000-00006D9B0000}"/>
    <cellStyle name="Normal 30 4 3" xfId="23088" xr:uid="{00000000-0005-0000-0000-00006E9B0000}"/>
    <cellStyle name="Normal 30 40" xfId="4055" xr:uid="{00000000-0005-0000-0000-00006F9B0000}"/>
    <cellStyle name="Normal 30 41" xfId="4056" xr:uid="{00000000-0005-0000-0000-0000709B0000}"/>
    <cellStyle name="Normal 30 42" xfId="4057" xr:uid="{00000000-0005-0000-0000-0000719B0000}"/>
    <cellStyle name="Normal 30 43" xfId="4058" xr:uid="{00000000-0005-0000-0000-0000729B0000}"/>
    <cellStyle name="Normal 30 44" xfId="4059" xr:uid="{00000000-0005-0000-0000-0000739B0000}"/>
    <cellStyle name="Normal 30 45" xfId="4060" xr:uid="{00000000-0005-0000-0000-0000749B0000}"/>
    <cellStyle name="Normal 30 46" xfId="4061" xr:uid="{00000000-0005-0000-0000-0000759B0000}"/>
    <cellStyle name="Normal 30 47" xfId="4062" xr:uid="{00000000-0005-0000-0000-0000769B0000}"/>
    <cellStyle name="Normal 30 48" xfId="4063" xr:uid="{00000000-0005-0000-0000-0000779B0000}"/>
    <cellStyle name="Normal 30 49" xfId="4064" xr:uid="{00000000-0005-0000-0000-0000789B0000}"/>
    <cellStyle name="Normal 30 5" xfId="4065" xr:uid="{00000000-0005-0000-0000-0000799B0000}"/>
    <cellStyle name="Normal 30 50" xfId="4066" xr:uid="{00000000-0005-0000-0000-00007A9B0000}"/>
    <cellStyle name="Normal 30 51" xfId="4067" xr:uid="{00000000-0005-0000-0000-00007B9B0000}"/>
    <cellStyle name="Normal 30 52" xfId="4068" xr:uid="{00000000-0005-0000-0000-00007C9B0000}"/>
    <cellStyle name="Normal 30 53" xfId="4069" xr:uid="{00000000-0005-0000-0000-00007D9B0000}"/>
    <cellStyle name="Normal 30 54" xfId="4070" xr:uid="{00000000-0005-0000-0000-00007E9B0000}"/>
    <cellStyle name="Normal 30 55" xfId="4071" xr:uid="{00000000-0005-0000-0000-00007F9B0000}"/>
    <cellStyle name="Normal 30 56" xfId="4072" xr:uid="{00000000-0005-0000-0000-0000809B0000}"/>
    <cellStyle name="Normal 30 57" xfId="4073" xr:uid="{00000000-0005-0000-0000-0000819B0000}"/>
    <cellStyle name="Normal 30 58" xfId="4074" xr:uid="{00000000-0005-0000-0000-0000829B0000}"/>
    <cellStyle name="Normal 30 59" xfId="4075" xr:uid="{00000000-0005-0000-0000-0000839B0000}"/>
    <cellStyle name="Normal 30 6" xfId="4076" xr:uid="{00000000-0005-0000-0000-0000849B0000}"/>
    <cellStyle name="Normal 30 60" xfId="4077" xr:uid="{00000000-0005-0000-0000-0000859B0000}"/>
    <cellStyle name="Normal 30 61" xfId="4078" xr:uid="{00000000-0005-0000-0000-0000869B0000}"/>
    <cellStyle name="Normal 30 62" xfId="4079" xr:uid="{00000000-0005-0000-0000-0000879B0000}"/>
    <cellStyle name="Normal 30 63" xfId="4080" xr:uid="{00000000-0005-0000-0000-0000889B0000}"/>
    <cellStyle name="Normal 30 64" xfId="4081" xr:uid="{00000000-0005-0000-0000-0000899B0000}"/>
    <cellStyle name="Normal 30 65" xfId="4082" xr:uid="{00000000-0005-0000-0000-00008A9B0000}"/>
    <cellStyle name="Normal 30 66" xfId="4083" xr:uid="{00000000-0005-0000-0000-00008B9B0000}"/>
    <cellStyle name="Normal 30 67" xfId="4084" xr:uid="{00000000-0005-0000-0000-00008C9B0000}"/>
    <cellStyle name="Normal 30 68" xfId="4085" xr:uid="{00000000-0005-0000-0000-00008D9B0000}"/>
    <cellStyle name="Normal 30 69" xfId="4086" xr:uid="{00000000-0005-0000-0000-00008E9B0000}"/>
    <cellStyle name="Normal 30 7" xfId="4087" xr:uid="{00000000-0005-0000-0000-00008F9B0000}"/>
    <cellStyle name="Normal 30 70" xfId="4088" xr:uid="{00000000-0005-0000-0000-0000909B0000}"/>
    <cellStyle name="Normal 30 71" xfId="4089" xr:uid="{00000000-0005-0000-0000-0000919B0000}"/>
    <cellStyle name="Normal 30 72" xfId="4090" xr:uid="{00000000-0005-0000-0000-0000929B0000}"/>
    <cellStyle name="Normal 30 73" xfId="4091" xr:uid="{00000000-0005-0000-0000-0000939B0000}"/>
    <cellStyle name="Normal 30 74" xfId="4092" xr:uid="{00000000-0005-0000-0000-0000949B0000}"/>
    <cellStyle name="Normal 30 75" xfId="4093" xr:uid="{00000000-0005-0000-0000-0000959B0000}"/>
    <cellStyle name="Normal 30 76" xfId="4094" xr:uid="{00000000-0005-0000-0000-0000969B0000}"/>
    <cellStyle name="Normal 30 77" xfId="4095" xr:uid="{00000000-0005-0000-0000-0000979B0000}"/>
    <cellStyle name="Normal 30 78" xfId="4096" xr:uid="{00000000-0005-0000-0000-0000989B0000}"/>
    <cellStyle name="Normal 30 79" xfId="4097" xr:uid="{00000000-0005-0000-0000-0000999B0000}"/>
    <cellStyle name="Normal 30 8" xfId="4098" xr:uid="{00000000-0005-0000-0000-00009A9B0000}"/>
    <cellStyle name="Normal 30 80" xfId="4099" xr:uid="{00000000-0005-0000-0000-00009B9B0000}"/>
    <cellStyle name="Normal 30 81" xfId="4100" xr:uid="{00000000-0005-0000-0000-00009C9B0000}"/>
    <cellStyle name="Normal 30 82" xfId="4101" xr:uid="{00000000-0005-0000-0000-00009D9B0000}"/>
    <cellStyle name="Normal 30 83" xfId="4102" xr:uid="{00000000-0005-0000-0000-00009E9B0000}"/>
    <cellStyle name="Normal 30 84" xfId="4103" xr:uid="{00000000-0005-0000-0000-00009F9B0000}"/>
    <cellStyle name="Normal 30 85" xfId="4104" xr:uid="{00000000-0005-0000-0000-0000A09B0000}"/>
    <cellStyle name="Normal 30 86" xfId="4105" xr:uid="{00000000-0005-0000-0000-0000A19B0000}"/>
    <cellStyle name="Normal 30 87" xfId="4106" xr:uid="{00000000-0005-0000-0000-0000A29B0000}"/>
    <cellStyle name="Normal 30 88" xfId="4107" xr:uid="{00000000-0005-0000-0000-0000A39B0000}"/>
    <cellStyle name="Normal 30 89" xfId="4108" xr:uid="{00000000-0005-0000-0000-0000A49B0000}"/>
    <cellStyle name="Normal 30 9" xfId="4109" xr:uid="{00000000-0005-0000-0000-0000A59B0000}"/>
    <cellStyle name="Normal 30 90" xfId="4110" xr:uid="{00000000-0005-0000-0000-0000A69B0000}"/>
    <cellStyle name="Normal 30 91" xfId="4111" xr:uid="{00000000-0005-0000-0000-0000A79B0000}"/>
    <cellStyle name="Normal 30 92" xfId="4112" xr:uid="{00000000-0005-0000-0000-0000A89B0000}"/>
    <cellStyle name="Normal 30 93" xfId="4113" xr:uid="{00000000-0005-0000-0000-0000A99B0000}"/>
    <cellStyle name="Normal 30 94" xfId="4114" xr:uid="{00000000-0005-0000-0000-0000AA9B0000}"/>
    <cellStyle name="Normal 30 95" xfId="4115" xr:uid="{00000000-0005-0000-0000-0000AB9B0000}"/>
    <cellStyle name="Normal 30 96" xfId="4116" xr:uid="{00000000-0005-0000-0000-0000AC9B0000}"/>
    <cellStyle name="Normal 30 97" xfId="4117" xr:uid="{00000000-0005-0000-0000-0000AD9B0000}"/>
    <cellStyle name="Normal 30 98" xfId="4118" xr:uid="{00000000-0005-0000-0000-0000AE9B0000}"/>
    <cellStyle name="Normal 30 99" xfId="4119" xr:uid="{00000000-0005-0000-0000-0000AF9B0000}"/>
    <cellStyle name="Normal 31" xfId="15" xr:uid="{00000000-0005-0000-0000-0000B09B0000}"/>
    <cellStyle name="Normal 31 10" xfId="4121" xr:uid="{00000000-0005-0000-0000-0000B19B0000}"/>
    <cellStyle name="Normal 31 100" xfId="4122" xr:uid="{00000000-0005-0000-0000-0000B29B0000}"/>
    <cellStyle name="Normal 31 101" xfId="4123" xr:uid="{00000000-0005-0000-0000-0000B39B0000}"/>
    <cellStyle name="Normal 31 102" xfId="4124" xr:uid="{00000000-0005-0000-0000-0000B49B0000}"/>
    <cellStyle name="Normal 31 103" xfId="4125" xr:uid="{00000000-0005-0000-0000-0000B59B0000}"/>
    <cellStyle name="Normal 31 104" xfId="4126" xr:uid="{00000000-0005-0000-0000-0000B69B0000}"/>
    <cellStyle name="Normal 31 105" xfId="4127" xr:uid="{00000000-0005-0000-0000-0000B79B0000}"/>
    <cellStyle name="Normal 31 106" xfId="4128" xr:uid="{00000000-0005-0000-0000-0000B89B0000}"/>
    <cellStyle name="Normal 31 107" xfId="4129" xr:uid="{00000000-0005-0000-0000-0000B99B0000}"/>
    <cellStyle name="Normal 31 108" xfId="4130" xr:uid="{00000000-0005-0000-0000-0000BA9B0000}"/>
    <cellStyle name="Normal 31 109" xfId="4131" xr:uid="{00000000-0005-0000-0000-0000BB9B0000}"/>
    <cellStyle name="Normal 31 11" xfId="4132" xr:uid="{00000000-0005-0000-0000-0000BC9B0000}"/>
    <cellStyle name="Normal 31 110" xfId="4120" xr:uid="{00000000-0005-0000-0000-0000BD9B0000}"/>
    <cellStyle name="Normal 31 111" xfId="6769" xr:uid="{00000000-0005-0000-0000-0000BE9B0000}"/>
    <cellStyle name="Normal 31 112" xfId="13444" xr:uid="{00000000-0005-0000-0000-0000BF9B0000}"/>
    <cellStyle name="Normal 31 12" xfId="4133" xr:uid="{00000000-0005-0000-0000-0000C09B0000}"/>
    <cellStyle name="Normal 31 13" xfId="4134" xr:uid="{00000000-0005-0000-0000-0000C19B0000}"/>
    <cellStyle name="Normal 31 14" xfId="4135" xr:uid="{00000000-0005-0000-0000-0000C29B0000}"/>
    <cellStyle name="Normal 31 15" xfId="4136" xr:uid="{00000000-0005-0000-0000-0000C39B0000}"/>
    <cellStyle name="Normal 31 16" xfId="4137" xr:uid="{00000000-0005-0000-0000-0000C49B0000}"/>
    <cellStyle name="Normal 31 17" xfId="4138" xr:uid="{00000000-0005-0000-0000-0000C59B0000}"/>
    <cellStyle name="Normal 31 18" xfId="4139" xr:uid="{00000000-0005-0000-0000-0000C69B0000}"/>
    <cellStyle name="Normal 31 19" xfId="4140" xr:uid="{00000000-0005-0000-0000-0000C79B0000}"/>
    <cellStyle name="Normal 31 2" xfId="4141" xr:uid="{00000000-0005-0000-0000-0000C89B0000}"/>
    <cellStyle name="Normal 31 2 2" xfId="32829" xr:uid="{00000000-0005-0000-0000-0000C99B0000}"/>
    <cellStyle name="Normal 31 2 2 2" xfId="52015" xr:uid="{00000000-0005-0000-0000-0000CA9B0000}"/>
    <cellStyle name="Normal 31 2 3" xfId="42317" xr:uid="{00000000-0005-0000-0000-0000CB9B0000}"/>
    <cellStyle name="Normal 31 2 4" xfId="22745" xr:uid="{00000000-0005-0000-0000-0000CC9B0000}"/>
    <cellStyle name="Normal 31 20" xfId="4142" xr:uid="{00000000-0005-0000-0000-0000CD9B0000}"/>
    <cellStyle name="Normal 31 21" xfId="4143" xr:uid="{00000000-0005-0000-0000-0000CE9B0000}"/>
    <cellStyle name="Normal 31 22" xfId="4144" xr:uid="{00000000-0005-0000-0000-0000CF9B0000}"/>
    <cellStyle name="Normal 31 23" xfId="4145" xr:uid="{00000000-0005-0000-0000-0000D09B0000}"/>
    <cellStyle name="Normal 31 24" xfId="4146" xr:uid="{00000000-0005-0000-0000-0000D19B0000}"/>
    <cellStyle name="Normal 31 25" xfId="4147" xr:uid="{00000000-0005-0000-0000-0000D29B0000}"/>
    <cellStyle name="Normal 31 26" xfId="4148" xr:uid="{00000000-0005-0000-0000-0000D39B0000}"/>
    <cellStyle name="Normal 31 27" xfId="4149" xr:uid="{00000000-0005-0000-0000-0000D49B0000}"/>
    <cellStyle name="Normal 31 28" xfId="4150" xr:uid="{00000000-0005-0000-0000-0000D59B0000}"/>
    <cellStyle name="Normal 31 29" xfId="4151" xr:uid="{00000000-0005-0000-0000-0000D69B0000}"/>
    <cellStyle name="Normal 31 3" xfId="4152" xr:uid="{00000000-0005-0000-0000-0000D79B0000}"/>
    <cellStyle name="Normal 31 3 2" xfId="24127" xr:uid="{00000000-0005-0000-0000-0000D89B0000}"/>
    <cellStyle name="Normal 31 30" xfId="4153" xr:uid="{00000000-0005-0000-0000-0000D99B0000}"/>
    <cellStyle name="Normal 31 31" xfId="4154" xr:uid="{00000000-0005-0000-0000-0000DA9B0000}"/>
    <cellStyle name="Normal 31 32" xfId="4155" xr:uid="{00000000-0005-0000-0000-0000DB9B0000}"/>
    <cellStyle name="Normal 31 33" xfId="4156" xr:uid="{00000000-0005-0000-0000-0000DC9B0000}"/>
    <cellStyle name="Normal 31 34" xfId="4157" xr:uid="{00000000-0005-0000-0000-0000DD9B0000}"/>
    <cellStyle name="Normal 31 35" xfId="4158" xr:uid="{00000000-0005-0000-0000-0000DE9B0000}"/>
    <cellStyle name="Normal 31 36" xfId="4159" xr:uid="{00000000-0005-0000-0000-0000DF9B0000}"/>
    <cellStyle name="Normal 31 37" xfId="4160" xr:uid="{00000000-0005-0000-0000-0000E09B0000}"/>
    <cellStyle name="Normal 31 38" xfId="4161" xr:uid="{00000000-0005-0000-0000-0000E19B0000}"/>
    <cellStyle name="Normal 31 39" xfId="4162" xr:uid="{00000000-0005-0000-0000-0000E29B0000}"/>
    <cellStyle name="Normal 31 4" xfId="4163" xr:uid="{00000000-0005-0000-0000-0000E39B0000}"/>
    <cellStyle name="Normal 31 4 2" xfId="42670" xr:uid="{00000000-0005-0000-0000-0000E49B0000}"/>
    <cellStyle name="Normal 31 4 3" xfId="23102" xr:uid="{00000000-0005-0000-0000-0000E59B0000}"/>
    <cellStyle name="Normal 31 40" xfId="4164" xr:uid="{00000000-0005-0000-0000-0000E69B0000}"/>
    <cellStyle name="Normal 31 41" xfId="4165" xr:uid="{00000000-0005-0000-0000-0000E79B0000}"/>
    <cellStyle name="Normal 31 42" xfId="4166" xr:uid="{00000000-0005-0000-0000-0000E89B0000}"/>
    <cellStyle name="Normal 31 43" xfId="4167" xr:uid="{00000000-0005-0000-0000-0000E99B0000}"/>
    <cellStyle name="Normal 31 44" xfId="4168" xr:uid="{00000000-0005-0000-0000-0000EA9B0000}"/>
    <cellStyle name="Normal 31 45" xfId="4169" xr:uid="{00000000-0005-0000-0000-0000EB9B0000}"/>
    <cellStyle name="Normal 31 46" xfId="4170" xr:uid="{00000000-0005-0000-0000-0000EC9B0000}"/>
    <cellStyle name="Normal 31 47" xfId="4171" xr:uid="{00000000-0005-0000-0000-0000ED9B0000}"/>
    <cellStyle name="Normal 31 48" xfId="4172" xr:uid="{00000000-0005-0000-0000-0000EE9B0000}"/>
    <cellStyle name="Normal 31 49" xfId="4173" xr:uid="{00000000-0005-0000-0000-0000EF9B0000}"/>
    <cellStyle name="Normal 31 5" xfId="4174" xr:uid="{00000000-0005-0000-0000-0000F09B0000}"/>
    <cellStyle name="Normal 31 50" xfId="4175" xr:uid="{00000000-0005-0000-0000-0000F19B0000}"/>
    <cellStyle name="Normal 31 51" xfId="4176" xr:uid="{00000000-0005-0000-0000-0000F29B0000}"/>
    <cellStyle name="Normal 31 52" xfId="4177" xr:uid="{00000000-0005-0000-0000-0000F39B0000}"/>
    <cellStyle name="Normal 31 53" xfId="4178" xr:uid="{00000000-0005-0000-0000-0000F49B0000}"/>
    <cellStyle name="Normal 31 54" xfId="4179" xr:uid="{00000000-0005-0000-0000-0000F59B0000}"/>
    <cellStyle name="Normal 31 55" xfId="4180" xr:uid="{00000000-0005-0000-0000-0000F69B0000}"/>
    <cellStyle name="Normal 31 56" xfId="4181" xr:uid="{00000000-0005-0000-0000-0000F79B0000}"/>
    <cellStyle name="Normal 31 57" xfId="4182" xr:uid="{00000000-0005-0000-0000-0000F89B0000}"/>
    <cellStyle name="Normal 31 58" xfId="4183" xr:uid="{00000000-0005-0000-0000-0000F99B0000}"/>
    <cellStyle name="Normal 31 59" xfId="4184" xr:uid="{00000000-0005-0000-0000-0000FA9B0000}"/>
    <cellStyle name="Normal 31 6" xfId="4185" xr:uid="{00000000-0005-0000-0000-0000FB9B0000}"/>
    <cellStyle name="Normal 31 60" xfId="4186" xr:uid="{00000000-0005-0000-0000-0000FC9B0000}"/>
    <cellStyle name="Normal 31 61" xfId="4187" xr:uid="{00000000-0005-0000-0000-0000FD9B0000}"/>
    <cellStyle name="Normal 31 62" xfId="4188" xr:uid="{00000000-0005-0000-0000-0000FE9B0000}"/>
    <cellStyle name="Normal 31 63" xfId="4189" xr:uid="{00000000-0005-0000-0000-0000FF9B0000}"/>
    <cellStyle name="Normal 31 64" xfId="4190" xr:uid="{00000000-0005-0000-0000-0000009C0000}"/>
    <cellStyle name="Normal 31 65" xfId="4191" xr:uid="{00000000-0005-0000-0000-0000019C0000}"/>
    <cellStyle name="Normal 31 66" xfId="4192" xr:uid="{00000000-0005-0000-0000-0000029C0000}"/>
    <cellStyle name="Normal 31 67" xfId="4193" xr:uid="{00000000-0005-0000-0000-0000039C0000}"/>
    <cellStyle name="Normal 31 68" xfId="4194" xr:uid="{00000000-0005-0000-0000-0000049C0000}"/>
    <cellStyle name="Normal 31 69" xfId="4195" xr:uid="{00000000-0005-0000-0000-0000059C0000}"/>
    <cellStyle name="Normal 31 7" xfId="4196" xr:uid="{00000000-0005-0000-0000-0000069C0000}"/>
    <cellStyle name="Normal 31 70" xfId="4197" xr:uid="{00000000-0005-0000-0000-0000079C0000}"/>
    <cellStyle name="Normal 31 71" xfId="4198" xr:uid="{00000000-0005-0000-0000-0000089C0000}"/>
    <cellStyle name="Normal 31 72" xfId="4199" xr:uid="{00000000-0005-0000-0000-0000099C0000}"/>
    <cellStyle name="Normal 31 73" xfId="4200" xr:uid="{00000000-0005-0000-0000-00000A9C0000}"/>
    <cellStyle name="Normal 31 74" xfId="4201" xr:uid="{00000000-0005-0000-0000-00000B9C0000}"/>
    <cellStyle name="Normal 31 75" xfId="4202" xr:uid="{00000000-0005-0000-0000-00000C9C0000}"/>
    <cellStyle name="Normal 31 76" xfId="4203" xr:uid="{00000000-0005-0000-0000-00000D9C0000}"/>
    <cellStyle name="Normal 31 77" xfId="4204" xr:uid="{00000000-0005-0000-0000-00000E9C0000}"/>
    <cellStyle name="Normal 31 78" xfId="4205" xr:uid="{00000000-0005-0000-0000-00000F9C0000}"/>
    <cellStyle name="Normal 31 79" xfId="4206" xr:uid="{00000000-0005-0000-0000-0000109C0000}"/>
    <cellStyle name="Normal 31 8" xfId="4207" xr:uid="{00000000-0005-0000-0000-0000119C0000}"/>
    <cellStyle name="Normal 31 80" xfId="4208" xr:uid="{00000000-0005-0000-0000-0000129C0000}"/>
    <cellStyle name="Normal 31 81" xfId="4209" xr:uid="{00000000-0005-0000-0000-0000139C0000}"/>
    <cellStyle name="Normal 31 82" xfId="4210" xr:uid="{00000000-0005-0000-0000-0000149C0000}"/>
    <cellStyle name="Normal 31 83" xfId="4211" xr:uid="{00000000-0005-0000-0000-0000159C0000}"/>
    <cellStyle name="Normal 31 84" xfId="4212" xr:uid="{00000000-0005-0000-0000-0000169C0000}"/>
    <cellStyle name="Normal 31 85" xfId="4213" xr:uid="{00000000-0005-0000-0000-0000179C0000}"/>
    <cellStyle name="Normal 31 86" xfId="4214" xr:uid="{00000000-0005-0000-0000-0000189C0000}"/>
    <cellStyle name="Normal 31 87" xfId="4215" xr:uid="{00000000-0005-0000-0000-0000199C0000}"/>
    <cellStyle name="Normal 31 88" xfId="4216" xr:uid="{00000000-0005-0000-0000-00001A9C0000}"/>
    <cellStyle name="Normal 31 89" xfId="4217" xr:uid="{00000000-0005-0000-0000-00001B9C0000}"/>
    <cellStyle name="Normal 31 9" xfId="4218" xr:uid="{00000000-0005-0000-0000-00001C9C0000}"/>
    <cellStyle name="Normal 31 90" xfId="4219" xr:uid="{00000000-0005-0000-0000-00001D9C0000}"/>
    <cellStyle name="Normal 31 91" xfId="4220" xr:uid="{00000000-0005-0000-0000-00001E9C0000}"/>
    <cellStyle name="Normal 31 92" xfId="4221" xr:uid="{00000000-0005-0000-0000-00001F9C0000}"/>
    <cellStyle name="Normal 31 93" xfId="4222" xr:uid="{00000000-0005-0000-0000-0000209C0000}"/>
    <cellStyle name="Normal 31 94" xfId="4223" xr:uid="{00000000-0005-0000-0000-0000219C0000}"/>
    <cellStyle name="Normal 31 95" xfId="4224" xr:uid="{00000000-0005-0000-0000-0000229C0000}"/>
    <cellStyle name="Normal 31 96" xfId="4225" xr:uid="{00000000-0005-0000-0000-0000239C0000}"/>
    <cellStyle name="Normal 31 97" xfId="4226" xr:uid="{00000000-0005-0000-0000-0000249C0000}"/>
    <cellStyle name="Normal 31 98" xfId="4227" xr:uid="{00000000-0005-0000-0000-0000259C0000}"/>
    <cellStyle name="Normal 31 99" xfId="4228" xr:uid="{00000000-0005-0000-0000-0000269C0000}"/>
    <cellStyle name="Normal 32" xfId="1187" xr:uid="{00000000-0005-0000-0000-0000279C0000}"/>
    <cellStyle name="Normal 32 2" xfId="4230" xr:uid="{00000000-0005-0000-0000-0000289C0000}"/>
    <cellStyle name="Normal 32 2 2" xfId="32831" xr:uid="{00000000-0005-0000-0000-0000299C0000}"/>
    <cellStyle name="Normal 32 2 2 2" xfId="52017" xr:uid="{00000000-0005-0000-0000-00002A9C0000}"/>
    <cellStyle name="Normal 32 2 3" xfId="42319" xr:uid="{00000000-0005-0000-0000-00002B9C0000}"/>
    <cellStyle name="Normal 32 2 4" xfId="22747" xr:uid="{00000000-0005-0000-0000-00002C9C0000}"/>
    <cellStyle name="Normal 32 3" xfId="4229" xr:uid="{00000000-0005-0000-0000-00002D9C0000}"/>
    <cellStyle name="Normal 32 3 2" xfId="24169" xr:uid="{00000000-0005-0000-0000-00002E9C0000}"/>
    <cellStyle name="Normal 32 4" xfId="23104" xr:uid="{00000000-0005-0000-0000-00002F9C0000}"/>
    <cellStyle name="Normal 32 4 2" xfId="42672" xr:uid="{00000000-0005-0000-0000-0000309C0000}"/>
    <cellStyle name="Normal 33" xfId="1188" xr:uid="{00000000-0005-0000-0000-0000319C0000}"/>
    <cellStyle name="Normal 33 2" xfId="4232" xr:uid="{00000000-0005-0000-0000-0000329C0000}"/>
    <cellStyle name="Normal 33 3" xfId="4231" xr:uid="{00000000-0005-0000-0000-0000339C0000}"/>
    <cellStyle name="Normal 34" xfId="1189" xr:uid="{00000000-0005-0000-0000-0000349C0000}"/>
    <cellStyle name="Normal 34 2" xfId="4233" xr:uid="{00000000-0005-0000-0000-0000359C0000}"/>
    <cellStyle name="Normal 35" xfId="1190" xr:uid="{00000000-0005-0000-0000-0000369C0000}"/>
    <cellStyle name="Normal 35 10" xfId="4235" xr:uid="{00000000-0005-0000-0000-0000379C0000}"/>
    <cellStyle name="Normal 35 100" xfId="4236" xr:uid="{00000000-0005-0000-0000-0000389C0000}"/>
    <cellStyle name="Normal 35 101" xfId="4237" xr:uid="{00000000-0005-0000-0000-0000399C0000}"/>
    <cellStyle name="Normal 35 102" xfId="4238" xr:uid="{00000000-0005-0000-0000-00003A9C0000}"/>
    <cellStyle name="Normal 35 103" xfId="4239" xr:uid="{00000000-0005-0000-0000-00003B9C0000}"/>
    <cellStyle name="Normal 35 104" xfId="4240" xr:uid="{00000000-0005-0000-0000-00003C9C0000}"/>
    <cellStyle name="Normal 35 105" xfId="4241" xr:uid="{00000000-0005-0000-0000-00003D9C0000}"/>
    <cellStyle name="Normal 35 106" xfId="4242" xr:uid="{00000000-0005-0000-0000-00003E9C0000}"/>
    <cellStyle name="Normal 35 107" xfId="4243" xr:uid="{00000000-0005-0000-0000-00003F9C0000}"/>
    <cellStyle name="Normal 35 108" xfId="4244" xr:uid="{00000000-0005-0000-0000-0000409C0000}"/>
    <cellStyle name="Normal 35 109" xfId="4245" xr:uid="{00000000-0005-0000-0000-0000419C0000}"/>
    <cellStyle name="Normal 35 11" xfId="4246" xr:uid="{00000000-0005-0000-0000-0000429C0000}"/>
    <cellStyle name="Normal 35 110" xfId="4234" xr:uid="{00000000-0005-0000-0000-0000439C0000}"/>
    <cellStyle name="Normal 35 12" xfId="4247" xr:uid="{00000000-0005-0000-0000-0000449C0000}"/>
    <cellStyle name="Normal 35 13" xfId="4248" xr:uid="{00000000-0005-0000-0000-0000459C0000}"/>
    <cellStyle name="Normal 35 14" xfId="4249" xr:uid="{00000000-0005-0000-0000-0000469C0000}"/>
    <cellStyle name="Normal 35 15" xfId="4250" xr:uid="{00000000-0005-0000-0000-0000479C0000}"/>
    <cellStyle name="Normal 35 16" xfId="4251" xr:uid="{00000000-0005-0000-0000-0000489C0000}"/>
    <cellStyle name="Normal 35 17" xfId="4252" xr:uid="{00000000-0005-0000-0000-0000499C0000}"/>
    <cellStyle name="Normal 35 18" xfId="4253" xr:uid="{00000000-0005-0000-0000-00004A9C0000}"/>
    <cellStyle name="Normal 35 19" xfId="4254" xr:uid="{00000000-0005-0000-0000-00004B9C0000}"/>
    <cellStyle name="Normal 35 2" xfId="4255" xr:uid="{00000000-0005-0000-0000-00004C9C0000}"/>
    <cellStyle name="Normal 35 2 2" xfId="32835" xr:uid="{00000000-0005-0000-0000-00004D9C0000}"/>
    <cellStyle name="Normal 35 2 2 2" xfId="52021" xr:uid="{00000000-0005-0000-0000-00004E9C0000}"/>
    <cellStyle name="Normal 35 2 3" xfId="42323" xr:uid="{00000000-0005-0000-0000-00004F9C0000}"/>
    <cellStyle name="Normal 35 2 4" xfId="22751" xr:uid="{00000000-0005-0000-0000-0000509C0000}"/>
    <cellStyle name="Normal 35 20" xfId="4256" xr:uid="{00000000-0005-0000-0000-0000519C0000}"/>
    <cellStyle name="Normal 35 21" xfId="4257" xr:uid="{00000000-0005-0000-0000-0000529C0000}"/>
    <cellStyle name="Normal 35 22" xfId="4258" xr:uid="{00000000-0005-0000-0000-0000539C0000}"/>
    <cellStyle name="Normal 35 23" xfId="4259" xr:uid="{00000000-0005-0000-0000-0000549C0000}"/>
    <cellStyle name="Normal 35 24" xfId="4260" xr:uid="{00000000-0005-0000-0000-0000559C0000}"/>
    <cellStyle name="Normal 35 25" xfId="4261" xr:uid="{00000000-0005-0000-0000-0000569C0000}"/>
    <cellStyle name="Normal 35 26" xfId="4262" xr:uid="{00000000-0005-0000-0000-0000579C0000}"/>
    <cellStyle name="Normal 35 27" xfId="4263" xr:uid="{00000000-0005-0000-0000-0000589C0000}"/>
    <cellStyle name="Normal 35 28" xfId="4264" xr:uid="{00000000-0005-0000-0000-0000599C0000}"/>
    <cellStyle name="Normal 35 29" xfId="4265" xr:uid="{00000000-0005-0000-0000-00005A9C0000}"/>
    <cellStyle name="Normal 35 3" xfId="4266" xr:uid="{00000000-0005-0000-0000-00005B9C0000}"/>
    <cellStyle name="Normal 35 3 2" xfId="24124" xr:uid="{00000000-0005-0000-0000-00005C9C0000}"/>
    <cellStyle name="Normal 35 30" xfId="4267" xr:uid="{00000000-0005-0000-0000-00005D9C0000}"/>
    <cellStyle name="Normal 35 31" xfId="4268" xr:uid="{00000000-0005-0000-0000-00005E9C0000}"/>
    <cellStyle name="Normal 35 32" xfId="4269" xr:uid="{00000000-0005-0000-0000-00005F9C0000}"/>
    <cellStyle name="Normal 35 33" xfId="4270" xr:uid="{00000000-0005-0000-0000-0000609C0000}"/>
    <cellStyle name="Normal 35 34" xfId="4271" xr:uid="{00000000-0005-0000-0000-0000619C0000}"/>
    <cellStyle name="Normal 35 35" xfId="4272" xr:uid="{00000000-0005-0000-0000-0000629C0000}"/>
    <cellStyle name="Normal 35 36" xfId="4273" xr:uid="{00000000-0005-0000-0000-0000639C0000}"/>
    <cellStyle name="Normal 35 37" xfId="4274" xr:uid="{00000000-0005-0000-0000-0000649C0000}"/>
    <cellStyle name="Normal 35 38" xfId="4275" xr:uid="{00000000-0005-0000-0000-0000659C0000}"/>
    <cellStyle name="Normal 35 39" xfId="4276" xr:uid="{00000000-0005-0000-0000-0000669C0000}"/>
    <cellStyle name="Normal 35 4" xfId="4277" xr:uid="{00000000-0005-0000-0000-0000679C0000}"/>
    <cellStyle name="Normal 35 4 2" xfId="42676" xr:uid="{00000000-0005-0000-0000-0000689C0000}"/>
    <cellStyle name="Normal 35 4 3" xfId="23108" xr:uid="{00000000-0005-0000-0000-0000699C0000}"/>
    <cellStyle name="Normal 35 40" xfId="4278" xr:uid="{00000000-0005-0000-0000-00006A9C0000}"/>
    <cellStyle name="Normal 35 41" xfId="4279" xr:uid="{00000000-0005-0000-0000-00006B9C0000}"/>
    <cellStyle name="Normal 35 42" xfId="4280" xr:uid="{00000000-0005-0000-0000-00006C9C0000}"/>
    <cellStyle name="Normal 35 43" xfId="4281" xr:uid="{00000000-0005-0000-0000-00006D9C0000}"/>
    <cellStyle name="Normal 35 44" xfId="4282" xr:uid="{00000000-0005-0000-0000-00006E9C0000}"/>
    <cellStyle name="Normal 35 45" xfId="4283" xr:uid="{00000000-0005-0000-0000-00006F9C0000}"/>
    <cellStyle name="Normal 35 46" xfId="4284" xr:uid="{00000000-0005-0000-0000-0000709C0000}"/>
    <cellStyle name="Normal 35 47" xfId="4285" xr:uid="{00000000-0005-0000-0000-0000719C0000}"/>
    <cellStyle name="Normal 35 48" xfId="4286" xr:uid="{00000000-0005-0000-0000-0000729C0000}"/>
    <cellStyle name="Normal 35 49" xfId="4287" xr:uid="{00000000-0005-0000-0000-0000739C0000}"/>
    <cellStyle name="Normal 35 5" xfId="4288" xr:uid="{00000000-0005-0000-0000-0000749C0000}"/>
    <cellStyle name="Normal 35 50" xfId="4289" xr:uid="{00000000-0005-0000-0000-0000759C0000}"/>
    <cellStyle name="Normal 35 51" xfId="4290" xr:uid="{00000000-0005-0000-0000-0000769C0000}"/>
    <cellStyle name="Normal 35 52" xfId="4291" xr:uid="{00000000-0005-0000-0000-0000779C0000}"/>
    <cellStyle name="Normal 35 53" xfId="4292" xr:uid="{00000000-0005-0000-0000-0000789C0000}"/>
    <cellStyle name="Normal 35 54" xfId="4293" xr:uid="{00000000-0005-0000-0000-0000799C0000}"/>
    <cellStyle name="Normal 35 55" xfId="4294" xr:uid="{00000000-0005-0000-0000-00007A9C0000}"/>
    <cellStyle name="Normal 35 56" xfId="4295" xr:uid="{00000000-0005-0000-0000-00007B9C0000}"/>
    <cellStyle name="Normal 35 57" xfId="4296" xr:uid="{00000000-0005-0000-0000-00007C9C0000}"/>
    <cellStyle name="Normal 35 58" xfId="4297" xr:uid="{00000000-0005-0000-0000-00007D9C0000}"/>
    <cellStyle name="Normal 35 59" xfId="4298" xr:uid="{00000000-0005-0000-0000-00007E9C0000}"/>
    <cellStyle name="Normal 35 6" xfId="4299" xr:uid="{00000000-0005-0000-0000-00007F9C0000}"/>
    <cellStyle name="Normal 35 60" xfId="4300" xr:uid="{00000000-0005-0000-0000-0000809C0000}"/>
    <cellStyle name="Normal 35 61" xfId="4301" xr:uid="{00000000-0005-0000-0000-0000819C0000}"/>
    <cellStyle name="Normal 35 62" xfId="4302" xr:uid="{00000000-0005-0000-0000-0000829C0000}"/>
    <cellStyle name="Normal 35 63" xfId="4303" xr:uid="{00000000-0005-0000-0000-0000839C0000}"/>
    <cellStyle name="Normal 35 64" xfId="4304" xr:uid="{00000000-0005-0000-0000-0000849C0000}"/>
    <cellStyle name="Normal 35 65" xfId="4305" xr:uid="{00000000-0005-0000-0000-0000859C0000}"/>
    <cellStyle name="Normal 35 66" xfId="4306" xr:uid="{00000000-0005-0000-0000-0000869C0000}"/>
    <cellStyle name="Normal 35 67" xfId="4307" xr:uid="{00000000-0005-0000-0000-0000879C0000}"/>
    <cellStyle name="Normal 35 68" xfId="4308" xr:uid="{00000000-0005-0000-0000-0000889C0000}"/>
    <cellStyle name="Normal 35 69" xfId="4309" xr:uid="{00000000-0005-0000-0000-0000899C0000}"/>
    <cellStyle name="Normal 35 7" xfId="4310" xr:uid="{00000000-0005-0000-0000-00008A9C0000}"/>
    <cellStyle name="Normal 35 70" xfId="4311" xr:uid="{00000000-0005-0000-0000-00008B9C0000}"/>
    <cellStyle name="Normal 35 71" xfId="4312" xr:uid="{00000000-0005-0000-0000-00008C9C0000}"/>
    <cellStyle name="Normal 35 72" xfId="4313" xr:uid="{00000000-0005-0000-0000-00008D9C0000}"/>
    <cellStyle name="Normal 35 73" xfId="4314" xr:uid="{00000000-0005-0000-0000-00008E9C0000}"/>
    <cellStyle name="Normal 35 74" xfId="4315" xr:uid="{00000000-0005-0000-0000-00008F9C0000}"/>
    <cellStyle name="Normal 35 75" xfId="4316" xr:uid="{00000000-0005-0000-0000-0000909C0000}"/>
    <cellStyle name="Normal 35 76" xfId="4317" xr:uid="{00000000-0005-0000-0000-0000919C0000}"/>
    <cellStyle name="Normal 35 77" xfId="4318" xr:uid="{00000000-0005-0000-0000-0000929C0000}"/>
    <cellStyle name="Normal 35 78" xfId="4319" xr:uid="{00000000-0005-0000-0000-0000939C0000}"/>
    <cellStyle name="Normal 35 79" xfId="4320" xr:uid="{00000000-0005-0000-0000-0000949C0000}"/>
    <cellStyle name="Normal 35 8" xfId="4321" xr:uid="{00000000-0005-0000-0000-0000959C0000}"/>
    <cellStyle name="Normal 35 80" xfId="4322" xr:uid="{00000000-0005-0000-0000-0000969C0000}"/>
    <cellStyle name="Normal 35 81" xfId="4323" xr:uid="{00000000-0005-0000-0000-0000979C0000}"/>
    <cellStyle name="Normal 35 82" xfId="4324" xr:uid="{00000000-0005-0000-0000-0000989C0000}"/>
    <cellStyle name="Normal 35 83" xfId="4325" xr:uid="{00000000-0005-0000-0000-0000999C0000}"/>
    <cellStyle name="Normal 35 84" xfId="4326" xr:uid="{00000000-0005-0000-0000-00009A9C0000}"/>
    <cellStyle name="Normal 35 85" xfId="4327" xr:uid="{00000000-0005-0000-0000-00009B9C0000}"/>
    <cellStyle name="Normal 35 86" xfId="4328" xr:uid="{00000000-0005-0000-0000-00009C9C0000}"/>
    <cellStyle name="Normal 35 87" xfId="4329" xr:uid="{00000000-0005-0000-0000-00009D9C0000}"/>
    <cellStyle name="Normal 35 88" xfId="4330" xr:uid="{00000000-0005-0000-0000-00009E9C0000}"/>
    <cellStyle name="Normal 35 89" xfId="4331" xr:uid="{00000000-0005-0000-0000-00009F9C0000}"/>
    <cellStyle name="Normal 35 9" xfId="4332" xr:uid="{00000000-0005-0000-0000-0000A09C0000}"/>
    <cellStyle name="Normal 35 90" xfId="4333" xr:uid="{00000000-0005-0000-0000-0000A19C0000}"/>
    <cellStyle name="Normal 35 91" xfId="4334" xr:uid="{00000000-0005-0000-0000-0000A29C0000}"/>
    <cellStyle name="Normal 35 92" xfId="4335" xr:uid="{00000000-0005-0000-0000-0000A39C0000}"/>
    <cellStyle name="Normal 35 93" xfId="4336" xr:uid="{00000000-0005-0000-0000-0000A49C0000}"/>
    <cellStyle name="Normal 35 94" xfId="4337" xr:uid="{00000000-0005-0000-0000-0000A59C0000}"/>
    <cellStyle name="Normal 35 95" xfId="4338" xr:uid="{00000000-0005-0000-0000-0000A69C0000}"/>
    <cellStyle name="Normal 35 96" xfId="4339" xr:uid="{00000000-0005-0000-0000-0000A79C0000}"/>
    <cellStyle name="Normal 35 97" xfId="4340" xr:uid="{00000000-0005-0000-0000-0000A89C0000}"/>
    <cellStyle name="Normal 35 98" xfId="4341" xr:uid="{00000000-0005-0000-0000-0000A99C0000}"/>
    <cellStyle name="Normal 35 99" xfId="4342" xr:uid="{00000000-0005-0000-0000-0000AA9C0000}"/>
    <cellStyle name="Normal 36" xfId="1191" xr:uid="{00000000-0005-0000-0000-0000AB9C0000}"/>
    <cellStyle name="Normal 36 10" xfId="4344" xr:uid="{00000000-0005-0000-0000-0000AC9C0000}"/>
    <cellStyle name="Normal 36 100" xfId="4345" xr:uid="{00000000-0005-0000-0000-0000AD9C0000}"/>
    <cellStyle name="Normal 36 101" xfId="4346" xr:uid="{00000000-0005-0000-0000-0000AE9C0000}"/>
    <cellStyle name="Normal 36 102" xfId="4347" xr:uid="{00000000-0005-0000-0000-0000AF9C0000}"/>
    <cellStyle name="Normal 36 103" xfId="4348" xr:uid="{00000000-0005-0000-0000-0000B09C0000}"/>
    <cellStyle name="Normal 36 104" xfId="4349" xr:uid="{00000000-0005-0000-0000-0000B19C0000}"/>
    <cellStyle name="Normal 36 105" xfId="4350" xr:uid="{00000000-0005-0000-0000-0000B29C0000}"/>
    <cellStyle name="Normal 36 106" xfId="4351" xr:uid="{00000000-0005-0000-0000-0000B39C0000}"/>
    <cellStyle name="Normal 36 107" xfId="4352" xr:uid="{00000000-0005-0000-0000-0000B49C0000}"/>
    <cellStyle name="Normal 36 108" xfId="4353" xr:uid="{00000000-0005-0000-0000-0000B59C0000}"/>
    <cellStyle name="Normal 36 109" xfId="4354" xr:uid="{00000000-0005-0000-0000-0000B69C0000}"/>
    <cellStyle name="Normal 36 11" xfId="4355" xr:uid="{00000000-0005-0000-0000-0000B79C0000}"/>
    <cellStyle name="Normal 36 110" xfId="4343" xr:uid="{00000000-0005-0000-0000-0000B89C0000}"/>
    <cellStyle name="Normal 36 12" xfId="4356" xr:uid="{00000000-0005-0000-0000-0000B99C0000}"/>
    <cellStyle name="Normal 36 13" xfId="4357" xr:uid="{00000000-0005-0000-0000-0000BA9C0000}"/>
    <cellStyle name="Normal 36 14" xfId="4358" xr:uid="{00000000-0005-0000-0000-0000BB9C0000}"/>
    <cellStyle name="Normal 36 15" xfId="4359" xr:uid="{00000000-0005-0000-0000-0000BC9C0000}"/>
    <cellStyle name="Normal 36 16" xfId="4360" xr:uid="{00000000-0005-0000-0000-0000BD9C0000}"/>
    <cellStyle name="Normal 36 17" xfId="4361" xr:uid="{00000000-0005-0000-0000-0000BE9C0000}"/>
    <cellStyle name="Normal 36 18" xfId="4362" xr:uid="{00000000-0005-0000-0000-0000BF9C0000}"/>
    <cellStyle name="Normal 36 19" xfId="4363" xr:uid="{00000000-0005-0000-0000-0000C09C0000}"/>
    <cellStyle name="Normal 36 2" xfId="4364" xr:uid="{00000000-0005-0000-0000-0000C19C0000}"/>
    <cellStyle name="Normal 36 2 2" xfId="32837" xr:uid="{00000000-0005-0000-0000-0000C29C0000}"/>
    <cellStyle name="Normal 36 2 2 2" xfId="52023" xr:uid="{00000000-0005-0000-0000-0000C39C0000}"/>
    <cellStyle name="Normal 36 2 3" xfId="42325" xr:uid="{00000000-0005-0000-0000-0000C49C0000}"/>
    <cellStyle name="Normal 36 2 4" xfId="22753" xr:uid="{00000000-0005-0000-0000-0000C59C0000}"/>
    <cellStyle name="Normal 36 20" xfId="4365" xr:uid="{00000000-0005-0000-0000-0000C69C0000}"/>
    <cellStyle name="Normal 36 21" xfId="4366" xr:uid="{00000000-0005-0000-0000-0000C79C0000}"/>
    <cellStyle name="Normal 36 22" xfId="4367" xr:uid="{00000000-0005-0000-0000-0000C89C0000}"/>
    <cellStyle name="Normal 36 23" xfId="4368" xr:uid="{00000000-0005-0000-0000-0000C99C0000}"/>
    <cellStyle name="Normal 36 24" xfId="4369" xr:uid="{00000000-0005-0000-0000-0000CA9C0000}"/>
    <cellStyle name="Normal 36 25" xfId="4370" xr:uid="{00000000-0005-0000-0000-0000CB9C0000}"/>
    <cellStyle name="Normal 36 26" xfId="4371" xr:uid="{00000000-0005-0000-0000-0000CC9C0000}"/>
    <cellStyle name="Normal 36 27" xfId="4372" xr:uid="{00000000-0005-0000-0000-0000CD9C0000}"/>
    <cellStyle name="Normal 36 28" xfId="4373" xr:uid="{00000000-0005-0000-0000-0000CE9C0000}"/>
    <cellStyle name="Normal 36 29" xfId="4374" xr:uid="{00000000-0005-0000-0000-0000CF9C0000}"/>
    <cellStyle name="Normal 36 3" xfId="4375" xr:uid="{00000000-0005-0000-0000-0000D09C0000}"/>
    <cellStyle name="Normal 36 3 2" xfId="24167" xr:uid="{00000000-0005-0000-0000-0000D19C0000}"/>
    <cellStyle name="Normal 36 30" xfId="4376" xr:uid="{00000000-0005-0000-0000-0000D29C0000}"/>
    <cellStyle name="Normal 36 31" xfId="4377" xr:uid="{00000000-0005-0000-0000-0000D39C0000}"/>
    <cellStyle name="Normal 36 32" xfId="4378" xr:uid="{00000000-0005-0000-0000-0000D49C0000}"/>
    <cellStyle name="Normal 36 33" xfId="4379" xr:uid="{00000000-0005-0000-0000-0000D59C0000}"/>
    <cellStyle name="Normal 36 34" xfId="4380" xr:uid="{00000000-0005-0000-0000-0000D69C0000}"/>
    <cellStyle name="Normal 36 35" xfId="4381" xr:uid="{00000000-0005-0000-0000-0000D79C0000}"/>
    <cellStyle name="Normal 36 36" xfId="4382" xr:uid="{00000000-0005-0000-0000-0000D89C0000}"/>
    <cellStyle name="Normal 36 37" xfId="4383" xr:uid="{00000000-0005-0000-0000-0000D99C0000}"/>
    <cellStyle name="Normal 36 38" xfId="4384" xr:uid="{00000000-0005-0000-0000-0000DA9C0000}"/>
    <cellStyle name="Normal 36 39" xfId="4385" xr:uid="{00000000-0005-0000-0000-0000DB9C0000}"/>
    <cellStyle name="Normal 36 4" xfId="4386" xr:uid="{00000000-0005-0000-0000-0000DC9C0000}"/>
    <cellStyle name="Normal 36 4 2" xfId="42678" xr:uid="{00000000-0005-0000-0000-0000DD9C0000}"/>
    <cellStyle name="Normal 36 4 3" xfId="23110" xr:uid="{00000000-0005-0000-0000-0000DE9C0000}"/>
    <cellStyle name="Normal 36 40" xfId="4387" xr:uid="{00000000-0005-0000-0000-0000DF9C0000}"/>
    <cellStyle name="Normal 36 41" xfId="4388" xr:uid="{00000000-0005-0000-0000-0000E09C0000}"/>
    <cellStyle name="Normal 36 42" xfId="4389" xr:uid="{00000000-0005-0000-0000-0000E19C0000}"/>
    <cellStyle name="Normal 36 43" xfId="4390" xr:uid="{00000000-0005-0000-0000-0000E29C0000}"/>
    <cellStyle name="Normal 36 44" xfId="4391" xr:uid="{00000000-0005-0000-0000-0000E39C0000}"/>
    <cellStyle name="Normal 36 45" xfId="4392" xr:uid="{00000000-0005-0000-0000-0000E49C0000}"/>
    <cellStyle name="Normal 36 46" xfId="4393" xr:uid="{00000000-0005-0000-0000-0000E59C0000}"/>
    <cellStyle name="Normal 36 47" xfId="4394" xr:uid="{00000000-0005-0000-0000-0000E69C0000}"/>
    <cellStyle name="Normal 36 48" xfId="4395" xr:uid="{00000000-0005-0000-0000-0000E79C0000}"/>
    <cellStyle name="Normal 36 49" xfId="4396" xr:uid="{00000000-0005-0000-0000-0000E89C0000}"/>
    <cellStyle name="Normal 36 5" xfId="4397" xr:uid="{00000000-0005-0000-0000-0000E99C0000}"/>
    <cellStyle name="Normal 36 50" xfId="4398" xr:uid="{00000000-0005-0000-0000-0000EA9C0000}"/>
    <cellStyle name="Normal 36 51" xfId="4399" xr:uid="{00000000-0005-0000-0000-0000EB9C0000}"/>
    <cellStyle name="Normal 36 52" xfId="4400" xr:uid="{00000000-0005-0000-0000-0000EC9C0000}"/>
    <cellStyle name="Normal 36 53" xfId="4401" xr:uid="{00000000-0005-0000-0000-0000ED9C0000}"/>
    <cellStyle name="Normal 36 54" xfId="4402" xr:uid="{00000000-0005-0000-0000-0000EE9C0000}"/>
    <cellStyle name="Normal 36 55" xfId="4403" xr:uid="{00000000-0005-0000-0000-0000EF9C0000}"/>
    <cellStyle name="Normal 36 56" xfId="4404" xr:uid="{00000000-0005-0000-0000-0000F09C0000}"/>
    <cellStyle name="Normal 36 57" xfId="4405" xr:uid="{00000000-0005-0000-0000-0000F19C0000}"/>
    <cellStyle name="Normal 36 58" xfId="4406" xr:uid="{00000000-0005-0000-0000-0000F29C0000}"/>
    <cellStyle name="Normal 36 59" xfId="4407" xr:uid="{00000000-0005-0000-0000-0000F39C0000}"/>
    <cellStyle name="Normal 36 6" xfId="4408" xr:uid="{00000000-0005-0000-0000-0000F49C0000}"/>
    <cellStyle name="Normal 36 60" xfId="4409" xr:uid="{00000000-0005-0000-0000-0000F59C0000}"/>
    <cellStyle name="Normal 36 61" xfId="4410" xr:uid="{00000000-0005-0000-0000-0000F69C0000}"/>
    <cellStyle name="Normal 36 62" xfId="4411" xr:uid="{00000000-0005-0000-0000-0000F79C0000}"/>
    <cellStyle name="Normal 36 63" xfId="4412" xr:uid="{00000000-0005-0000-0000-0000F89C0000}"/>
    <cellStyle name="Normal 36 64" xfId="4413" xr:uid="{00000000-0005-0000-0000-0000F99C0000}"/>
    <cellStyle name="Normal 36 65" xfId="4414" xr:uid="{00000000-0005-0000-0000-0000FA9C0000}"/>
    <cellStyle name="Normal 36 66" xfId="4415" xr:uid="{00000000-0005-0000-0000-0000FB9C0000}"/>
    <cellStyle name="Normal 36 67" xfId="4416" xr:uid="{00000000-0005-0000-0000-0000FC9C0000}"/>
    <cellStyle name="Normal 36 68" xfId="4417" xr:uid="{00000000-0005-0000-0000-0000FD9C0000}"/>
    <cellStyle name="Normal 36 69" xfId="4418" xr:uid="{00000000-0005-0000-0000-0000FE9C0000}"/>
    <cellStyle name="Normal 36 7" xfId="4419" xr:uid="{00000000-0005-0000-0000-0000FF9C0000}"/>
    <cellStyle name="Normal 36 70" xfId="4420" xr:uid="{00000000-0005-0000-0000-0000009D0000}"/>
    <cellStyle name="Normal 36 71" xfId="4421" xr:uid="{00000000-0005-0000-0000-0000019D0000}"/>
    <cellStyle name="Normal 36 72" xfId="4422" xr:uid="{00000000-0005-0000-0000-0000029D0000}"/>
    <cellStyle name="Normal 36 73" xfId="4423" xr:uid="{00000000-0005-0000-0000-0000039D0000}"/>
    <cellStyle name="Normal 36 74" xfId="4424" xr:uid="{00000000-0005-0000-0000-0000049D0000}"/>
    <cellStyle name="Normal 36 75" xfId="4425" xr:uid="{00000000-0005-0000-0000-0000059D0000}"/>
    <cellStyle name="Normal 36 76" xfId="4426" xr:uid="{00000000-0005-0000-0000-0000069D0000}"/>
    <cellStyle name="Normal 36 77" xfId="4427" xr:uid="{00000000-0005-0000-0000-0000079D0000}"/>
    <cellStyle name="Normal 36 78" xfId="4428" xr:uid="{00000000-0005-0000-0000-0000089D0000}"/>
    <cellStyle name="Normal 36 79" xfId="4429" xr:uid="{00000000-0005-0000-0000-0000099D0000}"/>
    <cellStyle name="Normal 36 8" xfId="4430" xr:uid="{00000000-0005-0000-0000-00000A9D0000}"/>
    <cellStyle name="Normal 36 80" xfId="4431" xr:uid="{00000000-0005-0000-0000-00000B9D0000}"/>
    <cellStyle name="Normal 36 81" xfId="4432" xr:uid="{00000000-0005-0000-0000-00000C9D0000}"/>
    <cellStyle name="Normal 36 82" xfId="4433" xr:uid="{00000000-0005-0000-0000-00000D9D0000}"/>
    <cellStyle name="Normal 36 83" xfId="4434" xr:uid="{00000000-0005-0000-0000-00000E9D0000}"/>
    <cellStyle name="Normal 36 84" xfId="4435" xr:uid="{00000000-0005-0000-0000-00000F9D0000}"/>
    <cellStyle name="Normal 36 85" xfId="4436" xr:uid="{00000000-0005-0000-0000-0000109D0000}"/>
    <cellStyle name="Normal 36 86" xfId="4437" xr:uid="{00000000-0005-0000-0000-0000119D0000}"/>
    <cellStyle name="Normal 36 87" xfId="4438" xr:uid="{00000000-0005-0000-0000-0000129D0000}"/>
    <cellStyle name="Normal 36 88" xfId="4439" xr:uid="{00000000-0005-0000-0000-0000139D0000}"/>
    <cellStyle name="Normal 36 89" xfId="4440" xr:uid="{00000000-0005-0000-0000-0000149D0000}"/>
    <cellStyle name="Normal 36 9" xfId="4441" xr:uid="{00000000-0005-0000-0000-0000159D0000}"/>
    <cellStyle name="Normal 36 90" xfId="4442" xr:uid="{00000000-0005-0000-0000-0000169D0000}"/>
    <cellStyle name="Normal 36 91" xfId="4443" xr:uid="{00000000-0005-0000-0000-0000179D0000}"/>
    <cellStyle name="Normal 36 92" xfId="4444" xr:uid="{00000000-0005-0000-0000-0000189D0000}"/>
    <cellStyle name="Normal 36 93" xfId="4445" xr:uid="{00000000-0005-0000-0000-0000199D0000}"/>
    <cellStyle name="Normal 36 94" xfId="4446" xr:uid="{00000000-0005-0000-0000-00001A9D0000}"/>
    <cellStyle name="Normal 36 95" xfId="4447" xr:uid="{00000000-0005-0000-0000-00001B9D0000}"/>
    <cellStyle name="Normal 36 96" xfId="4448" xr:uid="{00000000-0005-0000-0000-00001C9D0000}"/>
    <cellStyle name="Normal 36 97" xfId="4449" xr:uid="{00000000-0005-0000-0000-00001D9D0000}"/>
    <cellStyle name="Normal 36 98" xfId="4450" xr:uid="{00000000-0005-0000-0000-00001E9D0000}"/>
    <cellStyle name="Normal 36 99" xfId="4451" xr:uid="{00000000-0005-0000-0000-00001F9D0000}"/>
    <cellStyle name="Normal 37" xfId="1192" xr:uid="{00000000-0005-0000-0000-0000209D0000}"/>
    <cellStyle name="Normal 37 2" xfId="4452" xr:uid="{00000000-0005-0000-0000-0000219D0000}"/>
    <cellStyle name="Normal 37 2 2" xfId="32838" xr:uid="{00000000-0005-0000-0000-0000229D0000}"/>
    <cellStyle name="Normal 37 2 2 2" xfId="52024" xr:uid="{00000000-0005-0000-0000-0000239D0000}"/>
    <cellStyle name="Normal 37 2 3" xfId="42326" xr:uid="{00000000-0005-0000-0000-0000249D0000}"/>
    <cellStyle name="Normal 37 2 4" xfId="22754" xr:uid="{00000000-0005-0000-0000-0000259D0000}"/>
    <cellStyle name="Normal 37 3" xfId="24122" xr:uid="{00000000-0005-0000-0000-0000269D0000}"/>
    <cellStyle name="Normal 37 4" xfId="23111" xr:uid="{00000000-0005-0000-0000-0000279D0000}"/>
    <cellStyle name="Normal 37 4 2" xfId="42679" xr:uid="{00000000-0005-0000-0000-0000289D0000}"/>
    <cellStyle name="Normal 38" xfId="1193" xr:uid="{00000000-0005-0000-0000-0000299D0000}"/>
    <cellStyle name="Normal 38 2" xfId="4453" xr:uid="{00000000-0005-0000-0000-00002A9D0000}"/>
    <cellStyle name="Normal 39" xfId="1194" xr:uid="{00000000-0005-0000-0000-00002B9D0000}"/>
    <cellStyle name="Normal 39 2" xfId="4454" xr:uid="{00000000-0005-0000-0000-00002C9D0000}"/>
    <cellStyle name="Normal 4" xfId="1195" xr:uid="{00000000-0005-0000-0000-00002D9D0000}"/>
    <cellStyle name="Normal-- 4" xfId="4455" xr:uid="{00000000-0005-0000-0000-00002E9D0000}"/>
    <cellStyle name="Normal 4 10" xfId="4456" xr:uid="{00000000-0005-0000-0000-00002F9D0000}"/>
    <cellStyle name="Normal 4 10 2" xfId="4457" xr:uid="{00000000-0005-0000-0000-0000309D0000}"/>
    <cellStyle name="Normal 4 10 2 2" xfId="54185" xr:uid="{00000000-0005-0000-0000-0000319D0000}"/>
    <cellStyle name="Normal 4 10 3" xfId="53333" xr:uid="{00000000-0005-0000-0000-0000329D0000}"/>
    <cellStyle name="Normal 4 10 4" xfId="13312" xr:uid="{00000000-0005-0000-0000-0000339D0000}"/>
    <cellStyle name="Normal 4 100" xfId="4458" xr:uid="{00000000-0005-0000-0000-0000349D0000}"/>
    <cellStyle name="Normal 4 101" xfId="4459" xr:uid="{00000000-0005-0000-0000-0000359D0000}"/>
    <cellStyle name="Normal 4 102" xfId="4460" xr:uid="{00000000-0005-0000-0000-0000369D0000}"/>
    <cellStyle name="Normal 4 103" xfId="4461" xr:uid="{00000000-0005-0000-0000-0000379D0000}"/>
    <cellStyle name="Normal 4 104" xfId="4462" xr:uid="{00000000-0005-0000-0000-0000389D0000}"/>
    <cellStyle name="Normal 4 105" xfId="4463" xr:uid="{00000000-0005-0000-0000-0000399D0000}"/>
    <cellStyle name="Normal 4 106" xfId="4464" xr:uid="{00000000-0005-0000-0000-00003A9D0000}"/>
    <cellStyle name="Normal 4 107" xfId="4465" xr:uid="{00000000-0005-0000-0000-00003B9D0000}"/>
    <cellStyle name="Normal 4 108" xfId="4466" xr:uid="{00000000-0005-0000-0000-00003C9D0000}"/>
    <cellStyle name="Normal 4 109" xfId="4467" xr:uid="{00000000-0005-0000-0000-00003D9D0000}"/>
    <cellStyle name="Normal 4 11" xfId="4468" xr:uid="{00000000-0005-0000-0000-00003E9D0000}"/>
    <cellStyle name="Normal 4 11 10" xfId="53360" xr:uid="{00000000-0005-0000-0000-00003F9D0000}"/>
    <cellStyle name="Normal 4 11 11" xfId="13313" xr:uid="{00000000-0005-0000-0000-0000409D0000}"/>
    <cellStyle name="Normal 4 11 2" xfId="4469" xr:uid="{00000000-0005-0000-0000-0000419D0000}"/>
    <cellStyle name="Normal 4 11 2 2" xfId="16477" xr:uid="{00000000-0005-0000-0000-0000429D0000}"/>
    <cellStyle name="Normal 4 11 2 2 2" xfId="20941" xr:uid="{00000000-0005-0000-0000-0000439D0000}"/>
    <cellStyle name="Normal 4 11 2 2 2 2" xfId="31309" xr:uid="{00000000-0005-0000-0000-0000449D0000}"/>
    <cellStyle name="Normal 4 11 2 2 2 2 2" xfId="50498" xr:uid="{00000000-0005-0000-0000-0000459D0000}"/>
    <cellStyle name="Normal 4 11 2 2 2 3" xfId="40800" xr:uid="{00000000-0005-0000-0000-0000469D0000}"/>
    <cellStyle name="Normal 4 11 2 2 3" xfId="26854" xr:uid="{00000000-0005-0000-0000-0000479D0000}"/>
    <cellStyle name="Normal 4 11 2 2 3 2" xfId="46043" xr:uid="{00000000-0005-0000-0000-0000489D0000}"/>
    <cellStyle name="Normal 4 11 2 2 4" xfId="36345" xr:uid="{00000000-0005-0000-0000-0000499D0000}"/>
    <cellStyle name="Normal 4 11 2 3" xfId="18713" xr:uid="{00000000-0005-0000-0000-00004A9D0000}"/>
    <cellStyle name="Normal 4 11 2 3 2" xfId="29081" xr:uid="{00000000-0005-0000-0000-00004B9D0000}"/>
    <cellStyle name="Normal 4 11 2 3 2 2" xfId="48270" xr:uid="{00000000-0005-0000-0000-00004C9D0000}"/>
    <cellStyle name="Normal 4 11 2 3 3" xfId="38572" xr:uid="{00000000-0005-0000-0000-00004D9D0000}"/>
    <cellStyle name="Normal 4 11 2 4" xfId="24621" xr:uid="{00000000-0005-0000-0000-00004E9D0000}"/>
    <cellStyle name="Normal 4 11 2 4 2" xfId="43815" xr:uid="{00000000-0005-0000-0000-00004F9D0000}"/>
    <cellStyle name="Normal 4 11 2 5" xfId="34117" xr:uid="{00000000-0005-0000-0000-0000509D0000}"/>
    <cellStyle name="Normal 4 11 2 6" xfId="14213" xr:uid="{00000000-0005-0000-0000-0000519D0000}"/>
    <cellStyle name="Normal 4 11 3" xfId="14792" xr:uid="{00000000-0005-0000-0000-0000529D0000}"/>
    <cellStyle name="Normal 4 11 3 2" xfId="15921" xr:uid="{00000000-0005-0000-0000-0000539D0000}"/>
    <cellStyle name="Normal 4 11 3 2 2" xfId="20385" xr:uid="{00000000-0005-0000-0000-0000549D0000}"/>
    <cellStyle name="Normal 4 11 3 2 2 2" xfId="30753" xr:uid="{00000000-0005-0000-0000-0000559D0000}"/>
    <cellStyle name="Normal 4 11 3 2 2 2 2" xfId="49942" xr:uid="{00000000-0005-0000-0000-0000569D0000}"/>
    <cellStyle name="Normal 4 11 3 2 2 3" xfId="40244" xr:uid="{00000000-0005-0000-0000-0000579D0000}"/>
    <cellStyle name="Normal 4 11 3 2 3" xfId="26298" xr:uid="{00000000-0005-0000-0000-0000589D0000}"/>
    <cellStyle name="Normal 4 11 3 2 3 2" xfId="45487" xr:uid="{00000000-0005-0000-0000-0000599D0000}"/>
    <cellStyle name="Normal 4 11 3 2 4" xfId="35789" xr:uid="{00000000-0005-0000-0000-00005A9D0000}"/>
    <cellStyle name="Normal 4 11 3 3" xfId="19270" xr:uid="{00000000-0005-0000-0000-00005B9D0000}"/>
    <cellStyle name="Normal 4 11 3 3 2" xfId="29638" xr:uid="{00000000-0005-0000-0000-00005C9D0000}"/>
    <cellStyle name="Normal 4 11 3 3 2 2" xfId="48827" xr:uid="{00000000-0005-0000-0000-00005D9D0000}"/>
    <cellStyle name="Normal 4 11 3 3 3" xfId="39129" xr:uid="{00000000-0005-0000-0000-00005E9D0000}"/>
    <cellStyle name="Normal 4 11 3 4" xfId="25183" xr:uid="{00000000-0005-0000-0000-00005F9D0000}"/>
    <cellStyle name="Normal 4 11 3 4 2" xfId="44372" xr:uid="{00000000-0005-0000-0000-0000609D0000}"/>
    <cellStyle name="Normal 4 11 3 5" xfId="34674" xr:uid="{00000000-0005-0000-0000-0000619D0000}"/>
    <cellStyle name="Normal 4 11 4" xfId="15364" xr:uid="{00000000-0005-0000-0000-0000629D0000}"/>
    <cellStyle name="Normal 4 11 4 2" xfId="19828" xr:uid="{00000000-0005-0000-0000-0000639D0000}"/>
    <cellStyle name="Normal 4 11 4 2 2" xfId="30196" xr:uid="{00000000-0005-0000-0000-0000649D0000}"/>
    <cellStyle name="Normal 4 11 4 2 2 2" xfId="49385" xr:uid="{00000000-0005-0000-0000-0000659D0000}"/>
    <cellStyle name="Normal 4 11 4 2 3" xfId="39687" xr:uid="{00000000-0005-0000-0000-0000669D0000}"/>
    <cellStyle name="Normal 4 11 4 3" xfId="25741" xr:uid="{00000000-0005-0000-0000-0000679D0000}"/>
    <cellStyle name="Normal 4 11 4 3 2" xfId="44930" xr:uid="{00000000-0005-0000-0000-0000689D0000}"/>
    <cellStyle name="Normal 4 11 4 4" xfId="35232" xr:uid="{00000000-0005-0000-0000-0000699D0000}"/>
    <cellStyle name="Normal 4 11 5" xfId="17034" xr:uid="{00000000-0005-0000-0000-00006A9D0000}"/>
    <cellStyle name="Normal 4 11 5 2" xfId="21498" xr:uid="{00000000-0005-0000-0000-00006B9D0000}"/>
    <cellStyle name="Normal 4 11 5 2 2" xfId="31866" xr:uid="{00000000-0005-0000-0000-00006C9D0000}"/>
    <cellStyle name="Normal 4 11 5 2 2 2" xfId="51055" xr:uid="{00000000-0005-0000-0000-00006D9D0000}"/>
    <cellStyle name="Normal 4 11 5 2 3" xfId="41357" xr:uid="{00000000-0005-0000-0000-00006E9D0000}"/>
    <cellStyle name="Normal 4 11 5 3" xfId="27411" xr:uid="{00000000-0005-0000-0000-00006F9D0000}"/>
    <cellStyle name="Normal 4 11 5 3 2" xfId="46600" xr:uid="{00000000-0005-0000-0000-0000709D0000}"/>
    <cellStyle name="Normal 4 11 5 4" xfId="36902" xr:uid="{00000000-0005-0000-0000-0000719D0000}"/>
    <cellStyle name="Normal 4 11 6" xfId="17600" xr:uid="{00000000-0005-0000-0000-0000729D0000}"/>
    <cellStyle name="Normal 4 11 6 2" xfId="22055" xr:uid="{00000000-0005-0000-0000-0000739D0000}"/>
    <cellStyle name="Normal 4 11 6 2 2" xfId="32423" xr:uid="{00000000-0005-0000-0000-0000749D0000}"/>
    <cellStyle name="Normal 4 11 6 2 2 2" xfId="51612" xr:uid="{00000000-0005-0000-0000-0000759D0000}"/>
    <cellStyle name="Normal 4 11 6 2 3" xfId="41914" xr:uid="{00000000-0005-0000-0000-0000769D0000}"/>
    <cellStyle name="Normal 4 11 6 3" xfId="27968" xr:uid="{00000000-0005-0000-0000-0000779D0000}"/>
    <cellStyle name="Normal 4 11 6 3 2" xfId="47157" xr:uid="{00000000-0005-0000-0000-0000789D0000}"/>
    <cellStyle name="Normal 4 11 6 4" xfId="37459" xr:uid="{00000000-0005-0000-0000-0000799D0000}"/>
    <cellStyle name="Normal 4 11 7" xfId="18157" xr:uid="{00000000-0005-0000-0000-00007A9D0000}"/>
    <cellStyle name="Normal 4 11 7 2" xfId="28525" xr:uid="{00000000-0005-0000-0000-00007B9D0000}"/>
    <cellStyle name="Normal 4 11 7 2 2" xfId="47714" xr:uid="{00000000-0005-0000-0000-00007C9D0000}"/>
    <cellStyle name="Normal 4 11 7 3" xfId="38016" xr:uid="{00000000-0005-0000-0000-00007D9D0000}"/>
    <cellStyle name="Normal 4 11 8" xfId="24025" xr:uid="{00000000-0005-0000-0000-00007E9D0000}"/>
    <cellStyle name="Normal 4 11 8 2" xfId="43259" xr:uid="{00000000-0005-0000-0000-00007F9D0000}"/>
    <cellStyle name="Normal 4 11 9" xfId="33561" xr:uid="{00000000-0005-0000-0000-0000809D0000}"/>
    <cellStyle name="Normal 4 110" xfId="4470" xr:uid="{00000000-0005-0000-0000-0000819D0000}"/>
    <cellStyle name="Normal 4 111" xfId="4471" xr:uid="{00000000-0005-0000-0000-0000829D0000}"/>
    <cellStyle name="Normal 4 112" xfId="4472" xr:uid="{00000000-0005-0000-0000-0000839D0000}"/>
    <cellStyle name="Normal 4 113" xfId="4473" xr:uid="{00000000-0005-0000-0000-0000849D0000}"/>
    <cellStyle name="Normal 4 114" xfId="4474" xr:uid="{00000000-0005-0000-0000-0000859D0000}"/>
    <cellStyle name="Normal 4 115" xfId="4475" xr:uid="{00000000-0005-0000-0000-0000869D0000}"/>
    <cellStyle name="Normal 4 116" xfId="4476" xr:uid="{00000000-0005-0000-0000-0000879D0000}"/>
    <cellStyle name="Normal 4 117" xfId="4477" xr:uid="{00000000-0005-0000-0000-0000889D0000}"/>
    <cellStyle name="Normal 4 118" xfId="4478" xr:uid="{00000000-0005-0000-0000-0000899D0000}"/>
    <cellStyle name="Normal 4 119" xfId="4479" xr:uid="{00000000-0005-0000-0000-00008A9D0000}"/>
    <cellStyle name="Normal 4 12" xfId="4480" xr:uid="{00000000-0005-0000-0000-00008B9D0000}"/>
    <cellStyle name="Normal 4 12 2" xfId="4481" xr:uid="{00000000-0005-0000-0000-00008C9D0000}"/>
    <cellStyle name="Normal 4 12 2 2" xfId="16615" xr:uid="{00000000-0005-0000-0000-00008D9D0000}"/>
    <cellStyle name="Normal 4 12 2 2 2" xfId="21079" xr:uid="{00000000-0005-0000-0000-00008E9D0000}"/>
    <cellStyle name="Normal 4 12 2 2 2 2" xfId="31447" xr:uid="{00000000-0005-0000-0000-00008F9D0000}"/>
    <cellStyle name="Normal 4 12 2 2 2 2 2" xfId="50636" xr:uid="{00000000-0005-0000-0000-0000909D0000}"/>
    <cellStyle name="Normal 4 12 2 2 2 3" xfId="40938" xr:uid="{00000000-0005-0000-0000-0000919D0000}"/>
    <cellStyle name="Normal 4 12 2 2 3" xfId="26992" xr:uid="{00000000-0005-0000-0000-0000929D0000}"/>
    <cellStyle name="Normal 4 12 2 2 3 2" xfId="46181" xr:uid="{00000000-0005-0000-0000-0000939D0000}"/>
    <cellStyle name="Normal 4 12 2 2 4" xfId="36483" xr:uid="{00000000-0005-0000-0000-0000949D0000}"/>
    <cellStyle name="Normal 4 12 2 3" xfId="19409" xr:uid="{00000000-0005-0000-0000-0000959D0000}"/>
    <cellStyle name="Normal 4 12 2 3 2" xfId="29777" xr:uid="{00000000-0005-0000-0000-0000969D0000}"/>
    <cellStyle name="Normal 4 12 2 3 2 2" xfId="48966" xr:uid="{00000000-0005-0000-0000-0000979D0000}"/>
    <cellStyle name="Normal 4 12 2 3 3" xfId="39268" xr:uid="{00000000-0005-0000-0000-0000989D0000}"/>
    <cellStyle name="Normal 4 12 2 4" xfId="25322" xr:uid="{00000000-0005-0000-0000-0000999D0000}"/>
    <cellStyle name="Normal 4 12 2 4 2" xfId="44511" xr:uid="{00000000-0005-0000-0000-00009A9D0000}"/>
    <cellStyle name="Normal 4 12 2 5" xfId="34813" xr:uid="{00000000-0005-0000-0000-00009B9D0000}"/>
    <cellStyle name="Normal 4 12 2 6" xfId="14943" xr:uid="{00000000-0005-0000-0000-00009C9D0000}"/>
    <cellStyle name="Normal 4 12 3" xfId="15502" xr:uid="{00000000-0005-0000-0000-00009D9D0000}"/>
    <cellStyle name="Normal 4 12 3 2" xfId="19966" xr:uid="{00000000-0005-0000-0000-00009E9D0000}"/>
    <cellStyle name="Normal 4 12 3 2 2" xfId="30334" xr:uid="{00000000-0005-0000-0000-00009F9D0000}"/>
    <cellStyle name="Normal 4 12 3 2 2 2" xfId="49523" xr:uid="{00000000-0005-0000-0000-0000A09D0000}"/>
    <cellStyle name="Normal 4 12 3 2 3" xfId="39825" xr:uid="{00000000-0005-0000-0000-0000A19D0000}"/>
    <cellStyle name="Normal 4 12 3 3" xfId="25879" xr:uid="{00000000-0005-0000-0000-0000A29D0000}"/>
    <cellStyle name="Normal 4 12 3 3 2" xfId="45068" xr:uid="{00000000-0005-0000-0000-0000A39D0000}"/>
    <cellStyle name="Normal 4 12 3 4" xfId="35370" xr:uid="{00000000-0005-0000-0000-0000A49D0000}"/>
    <cellStyle name="Normal 4 12 4" xfId="17178" xr:uid="{00000000-0005-0000-0000-0000A59D0000}"/>
    <cellStyle name="Normal 4 12 4 2" xfId="21636" xr:uid="{00000000-0005-0000-0000-0000A69D0000}"/>
    <cellStyle name="Normal 4 12 4 2 2" xfId="32004" xr:uid="{00000000-0005-0000-0000-0000A79D0000}"/>
    <cellStyle name="Normal 4 12 4 2 2 2" xfId="51193" xr:uid="{00000000-0005-0000-0000-0000A89D0000}"/>
    <cellStyle name="Normal 4 12 4 2 3" xfId="41495" xr:uid="{00000000-0005-0000-0000-0000A99D0000}"/>
    <cellStyle name="Normal 4 12 4 3" xfId="27549" xr:uid="{00000000-0005-0000-0000-0000AA9D0000}"/>
    <cellStyle name="Normal 4 12 4 3 2" xfId="46738" xr:uid="{00000000-0005-0000-0000-0000AB9D0000}"/>
    <cellStyle name="Normal 4 12 4 4" xfId="37040" xr:uid="{00000000-0005-0000-0000-0000AC9D0000}"/>
    <cellStyle name="Normal 4 12 5" xfId="17738" xr:uid="{00000000-0005-0000-0000-0000AD9D0000}"/>
    <cellStyle name="Normal 4 12 5 2" xfId="22193" xr:uid="{00000000-0005-0000-0000-0000AE9D0000}"/>
    <cellStyle name="Normal 4 12 5 2 2" xfId="32561" xr:uid="{00000000-0005-0000-0000-0000AF9D0000}"/>
    <cellStyle name="Normal 4 12 5 2 2 2" xfId="51750" xr:uid="{00000000-0005-0000-0000-0000B09D0000}"/>
    <cellStyle name="Normal 4 12 5 2 3" xfId="42052" xr:uid="{00000000-0005-0000-0000-0000B19D0000}"/>
    <cellStyle name="Normal 4 12 5 3" xfId="28106" xr:uid="{00000000-0005-0000-0000-0000B29D0000}"/>
    <cellStyle name="Normal 4 12 5 3 2" xfId="47295" xr:uid="{00000000-0005-0000-0000-0000B39D0000}"/>
    <cellStyle name="Normal 4 12 5 4" xfId="37597" xr:uid="{00000000-0005-0000-0000-0000B49D0000}"/>
    <cellStyle name="Normal 4 12 6" xfId="18851" xr:uid="{00000000-0005-0000-0000-0000B59D0000}"/>
    <cellStyle name="Normal 4 12 6 2" xfId="29219" xr:uid="{00000000-0005-0000-0000-0000B69D0000}"/>
    <cellStyle name="Normal 4 12 6 2 2" xfId="48408" xr:uid="{00000000-0005-0000-0000-0000B79D0000}"/>
    <cellStyle name="Normal 4 12 6 3" xfId="38710" xr:uid="{00000000-0005-0000-0000-0000B89D0000}"/>
    <cellStyle name="Normal 4 12 7" xfId="24762" xr:uid="{00000000-0005-0000-0000-0000B99D0000}"/>
    <cellStyle name="Normal 4 12 7 2" xfId="43953" xr:uid="{00000000-0005-0000-0000-0000BA9D0000}"/>
    <cellStyle name="Normal 4 12 8" xfId="34255" xr:uid="{00000000-0005-0000-0000-0000BB9D0000}"/>
    <cellStyle name="Normal 4 12 9" xfId="14364" xr:uid="{00000000-0005-0000-0000-0000BC9D0000}"/>
    <cellStyle name="Normal 4 120" xfId="4482" xr:uid="{00000000-0005-0000-0000-0000BD9D0000}"/>
    <cellStyle name="Normal 4 121" xfId="6010" xr:uid="{00000000-0005-0000-0000-0000BE9D0000}"/>
    <cellStyle name="Normal 4 122" xfId="6001" xr:uid="{00000000-0005-0000-0000-0000BF9D0000}"/>
    <cellStyle name="Normal 4 123" xfId="11969" xr:uid="{00000000-0005-0000-0000-0000C09D0000}"/>
    <cellStyle name="Normal 4 13" xfId="4483" xr:uid="{00000000-0005-0000-0000-0000C19D0000}"/>
    <cellStyle name="Normal 4 13 2" xfId="4484" xr:uid="{00000000-0005-0000-0000-0000C29D0000}"/>
    <cellStyle name="Normal 4 13 2 2" xfId="51752" xr:uid="{00000000-0005-0000-0000-0000C39D0000}"/>
    <cellStyle name="Normal 4 13 2 3" xfId="32564" xr:uid="{00000000-0005-0000-0000-0000C49D0000}"/>
    <cellStyle name="Normal 4 13 3" xfId="42054" xr:uid="{00000000-0005-0000-0000-0000C59D0000}"/>
    <cellStyle name="Normal 4 13 4" xfId="22200" xr:uid="{00000000-0005-0000-0000-0000C69D0000}"/>
    <cellStyle name="Normal 4 14" xfId="4485" xr:uid="{00000000-0005-0000-0000-0000C79D0000}"/>
    <cellStyle name="Normal 4 14 2" xfId="4486" xr:uid="{00000000-0005-0000-0000-0000C89D0000}"/>
    <cellStyle name="Normal 4 14 2 2" xfId="51793" xr:uid="{00000000-0005-0000-0000-0000C99D0000}"/>
    <cellStyle name="Normal 4 14 2 3" xfId="32605" xr:uid="{00000000-0005-0000-0000-0000CA9D0000}"/>
    <cellStyle name="Normal 4 14 3" xfId="42095" xr:uid="{00000000-0005-0000-0000-0000CB9D0000}"/>
    <cellStyle name="Normal 4 14 4" xfId="22248" xr:uid="{00000000-0005-0000-0000-0000CC9D0000}"/>
    <cellStyle name="Normal 4 15" xfId="4487" xr:uid="{00000000-0005-0000-0000-0000CD9D0000}"/>
    <cellStyle name="Normal 4 15 2" xfId="4488" xr:uid="{00000000-0005-0000-0000-0000CE9D0000}"/>
    <cellStyle name="Normal 4 15 3" xfId="12506" xr:uid="{00000000-0005-0000-0000-0000CF9D0000}"/>
    <cellStyle name="Normal 4 16" xfId="4489" xr:uid="{00000000-0005-0000-0000-0000D09D0000}"/>
    <cellStyle name="Normal 4 16 2" xfId="4490" xr:uid="{00000000-0005-0000-0000-0000D19D0000}"/>
    <cellStyle name="Normal 4 16 2 2" xfId="42828" xr:uid="{00000000-0005-0000-0000-0000D29D0000}"/>
    <cellStyle name="Normal 4 16 3" xfId="23262" xr:uid="{00000000-0005-0000-0000-0000D39D0000}"/>
    <cellStyle name="Normal 4 17" xfId="4491" xr:uid="{00000000-0005-0000-0000-0000D49D0000}"/>
    <cellStyle name="Normal 4 17 2" xfId="4492" xr:uid="{00000000-0005-0000-0000-0000D59D0000}"/>
    <cellStyle name="Normal 4 17 2 2" xfId="52196" xr:uid="{00000000-0005-0000-0000-0000D69D0000}"/>
    <cellStyle name="Normal 4 17 3" xfId="33010" xr:uid="{00000000-0005-0000-0000-0000D79D0000}"/>
    <cellStyle name="Normal 4 18" xfId="4493" xr:uid="{00000000-0005-0000-0000-0000D89D0000}"/>
    <cellStyle name="Normal 4 18 2" xfId="4494" xr:uid="{00000000-0005-0000-0000-0000D99D0000}"/>
    <cellStyle name="Normal 4 18 3" xfId="33107" xr:uid="{00000000-0005-0000-0000-0000DA9D0000}"/>
    <cellStyle name="Normal 4 19" xfId="4495" xr:uid="{00000000-0005-0000-0000-0000DB9D0000}"/>
    <cellStyle name="Normal 4 19 2" xfId="4496" xr:uid="{00000000-0005-0000-0000-0000DC9D0000}"/>
    <cellStyle name="Normal 4 19 3" xfId="52291" xr:uid="{00000000-0005-0000-0000-0000DD9D0000}"/>
    <cellStyle name="Normal 4 2" xfId="1196" xr:uid="{00000000-0005-0000-0000-0000DE9D0000}"/>
    <cellStyle name="Normal 4 2 10" xfId="4497" xr:uid="{00000000-0005-0000-0000-0000DF9D0000}"/>
    <cellStyle name="Normal 4 2 11" xfId="12058" xr:uid="{00000000-0005-0000-0000-0000E09D0000}"/>
    <cellStyle name="Normal 4 2 2" xfId="4498" xr:uid="{00000000-0005-0000-0000-0000E19D0000}"/>
    <cellStyle name="Normal 4 2 2 2" xfId="53132" xr:uid="{00000000-0005-0000-0000-0000E29D0000}"/>
    <cellStyle name="Normal 4 2 2 2 2" xfId="53985" xr:uid="{00000000-0005-0000-0000-0000E39D0000}"/>
    <cellStyle name="Normal 4 2 2 3" xfId="53589" xr:uid="{00000000-0005-0000-0000-0000E49D0000}"/>
    <cellStyle name="Normal 4 2 2 4" xfId="52704" xr:uid="{00000000-0005-0000-0000-0000E59D0000}"/>
    <cellStyle name="Normal 4 2 3" xfId="4499" xr:uid="{00000000-0005-0000-0000-0000E69D0000}"/>
    <cellStyle name="Normal 4 2 3 2" xfId="53789" xr:uid="{00000000-0005-0000-0000-0000E79D0000}"/>
    <cellStyle name="Normal 4 2 3 3" xfId="52914" xr:uid="{00000000-0005-0000-0000-0000E89D0000}"/>
    <cellStyle name="Normal 4 2 3 4" xfId="12507" xr:uid="{00000000-0005-0000-0000-0000E99D0000}"/>
    <cellStyle name="Normal 4 2 4" xfId="4500" xr:uid="{00000000-0005-0000-0000-0000EA9D0000}"/>
    <cellStyle name="Normal 4 2 4 2" xfId="42841" xr:uid="{00000000-0005-0000-0000-0000EB9D0000}"/>
    <cellStyle name="Normal 4 2 4 3" xfId="53393" xr:uid="{00000000-0005-0000-0000-0000EC9D0000}"/>
    <cellStyle name="Normal 4 2 4 4" xfId="23330" xr:uid="{00000000-0005-0000-0000-0000ED9D0000}"/>
    <cellStyle name="Normal 4 2 5" xfId="4501" xr:uid="{00000000-0005-0000-0000-0000EE9D0000}"/>
    <cellStyle name="Normal 4 2 5 2" xfId="33143" xr:uid="{00000000-0005-0000-0000-0000EF9D0000}"/>
    <cellStyle name="Normal 4 2 6" xfId="4502" xr:uid="{00000000-0005-0000-0000-0000F09D0000}"/>
    <cellStyle name="Normal 4 2 6 2" xfId="12206" xr:uid="{00000000-0005-0000-0000-0000F19D0000}"/>
    <cellStyle name="Normal 4 2 7" xfId="4503" xr:uid="{00000000-0005-0000-0000-0000F29D0000}"/>
    <cellStyle name="Normal 4 2 7 2" xfId="52500" xr:uid="{00000000-0005-0000-0000-0000F39D0000}"/>
    <cellStyle name="Normal 4 2 8" xfId="4504" xr:uid="{00000000-0005-0000-0000-0000F49D0000}"/>
    <cellStyle name="Normal 4 2 9" xfId="4505" xr:uid="{00000000-0005-0000-0000-0000F59D0000}"/>
    <cellStyle name="Normal 4 20" xfId="4506" xr:uid="{00000000-0005-0000-0000-0000F69D0000}"/>
    <cellStyle name="Normal 4 20 2" xfId="4507" xr:uid="{00000000-0005-0000-0000-0000F79D0000}"/>
    <cellStyle name="Normal 4 20 3" xfId="52346" xr:uid="{00000000-0005-0000-0000-0000F89D0000}"/>
    <cellStyle name="Normal 4 21" xfId="4508" xr:uid="{00000000-0005-0000-0000-0000F99D0000}"/>
    <cellStyle name="Normal 4 21 2" xfId="4509" xr:uid="{00000000-0005-0000-0000-0000FA9D0000}"/>
    <cellStyle name="Normal 4 21 2 2" xfId="4510" xr:uid="{00000000-0005-0000-0000-0000FB9D0000}"/>
    <cellStyle name="Normal 4 21 2 2 2" xfId="4511" xr:uid="{00000000-0005-0000-0000-0000FC9D0000}"/>
    <cellStyle name="Normal 4 21 2 2 2 2" xfId="4512" xr:uid="{00000000-0005-0000-0000-0000FD9D0000}"/>
    <cellStyle name="Normal 4 21 2 2 3" xfId="4513" xr:uid="{00000000-0005-0000-0000-0000FE9D0000}"/>
    <cellStyle name="Normal 4 21 2 3" xfId="4514" xr:uid="{00000000-0005-0000-0000-0000FF9D0000}"/>
    <cellStyle name="Normal 4 21 2 3 2" xfId="4515" xr:uid="{00000000-0005-0000-0000-0000009E0000}"/>
    <cellStyle name="Normal 4 21 2 4" xfId="4516" xr:uid="{00000000-0005-0000-0000-0000019E0000}"/>
    <cellStyle name="Normal 4 21 3" xfId="4517" xr:uid="{00000000-0005-0000-0000-0000029E0000}"/>
    <cellStyle name="Normal 4 21 3 2" xfId="4518" xr:uid="{00000000-0005-0000-0000-0000039E0000}"/>
    <cellStyle name="Normal 4 21 3 2 2" xfId="4519" xr:uid="{00000000-0005-0000-0000-0000049E0000}"/>
    <cellStyle name="Normal 4 21 3 2 2 2" xfId="4520" xr:uid="{00000000-0005-0000-0000-0000059E0000}"/>
    <cellStyle name="Normal 4 21 3 2 3" xfId="4521" xr:uid="{00000000-0005-0000-0000-0000069E0000}"/>
    <cellStyle name="Normal 4 21 3 3" xfId="4522" xr:uid="{00000000-0005-0000-0000-0000079E0000}"/>
    <cellStyle name="Normal 4 21 3 3 2" xfId="4523" xr:uid="{00000000-0005-0000-0000-0000089E0000}"/>
    <cellStyle name="Normal 4 21 3 4" xfId="4524" xr:uid="{00000000-0005-0000-0000-0000099E0000}"/>
    <cellStyle name="Normal 4 21 4" xfId="4525" xr:uid="{00000000-0005-0000-0000-00000A9E0000}"/>
    <cellStyle name="Normal 4 21 4 2" xfId="4526" xr:uid="{00000000-0005-0000-0000-00000B9E0000}"/>
    <cellStyle name="Normal 4 21 4 2 2" xfId="4527" xr:uid="{00000000-0005-0000-0000-00000C9E0000}"/>
    <cellStyle name="Normal 4 21 4 2 2 2" xfId="4528" xr:uid="{00000000-0005-0000-0000-00000D9E0000}"/>
    <cellStyle name="Normal 4 21 4 2 3" xfId="4529" xr:uid="{00000000-0005-0000-0000-00000E9E0000}"/>
    <cellStyle name="Normal 4 21 4 3" xfId="4530" xr:uid="{00000000-0005-0000-0000-00000F9E0000}"/>
    <cellStyle name="Normal 4 21 4 3 2" xfId="4531" xr:uid="{00000000-0005-0000-0000-0000109E0000}"/>
    <cellStyle name="Normal 4 21 4 4" xfId="4532" xr:uid="{00000000-0005-0000-0000-0000119E0000}"/>
    <cellStyle name="Normal 4 21 5" xfId="4533" xr:uid="{00000000-0005-0000-0000-0000129E0000}"/>
    <cellStyle name="Normal 4 21 5 2" xfId="4534" xr:uid="{00000000-0005-0000-0000-0000139E0000}"/>
    <cellStyle name="Normal 4 21 5 2 2" xfId="4535" xr:uid="{00000000-0005-0000-0000-0000149E0000}"/>
    <cellStyle name="Normal 4 21 5 3" xfId="4536" xr:uid="{00000000-0005-0000-0000-0000159E0000}"/>
    <cellStyle name="Normal 4 21 6" xfId="4537" xr:uid="{00000000-0005-0000-0000-0000169E0000}"/>
    <cellStyle name="Normal 4 21 6 2" xfId="4538" xr:uid="{00000000-0005-0000-0000-0000179E0000}"/>
    <cellStyle name="Normal 4 21 7" xfId="4539" xr:uid="{00000000-0005-0000-0000-0000189E0000}"/>
    <cellStyle name="Normal 4 21 8" xfId="4540" xr:uid="{00000000-0005-0000-0000-0000199E0000}"/>
    <cellStyle name="Normal 4 21 9" xfId="52393" xr:uid="{00000000-0005-0000-0000-00001A9E0000}"/>
    <cellStyle name="Normal 4 22" xfId="4541" xr:uid="{00000000-0005-0000-0000-00001B9E0000}"/>
    <cellStyle name="Normal 4 22 2" xfId="4542" xr:uid="{00000000-0005-0000-0000-00001C9E0000}"/>
    <cellStyle name="Normal 4 22 2 2" xfId="4543" xr:uid="{00000000-0005-0000-0000-00001D9E0000}"/>
    <cellStyle name="Normal 4 22 2 2 2" xfId="4544" xr:uid="{00000000-0005-0000-0000-00001E9E0000}"/>
    <cellStyle name="Normal 4 22 2 3" xfId="4545" xr:uid="{00000000-0005-0000-0000-00001F9E0000}"/>
    <cellStyle name="Normal 4 22 3" xfId="4546" xr:uid="{00000000-0005-0000-0000-0000209E0000}"/>
    <cellStyle name="Normal 4 22 3 2" xfId="4547" xr:uid="{00000000-0005-0000-0000-0000219E0000}"/>
    <cellStyle name="Normal 4 22 4" xfId="4548" xr:uid="{00000000-0005-0000-0000-0000229E0000}"/>
    <cellStyle name="Normal 4 22 5" xfId="4549" xr:uid="{00000000-0005-0000-0000-0000239E0000}"/>
    <cellStyle name="Normal 4 22 6" xfId="12112" xr:uid="{00000000-0005-0000-0000-0000249E0000}"/>
    <cellStyle name="Normal 4 23" xfId="4550" xr:uid="{00000000-0005-0000-0000-0000259E0000}"/>
    <cellStyle name="Normal 4 23 2" xfId="4551" xr:uid="{00000000-0005-0000-0000-0000269E0000}"/>
    <cellStyle name="Normal 4 23 2 2" xfId="4552" xr:uid="{00000000-0005-0000-0000-0000279E0000}"/>
    <cellStyle name="Normal 4 23 2 2 2" xfId="4553" xr:uid="{00000000-0005-0000-0000-0000289E0000}"/>
    <cellStyle name="Normal 4 23 2 3" xfId="4554" xr:uid="{00000000-0005-0000-0000-0000299E0000}"/>
    <cellStyle name="Normal 4 23 3" xfId="4555" xr:uid="{00000000-0005-0000-0000-00002A9E0000}"/>
    <cellStyle name="Normal 4 23 3 2" xfId="4556" xr:uid="{00000000-0005-0000-0000-00002B9E0000}"/>
    <cellStyle name="Normal 4 23 4" xfId="4557" xr:uid="{00000000-0005-0000-0000-00002C9E0000}"/>
    <cellStyle name="Normal 4 23 5" xfId="4558" xr:uid="{00000000-0005-0000-0000-00002D9E0000}"/>
    <cellStyle name="Normal 4 23 6" xfId="52434" xr:uid="{00000000-0005-0000-0000-00002E9E0000}"/>
    <cellStyle name="Normal 4 24" xfId="4559" xr:uid="{00000000-0005-0000-0000-00002F9E0000}"/>
    <cellStyle name="Normal 4 24 2" xfId="4560" xr:uid="{00000000-0005-0000-0000-0000309E0000}"/>
    <cellStyle name="Normal 4 24 2 2" xfId="4561" xr:uid="{00000000-0005-0000-0000-0000319E0000}"/>
    <cellStyle name="Normal 4 24 2 2 2" xfId="4562" xr:uid="{00000000-0005-0000-0000-0000329E0000}"/>
    <cellStyle name="Normal 4 24 2 3" xfId="4563" xr:uid="{00000000-0005-0000-0000-0000339E0000}"/>
    <cellStyle name="Normal 4 24 3" xfId="4564" xr:uid="{00000000-0005-0000-0000-0000349E0000}"/>
    <cellStyle name="Normal 4 24 3 2" xfId="4565" xr:uid="{00000000-0005-0000-0000-0000359E0000}"/>
    <cellStyle name="Normal 4 24 4" xfId="4566" xr:uid="{00000000-0005-0000-0000-0000369E0000}"/>
    <cellStyle name="Normal 4 24 5" xfId="4567" xr:uid="{00000000-0005-0000-0000-0000379E0000}"/>
    <cellStyle name="Normal 4 24 6" xfId="52458" xr:uid="{00000000-0005-0000-0000-0000389E0000}"/>
    <cellStyle name="Normal 4 25" xfId="4568" xr:uid="{00000000-0005-0000-0000-0000399E0000}"/>
    <cellStyle name="Normal 4 25 2" xfId="4569" xr:uid="{00000000-0005-0000-0000-00003A9E0000}"/>
    <cellStyle name="Normal 4 25 2 2" xfId="4570" xr:uid="{00000000-0005-0000-0000-00003B9E0000}"/>
    <cellStyle name="Normal 4 25 3" xfId="4571" xr:uid="{00000000-0005-0000-0000-00003C9E0000}"/>
    <cellStyle name="Normal 4 25 4" xfId="4572" xr:uid="{00000000-0005-0000-0000-00003D9E0000}"/>
    <cellStyle name="Normal 4 26" xfId="4573" xr:uid="{00000000-0005-0000-0000-00003E9E0000}"/>
    <cellStyle name="Normal 4 26 2" xfId="4574" xr:uid="{00000000-0005-0000-0000-00003F9E0000}"/>
    <cellStyle name="Normal 4 27" xfId="4575" xr:uid="{00000000-0005-0000-0000-0000409E0000}"/>
    <cellStyle name="Normal 4 27 2" xfId="4576" xr:uid="{00000000-0005-0000-0000-0000419E0000}"/>
    <cellStyle name="Normal 4 27 2 2" xfId="4577" xr:uid="{00000000-0005-0000-0000-0000429E0000}"/>
    <cellStyle name="Normal 4 27 3" xfId="4578" xr:uid="{00000000-0005-0000-0000-0000439E0000}"/>
    <cellStyle name="Normal 4 27 4" xfId="4579" xr:uid="{00000000-0005-0000-0000-0000449E0000}"/>
    <cellStyle name="Normal 4 28" xfId="4580" xr:uid="{00000000-0005-0000-0000-0000459E0000}"/>
    <cellStyle name="Normal 4 28 2" xfId="4581" xr:uid="{00000000-0005-0000-0000-0000469E0000}"/>
    <cellStyle name="Normal 4 28 3" xfId="4582" xr:uid="{00000000-0005-0000-0000-0000479E0000}"/>
    <cellStyle name="Normal 4 29" xfId="4583" xr:uid="{00000000-0005-0000-0000-0000489E0000}"/>
    <cellStyle name="Normal 4 29 2" xfId="4584" xr:uid="{00000000-0005-0000-0000-0000499E0000}"/>
    <cellStyle name="Normal 4 3" xfId="1197" xr:uid="{00000000-0005-0000-0000-00004A9E0000}"/>
    <cellStyle name="Normal 4 3 10" xfId="23453" xr:uid="{00000000-0005-0000-0000-00004B9E0000}"/>
    <cellStyle name="Normal 4 3 11" xfId="22962" xr:uid="{00000000-0005-0000-0000-00004C9E0000}"/>
    <cellStyle name="Normal 4 3 11 2" xfId="42531" xr:uid="{00000000-0005-0000-0000-00004D9E0000}"/>
    <cellStyle name="Normal 4 3 12" xfId="12508" xr:uid="{00000000-0005-0000-0000-00004E9E0000}"/>
    <cellStyle name="Normal 4 3 13" xfId="52541" xr:uid="{00000000-0005-0000-0000-00004F9E0000}"/>
    <cellStyle name="Normal 4 3 14" xfId="12059" xr:uid="{00000000-0005-0000-0000-0000509E0000}"/>
    <cellStyle name="Normal 4 3 2" xfId="4586" xr:uid="{00000000-0005-0000-0000-0000519E0000}"/>
    <cellStyle name="Normal 4 3 2 2" xfId="4587" xr:uid="{00000000-0005-0000-0000-0000529E0000}"/>
    <cellStyle name="Normal 4 3 2 2 10" xfId="18158" xr:uid="{00000000-0005-0000-0000-0000539E0000}"/>
    <cellStyle name="Normal 4 3 2 2 10 2" xfId="28526" xr:uid="{00000000-0005-0000-0000-0000549E0000}"/>
    <cellStyle name="Normal 4 3 2 2 10 2 2" xfId="47715" xr:uid="{00000000-0005-0000-0000-0000559E0000}"/>
    <cellStyle name="Normal 4 3 2 2 10 3" xfId="38017" xr:uid="{00000000-0005-0000-0000-0000569E0000}"/>
    <cellStyle name="Normal 4 3 2 2 11" xfId="24026" xr:uid="{00000000-0005-0000-0000-0000579E0000}"/>
    <cellStyle name="Normal 4 3 2 2 11 2" xfId="43260" xr:uid="{00000000-0005-0000-0000-0000589E0000}"/>
    <cellStyle name="Normal 4 3 2 2 12" xfId="33562" xr:uid="{00000000-0005-0000-0000-0000599E0000}"/>
    <cellStyle name="Normal 4 3 2 2 13" xfId="53170" xr:uid="{00000000-0005-0000-0000-00005A9E0000}"/>
    <cellStyle name="Normal 4 3 2 2 14" xfId="13314" xr:uid="{00000000-0005-0000-0000-00005B9E0000}"/>
    <cellStyle name="Normal 4 3 2 2 2" xfId="4588" xr:uid="{00000000-0005-0000-0000-00005C9E0000}"/>
    <cellStyle name="Normal 4 3 2 2 2 10" xfId="24027" xr:uid="{00000000-0005-0000-0000-00005D9E0000}"/>
    <cellStyle name="Normal 4 3 2 2 2 10 2" xfId="43261" xr:uid="{00000000-0005-0000-0000-00005E9E0000}"/>
    <cellStyle name="Normal 4 3 2 2 2 11" xfId="33563" xr:uid="{00000000-0005-0000-0000-00005F9E0000}"/>
    <cellStyle name="Normal 4 3 2 2 2 12" xfId="54023" xr:uid="{00000000-0005-0000-0000-0000609E0000}"/>
    <cellStyle name="Normal 4 3 2 2 2 13" xfId="13315" xr:uid="{00000000-0005-0000-0000-0000619E0000}"/>
    <cellStyle name="Normal 4 3 2 2 2 2" xfId="11231" xr:uid="{00000000-0005-0000-0000-0000629E0000}"/>
    <cellStyle name="Normal 4 3 2 2 2 2 10" xfId="13316" xr:uid="{00000000-0005-0000-0000-0000639E0000}"/>
    <cellStyle name="Normal 4 3 2 2 2 2 2" xfId="14216" xr:uid="{00000000-0005-0000-0000-0000649E0000}"/>
    <cellStyle name="Normal 4 3 2 2 2 2 2 2" xfId="16480" xr:uid="{00000000-0005-0000-0000-0000659E0000}"/>
    <cellStyle name="Normal 4 3 2 2 2 2 2 2 2" xfId="20944" xr:uid="{00000000-0005-0000-0000-0000669E0000}"/>
    <cellStyle name="Normal 4 3 2 2 2 2 2 2 2 2" xfId="31312" xr:uid="{00000000-0005-0000-0000-0000679E0000}"/>
    <cellStyle name="Normal 4 3 2 2 2 2 2 2 2 2 2" xfId="50501" xr:uid="{00000000-0005-0000-0000-0000689E0000}"/>
    <cellStyle name="Normal 4 3 2 2 2 2 2 2 2 3" xfId="40803" xr:uid="{00000000-0005-0000-0000-0000699E0000}"/>
    <cellStyle name="Normal 4 3 2 2 2 2 2 2 3" xfId="26857" xr:uid="{00000000-0005-0000-0000-00006A9E0000}"/>
    <cellStyle name="Normal 4 3 2 2 2 2 2 2 3 2" xfId="46046" xr:uid="{00000000-0005-0000-0000-00006B9E0000}"/>
    <cellStyle name="Normal 4 3 2 2 2 2 2 2 4" xfId="36348" xr:uid="{00000000-0005-0000-0000-00006C9E0000}"/>
    <cellStyle name="Normal 4 3 2 2 2 2 2 3" xfId="18716" xr:uid="{00000000-0005-0000-0000-00006D9E0000}"/>
    <cellStyle name="Normal 4 3 2 2 2 2 2 3 2" xfId="29084" xr:uid="{00000000-0005-0000-0000-00006E9E0000}"/>
    <cellStyle name="Normal 4 3 2 2 2 2 2 3 2 2" xfId="48273" xr:uid="{00000000-0005-0000-0000-00006F9E0000}"/>
    <cellStyle name="Normal 4 3 2 2 2 2 2 3 3" xfId="38575" xr:uid="{00000000-0005-0000-0000-0000709E0000}"/>
    <cellStyle name="Normal 4 3 2 2 2 2 2 4" xfId="24624" xr:uid="{00000000-0005-0000-0000-0000719E0000}"/>
    <cellStyle name="Normal 4 3 2 2 2 2 2 4 2" xfId="43818" xr:uid="{00000000-0005-0000-0000-0000729E0000}"/>
    <cellStyle name="Normal 4 3 2 2 2 2 2 5" xfId="34120" xr:uid="{00000000-0005-0000-0000-0000739E0000}"/>
    <cellStyle name="Normal 4 3 2 2 2 2 3" xfId="14795" xr:uid="{00000000-0005-0000-0000-0000749E0000}"/>
    <cellStyle name="Normal 4 3 2 2 2 2 3 2" xfId="15924" xr:uid="{00000000-0005-0000-0000-0000759E0000}"/>
    <cellStyle name="Normal 4 3 2 2 2 2 3 2 2" xfId="20388" xr:uid="{00000000-0005-0000-0000-0000769E0000}"/>
    <cellStyle name="Normal 4 3 2 2 2 2 3 2 2 2" xfId="30756" xr:uid="{00000000-0005-0000-0000-0000779E0000}"/>
    <cellStyle name="Normal 4 3 2 2 2 2 3 2 2 2 2" xfId="49945" xr:uid="{00000000-0005-0000-0000-0000789E0000}"/>
    <cellStyle name="Normal 4 3 2 2 2 2 3 2 2 3" xfId="40247" xr:uid="{00000000-0005-0000-0000-0000799E0000}"/>
    <cellStyle name="Normal 4 3 2 2 2 2 3 2 3" xfId="26301" xr:uid="{00000000-0005-0000-0000-00007A9E0000}"/>
    <cellStyle name="Normal 4 3 2 2 2 2 3 2 3 2" xfId="45490" xr:uid="{00000000-0005-0000-0000-00007B9E0000}"/>
    <cellStyle name="Normal 4 3 2 2 2 2 3 2 4" xfId="35792" xr:uid="{00000000-0005-0000-0000-00007C9E0000}"/>
    <cellStyle name="Normal 4 3 2 2 2 2 3 3" xfId="19273" xr:uid="{00000000-0005-0000-0000-00007D9E0000}"/>
    <cellStyle name="Normal 4 3 2 2 2 2 3 3 2" xfId="29641" xr:uid="{00000000-0005-0000-0000-00007E9E0000}"/>
    <cellStyle name="Normal 4 3 2 2 2 2 3 3 2 2" xfId="48830" xr:uid="{00000000-0005-0000-0000-00007F9E0000}"/>
    <cellStyle name="Normal 4 3 2 2 2 2 3 3 3" xfId="39132" xr:uid="{00000000-0005-0000-0000-0000809E0000}"/>
    <cellStyle name="Normal 4 3 2 2 2 2 3 4" xfId="25186" xr:uid="{00000000-0005-0000-0000-0000819E0000}"/>
    <cellStyle name="Normal 4 3 2 2 2 2 3 4 2" xfId="44375" xr:uid="{00000000-0005-0000-0000-0000829E0000}"/>
    <cellStyle name="Normal 4 3 2 2 2 2 3 5" xfId="34677" xr:uid="{00000000-0005-0000-0000-0000839E0000}"/>
    <cellStyle name="Normal 4 3 2 2 2 2 4" xfId="15367" xr:uid="{00000000-0005-0000-0000-0000849E0000}"/>
    <cellStyle name="Normal 4 3 2 2 2 2 4 2" xfId="19831" xr:uid="{00000000-0005-0000-0000-0000859E0000}"/>
    <cellStyle name="Normal 4 3 2 2 2 2 4 2 2" xfId="30199" xr:uid="{00000000-0005-0000-0000-0000869E0000}"/>
    <cellStyle name="Normal 4 3 2 2 2 2 4 2 2 2" xfId="49388" xr:uid="{00000000-0005-0000-0000-0000879E0000}"/>
    <cellStyle name="Normal 4 3 2 2 2 2 4 2 3" xfId="39690" xr:uid="{00000000-0005-0000-0000-0000889E0000}"/>
    <cellStyle name="Normal 4 3 2 2 2 2 4 3" xfId="25744" xr:uid="{00000000-0005-0000-0000-0000899E0000}"/>
    <cellStyle name="Normal 4 3 2 2 2 2 4 3 2" xfId="44933" xr:uid="{00000000-0005-0000-0000-00008A9E0000}"/>
    <cellStyle name="Normal 4 3 2 2 2 2 4 4" xfId="35235" xr:uid="{00000000-0005-0000-0000-00008B9E0000}"/>
    <cellStyle name="Normal 4 3 2 2 2 2 5" xfId="17037" xr:uid="{00000000-0005-0000-0000-00008C9E0000}"/>
    <cellStyle name="Normal 4 3 2 2 2 2 5 2" xfId="21501" xr:uid="{00000000-0005-0000-0000-00008D9E0000}"/>
    <cellStyle name="Normal 4 3 2 2 2 2 5 2 2" xfId="31869" xr:uid="{00000000-0005-0000-0000-00008E9E0000}"/>
    <cellStyle name="Normal 4 3 2 2 2 2 5 2 2 2" xfId="51058" xr:uid="{00000000-0005-0000-0000-00008F9E0000}"/>
    <cellStyle name="Normal 4 3 2 2 2 2 5 2 3" xfId="41360" xr:uid="{00000000-0005-0000-0000-0000909E0000}"/>
    <cellStyle name="Normal 4 3 2 2 2 2 5 3" xfId="27414" xr:uid="{00000000-0005-0000-0000-0000919E0000}"/>
    <cellStyle name="Normal 4 3 2 2 2 2 5 3 2" xfId="46603" xr:uid="{00000000-0005-0000-0000-0000929E0000}"/>
    <cellStyle name="Normal 4 3 2 2 2 2 5 4" xfId="36905" xr:uid="{00000000-0005-0000-0000-0000939E0000}"/>
    <cellStyle name="Normal 4 3 2 2 2 2 6" xfId="17603" xr:uid="{00000000-0005-0000-0000-0000949E0000}"/>
    <cellStyle name="Normal 4 3 2 2 2 2 6 2" xfId="22058" xr:uid="{00000000-0005-0000-0000-0000959E0000}"/>
    <cellStyle name="Normal 4 3 2 2 2 2 6 2 2" xfId="32426" xr:uid="{00000000-0005-0000-0000-0000969E0000}"/>
    <cellStyle name="Normal 4 3 2 2 2 2 6 2 2 2" xfId="51615" xr:uid="{00000000-0005-0000-0000-0000979E0000}"/>
    <cellStyle name="Normal 4 3 2 2 2 2 6 2 3" xfId="41917" xr:uid="{00000000-0005-0000-0000-0000989E0000}"/>
    <cellStyle name="Normal 4 3 2 2 2 2 6 3" xfId="27971" xr:uid="{00000000-0005-0000-0000-0000999E0000}"/>
    <cellStyle name="Normal 4 3 2 2 2 2 6 3 2" xfId="47160" xr:uid="{00000000-0005-0000-0000-00009A9E0000}"/>
    <cellStyle name="Normal 4 3 2 2 2 2 6 4" xfId="37462" xr:uid="{00000000-0005-0000-0000-00009B9E0000}"/>
    <cellStyle name="Normal 4 3 2 2 2 2 7" xfId="18160" xr:uid="{00000000-0005-0000-0000-00009C9E0000}"/>
    <cellStyle name="Normal 4 3 2 2 2 2 7 2" xfId="28528" xr:uid="{00000000-0005-0000-0000-00009D9E0000}"/>
    <cellStyle name="Normal 4 3 2 2 2 2 7 2 2" xfId="47717" xr:uid="{00000000-0005-0000-0000-00009E9E0000}"/>
    <cellStyle name="Normal 4 3 2 2 2 2 7 3" xfId="38019" xr:uid="{00000000-0005-0000-0000-00009F9E0000}"/>
    <cellStyle name="Normal 4 3 2 2 2 2 8" xfId="24028" xr:uid="{00000000-0005-0000-0000-0000A09E0000}"/>
    <cellStyle name="Normal 4 3 2 2 2 2 8 2" xfId="43262" xr:uid="{00000000-0005-0000-0000-0000A19E0000}"/>
    <cellStyle name="Normal 4 3 2 2 2 2 9" xfId="33564" xr:uid="{00000000-0005-0000-0000-0000A29E0000}"/>
    <cellStyle name="Normal 4 3 2 2 2 3" xfId="13317" xr:uid="{00000000-0005-0000-0000-0000A39E0000}"/>
    <cellStyle name="Normal 4 3 2 2 2 3 2" xfId="14217" xr:uid="{00000000-0005-0000-0000-0000A49E0000}"/>
    <cellStyle name="Normal 4 3 2 2 2 3 2 2" xfId="16481" xr:uid="{00000000-0005-0000-0000-0000A59E0000}"/>
    <cellStyle name="Normal 4 3 2 2 2 3 2 2 2" xfId="20945" xr:uid="{00000000-0005-0000-0000-0000A69E0000}"/>
    <cellStyle name="Normal 4 3 2 2 2 3 2 2 2 2" xfId="31313" xr:uid="{00000000-0005-0000-0000-0000A79E0000}"/>
    <cellStyle name="Normal 4 3 2 2 2 3 2 2 2 2 2" xfId="50502" xr:uid="{00000000-0005-0000-0000-0000A89E0000}"/>
    <cellStyle name="Normal 4 3 2 2 2 3 2 2 2 3" xfId="40804" xr:uid="{00000000-0005-0000-0000-0000A99E0000}"/>
    <cellStyle name="Normal 4 3 2 2 2 3 2 2 3" xfId="26858" xr:uid="{00000000-0005-0000-0000-0000AA9E0000}"/>
    <cellStyle name="Normal 4 3 2 2 2 3 2 2 3 2" xfId="46047" xr:uid="{00000000-0005-0000-0000-0000AB9E0000}"/>
    <cellStyle name="Normal 4 3 2 2 2 3 2 2 4" xfId="36349" xr:uid="{00000000-0005-0000-0000-0000AC9E0000}"/>
    <cellStyle name="Normal 4 3 2 2 2 3 2 3" xfId="18717" xr:uid="{00000000-0005-0000-0000-0000AD9E0000}"/>
    <cellStyle name="Normal 4 3 2 2 2 3 2 3 2" xfId="29085" xr:uid="{00000000-0005-0000-0000-0000AE9E0000}"/>
    <cellStyle name="Normal 4 3 2 2 2 3 2 3 2 2" xfId="48274" xr:uid="{00000000-0005-0000-0000-0000AF9E0000}"/>
    <cellStyle name="Normal 4 3 2 2 2 3 2 3 3" xfId="38576" xr:uid="{00000000-0005-0000-0000-0000B09E0000}"/>
    <cellStyle name="Normal 4 3 2 2 2 3 2 4" xfId="24625" xr:uid="{00000000-0005-0000-0000-0000B19E0000}"/>
    <cellStyle name="Normal 4 3 2 2 2 3 2 4 2" xfId="43819" xr:uid="{00000000-0005-0000-0000-0000B29E0000}"/>
    <cellStyle name="Normal 4 3 2 2 2 3 2 5" xfId="34121" xr:uid="{00000000-0005-0000-0000-0000B39E0000}"/>
    <cellStyle name="Normal 4 3 2 2 2 3 3" xfId="14796" xr:uid="{00000000-0005-0000-0000-0000B49E0000}"/>
    <cellStyle name="Normal 4 3 2 2 2 3 3 2" xfId="15925" xr:uid="{00000000-0005-0000-0000-0000B59E0000}"/>
    <cellStyle name="Normal 4 3 2 2 2 3 3 2 2" xfId="20389" xr:uid="{00000000-0005-0000-0000-0000B69E0000}"/>
    <cellStyle name="Normal 4 3 2 2 2 3 3 2 2 2" xfId="30757" xr:uid="{00000000-0005-0000-0000-0000B79E0000}"/>
    <cellStyle name="Normal 4 3 2 2 2 3 3 2 2 2 2" xfId="49946" xr:uid="{00000000-0005-0000-0000-0000B89E0000}"/>
    <cellStyle name="Normal 4 3 2 2 2 3 3 2 2 3" xfId="40248" xr:uid="{00000000-0005-0000-0000-0000B99E0000}"/>
    <cellStyle name="Normal 4 3 2 2 2 3 3 2 3" xfId="26302" xr:uid="{00000000-0005-0000-0000-0000BA9E0000}"/>
    <cellStyle name="Normal 4 3 2 2 2 3 3 2 3 2" xfId="45491" xr:uid="{00000000-0005-0000-0000-0000BB9E0000}"/>
    <cellStyle name="Normal 4 3 2 2 2 3 3 2 4" xfId="35793" xr:uid="{00000000-0005-0000-0000-0000BC9E0000}"/>
    <cellStyle name="Normal 4 3 2 2 2 3 3 3" xfId="19274" xr:uid="{00000000-0005-0000-0000-0000BD9E0000}"/>
    <cellStyle name="Normal 4 3 2 2 2 3 3 3 2" xfId="29642" xr:uid="{00000000-0005-0000-0000-0000BE9E0000}"/>
    <cellStyle name="Normal 4 3 2 2 2 3 3 3 2 2" xfId="48831" xr:uid="{00000000-0005-0000-0000-0000BF9E0000}"/>
    <cellStyle name="Normal 4 3 2 2 2 3 3 3 3" xfId="39133" xr:uid="{00000000-0005-0000-0000-0000C09E0000}"/>
    <cellStyle name="Normal 4 3 2 2 2 3 3 4" xfId="25187" xr:uid="{00000000-0005-0000-0000-0000C19E0000}"/>
    <cellStyle name="Normal 4 3 2 2 2 3 3 4 2" xfId="44376" xr:uid="{00000000-0005-0000-0000-0000C29E0000}"/>
    <cellStyle name="Normal 4 3 2 2 2 3 3 5" xfId="34678" xr:uid="{00000000-0005-0000-0000-0000C39E0000}"/>
    <cellStyle name="Normal 4 3 2 2 2 3 4" xfId="15368" xr:uid="{00000000-0005-0000-0000-0000C49E0000}"/>
    <cellStyle name="Normal 4 3 2 2 2 3 4 2" xfId="19832" xr:uid="{00000000-0005-0000-0000-0000C59E0000}"/>
    <cellStyle name="Normal 4 3 2 2 2 3 4 2 2" xfId="30200" xr:uid="{00000000-0005-0000-0000-0000C69E0000}"/>
    <cellStyle name="Normal 4 3 2 2 2 3 4 2 2 2" xfId="49389" xr:uid="{00000000-0005-0000-0000-0000C79E0000}"/>
    <cellStyle name="Normal 4 3 2 2 2 3 4 2 3" xfId="39691" xr:uid="{00000000-0005-0000-0000-0000C89E0000}"/>
    <cellStyle name="Normal 4 3 2 2 2 3 4 3" xfId="25745" xr:uid="{00000000-0005-0000-0000-0000C99E0000}"/>
    <cellStyle name="Normal 4 3 2 2 2 3 4 3 2" xfId="44934" xr:uid="{00000000-0005-0000-0000-0000CA9E0000}"/>
    <cellStyle name="Normal 4 3 2 2 2 3 4 4" xfId="35236" xr:uid="{00000000-0005-0000-0000-0000CB9E0000}"/>
    <cellStyle name="Normal 4 3 2 2 2 3 5" xfId="17038" xr:uid="{00000000-0005-0000-0000-0000CC9E0000}"/>
    <cellStyle name="Normal 4 3 2 2 2 3 5 2" xfId="21502" xr:uid="{00000000-0005-0000-0000-0000CD9E0000}"/>
    <cellStyle name="Normal 4 3 2 2 2 3 5 2 2" xfId="31870" xr:uid="{00000000-0005-0000-0000-0000CE9E0000}"/>
    <cellStyle name="Normal 4 3 2 2 2 3 5 2 2 2" xfId="51059" xr:uid="{00000000-0005-0000-0000-0000CF9E0000}"/>
    <cellStyle name="Normal 4 3 2 2 2 3 5 2 3" xfId="41361" xr:uid="{00000000-0005-0000-0000-0000D09E0000}"/>
    <cellStyle name="Normal 4 3 2 2 2 3 5 3" xfId="27415" xr:uid="{00000000-0005-0000-0000-0000D19E0000}"/>
    <cellStyle name="Normal 4 3 2 2 2 3 5 3 2" xfId="46604" xr:uid="{00000000-0005-0000-0000-0000D29E0000}"/>
    <cellStyle name="Normal 4 3 2 2 2 3 5 4" xfId="36906" xr:uid="{00000000-0005-0000-0000-0000D39E0000}"/>
    <cellStyle name="Normal 4 3 2 2 2 3 6" xfId="17604" xr:uid="{00000000-0005-0000-0000-0000D49E0000}"/>
    <cellStyle name="Normal 4 3 2 2 2 3 6 2" xfId="22059" xr:uid="{00000000-0005-0000-0000-0000D59E0000}"/>
    <cellStyle name="Normal 4 3 2 2 2 3 6 2 2" xfId="32427" xr:uid="{00000000-0005-0000-0000-0000D69E0000}"/>
    <cellStyle name="Normal 4 3 2 2 2 3 6 2 2 2" xfId="51616" xr:uid="{00000000-0005-0000-0000-0000D79E0000}"/>
    <cellStyle name="Normal 4 3 2 2 2 3 6 2 3" xfId="41918" xr:uid="{00000000-0005-0000-0000-0000D89E0000}"/>
    <cellStyle name="Normal 4 3 2 2 2 3 6 3" xfId="27972" xr:uid="{00000000-0005-0000-0000-0000D99E0000}"/>
    <cellStyle name="Normal 4 3 2 2 2 3 6 3 2" xfId="47161" xr:uid="{00000000-0005-0000-0000-0000DA9E0000}"/>
    <cellStyle name="Normal 4 3 2 2 2 3 6 4" xfId="37463" xr:uid="{00000000-0005-0000-0000-0000DB9E0000}"/>
    <cellStyle name="Normal 4 3 2 2 2 3 7" xfId="18161" xr:uid="{00000000-0005-0000-0000-0000DC9E0000}"/>
    <cellStyle name="Normal 4 3 2 2 2 3 7 2" xfId="28529" xr:uid="{00000000-0005-0000-0000-0000DD9E0000}"/>
    <cellStyle name="Normal 4 3 2 2 2 3 7 2 2" xfId="47718" xr:uid="{00000000-0005-0000-0000-0000DE9E0000}"/>
    <cellStyle name="Normal 4 3 2 2 2 3 7 3" xfId="38020" xr:uid="{00000000-0005-0000-0000-0000DF9E0000}"/>
    <cellStyle name="Normal 4 3 2 2 2 3 8" xfId="24029" xr:uid="{00000000-0005-0000-0000-0000E09E0000}"/>
    <cellStyle name="Normal 4 3 2 2 2 3 8 2" xfId="43263" xr:uid="{00000000-0005-0000-0000-0000E19E0000}"/>
    <cellStyle name="Normal 4 3 2 2 2 3 9" xfId="33565" xr:uid="{00000000-0005-0000-0000-0000E29E0000}"/>
    <cellStyle name="Normal 4 3 2 2 2 4" xfId="14215" xr:uid="{00000000-0005-0000-0000-0000E39E0000}"/>
    <cellStyle name="Normal 4 3 2 2 2 4 2" xfId="16479" xr:uid="{00000000-0005-0000-0000-0000E49E0000}"/>
    <cellStyle name="Normal 4 3 2 2 2 4 2 2" xfId="20943" xr:uid="{00000000-0005-0000-0000-0000E59E0000}"/>
    <cellStyle name="Normal 4 3 2 2 2 4 2 2 2" xfId="31311" xr:uid="{00000000-0005-0000-0000-0000E69E0000}"/>
    <cellStyle name="Normal 4 3 2 2 2 4 2 2 2 2" xfId="50500" xr:uid="{00000000-0005-0000-0000-0000E79E0000}"/>
    <cellStyle name="Normal 4 3 2 2 2 4 2 2 3" xfId="40802" xr:uid="{00000000-0005-0000-0000-0000E89E0000}"/>
    <cellStyle name="Normal 4 3 2 2 2 4 2 3" xfId="26856" xr:uid="{00000000-0005-0000-0000-0000E99E0000}"/>
    <cellStyle name="Normal 4 3 2 2 2 4 2 3 2" xfId="46045" xr:uid="{00000000-0005-0000-0000-0000EA9E0000}"/>
    <cellStyle name="Normal 4 3 2 2 2 4 2 4" xfId="36347" xr:uid="{00000000-0005-0000-0000-0000EB9E0000}"/>
    <cellStyle name="Normal 4 3 2 2 2 4 3" xfId="18715" xr:uid="{00000000-0005-0000-0000-0000EC9E0000}"/>
    <cellStyle name="Normal 4 3 2 2 2 4 3 2" xfId="29083" xr:uid="{00000000-0005-0000-0000-0000ED9E0000}"/>
    <cellStyle name="Normal 4 3 2 2 2 4 3 2 2" xfId="48272" xr:uid="{00000000-0005-0000-0000-0000EE9E0000}"/>
    <cellStyle name="Normal 4 3 2 2 2 4 3 3" xfId="38574" xr:uid="{00000000-0005-0000-0000-0000EF9E0000}"/>
    <cellStyle name="Normal 4 3 2 2 2 4 4" xfId="24623" xr:uid="{00000000-0005-0000-0000-0000F09E0000}"/>
    <cellStyle name="Normal 4 3 2 2 2 4 4 2" xfId="43817" xr:uid="{00000000-0005-0000-0000-0000F19E0000}"/>
    <cellStyle name="Normal 4 3 2 2 2 4 5" xfId="34119" xr:uid="{00000000-0005-0000-0000-0000F29E0000}"/>
    <cellStyle name="Normal 4 3 2 2 2 5" xfId="14794" xr:uid="{00000000-0005-0000-0000-0000F39E0000}"/>
    <cellStyle name="Normal 4 3 2 2 2 5 2" xfId="15923" xr:uid="{00000000-0005-0000-0000-0000F49E0000}"/>
    <cellStyle name="Normal 4 3 2 2 2 5 2 2" xfId="20387" xr:uid="{00000000-0005-0000-0000-0000F59E0000}"/>
    <cellStyle name="Normal 4 3 2 2 2 5 2 2 2" xfId="30755" xr:uid="{00000000-0005-0000-0000-0000F69E0000}"/>
    <cellStyle name="Normal 4 3 2 2 2 5 2 2 2 2" xfId="49944" xr:uid="{00000000-0005-0000-0000-0000F79E0000}"/>
    <cellStyle name="Normal 4 3 2 2 2 5 2 2 3" xfId="40246" xr:uid="{00000000-0005-0000-0000-0000F89E0000}"/>
    <cellStyle name="Normal 4 3 2 2 2 5 2 3" xfId="26300" xr:uid="{00000000-0005-0000-0000-0000F99E0000}"/>
    <cellStyle name="Normal 4 3 2 2 2 5 2 3 2" xfId="45489" xr:uid="{00000000-0005-0000-0000-0000FA9E0000}"/>
    <cellStyle name="Normal 4 3 2 2 2 5 2 4" xfId="35791" xr:uid="{00000000-0005-0000-0000-0000FB9E0000}"/>
    <cellStyle name="Normal 4 3 2 2 2 5 3" xfId="19272" xr:uid="{00000000-0005-0000-0000-0000FC9E0000}"/>
    <cellStyle name="Normal 4 3 2 2 2 5 3 2" xfId="29640" xr:uid="{00000000-0005-0000-0000-0000FD9E0000}"/>
    <cellStyle name="Normal 4 3 2 2 2 5 3 2 2" xfId="48829" xr:uid="{00000000-0005-0000-0000-0000FE9E0000}"/>
    <cellStyle name="Normal 4 3 2 2 2 5 3 3" xfId="39131" xr:uid="{00000000-0005-0000-0000-0000FF9E0000}"/>
    <cellStyle name="Normal 4 3 2 2 2 5 4" xfId="25185" xr:uid="{00000000-0005-0000-0000-0000009F0000}"/>
    <cellStyle name="Normal 4 3 2 2 2 5 4 2" xfId="44374" xr:uid="{00000000-0005-0000-0000-0000019F0000}"/>
    <cellStyle name="Normal 4 3 2 2 2 5 5" xfId="34676" xr:uid="{00000000-0005-0000-0000-0000029F0000}"/>
    <cellStyle name="Normal 4 3 2 2 2 6" xfId="15366" xr:uid="{00000000-0005-0000-0000-0000039F0000}"/>
    <cellStyle name="Normal 4 3 2 2 2 6 2" xfId="19830" xr:uid="{00000000-0005-0000-0000-0000049F0000}"/>
    <cellStyle name="Normal 4 3 2 2 2 6 2 2" xfId="30198" xr:uid="{00000000-0005-0000-0000-0000059F0000}"/>
    <cellStyle name="Normal 4 3 2 2 2 6 2 2 2" xfId="49387" xr:uid="{00000000-0005-0000-0000-0000069F0000}"/>
    <cellStyle name="Normal 4 3 2 2 2 6 2 3" xfId="39689" xr:uid="{00000000-0005-0000-0000-0000079F0000}"/>
    <cellStyle name="Normal 4 3 2 2 2 6 3" xfId="25743" xr:uid="{00000000-0005-0000-0000-0000089F0000}"/>
    <cellStyle name="Normal 4 3 2 2 2 6 3 2" xfId="44932" xr:uid="{00000000-0005-0000-0000-0000099F0000}"/>
    <cellStyle name="Normal 4 3 2 2 2 6 4" xfId="35234" xr:uid="{00000000-0005-0000-0000-00000A9F0000}"/>
    <cellStyle name="Normal 4 3 2 2 2 7" xfId="17036" xr:uid="{00000000-0005-0000-0000-00000B9F0000}"/>
    <cellStyle name="Normal 4 3 2 2 2 7 2" xfId="21500" xr:uid="{00000000-0005-0000-0000-00000C9F0000}"/>
    <cellStyle name="Normal 4 3 2 2 2 7 2 2" xfId="31868" xr:uid="{00000000-0005-0000-0000-00000D9F0000}"/>
    <cellStyle name="Normal 4 3 2 2 2 7 2 2 2" xfId="51057" xr:uid="{00000000-0005-0000-0000-00000E9F0000}"/>
    <cellStyle name="Normal 4 3 2 2 2 7 2 3" xfId="41359" xr:uid="{00000000-0005-0000-0000-00000F9F0000}"/>
    <cellStyle name="Normal 4 3 2 2 2 7 3" xfId="27413" xr:uid="{00000000-0005-0000-0000-0000109F0000}"/>
    <cellStyle name="Normal 4 3 2 2 2 7 3 2" xfId="46602" xr:uid="{00000000-0005-0000-0000-0000119F0000}"/>
    <cellStyle name="Normal 4 3 2 2 2 7 4" xfId="36904" xr:uid="{00000000-0005-0000-0000-0000129F0000}"/>
    <cellStyle name="Normal 4 3 2 2 2 8" xfId="17602" xr:uid="{00000000-0005-0000-0000-0000139F0000}"/>
    <cellStyle name="Normal 4 3 2 2 2 8 2" xfId="22057" xr:uid="{00000000-0005-0000-0000-0000149F0000}"/>
    <cellStyle name="Normal 4 3 2 2 2 8 2 2" xfId="32425" xr:uid="{00000000-0005-0000-0000-0000159F0000}"/>
    <cellStyle name="Normal 4 3 2 2 2 8 2 2 2" xfId="51614" xr:uid="{00000000-0005-0000-0000-0000169F0000}"/>
    <cellStyle name="Normal 4 3 2 2 2 8 2 3" xfId="41916" xr:uid="{00000000-0005-0000-0000-0000179F0000}"/>
    <cellStyle name="Normal 4 3 2 2 2 8 3" xfId="27970" xr:uid="{00000000-0005-0000-0000-0000189F0000}"/>
    <cellStyle name="Normal 4 3 2 2 2 8 3 2" xfId="47159" xr:uid="{00000000-0005-0000-0000-0000199F0000}"/>
    <cellStyle name="Normal 4 3 2 2 2 8 4" xfId="37461" xr:uid="{00000000-0005-0000-0000-00001A9F0000}"/>
    <cellStyle name="Normal 4 3 2 2 2 9" xfId="18159" xr:uid="{00000000-0005-0000-0000-00001B9F0000}"/>
    <cellStyle name="Normal 4 3 2 2 2 9 2" xfId="28527" xr:uid="{00000000-0005-0000-0000-00001C9F0000}"/>
    <cellStyle name="Normal 4 3 2 2 2 9 2 2" xfId="47716" xr:uid="{00000000-0005-0000-0000-00001D9F0000}"/>
    <cellStyle name="Normal 4 3 2 2 2 9 3" xfId="38018" xr:uid="{00000000-0005-0000-0000-00001E9F0000}"/>
    <cellStyle name="Normal 4 3 2 2 3" xfId="8334" xr:uid="{00000000-0005-0000-0000-00001F9F0000}"/>
    <cellStyle name="Normal 4 3 2 2 3 10" xfId="13318" xr:uid="{00000000-0005-0000-0000-0000209F0000}"/>
    <cellStyle name="Normal 4 3 2 2 3 2" xfId="14218" xr:uid="{00000000-0005-0000-0000-0000219F0000}"/>
    <cellStyle name="Normal 4 3 2 2 3 2 2" xfId="16482" xr:uid="{00000000-0005-0000-0000-0000229F0000}"/>
    <cellStyle name="Normal 4 3 2 2 3 2 2 2" xfId="20946" xr:uid="{00000000-0005-0000-0000-0000239F0000}"/>
    <cellStyle name="Normal 4 3 2 2 3 2 2 2 2" xfId="31314" xr:uid="{00000000-0005-0000-0000-0000249F0000}"/>
    <cellStyle name="Normal 4 3 2 2 3 2 2 2 2 2" xfId="50503" xr:uid="{00000000-0005-0000-0000-0000259F0000}"/>
    <cellStyle name="Normal 4 3 2 2 3 2 2 2 3" xfId="40805" xr:uid="{00000000-0005-0000-0000-0000269F0000}"/>
    <cellStyle name="Normal 4 3 2 2 3 2 2 3" xfId="26859" xr:uid="{00000000-0005-0000-0000-0000279F0000}"/>
    <cellStyle name="Normal 4 3 2 2 3 2 2 3 2" xfId="46048" xr:uid="{00000000-0005-0000-0000-0000289F0000}"/>
    <cellStyle name="Normal 4 3 2 2 3 2 2 4" xfId="36350" xr:uid="{00000000-0005-0000-0000-0000299F0000}"/>
    <cellStyle name="Normal 4 3 2 2 3 2 3" xfId="18718" xr:uid="{00000000-0005-0000-0000-00002A9F0000}"/>
    <cellStyle name="Normal 4 3 2 2 3 2 3 2" xfId="29086" xr:uid="{00000000-0005-0000-0000-00002B9F0000}"/>
    <cellStyle name="Normal 4 3 2 2 3 2 3 2 2" xfId="48275" xr:uid="{00000000-0005-0000-0000-00002C9F0000}"/>
    <cellStyle name="Normal 4 3 2 2 3 2 3 3" xfId="38577" xr:uid="{00000000-0005-0000-0000-00002D9F0000}"/>
    <cellStyle name="Normal 4 3 2 2 3 2 4" xfId="24626" xr:uid="{00000000-0005-0000-0000-00002E9F0000}"/>
    <cellStyle name="Normal 4 3 2 2 3 2 4 2" xfId="43820" xr:uid="{00000000-0005-0000-0000-00002F9F0000}"/>
    <cellStyle name="Normal 4 3 2 2 3 2 5" xfId="34122" xr:uid="{00000000-0005-0000-0000-0000309F0000}"/>
    <cellStyle name="Normal 4 3 2 2 3 3" xfId="14797" xr:uid="{00000000-0005-0000-0000-0000319F0000}"/>
    <cellStyle name="Normal 4 3 2 2 3 3 2" xfId="15926" xr:uid="{00000000-0005-0000-0000-0000329F0000}"/>
    <cellStyle name="Normal 4 3 2 2 3 3 2 2" xfId="20390" xr:uid="{00000000-0005-0000-0000-0000339F0000}"/>
    <cellStyle name="Normal 4 3 2 2 3 3 2 2 2" xfId="30758" xr:uid="{00000000-0005-0000-0000-0000349F0000}"/>
    <cellStyle name="Normal 4 3 2 2 3 3 2 2 2 2" xfId="49947" xr:uid="{00000000-0005-0000-0000-0000359F0000}"/>
    <cellStyle name="Normal 4 3 2 2 3 3 2 2 3" xfId="40249" xr:uid="{00000000-0005-0000-0000-0000369F0000}"/>
    <cellStyle name="Normal 4 3 2 2 3 3 2 3" xfId="26303" xr:uid="{00000000-0005-0000-0000-0000379F0000}"/>
    <cellStyle name="Normal 4 3 2 2 3 3 2 3 2" xfId="45492" xr:uid="{00000000-0005-0000-0000-0000389F0000}"/>
    <cellStyle name="Normal 4 3 2 2 3 3 2 4" xfId="35794" xr:uid="{00000000-0005-0000-0000-0000399F0000}"/>
    <cellStyle name="Normal 4 3 2 2 3 3 3" xfId="19275" xr:uid="{00000000-0005-0000-0000-00003A9F0000}"/>
    <cellStyle name="Normal 4 3 2 2 3 3 3 2" xfId="29643" xr:uid="{00000000-0005-0000-0000-00003B9F0000}"/>
    <cellStyle name="Normal 4 3 2 2 3 3 3 2 2" xfId="48832" xr:uid="{00000000-0005-0000-0000-00003C9F0000}"/>
    <cellStyle name="Normal 4 3 2 2 3 3 3 3" xfId="39134" xr:uid="{00000000-0005-0000-0000-00003D9F0000}"/>
    <cellStyle name="Normal 4 3 2 2 3 3 4" xfId="25188" xr:uid="{00000000-0005-0000-0000-00003E9F0000}"/>
    <cellStyle name="Normal 4 3 2 2 3 3 4 2" xfId="44377" xr:uid="{00000000-0005-0000-0000-00003F9F0000}"/>
    <cellStyle name="Normal 4 3 2 2 3 3 5" xfId="34679" xr:uid="{00000000-0005-0000-0000-0000409F0000}"/>
    <cellStyle name="Normal 4 3 2 2 3 4" xfId="15369" xr:uid="{00000000-0005-0000-0000-0000419F0000}"/>
    <cellStyle name="Normal 4 3 2 2 3 4 2" xfId="19833" xr:uid="{00000000-0005-0000-0000-0000429F0000}"/>
    <cellStyle name="Normal 4 3 2 2 3 4 2 2" xfId="30201" xr:uid="{00000000-0005-0000-0000-0000439F0000}"/>
    <cellStyle name="Normal 4 3 2 2 3 4 2 2 2" xfId="49390" xr:uid="{00000000-0005-0000-0000-0000449F0000}"/>
    <cellStyle name="Normal 4 3 2 2 3 4 2 3" xfId="39692" xr:uid="{00000000-0005-0000-0000-0000459F0000}"/>
    <cellStyle name="Normal 4 3 2 2 3 4 3" xfId="25746" xr:uid="{00000000-0005-0000-0000-0000469F0000}"/>
    <cellStyle name="Normal 4 3 2 2 3 4 3 2" xfId="44935" xr:uid="{00000000-0005-0000-0000-0000479F0000}"/>
    <cellStyle name="Normal 4 3 2 2 3 4 4" xfId="35237" xr:uid="{00000000-0005-0000-0000-0000489F0000}"/>
    <cellStyle name="Normal 4 3 2 2 3 5" xfId="17039" xr:uid="{00000000-0005-0000-0000-0000499F0000}"/>
    <cellStyle name="Normal 4 3 2 2 3 5 2" xfId="21503" xr:uid="{00000000-0005-0000-0000-00004A9F0000}"/>
    <cellStyle name="Normal 4 3 2 2 3 5 2 2" xfId="31871" xr:uid="{00000000-0005-0000-0000-00004B9F0000}"/>
    <cellStyle name="Normal 4 3 2 2 3 5 2 2 2" xfId="51060" xr:uid="{00000000-0005-0000-0000-00004C9F0000}"/>
    <cellStyle name="Normal 4 3 2 2 3 5 2 3" xfId="41362" xr:uid="{00000000-0005-0000-0000-00004D9F0000}"/>
    <cellStyle name="Normal 4 3 2 2 3 5 3" xfId="27416" xr:uid="{00000000-0005-0000-0000-00004E9F0000}"/>
    <cellStyle name="Normal 4 3 2 2 3 5 3 2" xfId="46605" xr:uid="{00000000-0005-0000-0000-00004F9F0000}"/>
    <cellStyle name="Normal 4 3 2 2 3 5 4" xfId="36907" xr:uid="{00000000-0005-0000-0000-0000509F0000}"/>
    <cellStyle name="Normal 4 3 2 2 3 6" xfId="17605" xr:uid="{00000000-0005-0000-0000-0000519F0000}"/>
    <cellStyle name="Normal 4 3 2 2 3 6 2" xfId="22060" xr:uid="{00000000-0005-0000-0000-0000529F0000}"/>
    <cellStyle name="Normal 4 3 2 2 3 6 2 2" xfId="32428" xr:uid="{00000000-0005-0000-0000-0000539F0000}"/>
    <cellStyle name="Normal 4 3 2 2 3 6 2 2 2" xfId="51617" xr:uid="{00000000-0005-0000-0000-0000549F0000}"/>
    <cellStyle name="Normal 4 3 2 2 3 6 2 3" xfId="41919" xr:uid="{00000000-0005-0000-0000-0000559F0000}"/>
    <cellStyle name="Normal 4 3 2 2 3 6 3" xfId="27973" xr:uid="{00000000-0005-0000-0000-0000569F0000}"/>
    <cellStyle name="Normal 4 3 2 2 3 6 3 2" xfId="47162" xr:uid="{00000000-0005-0000-0000-0000579F0000}"/>
    <cellStyle name="Normal 4 3 2 2 3 6 4" xfId="37464" xr:uid="{00000000-0005-0000-0000-0000589F0000}"/>
    <cellStyle name="Normal 4 3 2 2 3 7" xfId="18162" xr:uid="{00000000-0005-0000-0000-0000599F0000}"/>
    <cellStyle name="Normal 4 3 2 2 3 7 2" xfId="28530" xr:uid="{00000000-0005-0000-0000-00005A9F0000}"/>
    <cellStyle name="Normal 4 3 2 2 3 7 2 2" xfId="47719" xr:uid="{00000000-0005-0000-0000-00005B9F0000}"/>
    <cellStyle name="Normal 4 3 2 2 3 7 3" xfId="38021" xr:uid="{00000000-0005-0000-0000-00005C9F0000}"/>
    <cellStyle name="Normal 4 3 2 2 3 8" xfId="24030" xr:uid="{00000000-0005-0000-0000-00005D9F0000}"/>
    <cellStyle name="Normal 4 3 2 2 3 8 2" xfId="43264" xr:uid="{00000000-0005-0000-0000-00005E9F0000}"/>
    <cellStyle name="Normal 4 3 2 2 3 9" xfId="33566" xr:uid="{00000000-0005-0000-0000-00005F9F0000}"/>
    <cellStyle name="Normal 4 3 2 2 4" xfId="13319" xr:uid="{00000000-0005-0000-0000-0000609F0000}"/>
    <cellStyle name="Normal 4 3 2 2 4 2" xfId="14219" xr:uid="{00000000-0005-0000-0000-0000619F0000}"/>
    <cellStyle name="Normal 4 3 2 2 4 2 2" xfId="16483" xr:uid="{00000000-0005-0000-0000-0000629F0000}"/>
    <cellStyle name="Normal 4 3 2 2 4 2 2 2" xfId="20947" xr:uid="{00000000-0005-0000-0000-0000639F0000}"/>
    <cellStyle name="Normal 4 3 2 2 4 2 2 2 2" xfId="31315" xr:uid="{00000000-0005-0000-0000-0000649F0000}"/>
    <cellStyle name="Normal 4 3 2 2 4 2 2 2 2 2" xfId="50504" xr:uid="{00000000-0005-0000-0000-0000659F0000}"/>
    <cellStyle name="Normal 4 3 2 2 4 2 2 2 3" xfId="40806" xr:uid="{00000000-0005-0000-0000-0000669F0000}"/>
    <cellStyle name="Normal 4 3 2 2 4 2 2 3" xfId="26860" xr:uid="{00000000-0005-0000-0000-0000679F0000}"/>
    <cellStyle name="Normal 4 3 2 2 4 2 2 3 2" xfId="46049" xr:uid="{00000000-0005-0000-0000-0000689F0000}"/>
    <cellStyle name="Normal 4 3 2 2 4 2 2 4" xfId="36351" xr:uid="{00000000-0005-0000-0000-0000699F0000}"/>
    <cellStyle name="Normal 4 3 2 2 4 2 3" xfId="18719" xr:uid="{00000000-0005-0000-0000-00006A9F0000}"/>
    <cellStyle name="Normal 4 3 2 2 4 2 3 2" xfId="29087" xr:uid="{00000000-0005-0000-0000-00006B9F0000}"/>
    <cellStyle name="Normal 4 3 2 2 4 2 3 2 2" xfId="48276" xr:uid="{00000000-0005-0000-0000-00006C9F0000}"/>
    <cellStyle name="Normal 4 3 2 2 4 2 3 3" xfId="38578" xr:uid="{00000000-0005-0000-0000-00006D9F0000}"/>
    <cellStyle name="Normal 4 3 2 2 4 2 4" xfId="24627" xr:uid="{00000000-0005-0000-0000-00006E9F0000}"/>
    <cellStyle name="Normal 4 3 2 2 4 2 4 2" xfId="43821" xr:uid="{00000000-0005-0000-0000-00006F9F0000}"/>
    <cellStyle name="Normal 4 3 2 2 4 2 5" xfId="34123" xr:uid="{00000000-0005-0000-0000-0000709F0000}"/>
    <cellStyle name="Normal 4 3 2 2 4 3" xfId="14798" xr:uid="{00000000-0005-0000-0000-0000719F0000}"/>
    <cellStyle name="Normal 4 3 2 2 4 3 2" xfId="15927" xr:uid="{00000000-0005-0000-0000-0000729F0000}"/>
    <cellStyle name="Normal 4 3 2 2 4 3 2 2" xfId="20391" xr:uid="{00000000-0005-0000-0000-0000739F0000}"/>
    <cellStyle name="Normal 4 3 2 2 4 3 2 2 2" xfId="30759" xr:uid="{00000000-0005-0000-0000-0000749F0000}"/>
    <cellStyle name="Normal 4 3 2 2 4 3 2 2 2 2" xfId="49948" xr:uid="{00000000-0005-0000-0000-0000759F0000}"/>
    <cellStyle name="Normal 4 3 2 2 4 3 2 2 3" xfId="40250" xr:uid="{00000000-0005-0000-0000-0000769F0000}"/>
    <cellStyle name="Normal 4 3 2 2 4 3 2 3" xfId="26304" xr:uid="{00000000-0005-0000-0000-0000779F0000}"/>
    <cellStyle name="Normal 4 3 2 2 4 3 2 3 2" xfId="45493" xr:uid="{00000000-0005-0000-0000-0000789F0000}"/>
    <cellStyle name="Normal 4 3 2 2 4 3 2 4" xfId="35795" xr:uid="{00000000-0005-0000-0000-0000799F0000}"/>
    <cellStyle name="Normal 4 3 2 2 4 3 3" xfId="19276" xr:uid="{00000000-0005-0000-0000-00007A9F0000}"/>
    <cellStyle name="Normal 4 3 2 2 4 3 3 2" xfId="29644" xr:uid="{00000000-0005-0000-0000-00007B9F0000}"/>
    <cellStyle name="Normal 4 3 2 2 4 3 3 2 2" xfId="48833" xr:uid="{00000000-0005-0000-0000-00007C9F0000}"/>
    <cellStyle name="Normal 4 3 2 2 4 3 3 3" xfId="39135" xr:uid="{00000000-0005-0000-0000-00007D9F0000}"/>
    <cellStyle name="Normal 4 3 2 2 4 3 4" xfId="25189" xr:uid="{00000000-0005-0000-0000-00007E9F0000}"/>
    <cellStyle name="Normal 4 3 2 2 4 3 4 2" xfId="44378" xr:uid="{00000000-0005-0000-0000-00007F9F0000}"/>
    <cellStyle name="Normal 4 3 2 2 4 3 5" xfId="34680" xr:uid="{00000000-0005-0000-0000-0000809F0000}"/>
    <cellStyle name="Normal 4 3 2 2 4 4" xfId="15370" xr:uid="{00000000-0005-0000-0000-0000819F0000}"/>
    <cellStyle name="Normal 4 3 2 2 4 4 2" xfId="19834" xr:uid="{00000000-0005-0000-0000-0000829F0000}"/>
    <cellStyle name="Normal 4 3 2 2 4 4 2 2" xfId="30202" xr:uid="{00000000-0005-0000-0000-0000839F0000}"/>
    <cellStyle name="Normal 4 3 2 2 4 4 2 2 2" xfId="49391" xr:uid="{00000000-0005-0000-0000-0000849F0000}"/>
    <cellStyle name="Normal 4 3 2 2 4 4 2 3" xfId="39693" xr:uid="{00000000-0005-0000-0000-0000859F0000}"/>
    <cellStyle name="Normal 4 3 2 2 4 4 3" xfId="25747" xr:uid="{00000000-0005-0000-0000-0000869F0000}"/>
    <cellStyle name="Normal 4 3 2 2 4 4 3 2" xfId="44936" xr:uid="{00000000-0005-0000-0000-0000879F0000}"/>
    <cellStyle name="Normal 4 3 2 2 4 4 4" xfId="35238" xr:uid="{00000000-0005-0000-0000-0000889F0000}"/>
    <cellStyle name="Normal 4 3 2 2 4 5" xfId="17040" xr:uid="{00000000-0005-0000-0000-0000899F0000}"/>
    <cellStyle name="Normal 4 3 2 2 4 5 2" xfId="21504" xr:uid="{00000000-0005-0000-0000-00008A9F0000}"/>
    <cellStyle name="Normal 4 3 2 2 4 5 2 2" xfId="31872" xr:uid="{00000000-0005-0000-0000-00008B9F0000}"/>
    <cellStyle name="Normal 4 3 2 2 4 5 2 2 2" xfId="51061" xr:uid="{00000000-0005-0000-0000-00008C9F0000}"/>
    <cellStyle name="Normal 4 3 2 2 4 5 2 3" xfId="41363" xr:uid="{00000000-0005-0000-0000-00008D9F0000}"/>
    <cellStyle name="Normal 4 3 2 2 4 5 3" xfId="27417" xr:uid="{00000000-0005-0000-0000-00008E9F0000}"/>
    <cellStyle name="Normal 4 3 2 2 4 5 3 2" xfId="46606" xr:uid="{00000000-0005-0000-0000-00008F9F0000}"/>
    <cellStyle name="Normal 4 3 2 2 4 5 4" xfId="36908" xr:uid="{00000000-0005-0000-0000-0000909F0000}"/>
    <cellStyle name="Normal 4 3 2 2 4 6" xfId="17606" xr:uid="{00000000-0005-0000-0000-0000919F0000}"/>
    <cellStyle name="Normal 4 3 2 2 4 6 2" xfId="22061" xr:uid="{00000000-0005-0000-0000-0000929F0000}"/>
    <cellStyle name="Normal 4 3 2 2 4 6 2 2" xfId="32429" xr:uid="{00000000-0005-0000-0000-0000939F0000}"/>
    <cellStyle name="Normal 4 3 2 2 4 6 2 2 2" xfId="51618" xr:uid="{00000000-0005-0000-0000-0000949F0000}"/>
    <cellStyle name="Normal 4 3 2 2 4 6 2 3" xfId="41920" xr:uid="{00000000-0005-0000-0000-0000959F0000}"/>
    <cellStyle name="Normal 4 3 2 2 4 6 3" xfId="27974" xr:uid="{00000000-0005-0000-0000-0000969F0000}"/>
    <cellStyle name="Normal 4 3 2 2 4 6 3 2" xfId="47163" xr:uid="{00000000-0005-0000-0000-0000979F0000}"/>
    <cellStyle name="Normal 4 3 2 2 4 6 4" xfId="37465" xr:uid="{00000000-0005-0000-0000-0000989F0000}"/>
    <cellStyle name="Normal 4 3 2 2 4 7" xfId="18163" xr:uid="{00000000-0005-0000-0000-0000999F0000}"/>
    <cellStyle name="Normal 4 3 2 2 4 7 2" xfId="28531" xr:uid="{00000000-0005-0000-0000-00009A9F0000}"/>
    <cellStyle name="Normal 4 3 2 2 4 7 2 2" xfId="47720" xr:uid="{00000000-0005-0000-0000-00009B9F0000}"/>
    <cellStyle name="Normal 4 3 2 2 4 7 3" xfId="38022" xr:uid="{00000000-0005-0000-0000-00009C9F0000}"/>
    <cellStyle name="Normal 4 3 2 2 4 8" xfId="24031" xr:uid="{00000000-0005-0000-0000-00009D9F0000}"/>
    <cellStyle name="Normal 4 3 2 2 4 8 2" xfId="43265" xr:uid="{00000000-0005-0000-0000-00009E9F0000}"/>
    <cellStyle name="Normal 4 3 2 2 4 9" xfId="33567" xr:uid="{00000000-0005-0000-0000-00009F9F0000}"/>
    <cellStyle name="Normal 4 3 2 2 5" xfId="14214" xr:uid="{00000000-0005-0000-0000-0000A09F0000}"/>
    <cellStyle name="Normal 4 3 2 2 5 2" xfId="16478" xr:uid="{00000000-0005-0000-0000-0000A19F0000}"/>
    <cellStyle name="Normal 4 3 2 2 5 2 2" xfId="20942" xr:uid="{00000000-0005-0000-0000-0000A29F0000}"/>
    <cellStyle name="Normal 4 3 2 2 5 2 2 2" xfId="31310" xr:uid="{00000000-0005-0000-0000-0000A39F0000}"/>
    <cellStyle name="Normal 4 3 2 2 5 2 2 2 2" xfId="50499" xr:uid="{00000000-0005-0000-0000-0000A49F0000}"/>
    <cellStyle name="Normal 4 3 2 2 5 2 2 3" xfId="40801" xr:uid="{00000000-0005-0000-0000-0000A59F0000}"/>
    <cellStyle name="Normal 4 3 2 2 5 2 3" xfId="26855" xr:uid="{00000000-0005-0000-0000-0000A69F0000}"/>
    <cellStyle name="Normal 4 3 2 2 5 2 3 2" xfId="46044" xr:uid="{00000000-0005-0000-0000-0000A79F0000}"/>
    <cellStyle name="Normal 4 3 2 2 5 2 4" xfId="36346" xr:uid="{00000000-0005-0000-0000-0000A89F0000}"/>
    <cellStyle name="Normal 4 3 2 2 5 3" xfId="18714" xr:uid="{00000000-0005-0000-0000-0000A99F0000}"/>
    <cellStyle name="Normal 4 3 2 2 5 3 2" xfId="29082" xr:uid="{00000000-0005-0000-0000-0000AA9F0000}"/>
    <cellStyle name="Normal 4 3 2 2 5 3 2 2" xfId="48271" xr:uid="{00000000-0005-0000-0000-0000AB9F0000}"/>
    <cellStyle name="Normal 4 3 2 2 5 3 3" xfId="38573" xr:uid="{00000000-0005-0000-0000-0000AC9F0000}"/>
    <cellStyle name="Normal 4 3 2 2 5 4" xfId="24622" xr:uid="{00000000-0005-0000-0000-0000AD9F0000}"/>
    <cellStyle name="Normal 4 3 2 2 5 4 2" xfId="43816" xr:uid="{00000000-0005-0000-0000-0000AE9F0000}"/>
    <cellStyle name="Normal 4 3 2 2 5 5" xfId="34118" xr:uid="{00000000-0005-0000-0000-0000AF9F0000}"/>
    <cellStyle name="Normal 4 3 2 2 6" xfId="14793" xr:uid="{00000000-0005-0000-0000-0000B09F0000}"/>
    <cellStyle name="Normal 4 3 2 2 6 2" xfId="15922" xr:uid="{00000000-0005-0000-0000-0000B19F0000}"/>
    <cellStyle name="Normal 4 3 2 2 6 2 2" xfId="20386" xr:uid="{00000000-0005-0000-0000-0000B29F0000}"/>
    <cellStyle name="Normal 4 3 2 2 6 2 2 2" xfId="30754" xr:uid="{00000000-0005-0000-0000-0000B39F0000}"/>
    <cellStyle name="Normal 4 3 2 2 6 2 2 2 2" xfId="49943" xr:uid="{00000000-0005-0000-0000-0000B49F0000}"/>
    <cellStyle name="Normal 4 3 2 2 6 2 2 3" xfId="40245" xr:uid="{00000000-0005-0000-0000-0000B59F0000}"/>
    <cellStyle name="Normal 4 3 2 2 6 2 3" xfId="26299" xr:uid="{00000000-0005-0000-0000-0000B69F0000}"/>
    <cellStyle name="Normal 4 3 2 2 6 2 3 2" xfId="45488" xr:uid="{00000000-0005-0000-0000-0000B79F0000}"/>
    <cellStyle name="Normal 4 3 2 2 6 2 4" xfId="35790" xr:uid="{00000000-0005-0000-0000-0000B89F0000}"/>
    <cellStyle name="Normal 4 3 2 2 6 3" xfId="19271" xr:uid="{00000000-0005-0000-0000-0000B99F0000}"/>
    <cellStyle name="Normal 4 3 2 2 6 3 2" xfId="29639" xr:uid="{00000000-0005-0000-0000-0000BA9F0000}"/>
    <cellStyle name="Normal 4 3 2 2 6 3 2 2" xfId="48828" xr:uid="{00000000-0005-0000-0000-0000BB9F0000}"/>
    <cellStyle name="Normal 4 3 2 2 6 3 3" xfId="39130" xr:uid="{00000000-0005-0000-0000-0000BC9F0000}"/>
    <cellStyle name="Normal 4 3 2 2 6 4" xfId="25184" xr:uid="{00000000-0005-0000-0000-0000BD9F0000}"/>
    <cellStyle name="Normal 4 3 2 2 6 4 2" xfId="44373" xr:uid="{00000000-0005-0000-0000-0000BE9F0000}"/>
    <cellStyle name="Normal 4 3 2 2 6 5" xfId="34675" xr:uid="{00000000-0005-0000-0000-0000BF9F0000}"/>
    <cellStyle name="Normal 4 3 2 2 7" xfId="15365" xr:uid="{00000000-0005-0000-0000-0000C09F0000}"/>
    <cellStyle name="Normal 4 3 2 2 7 2" xfId="19829" xr:uid="{00000000-0005-0000-0000-0000C19F0000}"/>
    <cellStyle name="Normal 4 3 2 2 7 2 2" xfId="30197" xr:uid="{00000000-0005-0000-0000-0000C29F0000}"/>
    <cellStyle name="Normal 4 3 2 2 7 2 2 2" xfId="49386" xr:uid="{00000000-0005-0000-0000-0000C39F0000}"/>
    <cellStyle name="Normal 4 3 2 2 7 2 3" xfId="39688" xr:uid="{00000000-0005-0000-0000-0000C49F0000}"/>
    <cellStyle name="Normal 4 3 2 2 7 3" xfId="25742" xr:uid="{00000000-0005-0000-0000-0000C59F0000}"/>
    <cellStyle name="Normal 4 3 2 2 7 3 2" xfId="44931" xr:uid="{00000000-0005-0000-0000-0000C69F0000}"/>
    <cellStyle name="Normal 4 3 2 2 7 4" xfId="35233" xr:uid="{00000000-0005-0000-0000-0000C79F0000}"/>
    <cellStyle name="Normal 4 3 2 2 8" xfId="17035" xr:uid="{00000000-0005-0000-0000-0000C89F0000}"/>
    <cellStyle name="Normal 4 3 2 2 8 2" xfId="21499" xr:uid="{00000000-0005-0000-0000-0000C99F0000}"/>
    <cellStyle name="Normal 4 3 2 2 8 2 2" xfId="31867" xr:uid="{00000000-0005-0000-0000-0000CA9F0000}"/>
    <cellStyle name="Normal 4 3 2 2 8 2 2 2" xfId="51056" xr:uid="{00000000-0005-0000-0000-0000CB9F0000}"/>
    <cellStyle name="Normal 4 3 2 2 8 2 3" xfId="41358" xr:uid="{00000000-0005-0000-0000-0000CC9F0000}"/>
    <cellStyle name="Normal 4 3 2 2 8 3" xfId="27412" xr:uid="{00000000-0005-0000-0000-0000CD9F0000}"/>
    <cellStyle name="Normal 4 3 2 2 8 3 2" xfId="46601" xr:uid="{00000000-0005-0000-0000-0000CE9F0000}"/>
    <cellStyle name="Normal 4 3 2 2 8 4" xfId="36903" xr:uid="{00000000-0005-0000-0000-0000CF9F0000}"/>
    <cellStyle name="Normal 4 3 2 2 9" xfId="17601" xr:uid="{00000000-0005-0000-0000-0000D09F0000}"/>
    <cellStyle name="Normal 4 3 2 2 9 2" xfId="22056" xr:uid="{00000000-0005-0000-0000-0000D19F0000}"/>
    <cellStyle name="Normal 4 3 2 2 9 2 2" xfId="32424" xr:uid="{00000000-0005-0000-0000-0000D29F0000}"/>
    <cellStyle name="Normal 4 3 2 2 9 2 2 2" xfId="51613" xr:uid="{00000000-0005-0000-0000-0000D39F0000}"/>
    <cellStyle name="Normal 4 3 2 2 9 2 3" xfId="41915" xr:uid="{00000000-0005-0000-0000-0000D49F0000}"/>
    <cellStyle name="Normal 4 3 2 2 9 3" xfId="27969" xr:uid="{00000000-0005-0000-0000-0000D59F0000}"/>
    <cellStyle name="Normal 4 3 2 2 9 3 2" xfId="47158" xr:uid="{00000000-0005-0000-0000-0000D69F0000}"/>
    <cellStyle name="Normal 4 3 2 2 9 4" xfId="37460" xr:uid="{00000000-0005-0000-0000-0000D79F0000}"/>
    <cellStyle name="Normal 4 3 2 3" xfId="4589" xr:uid="{00000000-0005-0000-0000-0000D89F0000}"/>
    <cellStyle name="Normal 4 3 2 3 10" xfId="24032" xr:uid="{00000000-0005-0000-0000-0000D99F0000}"/>
    <cellStyle name="Normal 4 3 2 3 10 2" xfId="43266" xr:uid="{00000000-0005-0000-0000-0000DA9F0000}"/>
    <cellStyle name="Normal 4 3 2 3 11" xfId="33568" xr:uid="{00000000-0005-0000-0000-0000DB9F0000}"/>
    <cellStyle name="Normal 4 3 2 3 12" xfId="53627" xr:uid="{00000000-0005-0000-0000-0000DC9F0000}"/>
    <cellStyle name="Normal 4 3 2 3 13" xfId="13320" xr:uid="{00000000-0005-0000-0000-0000DD9F0000}"/>
    <cellStyle name="Normal 4 3 2 3 2" xfId="9791" xr:uid="{00000000-0005-0000-0000-0000DE9F0000}"/>
    <cellStyle name="Normal 4 3 2 3 2 10" xfId="13321" xr:uid="{00000000-0005-0000-0000-0000DF9F0000}"/>
    <cellStyle name="Normal 4 3 2 3 2 2" xfId="14221" xr:uid="{00000000-0005-0000-0000-0000E09F0000}"/>
    <cellStyle name="Normal 4 3 2 3 2 2 2" xfId="16485" xr:uid="{00000000-0005-0000-0000-0000E19F0000}"/>
    <cellStyle name="Normal 4 3 2 3 2 2 2 2" xfId="20949" xr:uid="{00000000-0005-0000-0000-0000E29F0000}"/>
    <cellStyle name="Normal 4 3 2 3 2 2 2 2 2" xfId="31317" xr:uid="{00000000-0005-0000-0000-0000E39F0000}"/>
    <cellStyle name="Normal 4 3 2 3 2 2 2 2 2 2" xfId="50506" xr:uid="{00000000-0005-0000-0000-0000E49F0000}"/>
    <cellStyle name="Normal 4 3 2 3 2 2 2 2 3" xfId="40808" xr:uid="{00000000-0005-0000-0000-0000E59F0000}"/>
    <cellStyle name="Normal 4 3 2 3 2 2 2 3" xfId="26862" xr:uid="{00000000-0005-0000-0000-0000E69F0000}"/>
    <cellStyle name="Normal 4 3 2 3 2 2 2 3 2" xfId="46051" xr:uid="{00000000-0005-0000-0000-0000E79F0000}"/>
    <cellStyle name="Normal 4 3 2 3 2 2 2 4" xfId="36353" xr:uid="{00000000-0005-0000-0000-0000E89F0000}"/>
    <cellStyle name="Normal 4 3 2 3 2 2 3" xfId="18721" xr:uid="{00000000-0005-0000-0000-0000E99F0000}"/>
    <cellStyle name="Normal 4 3 2 3 2 2 3 2" xfId="29089" xr:uid="{00000000-0005-0000-0000-0000EA9F0000}"/>
    <cellStyle name="Normal 4 3 2 3 2 2 3 2 2" xfId="48278" xr:uid="{00000000-0005-0000-0000-0000EB9F0000}"/>
    <cellStyle name="Normal 4 3 2 3 2 2 3 3" xfId="38580" xr:uid="{00000000-0005-0000-0000-0000EC9F0000}"/>
    <cellStyle name="Normal 4 3 2 3 2 2 4" xfId="24629" xr:uid="{00000000-0005-0000-0000-0000ED9F0000}"/>
    <cellStyle name="Normal 4 3 2 3 2 2 4 2" xfId="43823" xr:uid="{00000000-0005-0000-0000-0000EE9F0000}"/>
    <cellStyle name="Normal 4 3 2 3 2 2 5" xfId="34125" xr:uid="{00000000-0005-0000-0000-0000EF9F0000}"/>
    <cellStyle name="Normal 4 3 2 3 2 3" xfId="14800" xr:uid="{00000000-0005-0000-0000-0000F09F0000}"/>
    <cellStyle name="Normal 4 3 2 3 2 3 2" xfId="15929" xr:uid="{00000000-0005-0000-0000-0000F19F0000}"/>
    <cellStyle name="Normal 4 3 2 3 2 3 2 2" xfId="20393" xr:uid="{00000000-0005-0000-0000-0000F29F0000}"/>
    <cellStyle name="Normal 4 3 2 3 2 3 2 2 2" xfId="30761" xr:uid="{00000000-0005-0000-0000-0000F39F0000}"/>
    <cellStyle name="Normal 4 3 2 3 2 3 2 2 2 2" xfId="49950" xr:uid="{00000000-0005-0000-0000-0000F49F0000}"/>
    <cellStyle name="Normal 4 3 2 3 2 3 2 2 3" xfId="40252" xr:uid="{00000000-0005-0000-0000-0000F59F0000}"/>
    <cellStyle name="Normal 4 3 2 3 2 3 2 3" xfId="26306" xr:uid="{00000000-0005-0000-0000-0000F69F0000}"/>
    <cellStyle name="Normal 4 3 2 3 2 3 2 3 2" xfId="45495" xr:uid="{00000000-0005-0000-0000-0000F79F0000}"/>
    <cellStyle name="Normal 4 3 2 3 2 3 2 4" xfId="35797" xr:uid="{00000000-0005-0000-0000-0000F89F0000}"/>
    <cellStyle name="Normal 4 3 2 3 2 3 3" xfId="19278" xr:uid="{00000000-0005-0000-0000-0000F99F0000}"/>
    <cellStyle name="Normal 4 3 2 3 2 3 3 2" xfId="29646" xr:uid="{00000000-0005-0000-0000-0000FA9F0000}"/>
    <cellStyle name="Normal 4 3 2 3 2 3 3 2 2" xfId="48835" xr:uid="{00000000-0005-0000-0000-0000FB9F0000}"/>
    <cellStyle name="Normal 4 3 2 3 2 3 3 3" xfId="39137" xr:uid="{00000000-0005-0000-0000-0000FC9F0000}"/>
    <cellStyle name="Normal 4 3 2 3 2 3 4" xfId="25191" xr:uid="{00000000-0005-0000-0000-0000FD9F0000}"/>
    <cellStyle name="Normal 4 3 2 3 2 3 4 2" xfId="44380" xr:uid="{00000000-0005-0000-0000-0000FE9F0000}"/>
    <cellStyle name="Normal 4 3 2 3 2 3 5" xfId="34682" xr:uid="{00000000-0005-0000-0000-0000FF9F0000}"/>
    <cellStyle name="Normal 4 3 2 3 2 4" xfId="15372" xr:uid="{00000000-0005-0000-0000-000000A00000}"/>
    <cellStyle name="Normal 4 3 2 3 2 4 2" xfId="19836" xr:uid="{00000000-0005-0000-0000-000001A00000}"/>
    <cellStyle name="Normal 4 3 2 3 2 4 2 2" xfId="30204" xr:uid="{00000000-0005-0000-0000-000002A00000}"/>
    <cellStyle name="Normal 4 3 2 3 2 4 2 2 2" xfId="49393" xr:uid="{00000000-0005-0000-0000-000003A00000}"/>
    <cellStyle name="Normal 4 3 2 3 2 4 2 3" xfId="39695" xr:uid="{00000000-0005-0000-0000-000004A00000}"/>
    <cellStyle name="Normal 4 3 2 3 2 4 3" xfId="25749" xr:uid="{00000000-0005-0000-0000-000005A00000}"/>
    <cellStyle name="Normal 4 3 2 3 2 4 3 2" xfId="44938" xr:uid="{00000000-0005-0000-0000-000006A00000}"/>
    <cellStyle name="Normal 4 3 2 3 2 4 4" xfId="35240" xr:uid="{00000000-0005-0000-0000-000007A00000}"/>
    <cellStyle name="Normal 4 3 2 3 2 5" xfId="17042" xr:uid="{00000000-0005-0000-0000-000008A00000}"/>
    <cellStyle name="Normal 4 3 2 3 2 5 2" xfId="21506" xr:uid="{00000000-0005-0000-0000-000009A00000}"/>
    <cellStyle name="Normal 4 3 2 3 2 5 2 2" xfId="31874" xr:uid="{00000000-0005-0000-0000-00000AA00000}"/>
    <cellStyle name="Normal 4 3 2 3 2 5 2 2 2" xfId="51063" xr:uid="{00000000-0005-0000-0000-00000BA00000}"/>
    <cellStyle name="Normal 4 3 2 3 2 5 2 3" xfId="41365" xr:uid="{00000000-0005-0000-0000-00000CA00000}"/>
    <cellStyle name="Normal 4 3 2 3 2 5 3" xfId="27419" xr:uid="{00000000-0005-0000-0000-00000DA00000}"/>
    <cellStyle name="Normal 4 3 2 3 2 5 3 2" xfId="46608" xr:uid="{00000000-0005-0000-0000-00000EA00000}"/>
    <cellStyle name="Normal 4 3 2 3 2 5 4" xfId="36910" xr:uid="{00000000-0005-0000-0000-00000FA00000}"/>
    <cellStyle name="Normal 4 3 2 3 2 6" xfId="17608" xr:uid="{00000000-0005-0000-0000-000010A00000}"/>
    <cellStyle name="Normal 4 3 2 3 2 6 2" xfId="22063" xr:uid="{00000000-0005-0000-0000-000011A00000}"/>
    <cellStyle name="Normal 4 3 2 3 2 6 2 2" xfId="32431" xr:uid="{00000000-0005-0000-0000-000012A00000}"/>
    <cellStyle name="Normal 4 3 2 3 2 6 2 2 2" xfId="51620" xr:uid="{00000000-0005-0000-0000-000013A00000}"/>
    <cellStyle name="Normal 4 3 2 3 2 6 2 3" xfId="41922" xr:uid="{00000000-0005-0000-0000-000014A00000}"/>
    <cellStyle name="Normal 4 3 2 3 2 6 3" xfId="27976" xr:uid="{00000000-0005-0000-0000-000015A00000}"/>
    <cellStyle name="Normal 4 3 2 3 2 6 3 2" xfId="47165" xr:uid="{00000000-0005-0000-0000-000016A00000}"/>
    <cellStyle name="Normal 4 3 2 3 2 6 4" xfId="37467" xr:uid="{00000000-0005-0000-0000-000017A00000}"/>
    <cellStyle name="Normal 4 3 2 3 2 7" xfId="18165" xr:uid="{00000000-0005-0000-0000-000018A00000}"/>
    <cellStyle name="Normal 4 3 2 3 2 7 2" xfId="28533" xr:uid="{00000000-0005-0000-0000-000019A00000}"/>
    <cellStyle name="Normal 4 3 2 3 2 7 2 2" xfId="47722" xr:uid="{00000000-0005-0000-0000-00001AA00000}"/>
    <cellStyle name="Normal 4 3 2 3 2 7 3" xfId="38024" xr:uid="{00000000-0005-0000-0000-00001BA00000}"/>
    <cellStyle name="Normal 4 3 2 3 2 8" xfId="24033" xr:uid="{00000000-0005-0000-0000-00001CA00000}"/>
    <cellStyle name="Normal 4 3 2 3 2 8 2" xfId="43267" xr:uid="{00000000-0005-0000-0000-00001DA00000}"/>
    <cellStyle name="Normal 4 3 2 3 2 9" xfId="33569" xr:uid="{00000000-0005-0000-0000-00001EA00000}"/>
    <cellStyle name="Normal 4 3 2 3 3" xfId="13322" xr:uid="{00000000-0005-0000-0000-00001FA00000}"/>
    <cellStyle name="Normal 4 3 2 3 3 2" xfId="14222" xr:uid="{00000000-0005-0000-0000-000020A00000}"/>
    <cellStyle name="Normal 4 3 2 3 3 2 2" xfId="16486" xr:uid="{00000000-0005-0000-0000-000021A00000}"/>
    <cellStyle name="Normal 4 3 2 3 3 2 2 2" xfId="20950" xr:uid="{00000000-0005-0000-0000-000022A00000}"/>
    <cellStyle name="Normal 4 3 2 3 3 2 2 2 2" xfId="31318" xr:uid="{00000000-0005-0000-0000-000023A00000}"/>
    <cellStyle name="Normal 4 3 2 3 3 2 2 2 2 2" xfId="50507" xr:uid="{00000000-0005-0000-0000-000024A00000}"/>
    <cellStyle name="Normal 4 3 2 3 3 2 2 2 3" xfId="40809" xr:uid="{00000000-0005-0000-0000-000025A00000}"/>
    <cellStyle name="Normal 4 3 2 3 3 2 2 3" xfId="26863" xr:uid="{00000000-0005-0000-0000-000026A00000}"/>
    <cellStyle name="Normal 4 3 2 3 3 2 2 3 2" xfId="46052" xr:uid="{00000000-0005-0000-0000-000027A00000}"/>
    <cellStyle name="Normal 4 3 2 3 3 2 2 4" xfId="36354" xr:uid="{00000000-0005-0000-0000-000028A00000}"/>
    <cellStyle name="Normal 4 3 2 3 3 2 3" xfId="18722" xr:uid="{00000000-0005-0000-0000-000029A00000}"/>
    <cellStyle name="Normal 4 3 2 3 3 2 3 2" xfId="29090" xr:uid="{00000000-0005-0000-0000-00002AA00000}"/>
    <cellStyle name="Normal 4 3 2 3 3 2 3 2 2" xfId="48279" xr:uid="{00000000-0005-0000-0000-00002BA00000}"/>
    <cellStyle name="Normal 4 3 2 3 3 2 3 3" xfId="38581" xr:uid="{00000000-0005-0000-0000-00002CA00000}"/>
    <cellStyle name="Normal 4 3 2 3 3 2 4" xfId="24630" xr:uid="{00000000-0005-0000-0000-00002DA00000}"/>
    <cellStyle name="Normal 4 3 2 3 3 2 4 2" xfId="43824" xr:uid="{00000000-0005-0000-0000-00002EA00000}"/>
    <cellStyle name="Normal 4 3 2 3 3 2 5" xfId="34126" xr:uid="{00000000-0005-0000-0000-00002FA00000}"/>
    <cellStyle name="Normal 4 3 2 3 3 3" xfId="14801" xr:uid="{00000000-0005-0000-0000-000030A00000}"/>
    <cellStyle name="Normal 4 3 2 3 3 3 2" xfId="15930" xr:uid="{00000000-0005-0000-0000-000031A00000}"/>
    <cellStyle name="Normal 4 3 2 3 3 3 2 2" xfId="20394" xr:uid="{00000000-0005-0000-0000-000032A00000}"/>
    <cellStyle name="Normal 4 3 2 3 3 3 2 2 2" xfId="30762" xr:uid="{00000000-0005-0000-0000-000033A00000}"/>
    <cellStyle name="Normal 4 3 2 3 3 3 2 2 2 2" xfId="49951" xr:uid="{00000000-0005-0000-0000-000034A00000}"/>
    <cellStyle name="Normal 4 3 2 3 3 3 2 2 3" xfId="40253" xr:uid="{00000000-0005-0000-0000-000035A00000}"/>
    <cellStyle name="Normal 4 3 2 3 3 3 2 3" xfId="26307" xr:uid="{00000000-0005-0000-0000-000036A00000}"/>
    <cellStyle name="Normal 4 3 2 3 3 3 2 3 2" xfId="45496" xr:uid="{00000000-0005-0000-0000-000037A00000}"/>
    <cellStyle name="Normal 4 3 2 3 3 3 2 4" xfId="35798" xr:uid="{00000000-0005-0000-0000-000038A00000}"/>
    <cellStyle name="Normal 4 3 2 3 3 3 3" xfId="19279" xr:uid="{00000000-0005-0000-0000-000039A00000}"/>
    <cellStyle name="Normal 4 3 2 3 3 3 3 2" xfId="29647" xr:uid="{00000000-0005-0000-0000-00003AA00000}"/>
    <cellStyle name="Normal 4 3 2 3 3 3 3 2 2" xfId="48836" xr:uid="{00000000-0005-0000-0000-00003BA00000}"/>
    <cellStyle name="Normal 4 3 2 3 3 3 3 3" xfId="39138" xr:uid="{00000000-0005-0000-0000-00003CA00000}"/>
    <cellStyle name="Normal 4 3 2 3 3 3 4" xfId="25192" xr:uid="{00000000-0005-0000-0000-00003DA00000}"/>
    <cellStyle name="Normal 4 3 2 3 3 3 4 2" xfId="44381" xr:uid="{00000000-0005-0000-0000-00003EA00000}"/>
    <cellStyle name="Normal 4 3 2 3 3 3 5" xfId="34683" xr:uid="{00000000-0005-0000-0000-00003FA00000}"/>
    <cellStyle name="Normal 4 3 2 3 3 4" xfId="15373" xr:uid="{00000000-0005-0000-0000-000040A00000}"/>
    <cellStyle name="Normal 4 3 2 3 3 4 2" xfId="19837" xr:uid="{00000000-0005-0000-0000-000041A00000}"/>
    <cellStyle name="Normal 4 3 2 3 3 4 2 2" xfId="30205" xr:uid="{00000000-0005-0000-0000-000042A00000}"/>
    <cellStyle name="Normal 4 3 2 3 3 4 2 2 2" xfId="49394" xr:uid="{00000000-0005-0000-0000-000043A00000}"/>
    <cellStyle name="Normal 4 3 2 3 3 4 2 3" xfId="39696" xr:uid="{00000000-0005-0000-0000-000044A00000}"/>
    <cellStyle name="Normal 4 3 2 3 3 4 3" xfId="25750" xr:uid="{00000000-0005-0000-0000-000045A00000}"/>
    <cellStyle name="Normal 4 3 2 3 3 4 3 2" xfId="44939" xr:uid="{00000000-0005-0000-0000-000046A00000}"/>
    <cellStyle name="Normal 4 3 2 3 3 4 4" xfId="35241" xr:uid="{00000000-0005-0000-0000-000047A00000}"/>
    <cellStyle name="Normal 4 3 2 3 3 5" xfId="17043" xr:uid="{00000000-0005-0000-0000-000048A00000}"/>
    <cellStyle name="Normal 4 3 2 3 3 5 2" xfId="21507" xr:uid="{00000000-0005-0000-0000-000049A00000}"/>
    <cellStyle name="Normal 4 3 2 3 3 5 2 2" xfId="31875" xr:uid="{00000000-0005-0000-0000-00004AA00000}"/>
    <cellStyle name="Normal 4 3 2 3 3 5 2 2 2" xfId="51064" xr:uid="{00000000-0005-0000-0000-00004BA00000}"/>
    <cellStyle name="Normal 4 3 2 3 3 5 2 3" xfId="41366" xr:uid="{00000000-0005-0000-0000-00004CA00000}"/>
    <cellStyle name="Normal 4 3 2 3 3 5 3" xfId="27420" xr:uid="{00000000-0005-0000-0000-00004DA00000}"/>
    <cellStyle name="Normal 4 3 2 3 3 5 3 2" xfId="46609" xr:uid="{00000000-0005-0000-0000-00004EA00000}"/>
    <cellStyle name="Normal 4 3 2 3 3 5 4" xfId="36911" xr:uid="{00000000-0005-0000-0000-00004FA00000}"/>
    <cellStyle name="Normal 4 3 2 3 3 6" xfId="17609" xr:uid="{00000000-0005-0000-0000-000050A00000}"/>
    <cellStyle name="Normal 4 3 2 3 3 6 2" xfId="22064" xr:uid="{00000000-0005-0000-0000-000051A00000}"/>
    <cellStyle name="Normal 4 3 2 3 3 6 2 2" xfId="32432" xr:uid="{00000000-0005-0000-0000-000052A00000}"/>
    <cellStyle name="Normal 4 3 2 3 3 6 2 2 2" xfId="51621" xr:uid="{00000000-0005-0000-0000-000053A00000}"/>
    <cellStyle name="Normal 4 3 2 3 3 6 2 3" xfId="41923" xr:uid="{00000000-0005-0000-0000-000054A00000}"/>
    <cellStyle name="Normal 4 3 2 3 3 6 3" xfId="27977" xr:uid="{00000000-0005-0000-0000-000055A00000}"/>
    <cellStyle name="Normal 4 3 2 3 3 6 3 2" xfId="47166" xr:uid="{00000000-0005-0000-0000-000056A00000}"/>
    <cellStyle name="Normal 4 3 2 3 3 6 4" xfId="37468" xr:uid="{00000000-0005-0000-0000-000057A00000}"/>
    <cellStyle name="Normal 4 3 2 3 3 7" xfId="18166" xr:uid="{00000000-0005-0000-0000-000058A00000}"/>
    <cellStyle name="Normal 4 3 2 3 3 7 2" xfId="28534" xr:uid="{00000000-0005-0000-0000-000059A00000}"/>
    <cellStyle name="Normal 4 3 2 3 3 7 2 2" xfId="47723" xr:uid="{00000000-0005-0000-0000-00005AA00000}"/>
    <cellStyle name="Normal 4 3 2 3 3 7 3" xfId="38025" xr:uid="{00000000-0005-0000-0000-00005BA00000}"/>
    <cellStyle name="Normal 4 3 2 3 3 8" xfId="24034" xr:uid="{00000000-0005-0000-0000-00005CA00000}"/>
    <cellStyle name="Normal 4 3 2 3 3 8 2" xfId="43268" xr:uid="{00000000-0005-0000-0000-00005DA00000}"/>
    <cellStyle name="Normal 4 3 2 3 3 9" xfId="33570" xr:uid="{00000000-0005-0000-0000-00005EA00000}"/>
    <cellStyle name="Normal 4 3 2 3 4" xfId="14220" xr:uid="{00000000-0005-0000-0000-00005FA00000}"/>
    <cellStyle name="Normal 4 3 2 3 4 2" xfId="16484" xr:uid="{00000000-0005-0000-0000-000060A00000}"/>
    <cellStyle name="Normal 4 3 2 3 4 2 2" xfId="20948" xr:uid="{00000000-0005-0000-0000-000061A00000}"/>
    <cellStyle name="Normal 4 3 2 3 4 2 2 2" xfId="31316" xr:uid="{00000000-0005-0000-0000-000062A00000}"/>
    <cellStyle name="Normal 4 3 2 3 4 2 2 2 2" xfId="50505" xr:uid="{00000000-0005-0000-0000-000063A00000}"/>
    <cellStyle name="Normal 4 3 2 3 4 2 2 3" xfId="40807" xr:uid="{00000000-0005-0000-0000-000064A00000}"/>
    <cellStyle name="Normal 4 3 2 3 4 2 3" xfId="26861" xr:uid="{00000000-0005-0000-0000-000065A00000}"/>
    <cellStyle name="Normal 4 3 2 3 4 2 3 2" xfId="46050" xr:uid="{00000000-0005-0000-0000-000066A00000}"/>
    <cellStyle name="Normal 4 3 2 3 4 2 4" xfId="36352" xr:uid="{00000000-0005-0000-0000-000067A00000}"/>
    <cellStyle name="Normal 4 3 2 3 4 3" xfId="18720" xr:uid="{00000000-0005-0000-0000-000068A00000}"/>
    <cellStyle name="Normal 4 3 2 3 4 3 2" xfId="29088" xr:uid="{00000000-0005-0000-0000-000069A00000}"/>
    <cellStyle name="Normal 4 3 2 3 4 3 2 2" xfId="48277" xr:uid="{00000000-0005-0000-0000-00006AA00000}"/>
    <cellStyle name="Normal 4 3 2 3 4 3 3" xfId="38579" xr:uid="{00000000-0005-0000-0000-00006BA00000}"/>
    <cellStyle name="Normal 4 3 2 3 4 4" xfId="24628" xr:uid="{00000000-0005-0000-0000-00006CA00000}"/>
    <cellStyle name="Normal 4 3 2 3 4 4 2" xfId="43822" xr:uid="{00000000-0005-0000-0000-00006DA00000}"/>
    <cellStyle name="Normal 4 3 2 3 4 5" xfId="34124" xr:uid="{00000000-0005-0000-0000-00006EA00000}"/>
    <cellStyle name="Normal 4 3 2 3 5" xfId="14799" xr:uid="{00000000-0005-0000-0000-00006FA00000}"/>
    <cellStyle name="Normal 4 3 2 3 5 2" xfId="15928" xr:uid="{00000000-0005-0000-0000-000070A00000}"/>
    <cellStyle name="Normal 4 3 2 3 5 2 2" xfId="20392" xr:uid="{00000000-0005-0000-0000-000071A00000}"/>
    <cellStyle name="Normal 4 3 2 3 5 2 2 2" xfId="30760" xr:uid="{00000000-0005-0000-0000-000072A00000}"/>
    <cellStyle name="Normal 4 3 2 3 5 2 2 2 2" xfId="49949" xr:uid="{00000000-0005-0000-0000-000073A00000}"/>
    <cellStyle name="Normal 4 3 2 3 5 2 2 3" xfId="40251" xr:uid="{00000000-0005-0000-0000-000074A00000}"/>
    <cellStyle name="Normal 4 3 2 3 5 2 3" xfId="26305" xr:uid="{00000000-0005-0000-0000-000075A00000}"/>
    <cellStyle name="Normal 4 3 2 3 5 2 3 2" xfId="45494" xr:uid="{00000000-0005-0000-0000-000076A00000}"/>
    <cellStyle name="Normal 4 3 2 3 5 2 4" xfId="35796" xr:uid="{00000000-0005-0000-0000-000077A00000}"/>
    <cellStyle name="Normal 4 3 2 3 5 3" xfId="19277" xr:uid="{00000000-0005-0000-0000-000078A00000}"/>
    <cellStyle name="Normal 4 3 2 3 5 3 2" xfId="29645" xr:uid="{00000000-0005-0000-0000-000079A00000}"/>
    <cellStyle name="Normal 4 3 2 3 5 3 2 2" xfId="48834" xr:uid="{00000000-0005-0000-0000-00007AA00000}"/>
    <cellStyle name="Normal 4 3 2 3 5 3 3" xfId="39136" xr:uid="{00000000-0005-0000-0000-00007BA00000}"/>
    <cellStyle name="Normal 4 3 2 3 5 4" xfId="25190" xr:uid="{00000000-0005-0000-0000-00007CA00000}"/>
    <cellStyle name="Normal 4 3 2 3 5 4 2" xfId="44379" xr:uid="{00000000-0005-0000-0000-00007DA00000}"/>
    <cellStyle name="Normal 4 3 2 3 5 5" xfId="34681" xr:uid="{00000000-0005-0000-0000-00007EA00000}"/>
    <cellStyle name="Normal 4 3 2 3 6" xfId="15371" xr:uid="{00000000-0005-0000-0000-00007FA00000}"/>
    <cellStyle name="Normal 4 3 2 3 6 2" xfId="19835" xr:uid="{00000000-0005-0000-0000-000080A00000}"/>
    <cellStyle name="Normal 4 3 2 3 6 2 2" xfId="30203" xr:uid="{00000000-0005-0000-0000-000081A00000}"/>
    <cellStyle name="Normal 4 3 2 3 6 2 2 2" xfId="49392" xr:uid="{00000000-0005-0000-0000-000082A00000}"/>
    <cellStyle name="Normal 4 3 2 3 6 2 3" xfId="39694" xr:uid="{00000000-0005-0000-0000-000083A00000}"/>
    <cellStyle name="Normal 4 3 2 3 6 3" xfId="25748" xr:uid="{00000000-0005-0000-0000-000084A00000}"/>
    <cellStyle name="Normal 4 3 2 3 6 3 2" xfId="44937" xr:uid="{00000000-0005-0000-0000-000085A00000}"/>
    <cellStyle name="Normal 4 3 2 3 6 4" xfId="35239" xr:uid="{00000000-0005-0000-0000-000086A00000}"/>
    <cellStyle name="Normal 4 3 2 3 7" xfId="17041" xr:uid="{00000000-0005-0000-0000-000087A00000}"/>
    <cellStyle name="Normal 4 3 2 3 7 2" xfId="21505" xr:uid="{00000000-0005-0000-0000-000088A00000}"/>
    <cellStyle name="Normal 4 3 2 3 7 2 2" xfId="31873" xr:uid="{00000000-0005-0000-0000-000089A00000}"/>
    <cellStyle name="Normal 4 3 2 3 7 2 2 2" xfId="51062" xr:uid="{00000000-0005-0000-0000-00008AA00000}"/>
    <cellStyle name="Normal 4 3 2 3 7 2 3" xfId="41364" xr:uid="{00000000-0005-0000-0000-00008BA00000}"/>
    <cellStyle name="Normal 4 3 2 3 7 3" xfId="27418" xr:uid="{00000000-0005-0000-0000-00008CA00000}"/>
    <cellStyle name="Normal 4 3 2 3 7 3 2" xfId="46607" xr:uid="{00000000-0005-0000-0000-00008DA00000}"/>
    <cellStyle name="Normal 4 3 2 3 7 4" xfId="36909" xr:uid="{00000000-0005-0000-0000-00008EA00000}"/>
    <cellStyle name="Normal 4 3 2 3 8" xfId="17607" xr:uid="{00000000-0005-0000-0000-00008FA00000}"/>
    <cellStyle name="Normal 4 3 2 3 8 2" xfId="22062" xr:uid="{00000000-0005-0000-0000-000090A00000}"/>
    <cellStyle name="Normal 4 3 2 3 8 2 2" xfId="32430" xr:uid="{00000000-0005-0000-0000-000091A00000}"/>
    <cellStyle name="Normal 4 3 2 3 8 2 2 2" xfId="51619" xr:uid="{00000000-0005-0000-0000-000092A00000}"/>
    <cellStyle name="Normal 4 3 2 3 8 2 3" xfId="41921" xr:uid="{00000000-0005-0000-0000-000093A00000}"/>
    <cellStyle name="Normal 4 3 2 3 8 3" xfId="27975" xr:uid="{00000000-0005-0000-0000-000094A00000}"/>
    <cellStyle name="Normal 4 3 2 3 8 3 2" xfId="47164" xr:uid="{00000000-0005-0000-0000-000095A00000}"/>
    <cellStyle name="Normal 4 3 2 3 8 4" xfId="37466" xr:uid="{00000000-0005-0000-0000-000096A00000}"/>
    <cellStyle name="Normal 4 3 2 3 9" xfId="18164" xr:uid="{00000000-0005-0000-0000-000097A00000}"/>
    <cellStyle name="Normal 4 3 2 3 9 2" xfId="28532" xr:uid="{00000000-0005-0000-0000-000098A00000}"/>
    <cellStyle name="Normal 4 3 2 3 9 2 2" xfId="47721" xr:uid="{00000000-0005-0000-0000-000099A00000}"/>
    <cellStyle name="Normal 4 3 2 3 9 3" xfId="38023" xr:uid="{00000000-0005-0000-0000-00009AA00000}"/>
    <cellStyle name="Normal 4 3 2 4" xfId="4590" xr:uid="{00000000-0005-0000-0000-00009BA00000}"/>
    <cellStyle name="Normal 4 3 2 4 10" xfId="13323" xr:uid="{00000000-0005-0000-0000-00009CA00000}"/>
    <cellStyle name="Normal 4 3 2 4 2" xfId="14223" xr:uid="{00000000-0005-0000-0000-00009DA00000}"/>
    <cellStyle name="Normal 4 3 2 4 2 2" xfId="16487" xr:uid="{00000000-0005-0000-0000-00009EA00000}"/>
    <cellStyle name="Normal 4 3 2 4 2 2 2" xfId="20951" xr:uid="{00000000-0005-0000-0000-00009FA00000}"/>
    <cellStyle name="Normal 4 3 2 4 2 2 2 2" xfId="31319" xr:uid="{00000000-0005-0000-0000-0000A0A00000}"/>
    <cellStyle name="Normal 4 3 2 4 2 2 2 2 2" xfId="50508" xr:uid="{00000000-0005-0000-0000-0000A1A00000}"/>
    <cellStyle name="Normal 4 3 2 4 2 2 2 3" xfId="40810" xr:uid="{00000000-0005-0000-0000-0000A2A00000}"/>
    <cellStyle name="Normal 4 3 2 4 2 2 3" xfId="26864" xr:uid="{00000000-0005-0000-0000-0000A3A00000}"/>
    <cellStyle name="Normal 4 3 2 4 2 2 3 2" xfId="46053" xr:uid="{00000000-0005-0000-0000-0000A4A00000}"/>
    <cellStyle name="Normal 4 3 2 4 2 2 4" xfId="36355" xr:uid="{00000000-0005-0000-0000-0000A5A00000}"/>
    <cellStyle name="Normal 4 3 2 4 2 3" xfId="18723" xr:uid="{00000000-0005-0000-0000-0000A6A00000}"/>
    <cellStyle name="Normal 4 3 2 4 2 3 2" xfId="29091" xr:uid="{00000000-0005-0000-0000-0000A7A00000}"/>
    <cellStyle name="Normal 4 3 2 4 2 3 2 2" xfId="48280" xr:uid="{00000000-0005-0000-0000-0000A8A00000}"/>
    <cellStyle name="Normal 4 3 2 4 2 3 3" xfId="38582" xr:uid="{00000000-0005-0000-0000-0000A9A00000}"/>
    <cellStyle name="Normal 4 3 2 4 2 4" xfId="24631" xr:uid="{00000000-0005-0000-0000-0000AAA00000}"/>
    <cellStyle name="Normal 4 3 2 4 2 4 2" xfId="43825" xr:uid="{00000000-0005-0000-0000-0000ABA00000}"/>
    <cellStyle name="Normal 4 3 2 4 2 5" xfId="34127" xr:uid="{00000000-0005-0000-0000-0000ACA00000}"/>
    <cellStyle name="Normal 4 3 2 4 3" xfId="14802" xr:uid="{00000000-0005-0000-0000-0000ADA00000}"/>
    <cellStyle name="Normal 4 3 2 4 3 2" xfId="15931" xr:uid="{00000000-0005-0000-0000-0000AEA00000}"/>
    <cellStyle name="Normal 4 3 2 4 3 2 2" xfId="20395" xr:uid="{00000000-0005-0000-0000-0000AFA00000}"/>
    <cellStyle name="Normal 4 3 2 4 3 2 2 2" xfId="30763" xr:uid="{00000000-0005-0000-0000-0000B0A00000}"/>
    <cellStyle name="Normal 4 3 2 4 3 2 2 2 2" xfId="49952" xr:uid="{00000000-0005-0000-0000-0000B1A00000}"/>
    <cellStyle name="Normal 4 3 2 4 3 2 2 3" xfId="40254" xr:uid="{00000000-0005-0000-0000-0000B2A00000}"/>
    <cellStyle name="Normal 4 3 2 4 3 2 3" xfId="26308" xr:uid="{00000000-0005-0000-0000-0000B3A00000}"/>
    <cellStyle name="Normal 4 3 2 4 3 2 3 2" xfId="45497" xr:uid="{00000000-0005-0000-0000-0000B4A00000}"/>
    <cellStyle name="Normal 4 3 2 4 3 2 4" xfId="35799" xr:uid="{00000000-0005-0000-0000-0000B5A00000}"/>
    <cellStyle name="Normal 4 3 2 4 3 3" xfId="19280" xr:uid="{00000000-0005-0000-0000-0000B6A00000}"/>
    <cellStyle name="Normal 4 3 2 4 3 3 2" xfId="29648" xr:uid="{00000000-0005-0000-0000-0000B7A00000}"/>
    <cellStyle name="Normal 4 3 2 4 3 3 2 2" xfId="48837" xr:uid="{00000000-0005-0000-0000-0000B8A00000}"/>
    <cellStyle name="Normal 4 3 2 4 3 3 3" xfId="39139" xr:uid="{00000000-0005-0000-0000-0000B9A00000}"/>
    <cellStyle name="Normal 4 3 2 4 3 4" xfId="25193" xr:uid="{00000000-0005-0000-0000-0000BAA00000}"/>
    <cellStyle name="Normal 4 3 2 4 3 4 2" xfId="44382" xr:uid="{00000000-0005-0000-0000-0000BBA00000}"/>
    <cellStyle name="Normal 4 3 2 4 3 5" xfId="34684" xr:uid="{00000000-0005-0000-0000-0000BCA00000}"/>
    <cellStyle name="Normal 4 3 2 4 4" xfId="15374" xr:uid="{00000000-0005-0000-0000-0000BDA00000}"/>
    <cellStyle name="Normal 4 3 2 4 4 2" xfId="19838" xr:uid="{00000000-0005-0000-0000-0000BEA00000}"/>
    <cellStyle name="Normal 4 3 2 4 4 2 2" xfId="30206" xr:uid="{00000000-0005-0000-0000-0000BFA00000}"/>
    <cellStyle name="Normal 4 3 2 4 4 2 2 2" xfId="49395" xr:uid="{00000000-0005-0000-0000-0000C0A00000}"/>
    <cellStyle name="Normal 4 3 2 4 4 2 3" xfId="39697" xr:uid="{00000000-0005-0000-0000-0000C1A00000}"/>
    <cellStyle name="Normal 4 3 2 4 4 3" xfId="25751" xr:uid="{00000000-0005-0000-0000-0000C2A00000}"/>
    <cellStyle name="Normal 4 3 2 4 4 3 2" xfId="44940" xr:uid="{00000000-0005-0000-0000-0000C3A00000}"/>
    <cellStyle name="Normal 4 3 2 4 4 4" xfId="35242" xr:uid="{00000000-0005-0000-0000-0000C4A00000}"/>
    <cellStyle name="Normal 4 3 2 4 5" xfId="17044" xr:uid="{00000000-0005-0000-0000-0000C5A00000}"/>
    <cellStyle name="Normal 4 3 2 4 5 2" xfId="21508" xr:uid="{00000000-0005-0000-0000-0000C6A00000}"/>
    <cellStyle name="Normal 4 3 2 4 5 2 2" xfId="31876" xr:uid="{00000000-0005-0000-0000-0000C7A00000}"/>
    <cellStyle name="Normal 4 3 2 4 5 2 2 2" xfId="51065" xr:uid="{00000000-0005-0000-0000-0000C8A00000}"/>
    <cellStyle name="Normal 4 3 2 4 5 2 3" xfId="41367" xr:uid="{00000000-0005-0000-0000-0000C9A00000}"/>
    <cellStyle name="Normal 4 3 2 4 5 3" xfId="27421" xr:uid="{00000000-0005-0000-0000-0000CAA00000}"/>
    <cellStyle name="Normal 4 3 2 4 5 3 2" xfId="46610" xr:uid="{00000000-0005-0000-0000-0000CBA00000}"/>
    <cellStyle name="Normal 4 3 2 4 5 4" xfId="36912" xr:uid="{00000000-0005-0000-0000-0000CCA00000}"/>
    <cellStyle name="Normal 4 3 2 4 6" xfId="17610" xr:uid="{00000000-0005-0000-0000-0000CDA00000}"/>
    <cellStyle name="Normal 4 3 2 4 6 2" xfId="22065" xr:uid="{00000000-0005-0000-0000-0000CEA00000}"/>
    <cellStyle name="Normal 4 3 2 4 6 2 2" xfId="32433" xr:uid="{00000000-0005-0000-0000-0000CFA00000}"/>
    <cellStyle name="Normal 4 3 2 4 6 2 2 2" xfId="51622" xr:uid="{00000000-0005-0000-0000-0000D0A00000}"/>
    <cellStyle name="Normal 4 3 2 4 6 2 3" xfId="41924" xr:uid="{00000000-0005-0000-0000-0000D1A00000}"/>
    <cellStyle name="Normal 4 3 2 4 6 3" xfId="27978" xr:uid="{00000000-0005-0000-0000-0000D2A00000}"/>
    <cellStyle name="Normal 4 3 2 4 6 3 2" xfId="47167" xr:uid="{00000000-0005-0000-0000-0000D3A00000}"/>
    <cellStyle name="Normal 4 3 2 4 6 4" xfId="37469" xr:uid="{00000000-0005-0000-0000-0000D4A00000}"/>
    <cellStyle name="Normal 4 3 2 4 7" xfId="18167" xr:uid="{00000000-0005-0000-0000-0000D5A00000}"/>
    <cellStyle name="Normal 4 3 2 4 7 2" xfId="28535" xr:uid="{00000000-0005-0000-0000-0000D6A00000}"/>
    <cellStyle name="Normal 4 3 2 4 7 2 2" xfId="47724" xr:uid="{00000000-0005-0000-0000-0000D7A00000}"/>
    <cellStyle name="Normal 4 3 2 4 7 3" xfId="38026" xr:uid="{00000000-0005-0000-0000-0000D8A00000}"/>
    <cellStyle name="Normal 4 3 2 4 8" xfId="24035" xr:uid="{00000000-0005-0000-0000-0000D9A00000}"/>
    <cellStyle name="Normal 4 3 2 4 8 2" xfId="43269" xr:uid="{00000000-0005-0000-0000-0000DAA00000}"/>
    <cellStyle name="Normal 4 3 2 4 9" xfId="33571" xr:uid="{00000000-0005-0000-0000-0000DBA00000}"/>
    <cellStyle name="Normal 4 3 2 5" xfId="6855" xr:uid="{00000000-0005-0000-0000-0000DCA00000}"/>
    <cellStyle name="Normal 4 3 2 5 10" xfId="13324" xr:uid="{00000000-0005-0000-0000-0000DDA00000}"/>
    <cellStyle name="Normal 4 3 2 5 2" xfId="14224" xr:uid="{00000000-0005-0000-0000-0000DEA00000}"/>
    <cellStyle name="Normal 4 3 2 5 2 2" xfId="16488" xr:uid="{00000000-0005-0000-0000-0000DFA00000}"/>
    <cellStyle name="Normal 4 3 2 5 2 2 2" xfId="20952" xr:uid="{00000000-0005-0000-0000-0000E0A00000}"/>
    <cellStyle name="Normal 4 3 2 5 2 2 2 2" xfId="31320" xr:uid="{00000000-0005-0000-0000-0000E1A00000}"/>
    <cellStyle name="Normal 4 3 2 5 2 2 2 2 2" xfId="50509" xr:uid="{00000000-0005-0000-0000-0000E2A00000}"/>
    <cellStyle name="Normal 4 3 2 5 2 2 2 3" xfId="40811" xr:uid="{00000000-0005-0000-0000-0000E3A00000}"/>
    <cellStyle name="Normal 4 3 2 5 2 2 3" xfId="26865" xr:uid="{00000000-0005-0000-0000-0000E4A00000}"/>
    <cellStyle name="Normal 4 3 2 5 2 2 3 2" xfId="46054" xr:uid="{00000000-0005-0000-0000-0000E5A00000}"/>
    <cellStyle name="Normal 4 3 2 5 2 2 4" xfId="36356" xr:uid="{00000000-0005-0000-0000-0000E6A00000}"/>
    <cellStyle name="Normal 4 3 2 5 2 3" xfId="18724" xr:uid="{00000000-0005-0000-0000-0000E7A00000}"/>
    <cellStyle name="Normal 4 3 2 5 2 3 2" xfId="29092" xr:uid="{00000000-0005-0000-0000-0000E8A00000}"/>
    <cellStyle name="Normal 4 3 2 5 2 3 2 2" xfId="48281" xr:uid="{00000000-0005-0000-0000-0000E9A00000}"/>
    <cellStyle name="Normal 4 3 2 5 2 3 3" xfId="38583" xr:uid="{00000000-0005-0000-0000-0000EAA00000}"/>
    <cellStyle name="Normal 4 3 2 5 2 4" xfId="24632" xr:uid="{00000000-0005-0000-0000-0000EBA00000}"/>
    <cellStyle name="Normal 4 3 2 5 2 4 2" xfId="43826" xr:uid="{00000000-0005-0000-0000-0000ECA00000}"/>
    <cellStyle name="Normal 4 3 2 5 2 5" xfId="34128" xr:uid="{00000000-0005-0000-0000-0000EDA00000}"/>
    <cellStyle name="Normal 4 3 2 5 3" xfId="14803" xr:uid="{00000000-0005-0000-0000-0000EEA00000}"/>
    <cellStyle name="Normal 4 3 2 5 3 2" xfId="15932" xr:uid="{00000000-0005-0000-0000-0000EFA00000}"/>
    <cellStyle name="Normal 4 3 2 5 3 2 2" xfId="20396" xr:uid="{00000000-0005-0000-0000-0000F0A00000}"/>
    <cellStyle name="Normal 4 3 2 5 3 2 2 2" xfId="30764" xr:uid="{00000000-0005-0000-0000-0000F1A00000}"/>
    <cellStyle name="Normal 4 3 2 5 3 2 2 2 2" xfId="49953" xr:uid="{00000000-0005-0000-0000-0000F2A00000}"/>
    <cellStyle name="Normal 4 3 2 5 3 2 2 3" xfId="40255" xr:uid="{00000000-0005-0000-0000-0000F3A00000}"/>
    <cellStyle name="Normal 4 3 2 5 3 2 3" xfId="26309" xr:uid="{00000000-0005-0000-0000-0000F4A00000}"/>
    <cellStyle name="Normal 4 3 2 5 3 2 3 2" xfId="45498" xr:uid="{00000000-0005-0000-0000-0000F5A00000}"/>
    <cellStyle name="Normal 4 3 2 5 3 2 4" xfId="35800" xr:uid="{00000000-0005-0000-0000-0000F6A00000}"/>
    <cellStyle name="Normal 4 3 2 5 3 3" xfId="19281" xr:uid="{00000000-0005-0000-0000-0000F7A00000}"/>
    <cellStyle name="Normal 4 3 2 5 3 3 2" xfId="29649" xr:uid="{00000000-0005-0000-0000-0000F8A00000}"/>
    <cellStyle name="Normal 4 3 2 5 3 3 2 2" xfId="48838" xr:uid="{00000000-0005-0000-0000-0000F9A00000}"/>
    <cellStyle name="Normal 4 3 2 5 3 3 3" xfId="39140" xr:uid="{00000000-0005-0000-0000-0000FAA00000}"/>
    <cellStyle name="Normal 4 3 2 5 3 4" xfId="25194" xr:uid="{00000000-0005-0000-0000-0000FBA00000}"/>
    <cellStyle name="Normal 4 3 2 5 3 4 2" xfId="44383" xr:uid="{00000000-0005-0000-0000-0000FCA00000}"/>
    <cellStyle name="Normal 4 3 2 5 3 5" xfId="34685" xr:uid="{00000000-0005-0000-0000-0000FDA00000}"/>
    <cellStyle name="Normal 4 3 2 5 4" xfId="15375" xr:uid="{00000000-0005-0000-0000-0000FEA00000}"/>
    <cellStyle name="Normal 4 3 2 5 4 2" xfId="19839" xr:uid="{00000000-0005-0000-0000-0000FFA00000}"/>
    <cellStyle name="Normal 4 3 2 5 4 2 2" xfId="30207" xr:uid="{00000000-0005-0000-0000-000000A10000}"/>
    <cellStyle name="Normal 4 3 2 5 4 2 2 2" xfId="49396" xr:uid="{00000000-0005-0000-0000-000001A10000}"/>
    <cellStyle name="Normal 4 3 2 5 4 2 3" xfId="39698" xr:uid="{00000000-0005-0000-0000-000002A10000}"/>
    <cellStyle name="Normal 4 3 2 5 4 3" xfId="25752" xr:uid="{00000000-0005-0000-0000-000003A10000}"/>
    <cellStyle name="Normal 4 3 2 5 4 3 2" xfId="44941" xr:uid="{00000000-0005-0000-0000-000004A10000}"/>
    <cellStyle name="Normal 4 3 2 5 4 4" xfId="35243" xr:uid="{00000000-0005-0000-0000-000005A10000}"/>
    <cellStyle name="Normal 4 3 2 5 5" xfId="17045" xr:uid="{00000000-0005-0000-0000-000006A10000}"/>
    <cellStyle name="Normal 4 3 2 5 5 2" xfId="21509" xr:uid="{00000000-0005-0000-0000-000007A10000}"/>
    <cellStyle name="Normal 4 3 2 5 5 2 2" xfId="31877" xr:uid="{00000000-0005-0000-0000-000008A10000}"/>
    <cellStyle name="Normal 4 3 2 5 5 2 2 2" xfId="51066" xr:uid="{00000000-0005-0000-0000-000009A10000}"/>
    <cellStyle name="Normal 4 3 2 5 5 2 3" xfId="41368" xr:uid="{00000000-0005-0000-0000-00000AA10000}"/>
    <cellStyle name="Normal 4 3 2 5 5 3" xfId="27422" xr:uid="{00000000-0005-0000-0000-00000BA10000}"/>
    <cellStyle name="Normal 4 3 2 5 5 3 2" xfId="46611" xr:uid="{00000000-0005-0000-0000-00000CA10000}"/>
    <cellStyle name="Normal 4 3 2 5 5 4" xfId="36913" xr:uid="{00000000-0005-0000-0000-00000DA10000}"/>
    <cellStyle name="Normal 4 3 2 5 6" xfId="17611" xr:uid="{00000000-0005-0000-0000-00000EA10000}"/>
    <cellStyle name="Normal 4 3 2 5 6 2" xfId="22066" xr:uid="{00000000-0005-0000-0000-00000FA10000}"/>
    <cellStyle name="Normal 4 3 2 5 6 2 2" xfId="32434" xr:uid="{00000000-0005-0000-0000-000010A10000}"/>
    <cellStyle name="Normal 4 3 2 5 6 2 2 2" xfId="51623" xr:uid="{00000000-0005-0000-0000-000011A10000}"/>
    <cellStyle name="Normal 4 3 2 5 6 2 3" xfId="41925" xr:uid="{00000000-0005-0000-0000-000012A10000}"/>
    <cellStyle name="Normal 4 3 2 5 6 3" xfId="27979" xr:uid="{00000000-0005-0000-0000-000013A10000}"/>
    <cellStyle name="Normal 4 3 2 5 6 3 2" xfId="47168" xr:uid="{00000000-0005-0000-0000-000014A10000}"/>
    <cellStyle name="Normal 4 3 2 5 6 4" xfId="37470" xr:uid="{00000000-0005-0000-0000-000015A10000}"/>
    <cellStyle name="Normal 4 3 2 5 7" xfId="18168" xr:uid="{00000000-0005-0000-0000-000016A10000}"/>
    <cellStyle name="Normal 4 3 2 5 7 2" xfId="28536" xr:uid="{00000000-0005-0000-0000-000017A10000}"/>
    <cellStyle name="Normal 4 3 2 5 7 2 2" xfId="47725" xr:uid="{00000000-0005-0000-0000-000018A10000}"/>
    <cellStyle name="Normal 4 3 2 5 7 3" xfId="38027" xr:uid="{00000000-0005-0000-0000-000019A10000}"/>
    <cellStyle name="Normal 4 3 2 5 8" xfId="24036" xr:uid="{00000000-0005-0000-0000-00001AA10000}"/>
    <cellStyle name="Normal 4 3 2 5 8 2" xfId="43270" xr:uid="{00000000-0005-0000-0000-00001BA10000}"/>
    <cellStyle name="Normal 4 3 2 5 9" xfId="33572" xr:uid="{00000000-0005-0000-0000-00001CA10000}"/>
    <cellStyle name="Normal 4 3 2 6" xfId="52742" xr:uid="{00000000-0005-0000-0000-00001DA10000}"/>
    <cellStyle name="Normal 4 3 2 7" xfId="12509" xr:uid="{00000000-0005-0000-0000-00001EA10000}"/>
    <cellStyle name="Normal 4 3 3" xfId="4591" xr:uid="{00000000-0005-0000-0000-00001FA10000}"/>
    <cellStyle name="Normal 4 3 3 2" xfId="10573" xr:uid="{00000000-0005-0000-0000-000020A10000}"/>
    <cellStyle name="Normal 4 3 3 2 10" xfId="24037" xr:uid="{00000000-0005-0000-0000-000021A10000}"/>
    <cellStyle name="Normal 4 3 3 2 10 2" xfId="43271" xr:uid="{00000000-0005-0000-0000-000022A10000}"/>
    <cellStyle name="Normal 4 3 3 2 11" xfId="33573" xr:uid="{00000000-0005-0000-0000-000023A10000}"/>
    <cellStyle name="Normal 4 3 3 2 12" xfId="53827" xr:uid="{00000000-0005-0000-0000-000024A10000}"/>
    <cellStyle name="Normal 4 3 3 2 13" xfId="13325" xr:uid="{00000000-0005-0000-0000-000025A10000}"/>
    <cellStyle name="Normal 4 3 3 2 2" xfId="13326" xr:uid="{00000000-0005-0000-0000-000026A10000}"/>
    <cellStyle name="Normal 4 3 3 2 2 2" xfId="14226" xr:uid="{00000000-0005-0000-0000-000027A10000}"/>
    <cellStyle name="Normal 4 3 3 2 2 2 2" xfId="16490" xr:uid="{00000000-0005-0000-0000-000028A10000}"/>
    <cellStyle name="Normal 4 3 3 2 2 2 2 2" xfId="20954" xr:uid="{00000000-0005-0000-0000-000029A10000}"/>
    <cellStyle name="Normal 4 3 3 2 2 2 2 2 2" xfId="31322" xr:uid="{00000000-0005-0000-0000-00002AA10000}"/>
    <cellStyle name="Normal 4 3 3 2 2 2 2 2 2 2" xfId="50511" xr:uid="{00000000-0005-0000-0000-00002BA10000}"/>
    <cellStyle name="Normal 4 3 3 2 2 2 2 2 3" xfId="40813" xr:uid="{00000000-0005-0000-0000-00002CA10000}"/>
    <cellStyle name="Normal 4 3 3 2 2 2 2 3" xfId="26867" xr:uid="{00000000-0005-0000-0000-00002DA10000}"/>
    <cellStyle name="Normal 4 3 3 2 2 2 2 3 2" xfId="46056" xr:uid="{00000000-0005-0000-0000-00002EA10000}"/>
    <cellStyle name="Normal 4 3 3 2 2 2 2 4" xfId="36358" xr:uid="{00000000-0005-0000-0000-00002FA10000}"/>
    <cellStyle name="Normal 4 3 3 2 2 2 3" xfId="18726" xr:uid="{00000000-0005-0000-0000-000030A10000}"/>
    <cellStyle name="Normal 4 3 3 2 2 2 3 2" xfId="29094" xr:uid="{00000000-0005-0000-0000-000031A10000}"/>
    <cellStyle name="Normal 4 3 3 2 2 2 3 2 2" xfId="48283" xr:uid="{00000000-0005-0000-0000-000032A10000}"/>
    <cellStyle name="Normal 4 3 3 2 2 2 3 3" xfId="38585" xr:uid="{00000000-0005-0000-0000-000033A10000}"/>
    <cellStyle name="Normal 4 3 3 2 2 2 4" xfId="24634" xr:uid="{00000000-0005-0000-0000-000034A10000}"/>
    <cellStyle name="Normal 4 3 3 2 2 2 4 2" xfId="43828" xr:uid="{00000000-0005-0000-0000-000035A10000}"/>
    <cellStyle name="Normal 4 3 3 2 2 2 5" xfId="34130" xr:uid="{00000000-0005-0000-0000-000036A10000}"/>
    <cellStyle name="Normal 4 3 3 2 2 3" xfId="14805" xr:uid="{00000000-0005-0000-0000-000037A10000}"/>
    <cellStyle name="Normal 4 3 3 2 2 3 2" xfId="15934" xr:uid="{00000000-0005-0000-0000-000038A10000}"/>
    <cellStyle name="Normal 4 3 3 2 2 3 2 2" xfId="20398" xr:uid="{00000000-0005-0000-0000-000039A10000}"/>
    <cellStyle name="Normal 4 3 3 2 2 3 2 2 2" xfId="30766" xr:uid="{00000000-0005-0000-0000-00003AA10000}"/>
    <cellStyle name="Normal 4 3 3 2 2 3 2 2 2 2" xfId="49955" xr:uid="{00000000-0005-0000-0000-00003BA10000}"/>
    <cellStyle name="Normal 4 3 3 2 2 3 2 2 3" xfId="40257" xr:uid="{00000000-0005-0000-0000-00003CA10000}"/>
    <cellStyle name="Normal 4 3 3 2 2 3 2 3" xfId="26311" xr:uid="{00000000-0005-0000-0000-00003DA10000}"/>
    <cellStyle name="Normal 4 3 3 2 2 3 2 3 2" xfId="45500" xr:uid="{00000000-0005-0000-0000-00003EA10000}"/>
    <cellStyle name="Normal 4 3 3 2 2 3 2 4" xfId="35802" xr:uid="{00000000-0005-0000-0000-00003FA10000}"/>
    <cellStyle name="Normal 4 3 3 2 2 3 3" xfId="19283" xr:uid="{00000000-0005-0000-0000-000040A10000}"/>
    <cellStyle name="Normal 4 3 3 2 2 3 3 2" xfId="29651" xr:uid="{00000000-0005-0000-0000-000041A10000}"/>
    <cellStyle name="Normal 4 3 3 2 2 3 3 2 2" xfId="48840" xr:uid="{00000000-0005-0000-0000-000042A10000}"/>
    <cellStyle name="Normal 4 3 3 2 2 3 3 3" xfId="39142" xr:uid="{00000000-0005-0000-0000-000043A10000}"/>
    <cellStyle name="Normal 4 3 3 2 2 3 4" xfId="25196" xr:uid="{00000000-0005-0000-0000-000044A10000}"/>
    <cellStyle name="Normal 4 3 3 2 2 3 4 2" xfId="44385" xr:uid="{00000000-0005-0000-0000-000045A10000}"/>
    <cellStyle name="Normal 4 3 3 2 2 3 5" xfId="34687" xr:uid="{00000000-0005-0000-0000-000046A10000}"/>
    <cellStyle name="Normal 4 3 3 2 2 4" xfId="15377" xr:uid="{00000000-0005-0000-0000-000047A10000}"/>
    <cellStyle name="Normal 4 3 3 2 2 4 2" xfId="19841" xr:uid="{00000000-0005-0000-0000-000048A10000}"/>
    <cellStyle name="Normal 4 3 3 2 2 4 2 2" xfId="30209" xr:uid="{00000000-0005-0000-0000-000049A10000}"/>
    <cellStyle name="Normal 4 3 3 2 2 4 2 2 2" xfId="49398" xr:uid="{00000000-0005-0000-0000-00004AA10000}"/>
    <cellStyle name="Normal 4 3 3 2 2 4 2 3" xfId="39700" xr:uid="{00000000-0005-0000-0000-00004BA10000}"/>
    <cellStyle name="Normal 4 3 3 2 2 4 3" xfId="25754" xr:uid="{00000000-0005-0000-0000-00004CA10000}"/>
    <cellStyle name="Normal 4 3 3 2 2 4 3 2" xfId="44943" xr:uid="{00000000-0005-0000-0000-00004DA10000}"/>
    <cellStyle name="Normal 4 3 3 2 2 4 4" xfId="35245" xr:uid="{00000000-0005-0000-0000-00004EA10000}"/>
    <cellStyle name="Normal 4 3 3 2 2 5" xfId="17047" xr:uid="{00000000-0005-0000-0000-00004FA10000}"/>
    <cellStyle name="Normal 4 3 3 2 2 5 2" xfId="21511" xr:uid="{00000000-0005-0000-0000-000050A10000}"/>
    <cellStyle name="Normal 4 3 3 2 2 5 2 2" xfId="31879" xr:uid="{00000000-0005-0000-0000-000051A10000}"/>
    <cellStyle name="Normal 4 3 3 2 2 5 2 2 2" xfId="51068" xr:uid="{00000000-0005-0000-0000-000052A10000}"/>
    <cellStyle name="Normal 4 3 3 2 2 5 2 3" xfId="41370" xr:uid="{00000000-0005-0000-0000-000053A10000}"/>
    <cellStyle name="Normal 4 3 3 2 2 5 3" xfId="27424" xr:uid="{00000000-0005-0000-0000-000054A10000}"/>
    <cellStyle name="Normal 4 3 3 2 2 5 3 2" xfId="46613" xr:uid="{00000000-0005-0000-0000-000055A10000}"/>
    <cellStyle name="Normal 4 3 3 2 2 5 4" xfId="36915" xr:uid="{00000000-0005-0000-0000-000056A10000}"/>
    <cellStyle name="Normal 4 3 3 2 2 6" xfId="17613" xr:uid="{00000000-0005-0000-0000-000057A10000}"/>
    <cellStyle name="Normal 4 3 3 2 2 6 2" xfId="22068" xr:uid="{00000000-0005-0000-0000-000058A10000}"/>
    <cellStyle name="Normal 4 3 3 2 2 6 2 2" xfId="32436" xr:uid="{00000000-0005-0000-0000-000059A10000}"/>
    <cellStyle name="Normal 4 3 3 2 2 6 2 2 2" xfId="51625" xr:uid="{00000000-0005-0000-0000-00005AA10000}"/>
    <cellStyle name="Normal 4 3 3 2 2 6 2 3" xfId="41927" xr:uid="{00000000-0005-0000-0000-00005BA10000}"/>
    <cellStyle name="Normal 4 3 3 2 2 6 3" xfId="27981" xr:uid="{00000000-0005-0000-0000-00005CA10000}"/>
    <cellStyle name="Normal 4 3 3 2 2 6 3 2" xfId="47170" xr:uid="{00000000-0005-0000-0000-00005DA10000}"/>
    <cellStyle name="Normal 4 3 3 2 2 6 4" xfId="37472" xr:uid="{00000000-0005-0000-0000-00005EA10000}"/>
    <cellStyle name="Normal 4 3 3 2 2 7" xfId="18170" xr:uid="{00000000-0005-0000-0000-00005FA10000}"/>
    <cellStyle name="Normal 4 3 3 2 2 7 2" xfId="28538" xr:uid="{00000000-0005-0000-0000-000060A10000}"/>
    <cellStyle name="Normal 4 3 3 2 2 7 2 2" xfId="47727" xr:uid="{00000000-0005-0000-0000-000061A10000}"/>
    <cellStyle name="Normal 4 3 3 2 2 7 3" xfId="38029" xr:uid="{00000000-0005-0000-0000-000062A10000}"/>
    <cellStyle name="Normal 4 3 3 2 2 8" xfId="24038" xr:uid="{00000000-0005-0000-0000-000063A10000}"/>
    <cellStyle name="Normal 4 3 3 2 2 8 2" xfId="43272" xr:uid="{00000000-0005-0000-0000-000064A10000}"/>
    <cellStyle name="Normal 4 3 3 2 2 9" xfId="33574" xr:uid="{00000000-0005-0000-0000-000065A10000}"/>
    <cellStyle name="Normal 4 3 3 2 3" xfId="13327" xr:uid="{00000000-0005-0000-0000-000066A10000}"/>
    <cellStyle name="Normal 4 3 3 2 3 2" xfId="14227" xr:uid="{00000000-0005-0000-0000-000067A10000}"/>
    <cellStyle name="Normal 4 3 3 2 3 2 2" xfId="16491" xr:uid="{00000000-0005-0000-0000-000068A10000}"/>
    <cellStyle name="Normal 4 3 3 2 3 2 2 2" xfId="20955" xr:uid="{00000000-0005-0000-0000-000069A10000}"/>
    <cellStyle name="Normal 4 3 3 2 3 2 2 2 2" xfId="31323" xr:uid="{00000000-0005-0000-0000-00006AA10000}"/>
    <cellStyle name="Normal 4 3 3 2 3 2 2 2 2 2" xfId="50512" xr:uid="{00000000-0005-0000-0000-00006BA10000}"/>
    <cellStyle name="Normal 4 3 3 2 3 2 2 2 3" xfId="40814" xr:uid="{00000000-0005-0000-0000-00006CA10000}"/>
    <cellStyle name="Normal 4 3 3 2 3 2 2 3" xfId="26868" xr:uid="{00000000-0005-0000-0000-00006DA10000}"/>
    <cellStyle name="Normal 4 3 3 2 3 2 2 3 2" xfId="46057" xr:uid="{00000000-0005-0000-0000-00006EA10000}"/>
    <cellStyle name="Normal 4 3 3 2 3 2 2 4" xfId="36359" xr:uid="{00000000-0005-0000-0000-00006FA10000}"/>
    <cellStyle name="Normal 4 3 3 2 3 2 3" xfId="18727" xr:uid="{00000000-0005-0000-0000-000070A10000}"/>
    <cellStyle name="Normal 4 3 3 2 3 2 3 2" xfId="29095" xr:uid="{00000000-0005-0000-0000-000071A10000}"/>
    <cellStyle name="Normal 4 3 3 2 3 2 3 2 2" xfId="48284" xr:uid="{00000000-0005-0000-0000-000072A10000}"/>
    <cellStyle name="Normal 4 3 3 2 3 2 3 3" xfId="38586" xr:uid="{00000000-0005-0000-0000-000073A10000}"/>
    <cellStyle name="Normal 4 3 3 2 3 2 4" xfId="24635" xr:uid="{00000000-0005-0000-0000-000074A10000}"/>
    <cellStyle name="Normal 4 3 3 2 3 2 4 2" xfId="43829" xr:uid="{00000000-0005-0000-0000-000075A10000}"/>
    <cellStyle name="Normal 4 3 3 2 3 2 5" xfId="34131" xr:uid="{00000000-0005-0000-0000-000076A10000}"/>
    <cellStyle name="Normal 4 3 3 2 3 3" xfId="14806" xr:uid="{00000000-0005-0000-0000-000077A10000}"/>
    <cellStyle name="Normal 4 3 3 2 3 3 2" xfId="15935" xr:uid="{00000000-0005-0000-0000-000078A10000}"/>
    <cellStyle name="Normal 4 3 3 2 3 3 2 2" xfId="20399" xr:uid="{00000000-0005-0000-0000-000079A10000}"/>
    <cellStyle name="Normal 4 3 3 2 3 3 2 2 2" xfId="30767" xr:uid="{00000000-0005-0000-0000-00007AA10000}"/>
    <cellStyle name="Normal 4 3 3 2 3 3 2 2 2 2" xfId="49956" xr:uid="{00000000-0005-0000-0000-00007BA10000}"/>
    <cellStyle name="Normal 4 3 3 2 3 3 2 2 3" xfId="40258" xr:uid="{00000000-0005-0000-0000-00007CA10000}"/>
    <cellStyle name="Normal 4 3 3 2 3 3 2 3" xfId="26312" xr:uid="{00000000-0005-0000-0000-00007DA10000}"/>
    <cellStyle name="Normal 4 3 3 2 3 3 2 3 2" xfId="45501" xr:uid="{00000000-0005-0000-0000-00007EA10000}"/>
    <cellStyle name="Normal 4 3 3 2 3 3 2 4" xfId="35803" xr:uid="{00000000-0005-0000-0000-00007FA10000}"/>
    <cellStyle name="Normal 4 3 3 2 3 3 3" xfId="19284" xr:uid="{00000000-0005-0000-0000-000080A10000}"/>
    <cellStyle name="Normal 4 3 3 2 3 3 3 2" xfId="29652" xr:uid="{00000000-0005-0000-0000-000081A10000}"/>
    <cellStyle name="Normal 4 3 3 2 3 3 3 2 2" xfId="48841" xr:uid="{00000000-0005-0000-0000-000082A10000}"/>
    <cellStyle name="Normal 4 3 3 2 3 3 3 3" xfId="39143" xr:uid="{00000000-0005-0000-0000-000083A10000}"/>
    <cellStyle name="Normal 4 3 3 2 3 3 4" xfId="25197" xr:uid="{00000000-0005-0000-0000-000084A10000}"/>
    <cellStyle name="Normal 4 3 3 2 3 3 4 2" xfId="44386" xr:uid="{00000000-0005-0000-0000-000085A10000}"/>
    <cellStyle name="Normal 4 3 3 2 3 3 5" xfId="34688" xr:uid="{00000000-0005-0000-0000-000086A10000}"/>
    <cellStyle name="Normal 4 3 3 2 3 4" xfId="15378" xr:uid="{00000000-0005-0000-0000-000087A10000}"/>
    <cellStyle name="Normal 4 3 3 2 3 4 2" xfId="19842" xr:uid="{00000000-0005-0000-0000-000088A10000}"/>
    <cellStyle name="Normal 4 3 3 2 3 4 2 2" xfId="30210" xr:uid="{00000000-0005-0000-0000-000089A10000}"/>
    <cellStyle name="Normal 4 3 3 2 3 4 2 2 2" xfId="49399" xr:uid="{00000000-0005-0000-0000-00008AA10000}"/>
    <cellStyle name="Normal 4 3 3 2 3 4 2 3" xfId="39701" xr:uid="{00000000-0005-0000-0000-00008BA10000}"/>
    <cellStyle name="Normal 4 3 3 2 3 4 3" xfId="25755" xr:uid="{00000000-0005-0000-0000-00008CA10000}"/>
    <cellStyle name="Normal 4 3 3 2 3 4 3 2" xfId="44944" xr:uid="{00000000-0005-0000-0000-00008DA10000}"/>
    <cellStyle name="Normal 4 3 3 2 3 4 4" xfId="35246" xr:uid="{00000000-0005-0000-0000-00008EA10000}"/>
    <cellStyle name="Normal 4 3 3 2 3 5" xfId="17048" xr:uid="{00000000-0005-0000-0000-00008FA10000}"/>
    <cellStyle name="Normal 4 3 3 2 3 5 2" xfId="21512" xr:uid="{00000000-0005-0000-0000-000090A10000}"/>
    <cellStyle name="Normal 4 3 3 2 3 5 2 2" xfId="31880" xr:uid="{00000000-0005-0000-0000-000091A10000}"/>
    <cellStyle name="Normal 4 3 3 2 3 5 2 2 2" xfId="51069" xr:uid="{00000000-0005-0000-0000-000092A10000}"/>
    <cellStyle name="Normal 4 3 3 2 3 5 2 3" xfId="41371" xr:uid="{00000000-0005-0000-0000-000093A10000}"/>
    <cellStyle name="Normal 4 3 3 2 3 5 3" xfId="27425" xr:uid="{00000000-0005-0000-0000-000094A10000}"/>
    <cellStyle name="Normal 4 3 3 2 3 5 3 2" xfId="46614" xr:uid="{00000000-0005-0000-0000-000095A10000}"/>
    <cellStyle name="Normal 4 3 3 2 3 5 4" xfId="36916" xr:uid="{00000000-0005-0000-0000-000096A10000}"/>
    <cellStyle name="Normal 4 3 3 2 3 6" xfId="17614" xr:uid="{00000000-0005-0000-0000-000097A10000}"/>
    <cellStyle name="Normal 4 3 3 2 3 6 2" xfId="22069" xr:uid="{00000000-0005-0000-0000-000098A10000}"/>
    <cellStyle name="Normal 4 3 3 2 3 6 2 2" xfId="32437" xr:uid="{00000000-0005-0000-0000-000099A10000}"/>
    <cellStyle name="Normal 4 3 3 2 3 6 2 2 2" xfId="51626" xr:uid="{00000000-0005-0000-0000-00009AA10000}"/>
    <cellStyle name="Normal 4 3 3 2 3 6 2 3" xfId="41928" xr:uid="{00000000-0005-0000-0000-00009BA10000}"/>
    <cellStyle name="Normal 4 3 3 2 3 6 3" xfId="27982" xr:uid="{00000000-0005-0000-0000-00009CA10000}"/>
    <cellStyle name="Normal 4 3 3 2 3 6 3 2" xfId="47171" xr:uid="{00000000-0005-0000-0000-00009DA10000}"/>
    <cellStyle name="Normal 4 3 3 2 3 6 4" xfId="37473" xr:uid="{00000000-0005-0000-0000-00009EA10000}"/>
    <cellStyle name="Normal 4 3 3 2 3 7" xfId="18171" xr:uid="{00000000-0005-0000-0000-00009FA10000}"/>
    <cellStyle name="Normal 4 3 3 2 3 7 2" xfId="28539" xr:uid="{00000000-0005-0000-0000-0000A0A10000}"/>
    <cellStyle name="Normal 4 3 3 2 3 7 2 2" xfId="47728" xr:uid="{00000000-0005-0000-0000-0000A1A10000}"/>
    <cellStyle name="Normal 4 3 3 2 3 7 3" xfId="38030" xr:uid="{00000000-0005-0000-0000-0000A2A10000}"/>
    <cellStyle name="Normal 4 3 3 2 3 8" xfId="24039" xr:uid="{00000000-0005-0000-0000-0000A3A10000}"/>
    <cellStyle name="Normal 4 3 3 2 3 8 2" xfId="43273" xr:uid="{00000000-0005-0000-0000-0000A4A10000}"/>
    <cellStyle name="Normal 4 3 3 2 3 9" xfId="33575" xr:uid="{00000000-0005-0000-0000-0000A5A10000}"/>
    <cellStyle name="Normal 4 3 3 2 4" xfId="14225" xr:uid="{00000000-0005-0000-0000-0000A6A10000}"/>
    <cellStyle name="Normal 4 3 3 2 4 2" xfId="16489" xr:uid="{00000000-0005-0000-0000-0000A7A10000}"/>
    <cellStyle name="Normal 4 3 3 2 4 2 2" xfId="20953" xr:uid="{00000000-0005-0000-0000-0000A8A10000}"/>
    <cellStyle name="Normal 4 3 3 2 4 2 2 2" xfId="31321" xr:uid="{00000000-0005-0000-0000-0000A9A10000}"/>
    <cellStyle name="Normal 4 3 3 2 4 2 2 2 2" xfId="50510" xr:uid="{00000000-0005-0000-0000-0000AAA10000}"/>
    <cellStyle name="Normal 4 3 3 2 4 2 2 3" xfId="40812" xr:uid="{00000000-0005-0000-0000-0000ABA10000}"/>
    <cellStyle name="Normal 4 3 3 2 4 2 3" xfId="26866" xr:uid="{00000000-0005-0000-0000-0000ACA10000}"/>
    <cellStyle name="Normal 4 3 3 2 4 2 3 2" xfId="46055" xr:uid="{00000000-0005-0000-0000-0000ADA10000}"/>
    <cellStyle name="Normal 4 3 3 2 4 2 4" xfId="36357" xr:uid="{00000000-0005-0000-0000-0000AEA10000}"/>
    <cellStyle name="Normal 4 3 3 2 4 3" xfId="18725" xr:uid="{00000000-0005-0000-0000-0000AFA10000}"/>
    <cellStyle name="Normal 4 3 3 2 4 3 2" xfId="29093" xr:uid="{00000000-0005-0000-0000-0000B0A10000}"/>
    <cellStyle name="Normal 4 3 3 2 4 3 2 2" xfId="48282" xr:uid="{00000000-0005-0000-0000-0000B1A10000}"/>
    <cellStyle name="Normal 4 3 3 2 4 3 3" xfId="38584" xr:uid="{00000000-0005-0000-0000-0000B2A10000}"/>
    <cellStyle name="Normal 4 3 3 2 4 4" xfId="24633" xr:uid="{00000000-0005-0000-0000-0000B3A10000}"/>
    <cellStyle name="Normal 4 3 3 2 4 4 2" xfId="43827" xr:uid="{00000000-0005-0000-0000-0000B4A10000}"/>
    <cellStyle name="Normal 4 3 3 2 4 5" xfId="34129" xr:uid="{00000000-0005-0000-0000-0000B5A10000}"/>
    <cellStyle name="Normal 4 3 3 2 5" xfId="14804" xr:uid="{00000000-0005-0000-0000-0000B6A10000}"/>
    <cellStyle name="Normal 4 3 3 2 5 2" xfId="15933" xr:uid="{00000000-0005-0000-0000-0000B7A10000}"/>
    <cellStyle name="Normal 4 3 3 2 5 2 2" xfId="20397" xr:uid="{00000000-0005-0000-0000-0000B8A10000}"/>
    <cellStyle name="Normal 4 3 3 2 5 2 2 2" xfId="30765" xr:uid="{00000000-0005-0000-0000-0000B9A10000}"/>
    <cellStyle name="Normal 4 3 3 2 5 2 2 2 2" xfId="49954" xr:uid="{00000000-0005-0000-0000-0000BAA10000}"/>
    <cellStyle name="Normal 4 3 3 2 5 2 2 3" xfId="40256" xr:uid="{00000000-0005-0000-0000-0000BBA10000}"/>
    <cellStyle name="Normal 4 3 3 2 5 2 3" xfId="26310" xr:uid="{00000000-0005-0000-0000-0000BCA10000}"/>
    <cellStyle name="Normal 4 3 3 2 5 2 3 2" xfId="45499" xr:uid="{00000000-0005-0000-0000-0000BDA10000}"/>
    <cellStyle name="Normal 4 3 3 2 5 2 4" xfId="35801" xr:uid="{00000000-0005-0000-0000-0000BEA10000}"/>
    <cellStyle name="Normal 4 3 3 2 5 3" xfId="19282" xr:uid="{00000000-0005-0000-0000-0000BFA10000}"/>
    <cellStyle name="Normal 4 3 3 2 5 3 2" xfId="29650" xr:uid="{00000000-0005-0000-0000-0000C0A10000}"/>
    <cellStyle name="Normal 4 3 3 2 5 3 2 2" xfId="48839" xr:uid="{00000000-0005-0000-0000-0000C1A10000}"/>
    <cellStyle name="Normal 4 3 3 2 5 3 3" xfId="39141" xr:uid="{00000000-0005-0000-0000-0000C2A10000}"/>
    <cellStyle name="Normal 4 3 3 2 5 4" xfId="25195" xr:uid="{00000000-0005-0000-0000-0000C3A10000}"/>
    <cellStyle name="Normal 4 3 3 2 5 4 2" xfId="44384" xr:uid="{00000000-0005-0000-0000-0000C4A10000}"/>
    <cellStyle name="Normal 4 3 3 2 5 5" xfId="34686" xr:uid="{00000000-0005-0000-0000-0000C5A10000}"/>
    <cellStyle name="Normal 4 3 3 2 6" xfId="15376" xr:uid="{00000000-0005-0000-0000-0000C6A10000}"/>
    <cellStyle name="Normal 4 3 3 2 6 2" xfId="19840" xr:uid="{00000000-0005-0000-0000-0000C7A10000}"/>
    <cellStyle name="Normal 4 3 3 2 6 2 2" xfId="30208" xr:uid="{00000000-0005-0000-0000-0000C8A10000}"/>
    <cellStyle name="Normal 4 3 3 2 6 2 2 2" xfId="49397" xr:uid="{00000000-0005-0000-0000-0000C9A10000}"/>
    <cellStyle name="Normal 4 3 3 2 6 2 3" xfId="39699" xr:uid="{00000000-0005-0000-0000-0000CAA10000}"/>
    <cellStyle name="Normal 4 3 3 2 6 3" xfId="25753" xr:uid="{00000000-0005-0000-0000-0000CBA10000}"/>
    <cellStyle name="Normal 4 3 3 2 6 3 2" xfId="44942" xr:uid="{00000000-0005-0000-0000-0000CCA10000}"/>
    <cellStyle name="Normal 4 3 3 2 6 4" xfId="35244" xr:uid="{00000000-0005-0000-0000-0000CDA10000}"/>
    <cellStyle name="Normal 4 3 3 2 7" xfId="17046" xr:uid="{00000000-0005-0000-0000-0000CEA10000}"/>
    <cellStyle name="Normal 4 3 3 2 7 2" xfId="21510" xr:uid="{00000000-0005-0000-0000-0000CFA10000}"/>
    <cellStyle name="Normal 4 3 3 2 7 2 2" xfId="31878" xr:uid="{00000000-0005-0000-0000-0000D0A10000}"/>
    <cellStyle name="Normal 4 3 3 2 7 2 2 2" xfId="51067" xr:uid="{00000000-0005-0000-0000-0000D1A10000}"/>
    <cellStyle name="Normal 4 3 3 2 7 2 3" xfId="41369" xr:uid="{00000000-0005-0000-0000-0000D2A10000}"/>
    <cellStyle name="Normal 4 3 3 2 7 3" xfId="27423" xr:uid="{00000000-0005-0000-0000-0000D3A10000}"/>
    <cellStyle name="Normal 4 3 3 2 7 3 2" xfId="46612" xr:uid="{00000000-0005-0000-0000-0000D4A10000}"/>
    <cellStyle name="Normal 4 3 3 2 7 4" xfId="36914" xr:uid="{00000000-0005-0000-0000-0000D5A10000}"/>
    <cellStyle name="Normal 4 3 3 2 8" xfId="17612" xr:uid="{00000000-0005-0000-0000-0000D6A10000}"/>
    <cellStyle name="Normal 4 3 3 2 8 2" xfId="22067" xr:uid="{00000000-0005-0000-0000-0000D7A10000}"/>
    <cellStyle name="Normal 4 3 3 2 8 2 2" xfId="32435" xr:uid="{00000000-0005-0000-0000-0000D8A10000}"/>
    <cellStyle name="Normal 4 3 3 2 8 2 2 2" xfId="51624" xr:uid="{00000000-0005-0000-0000-0000D9A10000}"/>
    <cellStyle name="Normal 4 3 3 2 8 2 3" xfId="41926" xr:uid="{00000000-0005-0000-0000-0000DAA10000}"/>
    <cellStyle name="Normal 4 3 3 2 8 3" xfId="27980" xr:uid="{00000000-0005-0000-0000-0000DBA10000}"/>
    <cellStyle name="Normal 4 3 3 2 8 3 2" xfId="47169" xr:uid="{00000000-0005-0000-0000-0000DCA10000}"/>
    <cellStyle name="Normal 4 3 3 2 8 4" xfId="37471" xr:uid="{00000000-0005-0000-0000-0000DDA10000}"/>
    <cellStyle name="Normal 4 3 3 2 9" xfId="18169" xr:uid="{00000000-0005-0000-0000-0000DEA10000}"/>
    <cellStyle name="Normal 4 3 3 2 9 2" xfId="28537" xr:uid="{00000000-0005-0000-0000-0000DFA10000}"/>
    <cellStyle name="Normal 4 3 3 2 9 2 2" xfId="47726" xr:uid="{00000000-0005-0000-0000-0000E0A10000}"/>
    <cellStyle name="Normal 4 3 3 2 9 3" xfId="38028" xr:uid="{00000000-0005-0000-0000-0000E1A10000}"/>
    <cellStyle name="Normal 4 3 3 3" xfId="7673" xr:uid="{00000000-0005-0000-0000-0000E2A10000}"/>
    <cellStyle name="Normal 4 3 3 3 10" xfId="24040" xr:uid="{00000000-0005-0000-0000-0000E3A10000}"/>
    <cellStyle name="Normal 4 3 3 3 10 2" xfId="43274" xr:uid="{00000000-0005-0000-0000-0000E4A10000}"/>
    <cellStyle name="Normal 4 3 3 3 11" xfId="33576" xr:uid="{00000000-0005-0000-0000-0000E5A10000}"/>
    <cellStyle name="Normal 4 3 3 3 12" xfId="13328" xr:uid="{00000000-0005-0000-0000-0000E6A10000}"/>
    <cellStyle name="Normal 4 3 3 3 2" xfId="13329" xr:uid="{00000000-0005-0000-0000-0000E7A10000}"/>
    <cellStyle name="Normal 4 3 3 3 2 2" xfId="14229" xr:uid="{00000000-0005-0000-0000-0000E8A10000}"/>
    <cellStyle name="Normal 4 3 3 3 2 2 2" xfId="16493" xr:uid="{00000000-0005-0000-0000-0000E9A10000}"/>
    <cellStyle name="Normal 4 3 3 3 2 2 2 2" xfId="20957" xr:uid="{00000000-0005-0000-0000-0000EAA10000}"/>
    <cellStyle name="Normal 4 3 3 3 2 2 2 2 2" xfId="31325" xr:uid="{00000000-0005-0000-0000-0000EBA10000}"/>
    <cellStyle name="Normal 4 3 3 3 2 2 2 2 2 2" xfId="50514" xr:uid="{00000000-0005-0000-0000-0000ECA10000}"/>
    <cellStyle name="Normal 4 3 3 3 2 2 2 2 3" xfId="40816" xr:uid="{00000000-0005-0000-0000-0000EDA10000}"/>
    <cellStyle name="Normal 4 3 3 3 2 2 2 3" xfId="26870" xr:uid="{00000000-0005-0000-0000-0000EEA10000}"/>
    <cellStyle name="Normal 4 3 3 3 2 2 2 3 2" xfId="46059" xr:uid="{00000000-0005-0000-0000-0000EFA10000}"/>
    <cellStyle name="Normal 4 3 3 3 2 2 2 4" xfId="36361" xr:uid="{00000000-0005-0000-0000-0000F0A10000}"/>
    <cellStyle name="Normal 4 3 3 3 2 2 3" xfId="18729" xr:uid="{00000000-0005-0000-0000-0000F1A10000}"/>
    <cellStyle name="Normal 4 3 3 3 2 2 3 2" xfId="29097" xr:uid="{00000000-0005-0000-0000-0000F2A10000}"/>
    <cellStyle name="Normal 4 3 3 3 2 2 3 2 2" xfId="48286" xr:uid="{00000000-0005-0000-0000-0000F3A10000}"/>
    <cellStyle name="Normal 4 3 3 3 2 2 3 3" xfId="38588" xr:uid="{00000000-0005-0000-0000-0000F4A10000}"/>
    <cellStyle name="Normal 4 3 3 3 2 2 4" xfId="24637" xr:uid="{00000000-0005-0000-0000-0000F5A10000}"/>
    <cellStyle name="Normal 4 3 3 3 2 2 4 2" xfId="43831" xr:uid="{00000000-0005-0000-0000-0000F6A10000}"/>
    <cellStyle name="Normal 4 3 3 3 2 2 5" xfId="34133" xr:uid="{00000000-0005-0000-0000-0000F7A10000}"/>
    <cellStyle name="Normal 4 3 3 3 2 3" xfId="14808" xr:uid="{00000000-0005-0000-0000-0000F8A10000}"/>
    <cellStyle name="Normal 4 3 3 3 2 3 2" xfId="15937" xr:uid="{00000000-0005-0000-0000-0000F9A10000}"/>
    <cellStyle name="Normal 4 3 3 3 2 3 2 2" xfId="20401" xr:uid="{00000000-0005-0000-0000-0000FAA10000}"/>
    <cellStyle name="Normal 4 3 3 3 2 3 2 2 2" xfId="30769" xr:uid="{00000000-0005-0000-0000-0000FBA10000}"/>
    <cellStyle name="Normal 4 3 3 3 2 3 2 2 2 2" xfId="49958" xr:uid="{00000000-0005-0000-0000-0000FCA10000}"/>
    <cellStyle name="Normal 4 3 3 3 2 3 2 2 3" xfId="40260" xr:uid="{00000000-0005-0000-0000-0000FDA10000}"/>
    <cellStyle name="Normal 4 3 3 3 2 3 2 3" xfId="26314" xr:uid="{00000000-0005-0000-0000-0000FEA10000}"/>
    <cellStyle name="Normal 4 3 3 3 2 3 2 3 2" xfId="45503" xr:uid="{00000000-0005-0000-0000-0000FFA10000}"/>
    <cellStyle name="Normal 4 3 3 3 2 3 2 4" xfId="35805" xr:uid="{00000000-0005-0000-0000-000000A20000}"/>
    <cellStyle name="Normal 4 3 3 3 2 3 3" xfId="19286" xr:uid="{00000000-0005-0000-0000-000001A20000}"/>
    <cellStyle name="Normal 4 3 3 3 2 3 3 2" xfId="29654" xr:uid="{00000000-0005-0000-0000-000002A20000}"/>
    <cellStyle name="Normal 4 3 3 3 2 3 3 2 2" xfId="48843" xr:uid="{00000000-0005-0000-0000-000003A20000}"/>
    <cellStyle name="Normal 4 3 3 3 2 3 3 3" xfId="39145" xr:uid="{00000000-0005-0000-0000-000004A20000}"/>
    <cellStyle name="Normal 4 3 3 3 2 3 4" xfId="25199" xr:uid="{00000000-0005-0000-0000-000005A20000}"/>
    <cellStyle name="Normal 4 3 3 3 2 3 4 2" xfId="44388" xr:uid="{00000000-0005-0000-0000-000006A20000}"/>
    <cellStyle name="Normal 4 3 3 3 2 3 5" xfId="34690" xr:uid="{00000000-0005-0000-0000-000007A20000}"/>
    <cellStyle name="Normal 4 3 3 3 2 4" xfId="15380" xr:uid="{00000000-0005-0000-0000-000008A20000}"/>
    <cellStyle name="Normal 4 3 3 3 2 4 2" xfId="19844" xr:uid="{00000000-0005-0000-0000-000009A20000}"/>
    <cellStyle name="Normal 4 3 3 3 2 4 2 2" xfId="30212" xr:uid="{00000000-0005-0000-0000-00000AA20000}"/>
    <cellStyle name="Normal 4 3 3 3 2 4 2 2 2" xfId="49401" xr:uid="{00000000-0005-0000-0000-00000BA20000}"/>
    <cellStyle name="Normal 4 3 3 3 2 4 2 3" xfId="39703" xr:uid="{00000000-0005-0000-0000-00000CA20000}"/>
    <cellStyle name="Normal 4 3 3 3 2 4 3" xfId="25757" xr:uid="{00000000-0005-0000-0000-00000DA20000}"/>
    <cellStyle name="Normal 4 3 3 3 2 4 3 2" xfId="44946" xr:uid="{00000000-0005-0000-0000-00000EA20000}"/>
    <cellStyle name="Normal 4 3 3 3 2 4 4" xfId="35248" xr:uid="{00000000-0005-0000-0000-00000FA20000}"/>
    <cellStyle name="Normal 4 3 3 3 2 5" xfId="17050" xr:uid="{00000000-0005-0000-0000-000010A20000}"/>
    <cellStyle name="Normal 4 3 3 3 2 5 2" xfId="21514" xr:uid="{00000000-0005-0000-0000-000011A20000}"/>
    <cellStyle name="Normal 4 3 3 3 2 5 2 2" xfId="31882" xr:uid="{00000000-0005-0000-0000-000012A20000}"/>
    <cellStyle name="Normal 4 3 3 3 2 5 2 2 2" xfId="51071" xr:uid="{00000000-0005-0000-0000-000013A20000}"/>
    <cellStyle name="Normal 4 3 3 3 2 5 2 3" xfId="41373" xr:uid="{00000000-0005-0000-0000-000014A20000}"/>
    <cellStyle name="Normal 4 3 3 3 2 5 3" xfId="27427" xr:uid="{00000000-0005-0000-0000-000015A20000}"/>
    <cellStyle name="Normal 4 3 3 3 2 5 3 2" xfId="46616" xr:uid="{00000000-0005-0000-0000-000016A20000}"/>
    <cellStyle name="Normal 4 3 3 3 2 5 4" xfId="36918" xr:uid="{00000000-0005-0000-0000-000017A20000}"/>
    <cellStyle name="Normal 4 3 3 3 2 6" xfId="17616" xr:uid="{00000000-0005-0000-0000-000018A20000}"/>
    <cellStyle name="Normal 4 3 3 3 2 6 2" xfId="22071" xr:uid="{00000000-0005-0000-0000-000019A20000}"/>
    <cellStyle name="Normal 4 3 3 3 2 6 2 2" xfId="32439" xr:uid="{00000000-0005-0000-0000-00001AA20000}"/>
    <cellStyle name="Normal 4 3 3 3 2 6 2 2 2" xfId="51628" xr:uid="{00000000-0005-0000-0000-00001BA20000}"/>
    <cellStyle name="Normal 4 3 3 3 2 6 2 3" xfId="41930" xr:uid="{00000000-0005-0000-0000-00001CA20000}"/>
    <cellStyle name="Normal 4 3 3 3 2 6 3" xfId="27984" xr:uid="{00000000-0005-0000-0000-00001DA20000}"/>
    <cellStyle name="Normal 4 3 3 3 2 6 3 2" xfId="47173" xr:uid="{00000000-0005-0000-0000-00001EA20000}"/>
    <cellStyle name="Normal 4 3 3 3 2 6 4" xfId="37475" xr:uid="{00000000-0005-0000-0000-00001FA20000}"/>
    <cellStyle name="Normal 4 3 3 3 2 7" xfId="18173" xr:uid="{00000000-0005-0000-0000-000020A20000}"/>
    <cellStyle name="Normal 4 3 3 3 2 7 2" xfId="28541" xr:uid="{00000000-0005-0000-0000-000021A20000}"/>
    <cellStyle name="Normal 4 3 3 3 2 7 2 2" xfId="47730" xr:uid="{00000000-0005-0000-0000-000022A20000}"/>
    <cellStyle name="Normal 4 3 3 3 2 7 3" xfId="38032" xr:uid="{00000000-0005-0000-0000-000023A20000}"/>
    <cellStyle name="Normal 4 3 3 3 2 8" xfId="24041" xr:uid="{00000000-0005-0000-0000-000024A20000}"/>
    <cellStyle name="Normal 4 3 3 3 2 8 2" xfId="43275" xr:uid="{00000000-0005-0000-0000-000025A20000}"/>
    <cellStyle name="Normal 4 3 3 3 2 9" xfId="33577" xr:uid="{00000000-0005-0000-0000-000026A20000}"/>
    <cellStyle name="Normal 4 3 3 3 3" xfId="13330" xr:uid="{00000000-0005-0000-0000-000027A20000}"/>
    <cellStyle name="Normal 4 3 3 3 3 2" xfId="14230" xr:uid="{00000000-0005-0000-0000-000028A20000}"/>
    <cellStyle name="Normal 4 3 3 3 3 2 2" xfId="16494" xr:uid="{00000000-0005-0000-0000-000029A20000}"/>
    <cellStyle name="Normal 4 3 3 3 3 2 2 2" xfId="20958" xr:uid="{00000000-0005-0000-0000-00002AA20000}"/>
    <cellStyle name="Normal 4 3 3 3 3 2 2 2 2" xfId="31326" xr:uid="{00000000-0005-0000-0000-00002BA20000}"/>
    <cellStyle name="Normal 4 3 3 3 3 2 2 2 2 2" xfId="50515" xr:uid="{00000000-0005-0000-0000-00002CA20000}"/>
    <cellStyle name="Normal 4 3 3 3 3 2 2 2 3" xfId="40817" xr:uid="{00000000-0005-0000-0000-00002DA20000}"/>
    <cellStyle name="Normal 4 3 3 3 3 2 2 3" xfId="26871" xr:uid="{00000000-0005-0000-0000-00002EA20000}"/>
    <cellStyle name="Normal 4 3 3 3 3 2 2 3 2" xfId="46060" xr:uid="{00000000-0005-0000-0000-00002FA20000}"/>
    <cellStyle name="Normal 4 3 3 3 3 2 2 4" xfId="36362" xr:uid="{00000000-0005-0000-0000-000030A20000}"/>
    <cellStyle name="Normal 4 3 3 3 3 2 3" xfId="18730" xr:uid="{00000000-0005-0000-0000-000031A20000}"/>
    <cellStyle name="Normal 4 3 3 3 3 2 3 2" xfId="29098" xr:uid="{00000000-0005-0000-0000-000032A20000}"/>
    <cellStyle name="Normal 4 3 3 3 3 2 3 2 2" xfId="48287" xr:uid="{00000000-0005-0000-0000-000033A20000}"/>
    <cellStyle name="Normal 4 3 3 3 3 2 3 3" xfId="38589" xr:uid="{00000000-0005-0000-0000-000034A20000}"/>
    <cellStyle name="Normal 4 3 3 3 3 2 4" xfId="24638" xr:uid="{00000000-0005-0000-0000-000035A20000}"/>
    <cellStyle name="Normal 4 3 3 3 3 2 4 2" xfId="43832" xr:uid="{00000000-0005-0000-0000-000036A20000}"/>
    <cellStyle name="Normal 4 3 3 3 3 2 5" xfId="34134" xr:uid="{00000000-0005-0000-0000-000037A20000}"/>
    <cellStyle name="Normal 4 3 3 3 3 3" xfId="14809" xr:uid="{00000000-0005-0000-0000-000038A20000}"/>
    <cellStyle name="Normal 4 3 3 3 3 3 2" xfId="15938" xr:uid="{00000000-0005-0000-0000-000039A20000}"/>
    <cellStyle name="Normal 4 3 3 3 3 3 2 2" xfId="20402" xr:uid="{00000000-0005-0000-0000-00003AA20000}"/>
    <cellStyle name="Normal 4 3 3 3 3 3 2 2 2" xfId="30770" xr:uid="{00000000-0005-0000-0000-00003BA20000}"/>
    <cellStyle name="Normal 4 3 3 3 3 3 2 2 2 2" xfId="49959" xr:uid="{00000000-0005-0000-0000-00003CA20000}"/>
    <cellStyle name="Normal 4 3 3 3 3 3 2 2 3" xfId="40261" xr:uid="{00000000-0005-0000-0000-00003DA20000}"/>
    <cellStyle name="Normal 4 3 3 3 3 3 2 3" xfId="26315" xr:uid="{00000000-0005-0000-0000-00003EA20000}"/>
    <cellStyle name="Normal 4 3 3 3 3 3 2 3 2" xfId="45504" xr:uid="{00000000-0005-0000-0000-00003FA20000}"/>
    <cellStyle name="Normal 4 3 3 3 3 3 2 4" xfId="35806" xr:uid="{00000000-0005-0000-0000-000040A20000}"/>
    <cellStyle name="Normal 4 3 3 3 3 3 3" xfId="19287" xr:uid="{00000000-0005-0000-0000-000041A20000}"/>
    <cellStyle name="Normal 4 3 3 3 3 3 3 2" xfId="29655" xr:uid="{00000000-0005-0000-0000-000042A20000}"/>
    <cellStyle name="Normal 4 3 3 3 3 3 3 2 2" xfId="48844" xr:uid="{00000000-0005-0000-0000-000043A20000}"/>
    <cellStyle name="Normal 4 3 3 3 3 3 3 3" xfId="39146" xr:uid="{00000000-0005-0000-0000-000044A20000}"/>
    <cellStyle name="Normal 4 3 3 3 3 3 4" xfId="25200" xr:uid="{00000000-0005-0000-0000-000045A20000}"/>
    <cellStyle name="Normal 4 3 3 3 3 3 4 2" xfId="44389" xr:uid="{00000000-0005-0000-0000-000046A20000}"/>
    <cellStyle name="Normal 4 3 3 3 3 3 5" xfId="34691" xr:uid="{00000000-0005-0000-0000-000047A20000}"/>
    <cellStyle name="Normal 4 3 3 3 3 4" xfId="15381" xr:uid="{00000000-0005-0000-0000-000048A20000}"/>
    <cellStyle name="Normal 4 3 3 3 3 4 2" xfId="19845" xr:uid="{00000000-0005-0000-0000-000049A20000}"/>
    <cellStyle name="Normal 4 3 3 3 3 4 2 2" xfId="30213" xr:uid="{00000000-0005-0000-0000-00004AA20000}"/>
    <cellStyle name="Normal 4 3 3 3 3 4 2 2 2" xfId="49402" xr:uid="{00000000-0005-0000-0000-00004BA20000}"/>
    <cellStyle name="Normal 4 3 3 3 3 4 2 3" xfId="39704" xr:uid="{00000000-0005-0000-0000-00004CA20000}"/>
    <cellStyle name="Normal 4 3 3 3 3 4 3" xfId="25758" xr:uid="{00000000-0005-0000-0000-00004DA20000}"/>
    <cellStyle name="Normal 4 3 3 3 3 4 3 2" xfId="44947" xr:uid="{00000000-0005-0000-0000-00004EA20000}"/>
    <cellStyle name="Normal 4 3 3 3 3 4 4" xfId="35249" xr:uid="{00000000-0005-0000-0000-00004FA20000}"/>
    <cellStyle name="Normal 4 3 3 3 3 5" xfId="17051" xr:uid="{00000000-0005-0000-0000-000050A20000}"/>
    <cellStyle name="Normal 4 3 3 3 3 5 2" xfId="21515" xr:uid="{00000000-0005-0000-0000-000051A20000}"/>
    <cellStyle name="Normal 4 3 3 3 3 5 2 2" xfId="31883" xr:uid="{00000000-0005-0000-0000-000052A20000}"/>
    <cellStyle name="Normal 4 3 3 3 3 5 2 2 2" xfId="51072" xr:uid="{00000000-0005-0000-0000-000053A20000}"/>
    <cellStyle name="Normal 4 3 3 3 3 5 2 3" xfId="41374" xr:uid="{00000000-0005-0000-0000-000054A20000}"/>
    <cellStyle name="Normal 4 3 3 3 3 5 3" xfId="27428" xr:uid="{00000000-0005-0000-0000-000055A20000}"/>
    <cellStyle name="Normal 4 3 3 3 3 5 3 2" xfId="46617" xr:uid="{00000000-0005-0000-0000-000056A20000}"/>
    <cellStyle name="Normal 4 3 3 3 3 5 4" xfId="36919" xr:uid="{00000000-0005-0000-0000-000057A20000}"/>
    <cellStyle name="Normal 4 3 3 3 3 6" xfId="17617" xr:uid="{00000000-0005-0000-0000-000058A20000}"/>
    <cellStyle name="Normal 4 3 3 3 3 6 2" xfId="22072" xr:uid="{00000000-0005-0000-0000-000059A20000}"/>
    <cellStyle name="Normal 4 3 3 3 3 6 2 2" xfId="32440" xr:uid="{00000000-0005-0000-0000-00005AA20000}"/>
    <cellStyle name="Normal 4 3 3 3 3 6 2 2 2" xfId="51629" xr:uid="{00000000-0005-0000-0000-00005BA20000}"/>
    <cellStyle name="Normal 4 3 3 3 3 6 2 3" xfId="41931" xr:uid="{00000000-0005-0000-0000-00005CA20000}"/>
    <cellStyle name="Normal 4 3 3 3 3 6 3" xfId="27985" xr:uid="{00000000-0005-0000-0000-00005DA20000}"/>
    <cellStyle name="Normal 4 3 3 3 3 6 3 2" xfId="47174" xr:uid="{00000000-0005-0000-0000-00005EA20000}"/>
    <cellStyle name="Normal 4 3 3 3 3 6 4" xfId="37476" xr:uid="{00000000-0005-0000-0000-00005FA20000}"/>
    <cellStyle name="Normal 4 3 3 3 3 7" xfId="18174" xr:uid="{00000000-0005-0000-0000-000060A20000}"/>
    <cellStyle name="Normal 4 3 3 3 3 7 2" xfId="28542" xr:uid="{00000000-0005-0000-0000-000061A20000}"/>
    <cellStyle name="Normal 4 3 3 3 3 7 2 2" xfId="47731" xr:uid="{00000000-0005-0000-0000-000062A20000}"/>
    <cellStyle name="Normal 4 3 3 3 3 7 3" xfId="38033" xr:uid="{00000000-0005-0000-0000-000063A20000}"/>
    <cellStyle name="Normal 4 3 3 3 3 8" xfId="24042" xr:uid="{00000000-0005-0000-0000-000064A20000}"/>
    <cellStyle name="Normal 4 3 3 3 3 8 2" xfId="43276" xr:uid="{00000000-0005-0000-0000-000065A20000}"/>
    <cellStyle name="Normal 4 3 3 3 3 9" xfId="33578" xr:uid="{00000000-0005-0000-0000-000066A20000}"/>
    <cellStyle name="Normal 4 3 3 3 4" xfId="14228" xr:uid="{00000000-0005-0000-0000-000067A20000}"/>
    <cellStyle name="Normal 4 3 3 3 4 2" xfId="16492" xr:uid="{00000000-0005-0000-0000-000068A20000}"/>
    <cellStyle name="Normal 4 3 3 3 4 2 2" xfId="20956" xr:uid="{00000000-0005-0000-0000-000069A20000}"/>
    <cellStyle name="Normal 4 3 3 3 4 2 2 2" xfId="31324" xr:uid="{00000000-0005-0000-0000-00006AA20000}"/>
    <cellStyle name="Normal 4 3 3 3 4 2 2 2 2" xfId="50513" xr:uid="{00000000-0005-0000-0000-00006BA20000}"/>
    <cellStyle name="Normal 4 3 3 3 4 2 2 3" xfId="40815" xr:uid="{00000000-0005-0000-0000-00006CA20000}"/>
    <cellStyle name="Normal 4 3 3 3 4 2 3" xfId="26869" xr:uid="{00000000-0005-0000-0000-00006DA20000}"/>
    <cellStyle name="Normal 4 3 3 3 4 2 3 2" xfId="46058" xr:uid="{00000000-0005-0000-0000-00006EA20000}"/>
    <cellStyle name="Normal 4 3 3 3 4 2 4" xfId="36360" xr:uid="{00000000-0005-0000-0000-00006FA20000}"/>
    <cellStyle name="Normal 4 3 3 3 4 3" xfId="18728" xr:uid="{00000000-0005-0000-0000-000070A20000}"/>
    <cellStyle name="Normal 4 3 3 3 4 3 2" xfId="29096" xr:uid="{00000000-0005-0000-0000-000071A20000}"/>
    <cellStyle name="Normal 4 3 3 3 4 3 2 2" xfId="48285" xr:uid="{00000000-0005-0000-0000-000072A20000}"/>
    <cellStyle name="Normal 4 3 3 3 4 3 3" xfId="38587" xr:uid="{00000000-0005-0000-0000-000073A20000}"/>
    <cellStyle name="Normal 4 3 3 3 4 4" xfId="24636" xr:uid="{00000000-0005-0000-0000-000074A20000}"/>
    <cellStyle name="Normal 4 3 3 3 4 4 2" xfId="43830" xr:uid="{00000000-0005-0000-0000-000075A20000}"/>
    <cellStyle name="Normal 4 3 3 3 4 5" xfId="34132" xr:uid="{00000000-0005-0000-0000-000076A20000}"/>
    <cellStyle name="Normal 4 3 3 3 5" xfId="14807" xr:uid="{00000000-0005-0000-0000-000077A20000}"/>
    <cellStyle name="Normal 4 3 3 3 5 2" xfId="15936" xr:uid="{00000000-0005-0000-0000-000078A20000}"/>
    <cellStyle name="Normal 4 3 3 3 5 2 2" xfId="20400" xr:uid="{00000000-0005-0000-0000-000079A20000}"/>
    <cellStyle name="Normal 4 3 3 3 5 2 2 2" xfId="30768" xr:uid="{00000000-0005-0000-0000-00007AA20000}"/>
    <cellStyle name="Normal 4 3 3 3 5 2 2 2 2" xfId="49957" xr:uid="{00000000-0005-0000-0000-00007BA20000}"/>
    <cellStyle name="Normal 4 3 3 3 5 2 2 3" xfId="40259" xr:uid="{00000000-0005-0000-0000-00007CA20000}"/>
    <cellStyle name="Normal 4 3 3 3 5 2 3" xfId="26313" xr:uid="{00000000-0005-0000-0000-00007DA20000}"/>
    <cellStyle name="Normal 4 3 3 3 5 2 3 2" xfId="45502" xr:uid="{00000000-0005-0000-0000-00007EA20000}"/>
    <cellStyle name="Normal 4 3 3 3 5 2 4" xfId="35804" xr:uid="{00000000-0005-0000-0000-00007FA20000}"/>
    <cellStyle name="Normal 4 3 3 3 5 3" xfId="19285" xr:uid="{00000000-0005-0000-0000-000080A20000}"/>
    <cellStyle name="Normal 4 3 3 3 5 3 2" xfId="29653" xr:uid="{00000000-0005-0000-0000-000081A20000}"/>
    <cellStyle name="Normal 4 3 3 3 5 3 2 2" xfId="48842" xr:uid="{00000000-0005-0000-0000-000082A20000}"/>
    <cellStyle name="Normal 4 3 3 3 5 3 3" xfId="39144" xr:uid="{00000000-0005-0000-0000-000083A20000}"/>
    <cellStyle name="Normal 4 3 3 3 5 4" xfId="25198" xr:uid="{00000000-0005-0000-0000-000084A20000}"/>
    <cellStyle name="Normal 4 3 3 3 5 4 2" xfId="44387" xr:uid="{00000000-0005-0000-0000-000085A20000}"/>
    <cellStyle name="Normal 4 3 3 3 5 5" xfId="34689" xr:uid="{00000000-0005-0000-0000-000086A20000}"/>
    <cellStyle name="Normal 4 3 3 3 6" xfId="15379" xr:uid="{00000000-0005-0000-0000-000087A20000}"/>
    <cellStyle name="Normal 4 3 3 3 6 2" xfId="19843" xr:uid="{00000000-0005-0000-0000-000088A20000}"/>
    <cellStyle name="Normal 4 3 3 3 6 2 2" xfId="30211" xr:uid="{00000000-0005-0000-0000-000089A20000}"/>
    <cellStyle name="Normal 4 3 3 3 6 2 2 2" xfId="49400" xr:uid="{00000000-0005-0000-0000-00008AA20000}"/>
    <cellStyle name="Normal 4 3 3 3 6 2 3" xfId="39702" xr:uid="{00000000-0005-0000-0000-00008BA20000}"/>
    <cellStyle name="Normal 4 3 3 3 6 3" xfId="25756" xr:uid="{00000000-0005-0000-0000-00008CA20000}"/>
    <cellStyle name="Normal 4 3 3 3 6 3 2" xfId="44945" xr:uid="{00000000-0005-0000-0000-00008DA20000}"/>
    <cellStyle name="Normal 4 3 3 3 6 4" xfId="35247" xr:uid="{00000000-0005-0000-0000-00008EA20000}"/>
    <cellStyle name="Normal 4 3 3 3 7" xfId="17049" xr:uid="{00000000-0005-0000-0000-00008FA20000}"/>
    <cellStyle name="Normal 4 3 3 3 7 2" xfId="21513" xr:uid="{00000000-0005-0000-0000-000090A20000}"/>
    <cellStyle name="Normal 4 3 3 3 7 2 2" xfId="31881" xr:uid="{00000000-0005-0000-0000-000091A20000}"/>
    <cellStyle name="Normal 4 3 3 3 7 2 2 2" xfId="51070" xr:uid="{00000000-0005-0000-0000-000092A20000}"/>
    <cellStyle name="Normal 4 3 3 3 7 2 3" xfId="41372" xr:uid="{00000000-0005-0000-0000-000093A20000}"/>
    <cellStyle name="Normal 4 3 3 3 7 3" xfId="27426" xr:uid="{00000000-0005-0000-0000-000094A20000}"/>
    <cellStyle name="Normal 4 3 3 3 7 3 2" xfId="46615" xr:uid="{00000000-0005-0000-0000-000095A20000}"/>
    <cellStyle name="Normal 4 3 3 3 7 4" xfId="36917" xr:uid="{00000000-0005-0000-0000-000096A20000}"/>
    <cellStyle name="Normal 4 3 3 3 8" xfId="17615" xr:uid="{00000000-0005-0000-0000-000097A20000}"/>
    <cellStyle name="Normal 4 3 3 3 8 2" xfId="22070" xr:uid="{00000000-0005-0000-0000-000098A20000}"/>
    <cellStyle name="Normal 4 3 3 3 8 2 2" xfId="32438" xr:uid="{00000000-0005-0000-0000-000099A20000}"/>
    <cellStyle name="Normal 4 3 3 3 8 2 2 2" xfId="51627" xr:uid="{00000000-0005-0000-0000-00009AA20000}"/>
    <cellStyle name="Normal 4 3 3 3 8 2 3" xfId="41929" xr:uid="{00000000-0005-0000-0000-00009BA20000}"/>
    <cellStyle name="Normal 4 3 3 3 8 3" xfId="27983" xr:uid="{00000000-0005-0000-0000-00009CA20000}"/>
    <cellStyle name="Normal 4 3 3 3 8 3 2" xfId="47172" xr:uid="{00000000-0005-0000-0000-00009DA20000}"/>
    <cellStyle name="Normal 4 3 3 3 8 4" xfId="37474" xr:uid="{00000000-0005-0000-0000-00009EA20000}"/>
    <cellStyle name="Normal 4 3 3 3 9" xfId="18172" xr:uid="{00000000-0005-0000-0000-00009FA20000}"/>
    <cellStyle name="Normal 4 3 3 3 9 2" xfId="28540" xr:uid="{00000000-0005-0000-0000-0000A0A20000}"/>
    <cellStyle name="Normal 4 3 3 3 9 2 2" xfId="47729" xr:uid="{00000000-0005-0000-0000-0000A1A20000}"/>
    <cellStyle name="Normal 4 3 3 3 9 3" xfId="38031" xr:uid="{00000000-0005-0000-0000-0000A2A20000}"/>
    <cellStyle name="Normal 4 3 3 4" xfId="13331" xr:uid="{00000000-0005-0000-0000-0000A3A20000}"/>
    <cellStyle name="Normal 4 3 3 4 2" xfId="14231" xr:uid="{00000000-0005-0000-0000-0000A4A20000}"/>
    <cellStyle name="Normal 4 3 3 4 2 2" xfId="16495" xr:uid="{00000000-0005-0000-0000-0000A5A20000}"/>
    <cellStyle name="Normal 4 3 3 4 2 2 2" xfId="20959" xr:uid="{00000000-0005-0000-0000-0000A6A20000}"/>
    <cellStyle name="Normal 4 3 3 4 2 2 2 2" xfId="31327" xr:uid="{00000000-0005-0000-0000-0000A7A20000}"/>
    <cellStyle name="Normal 4 3 3 4 2 2 2 2 2" xfId="50516" xr:uid="{00000000-0005-0000-0000-0000A8A20000}"/>
    <cellStyle name="Normal 4 3 3 4 2 2 2 3" xfId="40818" xr:uid="{00000000-0005-0000-0000-0000A9A20000}"/>
    <cellStyle name="Normal 4 3 3 4 2 2 3" xfId="26872" xr:uid="{00000000-0005-0000-0000-0000AAA20000}"/>
    <cellStyle name="Normal 4 3 3 4 2 2 3 2" xfId="46061" xr:uid="{00000000-0005-0000-0000-0000ABA20000}"/>
    <cellStyle name="Normal 4 3 3 4 2 2 4" xfId="36363" xr:uid="{00000000-0005-0000-0000-0000ACA20000}"/>
    <cellStyle name="Normal 4 3 3 4 2 3" xfId="18731" xr:uid="{00000000-0005-0000-0000-0000ADA20000}"/>
    <cellStyle name="Normal 4 3 3 4 2 3 2" xfId="29099" xr:uid="{00000000-0005-0000-0000-0000AEA20000}"/>
    <cellStyle name="Normal 4 3 3 4 2 3 2 2" xfId="48288" xr:uid="{00000000-0005-0000-0000-0000AFA20000}"/>
    <cellStyle name="Normal 4 3 3 4 2 3 3" xfId="38590" xr:uid="{00000000-0005-0000-0000-0000B0A20000}"/>
    <cellStyle name="Normal 4 3 3 4 2 4" xfId="24639" xr:uid="{00000000-0005-0000-0000-0000B1A20000}"/>
    <cellStyle name="Normal 4 3 3 4 2 4 2" xfId="43833" xr:uid="{00000000-0005-0000-0000-0000B2A20000}"/>
    <cellStyle name="Normal 4 3 3 4 2 5" xfId="34135" xr:uid="{00000000-0005-0000-0000-0000B3A20000}"/>
    <cellStyle name="Normal 4 3 3 4 3" xfId="14810" xr:uid="{00000000-0005-0000-0000-0000B4A20000}"/>
    <cellStyle name="Normal 4 3 3 4 3 2" xfId="15939" xr:uid="{00000000-0005-0000-0000-0000B5A20000}"/>
    <cellStyle name="Normal 4 3 3 4 3 2 2" xfId="20403" xr:uid="{00000000-0005-0000-0000-0000B6A20000}"/>
    <cellStyle name="Normal 4 3 3 4 3 2 2 2" xfId="30771" xr:uid="{00000000-0005-0000-0000-0000B7A20000}"/>
    <cellStyle name="Normal 4 3 3 4 3 2 2 2 2" xfId="49960" xr:uid="{00000000-0005-0000-0000-0000B8A20000}"/>
    <cellStyle name="Normal 4 3 3 4 3 2 2 3" xfId="40262" xr:uid="{00000000-0005-0000-0000-0000B9A20000}"/>
    <cellStyle name="Normal 4 3 3 4 3 2 3" xfId="26316" xr:uid="{00000000-0005-0000-0000-0000BAA20000}"/>
    <cellStyle name="Normal 4 3 3 4 3 2 3 2" xfId="45505" xr:uid="{00000000-0005-0000-0000-0000BBA20000}"/>
    <cellStyle name="Normal 4 3 3 4 3 2 4" xfId="35807" xr:uid="{00000000-0005-0000-0000-0000BCA20000}"/>
    <cellStyle name="Normal 4 3 3 4 3 3" xfId="19288" xr:uid="{00000000-0005-0000-0000-0000BDA20000}"/>
    <cellStyle name="Normal 4 3 3 4 3 3 2" xfId="29656" xr:uid="{00000000-0005-0000-0000-0000BEA20000}"/>
    <cellStyle name="Normal 4 3 3 4 3 3 2 2" xfId="48845" xr:uid="{00000000-0005-0000-0000-0000BFA20000}"/>
    <cellStyle name="Normal 4 3 3 4 3 3 3" xfId="39147" xr:uid="{00000000-0005-0000-0000-0000C0A20000}"/>
    <cellStyle name="Normal 4 3 3 4 3 4" xfId="25201" xr:uid="{00000000-0005-0000-0000-0000C1A20000}"/>
    <cellStyle name="Normal 4 3 3 4 3 4 2" xfId="44390" xr:uid="{00000000-0005-0000-0000-0000C2A20000}"/>
    <cellStyle name="Normal 4 3 3 4 3 5" xfId="34692" xr:uid="{00000000-0005-0000-0000-0000C3A20000}"/>
    <cellStyle name="Normal 4 3 3 4 4" xfId="15382" xr:uid="{00000000-0005-0000-0000-0000C4A20000}"/>
    <cellStyle name="Normal 4 3 3 4 4 2" xfId="19846" xr:uid="{00000000-0005-0000-0000-0000C5A20000}"/>
    <cellStyle name="Normal 4 3 3 4 4 2 2" xfId="30214" xr:uid="{00000000-0005-0000-0000-0000C6A20000}"/>
    <cellStyle name="Normal 4 3 3 4 4 2 2 2" xfId="49403" xr:uid="{00000000-0005-0000-0000-0000C7A20000}"/>
    <cellStyle name="Normal 4 3 3 4 4 2 3" xfId="39705" xr:uid="{00000000-0005-0000-0000-0000C8A20000}"/>
    <cellStyle name="Normal 4 3 3 4 4 3" xfId="25759" xr:uid="{00000000-0005-0000-0000-0000C9A20000}"/>
    <cellStyle name="Normal 4 3 3 4 4 3 2" xfId="44948" xr:uid="{00000000-0005-0000-0000-0000CAA20000}"/>
    <cellStyle name="Normal 4 3 3 4 4 4" xfId="35250" xr:uid="{00000000-0005-0000-0000-0000CBA20000}"/>
    <cellStyle name="Normal 4 3 3 4 5" xfId="17052" xr:uid="{00000000-0005-0000-0000-0000CCA20000}"/>
    <cellStyle name="Normal 4 3 3 4 5 2" xfId="21516" xr:uid="{00000000-0005-0000-0000-0000CDA20000}"/>
    <cellStyle name="Normal 4 3 3 4 5 2 2" xfId="31884" xr:uid="{00000000-0005-0000-0000-0000CEA20000}"/>
    <cellStyle name="Normal 4 3 3 4 5 2 2 2" xfId="51073" xr:uid="{00000000-0005-0000-0000-0000CFA20000}"/>
    <cellStyle name="Normal 4 3 3 4 5 2 3" xfId="41375" xr:uid="{00000000-0005-0000-0000-0000D0A20000}"/>
    <cellStyle name="Normal 4 3 3 4 5 3" xfId="27429" xr:uid="{00000000-0005-0000-0000-0000D1A20000}"/>
    <cellStyle name="Normal 4 3 3 4 5 3 2" xfId="46618" xr:uid="{00000000-0005-0000-0000-0000D2A20000}"/>
    <cellStyle name="Normal 4 3 3 4 5 4" xfId="36920" xr:uid="{00000000-0005-0000-0000-0000D3A20000}"/>
    <cellStyle name="Normal 4 3 3 4 6" xfId="17618" xr:uid="{00000000-0005-0000-0000-0000D4A20000}"/>
    <cellStyle name="Normal 4 3 3 4 6 2" xfId="22073" xr:uid="{00000000-0005-0000-0000-0000D5A20000}"/>
    <cellStyle name="Normal 4 3 3 4 6 2 2" xfId="32441" xr:uid="{00000000-0005-0000-0000-0000D6A20000}"/>
    <cellStyle name="Normal 4 3 3 4 6 2 2 2" xfId="51630" xr:uid="{00000000-0005-0000-0000-0000D7A20000}"/>
    <cellStyle name="Normal 4 3 3 4 6 2 3" xfId="41932" xr:uid="{00000000-0005-0000-0000-0000D8A20000}"/>
    <cellStyle name="Normal 4 3 3 4 6 3" xfId="27986" xr:uid="{00000000-0005-0000-0000-0000D9A20000}"/>
    <cellStyle name="Normal 4 3 3 4 6 3 2" xfId="47175" xr:uid="{00000000-0005-0000-0000-0000DAA20000}"/>
    <cellStyle name="Normal 4 3 3 4 6 4" xfId="37477" xr:uid="{00000000-0005-0000-0000-0000DBA20000}"/>
    <cellStyle name="Normal 4 3 3 4 7" xfId="18175" xr:uid="{00000000-0005-0000-0000-0000DCA20000}"/>
    <cellStyle name="Normal 4 3 3 4 7 2" xfId="28543" xr:uid="{00000000-0005-0000-0000-0000DDA20000}"/>
    <cellStyle name="Normal 4 3 3 4 7 2 2" xfId="47732" xr:uid="{00000000-0005-0000-0000-0000DEA20000}"/>
    <cellStyle name="Normal 4 3 3 4 7 3" xfId="38034" xr:uid="{00000000-0005-0000-0000-0000DFA20000}"/>
    <cellStyle name="Normal 4 3 3 4 8" xfId="24043" xr:uid="{00000000-0005-0000-0000-0000E0A20000}"/>
    <cellStyle name="Normal 4 3 3 4 8 2" xfId="43277" xr:uid="{00000000-0005-0000-0000-0000E1A20000}"/>
    <cellStyle name="Normal 4 3 3 4 9" xfId="33579" xr:uid="{00000000-0005-0000-0000-0000E2A20000}"/>
    <cellStyle name="Normal 4 3 3 5" xfId="13332" xr:uid="{00000000-0005-0000-0000-0000E3A20000}"/>
    <cellStyle name="Normal 4 3 3 5 2" xfId="14232" xr:uid="{00000000-0005-0000-0000-0000E4A20000}"/>
    <cellStyle name="Normal 4 3 3 5 2 2" xfId="16496" xr:uid="{00000000-0005-0000-0000-0000E5A20000}"/>
    <cellStyle name="Normal 4 3 3 5 2 2 2" xfId="20960" xr:uid="{00000000-0005-0000-0000-0000E6A20000}"/>
    <cellStyle name="Normal 4 3 3 5 2 2 2 2" xfId="31328" xr:uid="{00000000-0005-0000-0000-0000E7A20000}"/>
    <cellStyle name="Normal 4 3 3 5 2 2 2 2 2" xfId="50517" xr:uid="{00000000-0005-0000-0000-0000E8A20000}"/>
    <cellStyle name="Normal 4 3 3 5 2 2 2 3" xfId="40819" xr:uid="{00000000-0005-0000-0000-0000E9A20000}"/>
    <cellStyle name="Normal 4 3 3 5 2 2 3" xfId="26873" xr:uid="{00000000-0005-0000-0000-0000EAA20000}"/>
    <cellStyle name="Normal 4 3 3 5 2 2 3 2" xfId="46062" xr:uid="{00000000-0005-0000-0000-0000EBA20000}"/>
    <cellStyle name="Normal 4 3 3 5 2 2 4" xfId="36364" xr:uid="{00000000-0005-0000-0000-0000ECA20000}"/>
    <cellStyle name="Normal 4 3 3 5 2 3" xfId="18732" xr:uid="{00000000-0005-0000-0000-0000EDA20000}"/>
    <cellStyle name="Normal 4 3 3 5 2 3 2" xfId="29100" xr:uid="{00000000-0005-0000-0000-0000EEA20000}"/>
    <cellStyle name="Normal 4 3 3 5 2 3 2 2" xfId="48289" xr:uid="{00000000-0005-0000-0000-0000EFA20000}"/>
    <cellStyle name="Normal 4 3 3 5 2 3 3" xfId="38591" xr:uid="{00000000-0005-0000-0000-0000F0A20000}"/>
    <cellStyle name="Normal 4 3 3 5 2 4" xfId="24640" xr:uid="{00000000-0005-0000-0000-0000F1A20000}"/>
    <cellStyle name="Normal 4 3 3 5 2 4 2" xfId="43834" xr:uid="{00000000-0005-0000-0000-0000F2A20000}"/>
    <cellStyle name="Normal 4 3 3 5 2 5" xfId="34136" xr:uid="{00000000-0005-0000-0000-0000F3A20000}"/>
    <cellStyle name="Normal 4 3 3 5 3" xfId="14811" xr:uid="{00000000-0005-0000-0000-0000F4A20000}"/>
    <cellStyle name="Normal 4 3 3 5 3 2" xfId="15940" xr:uid="{00000000-0005-0000-0000-0000F5A20000}"/>
    <cellStyle name="Normal 4 3 3 5 3 2 2" xfId="20404" xr:uid="{00000000-0005-0000-0000-0000F6A20000}"/>
    <cellStyle name="Normal 4 3 3 5 3 2 2 2" xfId="30772" xr:uid="{00000000-0005-0000-0000-0000F7A20000}"/>
    <cellStyle name="Normal 4 3 3 5 3 2 2 2 2" xfId="49961" xr:uid="{00000000-0005-0000-0000-0000F8A20000}"/>
    <cellStyle name="Normal 4 3 3 5 3 2 2 3" xfId="40263" xr:uid="{00000000-0005-0000-0000-0000F9A20000}"/>
    <cellStyle name="Normal 4 3 3 5 3 2 3" xfId="26317" xr:uid="{00000000-0005-0000-0000-0000FAA20000}"/>
    <cellStyle name="Normal 4 3 3 5 3 2 3 2" xfId="45506" xr:uid="{00000000-0005-0000-0000-0000FBA20000}"/>
    <cellStyle name="Normal 4 3 3 5 3 2 4" xfId="35808" xr:uid="{00000000-0005-0000-0000-0000FCA20000}"/>
    <cellStyle name="Normal 4 3 3 5 3 3" xfId="19289" xr:uid="{00000000-0005-0000-0000-0000FDA20000}"/>
    <cellStyle name="Normal 4 3 3 5 3 3 2" xfId="29657" xr:uid="{00000000-0005-0000-0000-0000FEA20000}"/>
    <cellStyle name="Normal 4 3 3 5 3 3 2 2" xfId="48846" xr:uid="{00000000-0005-0000-0000-0000FFA20000}"/>
    <cellStyle name="Normal 4 3 3 5 3 3 3" xfId="39148" xr:uid="{00000000-0005-0000-0000-000000A30000}"/>
    <cellStyle name="Normal 4 3 3 5 3 4" xfId="25202" xr:uid="{00000000-0005-0000-0000-000001A30000}"/>
    <cellStyle name="Normal 4 3 3 5 3 4 2" xfId="44391" xr:uid="{00000000-0005-0000-0000-000002A30000}"/>
    <cellStyle name="Normal 4 3 3 5 3 5" xfId="34693" xr:uid="{00000000-0005-0000-0000-000003A30000}"/>
    <cellStyle name="Normal 4 3 3 5 4" xfId="15383" xr:uid="{00000000-0005-0000-0000-000004A30000}"/>
    <cellStyle name="Normal 4 3 3 5 4 2" xfId="19847" xr:uid="{00000000-0005-0000-0000-000005A30000}"/>
    <cellStyle name="Normal 4 3 3 5 4 2 2" xfId="30215" xr:uid="{00000000-0005-0000-0000-000006A30000}"/>
    <cellStyle name="Normal 4 3 3 5 4 2 2 2" xfId="49404" xr:uid="{00000000-0005-0000-0000-000007A30000}"/>
    <cellStyle name="Normal 4 3 3 5 4 2 3" xfId="39706" xr:uid="{00000000-0005-0000-0000-000008A30000}"/>
    <cellStyle name="Normal 4 3 3 5 4 3" xfId="25760" xr:uid="{00000000-0005-0000-0000-000009A30000}"/>
    <cellStyle name="Normal 4 3 3 5 4 3 2" xfId="44949" xr:uid="{00000000-0005-0000-0000-00000AA30000}"/>
    <cellStyle name="Normal 4 3 3 5 4 4" xfId="35251" xr:uid="{00000000-0005-0000-0000-00000BA30000}"/>
    <cellStyle name="Normal 4 3 3 5 5" xfId="17053" xr:uid="{00000000-0005-0000-0000-00000CA30000}"/>
    <cellStyle name="Normal 4 3 3 5 5 2" xfId="21517" xr:uid="{00000000-0005-0000-0000-00000DA30000}"/>
    <cellStyle name="Normal 4 3 3 5 5 2 2" xfId="31885" xr:uid="{00000000-0005-0000-0000-00000EA30000}"/>
    <cellStyle name="Normal 4 3 3 5 5 2 2 2" xfId="51074" xr:uid="{00000000-0005-0000-0000-00000FA30000}"/>
    <cellStyle name="Normal 4 3 3 5 5 2 3" xfId="41376" xr:uid="{00000000-0005-0000-0000-000010A30000}"/>
    <cellStyle name="Normal 4 3 3 5 5 3" xfId="27430" xr:uid="{00000000-0005-0000-0000-000011A30000}"/>
    <cellStyle name="Normal 4 3 3 5 5 3 2" xfId="46619" xr:uid="{00000000-0005-0000-0000-000012A30000}"/>
    <cellStyle name="Normal 4 3 3 5 5 4" xfId="36921" xr:uid="{00000000-0005-0000-0000-000013A30000}"/>
    <cellStyle name="Normal 4 3 3 5 6" xfId="17619" xr:uid="{00000000-0005-0000-0000-000014A30000}"/>
    <cellStyle name="Normal 4 3 3 5 6 2" xfId="22074" xr:uid="{00000000-0005-0000-0000-000015A30000}"/>
    <cellStyle name="Normal 4 3 3 5 6 2 2" xfId="32442" xr:uid="{00000000-0005-0000-0000-000016A30000}"/>
    <cellStyle name="Normal 4 3 3 5 6 2 2 2" xfId="51631" xr:uid="{00000000-0005-0000-0000-000017A30000}"/>
    <cellStyle name="Normal 4 3 3 5 6 2 3" xfId="41933" xr:uid="{00000000-0005-0000-0000-000018A30000}"/>
    <cellStyle name="Normal 4 3 3 5 6 3" xfId="27987" xr:uid="{00000000-0005-0000-0000-000019A30000}"/>
    <cellStyle name="Normal 4 3 3 5 6 3 2" xfId="47176" xr:uid="{00000000-0005-0000-0000-00001AA30000}"/>
    <cellStyle name="Normal 4 3 3 5 6 4" xfId="37478" xr:uid="{00000000-0005-0000-0000-00001BA30000}"/>
    <cellStyle name="Normal 4 3 3 5 7" xfId="18176" xr:uid="{00000000-0005-0000-0000-00001CA30000}"/>
    <cellStyle name="Normal 4 3 3 5 7 2" xfId="28544" xr:uid="{00000000-0005-0000-0000-00001DA30000}"/>
    <cellStyle name="Normal 4 3 3 5 7 2 2" xfId="47733" xr:uid="{00000000-0005-0000-0000-00001EA30000}"/>
    <cellStyle name="Normal 4 3 3 5 7 3" xfId="38035" xr:uid="{00000000-0005-0000-0000-00001FA30000}"/>
    <cellStyle name="Normal 4 3 3 5 8" xfId="24044" xr:uid="{00000000-0005-0000-0000-000020A30000}"/>
    <cellStyle name="Normal 4 3 3 5 8 2" xfId="43278" xr:uid="{00000000-0005-0000-0000-000021A30000}"/>
    <cellStyle name="Normal 4 3 3 5 9" xfId="33580" xr:uid="{00000000-0005-0000-0000-000022A30000}"/>
    <cellStyle name="Normal 4 3 3 6" xfId="52952" xr:uid="{00000000-0005-0000-0000-000023A30000}"/>
    <cellStyle name="Normal 4 3 3 7" xfId="12510" xr:uid="{00000000-0005-0000-0000-000024A30000}"/>
    <cellStyle name="Normal 4 3 4" xfId="4592" xr:uid="{00000000-0005-0000-0000-000025A30000}"/>
    <cellStyle name="Normal 4 3 4 10" xfId="17760" xr:uid="{00000000-0005-0000-0000-000026A30000}"/>
    <cellStyle name="Normal 4 3 4 10 2" xfId="28128" xr:uid="{00000000-0005-0000-0000-000027A30000}"/>
    <cellStyle name="Normal 4 3 4 10 2 2" xfId="47317" xr:uid="{00000000-0005-0000-0000-000028A30000}"/>
    <cellStyle name="Normal 4 3 4 10 3" xfId="37619" xr:uid="{00000000-0005-0000-0000-000029A30000}"/>
    <cellStyle name="Normal 4 3 4 11" xfId="23583" xr:uid="{00000000-0005-0000-0000-00002AA30000}"/>
    <cellStyle name="Normal 4 3 4 11 2" xfId="42862" xr:uid="{00000000-0005-0000-0000-00002BA30000}"/>
    <cellStyle name="Normal 4 3 4 12" xfId="33164" xr:uid="{00000000-0005-0000-0000-00002CA30000}"/>
    <cellStyle name="Normal 4 3 4 13" xfId="53431" xr:uid="{00000000-0005-0000-0000-00002DA30000}"/>
    <cellStyle name="Normal 4 3 4 14" xfId="12771" xr:uid="{00000000-0005-0000-0000-00002EA30000}"/>
    <cellStyle name="Normal 4 3 4 2" xfId="9133" xr:uid="{00000000-0005-0000-0000-00002FA30000}"/>
    <cellStyle name="Normal 4 3 4 2 10" xfId="24045" xr:uid="{00000000-0005-0000-0000-000030A30000}"/>
    <cellStyle name="Normal 4 3 4 2 10 2" xfId="43279" xr:uid="{00000000-0005-0000-0000-000031A30000}"/>
    <cellStyle name="Normal 4 3 4 2 11" xfId="33581" xr:uid="{00000000-0005-0000-0000-000032A30000}"/>
    <cellStyle name="Normal 4 3 4 2 12" xfId="13333" xr:uid="{00000000-0005-0000-0000-000033A30000}"/>
    <cellStyle name="Normal 4 3 4 2 2" xfId="13334" xr:uid="{00000000-0005-0000-0000-000034A30000}"/>
    <cellStyle name="Normal 4 3 4 2 2 2" xfId="14234" xr:uid="{00000000-0005-0000-0000-000035A30000}"/>
    <cellStyle name="Normal 4 3 4 2 2 2 2" xfId="16498" xr:uid="{00000000-0005-0000-0000-000036A30000}"/>
    <cellStyle name="Normal 4 3 4 2 2 2 2 2" xfId="20962" xr:uid="{00000000-0005-0000-0000-000037A30000}"/>
    <cellStyle name="Normal 4 3 4 2 2 2 2 2 2" xfId="31330" xr:uid="{00000000-0005-0000-0000-000038A30000}"/>
    <cellStyle name="Normal 4 3 4 2 2 2 2 2 2 2" xfId="50519" xr:uid="{00000000-0005-0000-0000-000039A30000}"/>
    <cellStyle name="Normal 4 3 4 2 2 2 2 2 3" xfId="40821" xr:uid="{00000000-0005-0000-0000-00003AA30000}"/>
    <cellStyle name="Normal 4 3 4 2 2 2 2 3" xfId="26875" xr:uid="{00000000-0005-0000-0000-00003BA30000}"/>
    <cellStyle name="Normal 4 3 4 2 2 2 2 3 2" xfId="46064" xr:uid="{00000000-0005-0000-0000-00003CA30000}"/>
    <cellStyle name="Normal 4 3 4 2 2 2 2 4" xfId="36366" xr:uid="{00000000-0005-0000-0000-00003DA30000}"/>
    <cellStyle name="Normal 4 3 4 2 2 2 3" xfId="18734" xr:uid="{00000000-0005-0000-0000-00003EA30000}"/>
    <cellStyle name="Normal 4 3 4 2 2 2 3 2" xfId="29102" xr:uid="{00000000-0005-0000-0000-00003FA30000}"/>
    <cellStyle name="Normal 4 3 4 2 2 2 3 2 2" xfId="48291" xr:uid="{00000000-0005-0000-0000-000040A30000}"/>
    <cellStyle name="Normal 4 3 4 2 2 2 3 3" xfId="38593" xr:uid="{00000000-0005-0000-0000-000041A30000}"/>
    <cellStyle name="Normal 4 3 4 2 2 2 4" xfId="24642" xr:uid="{00000000-0005-0000-0000-000042A30000}"/>
    <cellStyle name="Normal 4 3 4 2 2 2 4 2" xfId="43836" xr:uid="{00000000-0005-0000-0000-000043A30000}"/>
    <cellStyle name="Normal 4 3 4 2 2 2 5" xfId="34138" xr:uid="{00000000-0005-0000-0000-000044A30000}"/>
    <cellStyle name="Normal 4 3 4 2 2 3" xfId="14813" xr:uid="{00000000-0005-0000-0000-000045A30000}"/>
    <cellStyle name="Normal 4 3 4 2 2 3 2" xfId="15942" xr:uid="{00000000-0005-0000-0000-000046A30000}"/>
    <cellStyle name="Normal 4 3 4 2 2 3 2 2" xfId="20406" xr:uid="{00000000-0005-0000-0000-000047A30000}"/>
    <cellStyle name="Normal 4 3 4 2 2 3 2 2 2" xfId="30774" xr:uid="{00000000-0005-0000-0000-000048A30000}"/>
    <cellStyle name="Normal 4 3 4 2 2 3 2 2 2 2" xfId="49963" xr:uid="{00000000-0005-0000-0000-000049A30000}"/>
    <cellStyle name="Normal 4 3 4 2 2 3 2 2 3" xfId="40265" xr:uid="{00000000-0005-0000-0000-00004AA30000}"/>
    <cellStyle name="Normal 4 3 4 2 2 3 2 3" xfId="26319" xr:uid="{00000000-0005-0000-0000-00004BA30000}"/>
    <cellStyle name="Normal 4 3 4 2 2 3 2 3 2" xfId="45508" xr:uid="{00000000-0005-0000-0000-00004CA30000}"/>
    <cellStyle name="Normal 4 3 4 2 2 3 2 4" xfId="35810" xr:uid="{00000000-0005-0000-0000-00004DA30000}"/>
    <cellStyle name="Normal 4 3 4 2 2 3 3" xfId="19291" xr:uid="{00000000-0005-0000-0000-00004EA30000}"/>
    <cellStyle name="Normal 4 3 4 2 2 3 3 2" xfId="29659" xr:uid="{00000000-0005-0000-0000-00004FA30000}"/>
    <cellStyle name="Normal 4 3 4 2 2 3 3 2 2" xfId="48848" xr:uid="{00000000-0005-0000-0000-000050A30000}"/>
    <cellStyle name="Normal 4 3 4 2 2 3 3 3" xfId="39150" xr:uid="{00000000-0005-0000-0000-000051A30000}"/>
    <cellStyle name="Normal 4 3 4 2 2 3 4" xfId="25204" xr:uid="{00000000-0005-0000-0000-000052A30000}"/>
    <cellStyle name="Normal 4 3 4 2 2 3 4 2" xfId="44393" xr:uid="{00000000-0005-0000-0000-000053A30000}"/>
    <cellStyle name="Normal 4 3 4 2 2 3 5" xfId="34695" xr:uid="{00000000-0005-0000-0000-000054A30000}"/>
    <cellStyle name="Normal 4 3 4 2 2 4" xfId="15385" xr:uid="{00000000-0005-0000-0000-000055A30000}"/>
    <cellStyle name="Normal 4 3 4 2 2 4 2" xfId="19849" xr:uid="{00000000-0005-0000-0000-000056A30000}"/>
    <cellStyle name="Normal 4 3 4 2 2 4 2 2" xfId="30217" xr:uid="{00000000-0005-0000-0000-000057A30000}"/>
    <cellStyle name="Normal 4 3 4 2 2 4 2 2 2" xfId="49406" xr:uid="{00000000-0005-0000-0000-000058A30000}"/>
    <cellStyle name="Normal 4 3 4 2 2 4 2 3" xfId="39708" xr:uid="{00000000-0005-0000-0000-000059A30000}"/>
    <cellStyle name="Normal 4 3 4 2 2 4 3" xfId="25762" xr:uid="{00000000-0005-0000-0000-00005AA30000}"/>
    <cellStyle name="Normal 4 3 4 2 2 4 3 2" xfId="44951" xr:uid="{00000000-0005-0000-0000-00005BA30000}"/>
    <cellStyle name="Normal 4 3 4 2 2 4 4" xfId="35253" xr:uid="{00000000-0005-0000-0000-00005CA30000}"/>
    <cellStyle name="Normal 4 3 4 2 2 5" xfId="17055" xr:uid="{00000000-0005-0000-0000-00005DA30000}"/>
    <cellStyle name="Normal 4 3 4 2 2 5 2" xfId="21519" xr:uid="{00000000-0005-0000-0000-00005EA30000}"/>
    <cellStyle name="Normal 4 3 4 2 2 5 2 2" xfId="31887" xr:uid="{00000000-0005-0000-0000-00005FA30000}"/>
    <cellStyle name="Normal 4 3 4 2 2 5 2 2 2" xfId="51076" xr:uid="{00000000-0005-0000-0000-000060A30000}"/>
    <cellStyle name="Normal 4 3 4 2 2 5 2 3" xfId="41378" xr:uid="{00000000-0005-0000-0000-000061A30000}"/>
    <cellStyle name="Normal 4 3 4 2 2 5 3" xfId="27432" xr:uid="{00000000-0005-0000-0000-000062A30000}"/>
    <cellStyle name="Normal 4 3 4 2 2 5 3 2" xfId="46621" xr:uid="{00000000-0005-0000-0000-000063A30000}"/>
    <cellStyle name="Normal 4 3 4 2 2 5 4" xfId="36923" xr:uid="{00000000-0005-0000-0000-000064A30000}"/>
    <cellStyle name="Normal 4 3 4 2 2 6" xfId="17621" xr:uid="{00000000-0005-0000-0000-000065A30000}"/>
    <cellStyle name="Normal 4 3 4 2 2 6 2" xfId="22076" xr:uid="{00000000-0005-0000-0000-000066A30000}"/>
    <cellStyle name="Normal 4 3 4 2 2 6 2 2" xfId="32444" xr:uid="{00000000-0005-0000-0000-000067A30000}"/>
    <cellStyle name="Normal 4 3 4 2 2 6 2 2 2" xfId="51633" xr:uid="{00000000-0005-0000-0000-000068A30000}"/>
    <cellStyle name="Normal 4 3 4 2 2 6 2 3" xfId="41935" xr:uid="{00000000-0005-0000-0000-000069A30000}"/>
    <cellStyle name="Normal 4 3 4 2 2 6 3" xfId="27989" xr:uid="{00000000-0005-0000-0000-00006AA30000}"/>
    <cellStyle name="Normal 4 3 4 2 2 6 3 2" xfId="47178" xr:uid="{00000000-0005-0000-0000-00006BA30000}"/>
    <cellStyle name="Normal 4 3 4 2 2 6 4" xfId="37480" xr:uid="{00000000-0005-0000-0000-00006CA30000}"/>
    <cellStyle name="Normal 4 3 4 2 2 7" xfId="18178" xr:uid="{00000000-0005-0000-0000-00006DA30000}"/>
    <cellStyle name="Normal 4 3 4 2 2 7 2" xfId="28546" xr:uid="{00000000-0005-0000-0000-00006EA30000}"/>
    <cellStyle name="Normal 4 3 4 2 2 7 2 2" xfId="47735" xr:uid="{00000000-0005-0000-0000-00006FA30000}"/>
    <cellStyle name="Normal 4 3 4 2 2 7 3" xfId="38037" xr:uid="{00000000-0005-0000-0000-000070A30000}"/>
    <cellStyle name="Normal 4 3 4 2 2 8" xfId="24046" xr:uid="{00000000-0005-0000-0000-000071A30000}"/>
    <cellStyle name="Normal 4 3 4 2 2 8 2" xfId="43280" xr:uid="{00000000-0005-0000-0000-000072A30000}"/>
    <cellStyle name="Normal 4 3 4 2 2 9" xfId="33582" xr:uid="{00000000-0005-0000-0000-000073A30000}"/>
    <cellStyle name="Normal 4 3 4 2 3" xfId="13335" xr:uid="{00000000-0005-0000-0000-000074A30000}"/>
    <cellStyle name="Normal 4 3 4 2 3 2" xfId="14235" xr:uid="{00000000-0005-0000-0000-000075A30000}"/>
    <cellStyle name="Normal 4 3 4 2 3 2 2" xfId="16499" xr:uid="{00000000-0005-0000-0000-000076A30000}"/>
    <cellStyle name="Normal 4 3 4 2 3 2 2 2" xfId="20963" xr:uid="{00000000-0005-0000-0000-000077A30000}"/>
    <cellStyle name="Normal 4 3 4 2 3 2 2 2 2" xfId="31331" xr:uid="{00000000-0005-0000-0000-000078A30000}"/>
    <cellStyle name="Normal 4 3 4 2 3 2 2 2 2 2" xfId="50520" xr:uid="{00000000-0005-0000-0000-000079A30000}"/>
    <cellStyle name="Normal 4 3 4 2 3 2 2 2 3" xfId="40822" xr:uid="{00000000-0005-0000-0000-00007AA30000}"/>
    <cellStyle name="Normal 4 3 4 2 3 2 2 3" xfId="26876" xr:uid="{00000000-0005-0000-0000-00007BA30000}"/>
    <cellStyle name="Normal 4 3 4 2 3 2 2 3 2" xfId="46065" xr:uid="{00000000-0005-0000-0000-00007CA30000}"/>
    <cellStyle name="Normal 4 3 4 2 3 2 2 4" xfId="36367" xr:uid="{00000000-0005-0000-0000-00007DA30000}"/>
    <cellStyle name="Normal 4 3 4 2 3 2 3" xfId="18735" xr:uid="{00000000-0005-0000-0000-00007EA30000}"/>
    <cellStyle name="Normal 4 3 4 2 3 2 3 2" xfId="29103" xr:uid="{00000000-0005-0000-0000-00007FA30000}"/>
    <cellStyle name="Normal 4 3 4 2 3 2 3 2 2" xfId="48292" xr:uid="{00000000-0005-0000-0000-000080A30000}"/>
    <cellStyle name="Normal 4 3 4 2 3 2 3 3" xfId="38594" xr:uid="{00000000-0005-0000-0000-000081A30000}"/>
    <cellStyle name="Normal 4 3 4 2 3 2 4" xfId="24643" xr:uid="{00000000-0005-0000-0000-000082A30000}"/>
    <cellStyle name="Normal 4 3 4 2 3 2 4 2" xfId="43837" xr:uid="{00000000-0005-0000-0000-000083A30000}"/>
    <cellStyle name="Normal 4 3 4 2 3 2 5" xfId="34139" xr:uid="{00000000-0005-0000-0000-000084A30000}"/>
    <cellStyle name="Normal 4 3 4 2 3 3" xfId="14814" xr:uid="{00000000-0005-0000-0000-000085A30000}"/>
    <cellStyle name="Normal 4 3 4 2 3 3 2" xfId="15943" xr:uid="{00000000-0005-0000-0000-000086A30000}"/>
    <cellStyle name="Normal 4 3 4 2 3 3 2 2" xfId="20407" xr:uid="{00000000-0005-0000-0000-000087A30000}"/>
    <cellStyle name="Normal 4 3 4 2 3 3 2 2 2" xfId="30775" xr:uid="{00000000-0005-0000-0000-000088A30000}"/>
    <cellStyle name="Normal 4 3 4 2 3 3 2 2 2 2" xfId="49964" xr:uid="{00000000-0005-0000-0000-000089A30000}"/>
    <cellStyle name="Normal 4 3 4 2 3 3 2 2 3" xfId="40266" xr:uid="{00000000-0005-0000-0000-00008AA30000}"/>
    <cellStyle name="Normal 4 3 4 2 3 3 2 3" xfId="26320" xr:uid="{00000000-0005-0000-0000-00008BA30000}"/>
    <cellStyle name="Normal 4 3 4 2 3 3 2 3 2" xfId="45509" xr:uid="{00000000-0005-0000-0000-00008CA30000}"/>
    <cellStyle name="Normal 4 3 4 2 3 3 2 4" xfId="35811" xr:uid="{00000000-0005-0000-0000-00008DA30000}"/>
    <cellStyle name="Normal 4 3 4 2 3 3 3" xfId="19292" xr:uid="{00000000-0005-0000-0000-00008EA30000}"/>
    <cellStyle name="Normal 4 3 4 2 3 3 3 2" xfId="29660" xr:uid="{00000000-0005-0000-0000-00008FA30000}"/>
    <cellStyle name="Normal 4 3 4 2 3 3 3 2 2" xfId="48849" xr:uid="{00000000-0005-0000-0000-000090A30000}"/>
    <cellStyle name="Normal 4 3 4 2 3 3 3 3" xfId="39151" xr:uid="{00000000-0005-0000-0000-000091A30000}"/>
    <cellStyle name="Normal 4 3 4 2 3 3 4" xfId="25205" xr:uid="{00000000-0005-0000-0000-000092A30000}"/>
    <cellStyle name="Normal 4 3 4 2 3 3 4 2" xfId="44394" xr:uid="{00000000-0005-0000-0000-000093A30000}"/>
    <cellStyle name="Normal 4 3 4 2 3 3 5" xfId="34696" xr:uid="{00000000-0005-0000-0000-000094A30000}"/>
    <cellStyle name="Normal 4 3 4 2 3 4" xfId="15386" xr:uid="{00000000-0005-0000-0000-000095A30000}"/>
    <cellStyle name="Normal 4 3 4 2 3 4 2" xfId="19850" xr:uid="{00000000-0005-0000-0000-000096A30000}"/>
    <cellStyle name="Normal 4 3 4 2 3 4 2 2" xfId="30218" xr:uid="{00000000-0005-0000-0000-000097A30000}"/>
    <cellStyle name="Normal 4 3 4 2 3 4 2 2 2" xfId="49407" xr:uid="{00000000-0005-0000-0000-000098A30000}"/>
    <cellStyle name="Normal 4 3 4 2 3 4 2 3" xfId="39709" xr:uid="{00000000-0005-0000-0000-000099A30000}"/>
    <cellStyle name="Normal 4 3 4 2 3 4 3" xfId="25763" xr:uid="{00000000-0005-0000-0000-00009AA30000}"/>
    <cellStyle name="Normal 4 3 4 2 3 4 3 2" xfId="44952" xr:uid="{00000000-0005-0000-0000-00009BA30000}"/>
    <cellStyle name="Normal 4 3 4 2 3 4 4" xfId="35254" xr:uid="{00000000-0005-0000-0000-00009CA30000}"/>
    <cellStyle name="Normal 4 3 4 2 3 5" xfId="17056" xr:uid="{00000000-0005-0000-0000-00009DA30000}"/>
    <cellStyle name="Normal 4 3 4 2 3 5 2" xfId="21520" xr:uid="{00000000-0005-0000-0000-00009EA30000}"/>
    <cellStyle name="Normal 4 3 4 2 3 5 2 2" xfId="31888" xr:uid="{00000000-0005-0000-0000-00009FA30000}"/>
    <cellStyle name="Normal 4 3 4 2 3 5 2 2 2" xfId="51077" xr:uid="{00000000-0005-0000-0000-0000A0A30000}"/>
    <cellStyle name="Normal 4 3 4 2 3 5 2 3" xfId="41379" xr:uid="{00000000-0005-0000-0000-0000A1A30000}"/>
    <cellStyle name="Normal 4 3 4 2 3 5 3" xfId="27433" xr:uid="{00000000-0005-0000-0000-0000A2A30000}"/>
    <cellStyle name="Normal 4 3 4 2 3 5 3 2" xfId="46622" xr:uid="{00000000-0005-0000-0000-0000A3A30000}"/>
    <cellStyle name="Normal 4 3 4 2 3 5 4" xfId="36924" xr:uid="{00000000-0005-0000-0000-0000A4A30000}"/>
    <cellStyle name="Normal 4 3 4 2 3 6" xfId="17622" xr:uid="{00000000-0005-0000-0000-0000A5A30000}"/>
    <cellStyle name="Normal 4 3 4 2 3 6 2" xfId="22077" xr:uid="{00000000-0005-0000-0000-0000A6A30000}"/>
    <cellStyle name="Normal 4 3 4 2 3 6 2 2" xfId="32445" xr:uid="{00000000-0005-0000-0000-0000A7A30000}"/>
    <cellStyle name="Normal 4 3 4 2 3 6 2 2 2" xfId="51634" xr:uid="{00000000-0005-0000-0000-0000A8A30000}"/>
    <cellStyle name="Normal 4 3 4 2 3 6 2 3" xfId="41936" xr:uid="{00000000-0005-0000-0000-0000A9A30000}"/>
    <cellStyle name="Normal 4 3 4 2 3 6 3" xfId="27990" xr:uid="{00000000-0005-0000-0000-0000AAA30000}"/>
    <cellStyle name="Normal 4 3 4 2 3 6 3 2" xfId="47179" xr:uid="{00000000-0005-0000-0000-0000ABA30000}"/>
    <cellStyle name="Normal 4 3 4 2 3 6 4" xfId="37481" xr:uid="{00000000-0005-0000-0000-0000ACA30000}"/>
    <cellStyle name="Normal 4 3 4 2 3 7" xfId="18179" xr:uid="{00000000-0005-0000-0000-0000ADA30000}"/>
    <cellStyle name="Normal 4 3 4 2 3 7 2" xfId="28547" xr:uid="{00000000-0005-0000-0000-0000AEA30000}"/>
    <cellStyle name="Normal 4 3 4 2 3 7 2 2" xfId="47736" xr:uid="{00000000-0005-0000-0000-0000AFA30000}"/>
    <cellStyle name="Normal 4 3 4 2 3 7 3" xfId="38038" xr:uid="{00000000-0005-0000-0000-0000B0A30000}"/>
    <cellStyle name="Normal 4 3 4 2 3 8" xfId="24047" xr:uid="{00000000-0005-0000-0000-0000B1A30000}"/>
    <cellStyle name="Normal 4 3 4 2 3 8 2" xfId="43281" xr:uid="{00000000-0005-0000-0000-0000B2A30000}"/>
    <cellStyle name="Normal 4 3 4 2 3 9" xfId="33583" xr:uid="{00000000-0005-0000-0000-0000B3A30000}"/>
    <cellStyle name="Normal 4 3 4 2 4" xfId="14233" xr:uid="{00000000-0005-0000-0000-0000B4A30000}"/>
    <cellStyle name="Normal 4 3 4 2 4 2" xfId="16497" xr:uid="{00000000-0005-0000-0000-0000B5A30000}"/>
    <cellStyle name="Normal 4 3 4 2 4 2 2" xfId="20961" xr:uid="{00000000-0005-0000-0000-0000B6A30000}"/>
    <cellStyle name="Normal 4 3 4 2 4 2 2 2" xfId="31329" xr:uid="{00000000-0005-0000-0000-0000B7A30000}"/>
    <cellStyle name="Normal 4 3 4 2 4 2 2 2 2" xfId="50518" xr:uid="{00000000-0005-0000-0000-0000B8A30000}"/>
    <cellStyle name="Normal 4 3 4 2 4 2 2 3" xfId="40820" xr:uid="{00000000-0005-0000-0000-0000B9A30000}"/>
    <cellStyle name="Normal 4 3 4 2 4 2 3" xfId="26874" xr:uid="{00000000-0005-0000-0000-0000BAA30000}"/>
    <cellStyle name="Normal 4 3 4 2 4 2 3 2" xfId="46063" xr:uid="{00000000-0005-0000-0000-0000BBA30000}"/>
    <cellStyle name="Normal 4 3 4 2 4 2 4" xfId="36365" xr:uid="{00000000-0005-0000-0000-0000BCA30000}"/>
    <cellStyle name="Normal 4 3 4 2 4 3" xfId="18733" xr:uid="{00000000-0005-0000-0000-0000BDA30000}"/>
    <cellStyle name="Normal 4 3 4 2 4 3 2" xfId="29101" xr:uid="{00000000-0005-0000-0000-0000BEA30000}"/>
    <cellStyle name="Normal 4 3 4 2 4 3 2 2" xfId="48290" xr:uid="{00000000-0005-0000-0000-0000BFA30000}"/>
    <cellStyle name="Normal 4 3 4 2 4 3 3" xfId="38592" xr:uid="{00000000-0005-0000-0000-0000C0A30000}"/>
    <cellStyle name="Normal 4 3 4 2 4 4" xfId="24641" xr:uid="{00000000-0005-0000-0000-0000C1A30000}"/>
    <cellStyle name="Normal 4 3 4 2 4 4 2" xfId="43835" xr:uid="{00000000-0005-0000-0000-0000C2A30000}"/>
    <cellStyle name="Normal 4 3 4 2 4 5" xfId="34137" xr:uid="{00000000-0005-0000-0000-0000C3A30000}"/>
    <cellStyle name="Normal 4 3 4 2 5" xfId="14812" xr:uid="{00000000-0005-0000-0000-0000C4A30000}"/>
    <cellStyle name="Normal 4 3 4 2 5 2" xfId="15941" xr:uid="{00000000-0005-0000-0000-0000C5A30000}"/>
    <cellStyle name="Normal 4 3 4 2 5 2 2" xfId="20405" xr:uid="{00000000-0005-0000-0000-0000C6A30000}"/>
    <cellStyle name="Normal 4 3 4 2 5 2 2 2" xfId="30773" xr:uid="{00000000-0005-0000-0000-0000C7A30000}"/>
    <cellStyle name="Normal 4 3 4 2 5 2 2 2 2" xfId="49962" xr:uid="{00000000-0005-0000-0000-0000C8A30000}"/>
    <cellStyle name="Normal 4 3 4 2 5 2 2 3" xfId="40264" xr:uid="{00000000-0005-0000-0000-0000C9A30000}"/>
    <cellStyle name="Normal 4 3 4 2 5 2 3" xfId="26318" xr:uid="{00000000-0005-0000-0000-0000CAA30000}"/>
    <cellStyle name="Normal 4 3 4 2 5 2 3 2" xfId="45507" xr:uid="{00000000-0005-0000-0000-0000CBA30000}"/>
    <cellStyle name="Normal 4 3 4 2 5 2 4" xfId="35809" xr:uid="{00000000-0005-0000-0000-0000CCA30000}"/>
    <cellStyle name="Normal 4 3 4 2 5 3" xfId="19290" xr:uid="{00000000-0005-0000-0000-0000CDA30000}"/>
    <cellStyle name="Normal 4 3 4 2 5 3 2" xfId="29658" xr:uid="{00000000-0005-0000-0000-0000CEA30000}"/>
    <cellStyle name="Normal 4 3 4 2 5 3 2 2" xfId="48847" xr:uid="{00000000-0005-0000-0000-0000CFA30000}"/>
    <cellStyle name="Normal 4 3 4 2 5 3 3" xfId="39149" xr:uid="{00000000-0005-0000-0000-0000D0A30000}"/>
    <cellStyle name="Normal 4 3 4 2 5 4" xfId="25203" xr:uid="{00000000-0005-0000-0000-0000D1A30000}"/>
    <cellStyle name="Normal 4 3 4 2 5 4 2" xfId="44392" xr:uid="{00000000-0005-0000-0000-0000D2A30000}"/>
    <cellStyle name="Normal 4 3 4 2 5 5" xfId="34694" xr:uid="{00000000-0005-0000-0000-0000D3A30000}"/>
    <cellStyle name="Normal 4 3 4 2 6" xfId="15384" xr:uid="{00000000-0005-0000-0000-0000D4A30000}"/>
    <cellStyle name="Normal 4 3 4 2 6 2" xfId="19848" xr:uid="{00000000-0005-0000-0000-0000D5A30000}"/>
    <cellStyle name="Normal 4 3 4 2 6 2 2" xfId="30216" xr:uid="{00000000-0005-0000-0000-0000D6A30000}"/>
    <cellStyle name="Normal 4 3 4 2 6 2 2 2" xfId="49405" xr:uid="{00000000-0005-0000-0000-0000D7A30000}"/>
    <cellStyle name="Normal 4 3 4 2 6 2 3" xfId="39707" xr:uid="{00000000-0005-0000-0000-0000D8A30000}"/>
    <cellStyle name="Normal 4 3 4 2 6 3" xfId="25761" xr:uid="{00000000-0005-0000-0000-0000D9A30000}"/>
    <cellStyle name="Normal 4 3 4 2 6 3 2" xfId="44950" xr:uid="{00000000-0005-0000-0000-0000DAA30000}"/>
    <cellStyle name="Normal 4 3 4 2 6 4" xfId="35252" xr:uid="{00000000-0005-0000-0000-0000DBA30000}"/>
    <cellStyle name="Normal 4 3 4 2 7" xfId="17054" xr:uid="{00000000-0005-0000-0000-0000DCA30000}"/>
    <cellStyle name="Normal 4 3 4 2 7 2" xfId="21518" xr:uid="{00000000-0005-0000-0000-0000DDA30000}"/>
    <cellStyle name="Normal 4 3 4 2 7 2 2" xfId="31886" xr:uid="{00000000-0005-0000-0000-0000DEA30000}"/>
    <cellStyle name="Normal 4 3 4 2 7 2 2 2" xfId="51075" xr:uid="{00000000-0005-0000-0000-0000DFA30000}"/>
    <cellStyle name="Normal 4 3 4 2 7 2 3" xfId="41377" xr:uid="{00000000-0005-0000-0000-0000E0A30000}"/>
    <cellStyle name="Normal 4 3 4 2 7 3" xfId="27431" xr:uid="{00000000-0005-0000-0000-0000E1A30000}"/>
    <cellStyle name="Normal 4 3 4 2 7 3 2" xfId="46620" xr:uid="{00000000-0005-0000-0000-0000E2A30000}"/>
    <cellStyle name="Normal 4 3 4 2 7 4" xfId="36922" xr:uid="{00000000-0005-0000-0000-0000E3A30000}"/>
    <cellStyle name="Normal 4 3 4 2 8" xfId="17620" xr:uid="{00000000-0005-0000-0000-0000E4A30000}"/>
    <cellStyle name="Normal 4 3 4 2 8 2" xfId="22075" xr:uid="{00000000-0005-0000-0000-0000E5A30000}"/>
    <cellStyle name="Normal 4 3 4 2 8 2 2" xfId="32443" xr:uid="{00000000-0005-0000-0000-0000E6A30000}"/>
    <cellStyle name="Normal 4 3 4 2 8 2 2 2" xfId="51632" xr:uid="{00000000-0005-0000-0000-0000E7A30000}"/>
    <cellStyle name="Normal 4 3 4 2 8 2 3" xfId="41934" xr:uid="{00000000-0005-0000-0000-0000E8A30000}"/>
    <cellStyle name="Normal 4 3 4 2 8 3" xfId="27988" xr:uid="{00000000-0005-0000-0000-0000E9A30000}"/>
    <cellStyle name="Normal 4 3 4 2 8 3 2" xfId="47177" xr:uid="{00000000-0005-0000-0000-0000EAA30000}"/>
    <cellStyle name="Normal 4 3 4 2 8 4" xfId="37479" xr:uid="{00000000-0005-0000-0000-0000EBA30000}"/>
    <cellStyle name="Normal 4 3 4 2 9" xfId="18177" xr:uid="{00000000-0005-0000-0000-0000ECA30000}"/>
    <cellStyle name="Normal 4 3 4 2 9 2" xfId="28545" xr:uid="{00000000-0005-0000-0000-0000EDA30000}"/>
    <cellStyle name="Normal 4 3 4 2 9 2 2" xfId="47734" xr:uid="{00000000-0005-0000-0000-0000EEA30000}"/>
    <cellStyle name="Normal 4 3 4 2 9 3" xfId="38036" xr:uid="{00000000-0005-0000-0000-0000EFA30000}"/>
    <cellStyle name="Normal 4 3 4 3" xfId="13336" xr:uid="{00000000-0005-0000-0000-0000F0A30000}"/>
    <cellStyle name="Normal 4 3 4 3 2" xfId="14236" xr:uid="{00000000-0005-0000-0000-0000F1A30000}"/>
    <cellStyle name="Normal 4 3 4 3 2 2" xfId="16500" xr:uid="{00000000-0005-0000-0000-0000F2A30000}"/>
    <cellStyle name="Normal 4 3 4 3 2 2 2" xfId="20964" xr:uid="{00000000-0005-0000-0000-0000F3A30000}"/>
    <cellStyle name="Normal 4 3 4 3 2 2 2 2" xfId="31332" xr:uid="{00000000-0005-0000-0000-0000F4A30000}"/>
    <cellStyle name="Normal 4 3 4 3 2 2 2 2 2" xfId="50521" xr:uid="{00000000-0005-0000-0000-0000F5A30000}"/>
    <cellStyle name="Normal 4 3 4 3 2 2 2 3" xfId="40823" xr:uid="{00000000-0005-0000-0000-0000F6A30000}"/>
    <cellStyle name="Normal 4 3 4 3 2 2 3" xfId="26877" xr:uid="{00000000-0005-0000-0000-0000F7A30000}"/>
    <cellStyle name="Normal 4 3 4 3 2 2 3 2" xfId="46066" xr:uid="{00000000-0005-0000-0000-0000F8A30000}"/>
    <cellStyle name="Normal 4 3 4 3 2 2 4" xfId="36368" xr:uid="{00000000-0005-0000-0000-0000F9A30000}"/>
    <cellStyle name="Normal 4 3 4 3 2 3" xfId="18736" xr:uid="{00000000-0005-0000-0000-0000FAA30000}"/>
    <cellStyle name="Normal 4 3 4 3 2 3 2" xfId="29104" xr:uid="{00000000-0005-0000-0000-0000FBA30000}"/>
    <cellStyle name="Normal 4 3 4 3 2 3 2 2" xfId="48293" xr:uid="{00000000-0005-0000-0000-0000FCA30000}"/>
    <cellStyle name="Normal 4 3 4 3 2 3 3" xfId="38595" xr:uid="{00000000-0005-0000-0000-0000FDA30000}"/>
    <cellStyle name="Normal 4 3 4 3 2 4" xfId="24644" xr:uid="{00000000-0005-0000-0000-0000FEA30000}"/>
    <cellStyle name="Normal 4 3 4 3 2 4 2" xfId="43838" xr:uid="{00000000-0005-0000-0000-0000FFA30000}"/>
    <cellStyle name="Normal 4 3 4 3 2 5" xfId="34140" xr:uid="{00000000-0005-0000-0000-000000A40000}"/>
    <cellStyle name="Normal 4 3 4 3 3" xfId="14815" xr:uid="{00000000-0005-0000-0000-000001A40000}"/>
    <cellStyle name="Normal 4 3 4 3 3 2" xfId="15944" xr:uid="{00000000-0005-0000-0000-000002A40000}"/>
    <cellStyle name="Normal 4 3 4 3 3 2 2" xfId="20408" xr:uid="{00000000-0005-0000-0000-000003A40000}"/>
    <cellStyle name="Normal 4 3 4 3 3 2 2 2" xfId="30776" xr:uid="{00000000-0005-0000-0000-000004A40000}"/>
    <cellStyle name="Normal 4 3 4 3 3 2 2 2 2" xfId="49965" xr:uid="{00000000-0005-0000-0000-000005A40000}"/>
    <cellStyle name="Normal 4 3 4 3 3 2 2 3" xfId="40267" xr:uid="{00000000-0005-0000-0000-000006A40000}"/>
    <cellStyle name="Normal 4 3 4 3 3 2 3" xfId="26321" xr:uid="{00000000-0005-0000-0000-000007A40000}"/>
    <cellStyle name="Normal 4 3 4 3 3 2 3 2" xfId="45510" xr:uid="{00000000-0005-0000-0000-000008A40000}"/>
    <cellStyle name="Normal 4 3 4 3 3 2 4" xfId="35812" xr:uid="{00000000-0005-0000-0000-000009A40000}"/>
    <cellStyle name="Normal 4 3 4 3 3 3" xfId="19293" xr:uid="{00000000-0005-0000-0000-00000AA40000}"/>
    <cellStyle name="Normal 4 3 4 3 3 3 2" xfId="29661" xr:uid="{00000000-0005-0000-0000-00000BA40000}"/>
    <cellStyle name="Normal 4 3 4 3 3 3 2 2" xfId="48850" xr:uid="{00000000-0005-0000-0000-00000CA40000}"/>
    <cellStyle name="Normal 4 3 4 3 3 3 3" xfId="39152" xr:uid="{00000000-0005-0000-0000-00000DA40000}"/>
    <cellStyle name="Normal 4 3 4 3 3 4" xfId="25206" xr:uid="{00000000-0005-0000-0000-00000EA40000}"/>
    <cellStyle name="Normal 4 3 4 3 3 4 2" xfId="44395" xr:uid="{00000000-0005-0000-0000-00000FA40000}"/>
    <cellStyle name="Normal 4 3 4 3 3 5" xfId="34697" xr:uid="{00000000-0005-0000-0000-000010A40000}"/>
    <cellStyle name="Normal 4 3 4 3 4" xfId="15387" xr:uid="{00000000-0005-0000-0000-000011A40000}"/>
    <cellStyle name="Normal 4 3 4 3 4 2" xfId="19851" xr:uid="{00000000-0005-0000-0000-000012A40000}"/>
    <cellStyle name="Normal 4 3 4 3 4 2 2" xfId="30219" xr:uid="{00000000-0005-0000-0000-000013A40000}"/>
    <cellStyle name="Normal 4 3 4 3 4 2 2 2" xfId="49408" xr:uid="{00000000-0005-0000-0000-000014A40000}"/>
    <cellStyle name="Normal 4 3 4 3 4 2 3" xfId="39710" xr:uid="{00000000-0005-0000-0000-000015A40000}"/>
    <cellStyle name="Normal 4 3 4 3 4 3" xfId="25764" xr:uid="{00000000-0005-0000-0000-000016A40000}"/>
    <cellStyle name="Normal 4 3 4 3 4 3 2" xfId="44953" xr:uid="{00000000-0005-0000-0000-000017A40000}"/>
    <cellStyle name="Normal 4 3 4 3 4 4" xfId="35255" xr:uid="{00000000-0005-0000-0000-000018A40000}"/>
    <cellStyle name="Normal 4 3 4 3 5" xfId="17057" xr:uid="{00000000-0005-0000-0000-000019A40000}"/>
    <cellStyle name="Normal 4 3 4 3 5 2" xfId="21521" xr:uid="{00000000-0005-0000-0000-00001AA40000}"/>
    <cellStyle name="Normal 4 3 4 3 5 2 2" xfId="31889" xr:uid="{00000000-0005-0000-0000-00001BA40000}"/>
    <cellStyle name="Normal 4 3 4 3 5 2 2 2" xfId="51078" xr:uid="{00000000-0005-0000-0000-00001CA40000}"/>
    <cellStyle name="Normal 4 3 4 3 5 2 3" xfId="41380" xr:uid="{00000000-0005-0000-0000-00001DA40000}"/>
    <cellStyle name="Normal 4 3 4 3 5 3" xfId="27434" xr:uid="{00000000-0005-0000-0000-00001EA40000}"/>
    <cellStyle name="Normal 4 3 4 3 5 3 2" xfId="46623" xr:uid="{00000000-0005-0000-0000-00001FA40000}"/>
    <cellStyle name="Normal 4 3 4 3 5 4" xfId="36925" xr:uid="{00000000-0005-0000-0000-000020A40000}"/>
    <cellStyle name="Normal 4 3 4 3 6" xfId="17623" xr:uid="{00000000-0005-0000-0000-000021A40000}"/>
    <cellStyle name="Normal 4 3 4 3 6 2" xfId="22078" xr:uid="{00000000-0005-0000-0000-000022A40000}"/>
    <cellStyle name="Normal 4 3 4 3 6 2 2" xfId="32446" xr:uid="{00000000-0005-0000-0000-000023A40000}"/>
    <cellStyle name="Normal 4 3 4 3 6 2 2 2" xfId="51635" xr:uid="{00000000-0005-0000-0000-000024A40000}"/>
    <cellStyle name="Normal 4 3 4 3 6 2 3" xfId="41937" xr:uid="{00000000-0005-0000-0000-000025A40000}"/>
    <cellStyle name="Normal 4 3 4 3 6 3" xfId="27991" xr:uid="{00000000-0005-0000-0000-000026A40000}"/>
    <cellStyle name="Normal 4 3 4 3 6 3 2" xfId="47180" xr:uid="{00000000-0005-0000-0000-000027A40000}"/>
    <cellStyle name="Normal 4 3 4 3 6 4" xfId="37482" xr:uid="{00000000-0005-0000-0000-000028A40000}"/>
    <cellStyle name="Normal 4 3 4 3 7" xfId="18180" xr:uid="{00000000-0005-0000-0000-000029A40000}"/>
    <cellStyle name="Normal 4 3 4 3 7 2" xfId="28548" xr:uid="{00000000-0005-0000-0000-00002AA40000}"/>
    <cellStyle name="Normal 4 3 4 3 7 2 2" xfId="47737" xr:uid="{00000000-0005-0000-0000-00002BA40000}"/>
    <cellStyle name="Normal 4 3 4 3 7 3" xfId="38039" xr:uid="{00000000-0005-0000-0000-00002CA40000}"/>
    <cellStyle name="Normal 4 3 4 3 8" xfId="24048" xr:uid="{00000000-0005-0000-0000-00002DA40000}"/>
    <cellStyle name="Normal 4 3 4 3 8 2" xfId="43282" xr:uid="{00000000-0005-0000-0000-00002EA40000}"/>
    <cellStyle name="Normal 4 3 4 3 9" xfId="33584" xr:uid="{00000000-0005-0000-0000-00002FA40000}"/>
    <cellStyle name="Normal 4 3 4 4" xfId="13337" xr:uid="{00000000-0005-0000-0000-000030A40000}"/>
    <cellStyle name="Normal 4 3 4 4 2" xfId="14237" xr:uid="{00000000-0005-0000-0000-000031A40000}"/>
    <cellStyle name="Normal 4 3 4 4 2 2" xfId="16501" xr:uid="{00000000-0005-0000-0000-000032A40000}"/>
    <cellStyle name="Normal 4 3 4 4 2 2 2" xfId="20965" xr:uid="{00000000-0005-0000-0000-000033A40000}"/>
    <cellStyle name="Normal 4 3 4 4 2 2 2 2" xfId="31333" xr:uid="{00000000-0005-0000-0000-000034A40000}"/>
    <cellStyle name="Normal 4 3 4 4 2 2 2 2 2" xfId="50522" xr:uid="{00000000-0005-0000-0000-000035A40000}"/>
    <cellStyle name="Normal 4 3 4 4 2 2 2 3" xfId="40824" xr:uid="{00000000-0005-0000-0000-000036A40000}"/>
    <cellStyle name="Normal 4 3 4 4 2 2 3" xfId="26878" xr:uid="{00000000-0005-0000-0000-000037A40000}"/>
    <cellStyle name="Normal 4 3 4 4 2 2 3 2" xfId="46067" xr:uid="{00000000-0005-0000-0000-000038A40000}"/>
    <cellStyle name="Normal 4 3 4 4 2 2 4" xfId="36369" xr:uid="{00000000-0005-0000-0000-000039A40000}"/>
    <cellStyle name="Normal 4 3 4 4 2 3" xfId="18737" xr:uid="{00000000-0005-0000-0000-00003AA40000}"/>
    <cellStyle name="Normal 4 3 4 4 2 3 2" xfId="29105" xr:uid="{00000000-0005-0000-0000-00003BA40000}"/>
    <cellStyle name="Normal 4 3 4 4 2 3 2 2" xfId="48294" xr:uid="{00000000-0005-0000-0000-00003CA40000}"/>
    <cellStyle name="Normal 4 3 4 4 2 3 3" xfId="38596" xr:uid="{00000000-0005-0000-0000-00003DA40000}"/>
    <cellStyle name="Normal 4 3 4 4 2 4" xfId="24645" xr:uid="{00000000-0005-0000-0000-00003EA40000}"/>
    <cellStyle name="Normal 4 3 4 4 2 4 2" xfId="43839" xr:uid="{00000000-0005-0000-0000-00003FA40000}"/>
    <cellStyle name="Normal 4 3 4 4 2 5" xfId="34141" xr:uid="{00000000-0005-0000-0000-000040A40000}"/>
    <cellStyle name="Normal 4 3 4 4 3" xfId="14816" xr:uid="{00000000-0005-0000-0000-000041A40000}"/>
    <cellStyle name="Normal 4 3 4 4 3 2" xfId="15945" xr:uid="{00000000-0005-0000-0000-000042A40000}"/>
    <cellStyle name="Normal 4 3 4 4 3 2 2" xfId="20409" xr:uid="{00000000-0005-0000-0000-000043A40000}"/>
    <cellStyle name="Normal 4 3 4 4 3 2 2 2" xfId="30777" xr:uid="{00000000-0005-0000-0000-000044A40000}"/>
    <cellStyle name="Normal 4 3 4 4 3 2 2 2 2" xfId="49966" xr:uid="{00000000-0005-0000-0000-000045A40000}"/>
    <cellStyle name="Normal 4 3 4 4 3 2 2 3" xfId="40268" xr:uid="{00000000-0005-0000-0000-000046A40000}"/>
    <cellStyle name="Normal 4 3 4 4 3 2 3" xfId="26322" xr:uid="{00000000-0005-0000-0000-000047A40000}"/>
    <cellStyle name="Normal 4 3 4 4 3 2 3 2" xfId="45511" xr:uid="{00000000-0005-0000-0000-000048A40000}"/>
    <cellStyle name="Normal 4 3 4 4 3 2 4" xfId="35813" xr:uid="{00000000-0005-0000-0000-000049A40000}"/>
    <cellStyle name="Normal 4 3 4 4 3 3" xfId="19294" xr:uid="{00000000-0005-0000-0000-00004AA40000}"/>
    <cellStyle name="Normal 4 3 4 4 3 3 2" xfId="29662" xr:uid="{00000000-0005-0000-0000-00004BA40000}"/>
    <cellStyle name="Normal 4 3 4 4 3 3 2 2" xfId="48851" xr:uid="{00000000-0005-0000-0000-00004CA40000}"/>
    <cellStyle name="Normal 4 3 4 4 3 3 3" xfId="39153" xr:uid="{00000000-0005-0000-0000-00004DA40000}"/>
    <cellStyle name="Normal 4 3 4 4 3 4" xfId="25207" xr:uid="{00000000-0005-0000-0000-00004EA40000}"/>
    <cellStyle name="Normal 4 3 4 4 3 4 2" xfId="44396" xr:uid="{00000000-0005-0000-0000-00004FA40000}"/>
    <cellStyle name="Normal 4 3 4 4 3 5" xfId="34698" xr:uid="{00000000-0005-0000-0000-000050A40000}"/>
    <cellStyle name="Normal 4 3 4 4 4" xfId="15388" xr:uid="{00000000-0005-0000-0000-000051A40000}"/>
    <cellStyle name="Normal 4 3 4 4 4 2" xfId="19852" xr:uid="{00000000-0005-0000-0000-000052A40000}"/>
    <cellStyle name="Normal 4 3 4 4 4 2 2" xfId="30220" xr:uid="{00000000-0005-0000-0000-000053A40000}"/>
    <cellStyle name="Normal 4 3 4 4 4 2 2 2" xfId="49409" xr:uid="{00000000-0005-0000-0000-000054A40000}"/>
    <cellStyle name="Normal 4 3 4 4 4 2 3" xfId="39711" xr:uid="{00000000-0005-0000-0000-000055A40000}"/>
    <cellStyle name="Normal 4 3 4 4 4 3" xfId="25765" xr:uid="{00000000-0005-0000-0000-000056A40000}"/>
    <cellStyle name="Normal 4 3 4 4 4 3 2" xfId="44954" xr:uid="{00000000-0005-0000-0000-000057A40000}"/>
    <cellStyle name="Normal 4 3 4 4 4 4" xfId="35256" xr:uid="{00000000-0005-0000-0000-000058A40000}"/>
    <cellStyle name="Normal 4 3 4 4 5" xfId="17058" xr:uid="{00000000-0005-0000-0000-000059A40000}"/>
    <cellStyle name="Normal 4 3 4 4 5 2" xfId="21522" xr:uid="{00000000-0005-0000-0000-00005AA40000}"/>
    <cellStyle name="Normal 4 3 4 4 5 2 2" xfId="31890" xr:uid="{00000000-0005-0000-0000-00005BA40000}"/>
    <cellStyle name="Normal 4 3 4 4 5 2 2 2" xfId="51079" xr:uid="{00000000-0005-0000-0000-00005CA40000}"/>
    <cellStyle name="Normal 4 3 4 4 5 2 3" xfId="41381" xr:uid="{00000000-0005-0000-0000-00005DA40000}"/>
    <cellStyle name="Normal 4 3 4 4 5 3" xfId="27435" xr:uid="{00000000-0005-0000-0000-00005EA40000}"/>
    <cellStyle name="Normal 4 3 4 4 5 3 2" xfId="46624" xr:uid="{00000000-0005-0000-0000-00005FA40000}"/>
    <cellStyle name="Normal 4 3 4 4 5 4" xfId="36926" xr:uid="{00000000-0005-0000-0000-000060A40000}"/>
    <cellStyle name="Normal 4 3 4 4 6" xfId="17624" xr:uid="{00000000-0005-0000-0000-000061A40000}"/>
    <cellStyle name="Normal 4 3 4 4 6 2" xfId="22079" xr:uid="{00000000-0005-0000-0000-000062A40000}"/>
    <cellStyle name="Normal 4 3 4 4 6 2 2" xfId="32447" xr:uid="{00000000-0005-0000-0000-000063A40000}"/>
    <cellStyle name="Normal 4 3 4 4 6 2 2 2" xfId="51636" xr:uid="{00000000-0005-0000-0000-000064A40000}"/>
    <cellStyle name="Normal 4 3 4 4 6 2 3" xfId="41938" xr:uid="{00000000-0005-0000-0000-000065A40000}"/>
    <cellStyle name="Normal 4 3 4 4 6 3" xfId="27992" xr:uid="{00000000-0005-0000-0000-000066A40000}"/>
    <cellStyle name="Normal 4 3 4 4 6 3 2" xfId="47181" xr:uid="{00000000-0005-0000-0000-000067A40000}"/>
    <cellStyle name="Normal 4 3 4 4 6 4" xfId="37483" xr:uid="{00000000-0005-0000-0000-000068A40000}"/>
    <cellStyle name="Normal 4 3 4 4 7" xfId="18181" xr:uid="{00000000-0005-0000-0000-000069A40000}"/>
    <cellStyle name="Normal 4 3 4 4 7 2" xfId="28549" xr:uid="{00000000-0005-0000-0000-00006AA40000}"/>
    <cellStyle name="Normal 4 3 4 4 7 2 2" xfId="47738" xr:uid="{00000000-0005-0000-0000-00006BA40000}"/>
    <cellStyle name="Normal 4 3 4 4 7 3" xfId="38040" xr:uid="{00000000-0005-0000-0000-00006CA40000}"/>
    <cellStyle name="Normal 4 3 4 4 8" xfId="24049" xr:uid="{00000000-0005-0000-0000-00006DA40000}"/>
    <cellStyle name="Normal 4 3 4 4 8 2" xfId="43283" xr:uid="{00000000-0005-0000-0000-00006EA40000}"/>
    <cellStyle name="Normal 4 3 4 4 9" xfId="33585" xr:uid="{00000000-0005-0000-0000-00006FA40000}"/>
    <cellStyle name="Normal 4 3 4 5" xfId="13816" xr:uid="{00000000-0005-0000-0000-000070A40000}"/>
    <cellStyle name="Normal 4 3 4 5 2" xfId="16080" xr:uid="{00000000-0005-0000-0000-000071A40000}"/>
    <cellStyle name="Normal 4 3 4 5 2 2" xfId="20544" xr:uid="{00000000-0005-0000-0000-000072A40000}"/>
    <cellStyle name="Normal 4 3 4 5 2 2 2" xfId="30912" xr:uid="{00000000-0005-0000-0000-000073A40000}"/>
    <cellStyle name="Normal 4 3 4 5 2 2 2 2" xfId="50101" xr:uid="{00000000-0005-0000-0000-000074A40000}"/>
    <cellStyle name="Normal 4 3 4 5 2 2 3" xfId="40403" xr:uid="{00000000-0005-0000-0000-000075A40000}"/>
    <cellStyle name="Normal 4 3 4 5 2 3" xfId="26457" xr:uid="{00000000-0005-0000-0000-000076A40000}"/>
    <cellStyle name="Normal 4 3 4 5 2 3 2" xfId="45646" xr:uid="{00000000-0005-0000-0000-000077A40000}"/>
    <cellStyle name="Normal 4 3 4 5 2 4" xfId="35948" xr:uid="{00000000-0005-0000-0000-000078A40000}"/>
    <cellStyle name="Normal 4 3 4 5 3" xfId="18316" xr:uid="{00000000-0005-0000-0000-000079A40000}"/>
    <cellStyle name="Normal 4 3 4 5 3 2" xfId="28684" xr:uid="{00000000-0005-0000-0000-00007AA40000}"/>
    <cellStyle name="Normal 4 3 4 5 3 2 2" xfId="47873" xr:uid="{00000000-0005-0000-0000-00007BA40000}"/>
    <cellStyle name="Normal 4 3 4 5 3 3" xfId="38175" xr:uid="{00000000-0005-0000-0000-00007CA40000}"/>
    <cellStyle name="Normal 4 3 4 5 4" xfId="24224" xr:uid="{00000000-0005-0000-0000-00007DA40000}"/>
    <cellStyle name="Normal 4 3 4 5 4 2" xfId="43418" xr:uid="{00000000-0005-0000-0000-00007EA40000}"/>
    <cellStyle name="Normal 4 3 4 5 5" xfId="33720" xr:uid="{00000000-0005-0000-0000-00007FA40000}"/>
    <cellStyle name="Normal 4 3 4 6" xfId="14395" xr:uid="{00000000-0005-0000-0000-000080A40000}"/>
    <cellStyle name="Normal 4 3 4 6 2" xfId="15524" xr:uid="{00000000-0005-0000-0000-000081A40000}"/>
    <cellStyle name="Normal 4 3 4 6 2 2" xfId="19988" xr:uid="{00000000-0005-0000-0000-000082A40000}"/>
    <cellStyle name="Normal 4 3 4 6 2 2 2" xfId="30356" xr:uid="{00000000-0005-0000-0000-000083A40000}"/>
    <cellStyle name="Normal 4 3 4 6 2 2 2 2" xfId="49545" xr:uid="{00000000-0005-0000-0000-000084A40000}"/>
    <cellStyle name="Normal 4 3 4 6 2 2 3" xfId="39847" xr:uid="{00000000-0005-0000-0000-000085A40000}"/>
    <cellStyle name="Normal 4 3 4 6 2 3" xfId="25901" xr:uid="{00000000-0005-0000-0000-000086A40000}"/>
    <cellStyle name="Normal 4 3 4 6 2 3 2" xfId="45090" xr:uid="{00000000-0005-0000-0000-000087A40000}"/>
    <cellStyle name="Normal 4 3 4 6 2 4" xfId="35392" xr:uid="{00000000-0005-0000-0000-000088A40000}"/>
    <cellStyle name="Normal 4 3 4 6 3" xfId="18873" xr:uid="{00000000-0005-0000-0000-000089A40000}"/>
    <cellStyle name="Normal 4 3 4 6 3 2" xfId="29241" xr:uid="{00000000-0005-0000-0000-00008AA40000}"/>
    <cellStyle name="Normal 4 3 4 6 3 2 2" xfId="48430" xr:uid="{00000000-0005-0000-0000-00008BA40000}"/>
    <cellStyle name="Normal 4 3 4 6 3 3" xfId="38732" xr:uid="{00000000-0005-0000-0000-00008CA40000}"/>
    <cellStyle name="Normal 4 3 4 6 4" xfId="24786" xr:uid="{00000000-0005-0000-0000-00008DA40000}"/>
    <cellStyle name="Normal 4 3 4 6 4 2" xfId="43975" xr:uid="{00000000-0005-0000-0000-00008EA40000}"/>
    <cellStyle name="Normal 4 3 4 6 5" xfId="34277" xr:uid="{00000000-0005-0000-0000-00008FA40000}"/>
    <cellStyle name="Normal 4 3 4 7" xfId="14967" xr:uid="{00000000-0005-0000-0000-000090A40000}"/>
    <cellStyle name="Normal 4 3 4 7 2" xfId="19431" xr:uid="{00000000-0005-0000-0000-000091A40000}"/>
    <cellStyle name="Normal 4 3 4 7 2 2" xfId="29799" xr:uid="{00000000-0005-0000-0000-000092A40000}"/>
    <cellStyle name="Normal 4 3 4 7 2 2 2" xfId="48988" xr:uid="{00000000-0005-0000-0000-000093A40000}"/>
    <cellStyle name="Normal 4 3 4 7 2 3" xfId="39290" xr:uid="{00000000-0005-0000-0000-000094A40000}"/>
    <cellStyle name="Normal 4 3 4 7 3" xfId="25344" xr:uid="{00000000-0005-0000-0000-000095A40000}"/>
    <cellStyle name="Normal 4 3 4 7 3 2" xfId="44533" xr:uid="{00000000-0005-0000-0000-000096A40000}"/>
    <cellStyle name="Normal 4 3 4 7 4" xfId="34835" xr:uid="{00000000-0005-0000-0000-000097A40000}"/>
    <cellStyle name="Normal 4 3 4 8" xfId="16637" xr:uid="{00000000-0005-0000-0000-000098A40000}"/>
    <cellStyle name="Normal 4 3 4 8 2" xfId="21101" xr:uid="{00000000-0005-0000-0000-000099A40000}"/>
    <cellStyle name="Normal 4 3 4 8 2 2" xfId="31469" xr:uid="{00000000-0005-0000-0000-00009AA40000}"/>
    <cellStyle name="Normal 4 3 4 8 2 2 2" xfId="50658" xr:uid="{00000000-0005-0000-0000-00009BA40000}"/>
    <cellStyle name="Normal 4 3 4 8 2 3" xfId="40960" xr:uid="{00000000-0005-0000-0000-00009CA40000}"/>
    <cellStyle name="Normal 4 3 4 8 3" xfId="27014" xr:uid="{00000000-0005-0000-0000-00009DA40000}"/>
    <cellStyle name="Normal 4 3 4 8 3 2" xfId="46203" xr:uid="{00000000-0005-0000-0000-00009EA40000}"/>
    <cellStyle name="Normal 4 3 4 8 4" xfId="36505" xr:uid="{00000000-0005-0000-0000-00009FA40000}"/>
    <cellStyle name="Normal 4 3 4 9" xfId="17203" xr:uid="{00000000-0005-0000-0000-0000A0A40000}"/>
    <cellStyle name="Normal 4 3 4 9 2" xfId="21658" xr:uid="{00000000-0005-0000-0000-0000A1A40000}"/>
    <cellStyle name="Normal 4 3 4 9 2 2" xfId="32026" xr:uid="{00000000-0005-0000-0000-0000A2A40000}"/>
    <cellStyle name="Normal 4 3 4 9 2 2 2" xfId="51215" xr:uid="{00000000-0005-0000-0000-0000A3A40000}"/>
    <cellStyle name="Normal 4 3 4 9 2 3" xfId="41517" xr:uid="{00000000-0005-0000-0000-0000A4A40000}"/>
    <cellStyle name="Normal 4 3 4 9 3" xfId="27571" xr:uid="{00000000-0005-0000-0000-0000A5A40000}"/>
    <cellStyle name="Normal 4 3 4 9 3 2" xfId="46760" xr:uid="{00000000-0005-0000-0000-0000A6A40000}"/>
    <cellStyle name="Normal 4 3 4 9 4" xfId="37062" xr:uid="{00000000-0005-0000-0000-0000A7A40000}"/>
    <cellStyle name="Normal 4 3 5" xfId="4585" xr:uid="{00000000-0005-0000-0000-0000A8A40000}"/>
    <cellStyle name="Normal 4 3 5 10" xfId="24050" xr:uid="{00000000-0005-0000-0000-0000A9A40000}"/>
    <cellStyle name="Normal 4 3 5 10 2" xfId="43284" xr:uid="{00000000-0005-0000-0000-0000AAA40000}"/>
    <cellStyle name="Normal 4 3 5 11" xfId="33586" xr:uid="{00000000-0005-0000-0000-0000ABA40000}"/>
    <cellStyle name="Normal 4 3 5 12" xfId="13338" xr:uid="{00000000-0005-0000-0000-0000ACA40000}"/>
    <cellStyle name="Normal 4 3 5 2" xfId="13339" xr:uid="{00000000-0005-0000-0000-0000ADA40000}"/>
    <cellStyle name="Normal 4 3 5 2 2" xfId="14239" xr:uid="{00000000-0005-0000-0000-0000AEA40000}"/>
    <cellStyle name="Normal 4 3 5 2 2 2" xfId="16503" xr:uid="{00000000-0005-0000-0000-0000AFA40000}"/>
    <cellStyle name="Normal 4 3 5 2 2 2 2" xfId="20967" xr:uid="{00000000-0005-0000-0000-0000B0A40000}"/>
    <cellStyle name="Normal 4 3 5 2 2 2 2 2" xfId="31335" xr:uid="{00000000-0005-0000-0000-0000B1A40000}"/>
    <cellStyle name="Normal 4 3 5 2 2 2 2 2 2" xfId="50524" xr:uid="{00000000-0005-0000-0000-0000B2A40000}"/>
    <cellStyle name="Normal 4 3 5 2 2 2 2 3" xfId="40826" xr:uid="{00000000-0005-0000-0000-0000B3A40000}"/>
    <cellStyle name="Normal 4 3 5 2 2 2 3" xfId="26880" xr:uid="{00000000-0005-0000-0000-0000B4A40000}"/>
    <cellStyle name="Normal 4 3 5 2 2 2 3 2" xfId="46069" xr:uid="{00000000-0005-0000-0000-0000B5A40000}"/>
    <cellStyle name="Normal 4 3 5 2 2 2 4" xfId="36371" xr:uid="{00000000-0005-0000-0000-0000B6A40000}"/>
    <cellStyle name="Normal 4 3 5 2 2 3" xfId="18739" xr:uid="{00000000-0005-0000-0000-0000B7A40000}"/>
    <cellStyle name="Normal 4 3 5 2 2 3 2" xfId="29107" xr:uid="{00000000-0005-0000-0000-0000B8A40000}"/>
    <cellStyle name="Normal 4 3 5 2 2 3 2 2" xfId="48296" xr:uid="{00000000-0005-0000-0000-0000B9A40000}"/>
    <cellStyle name="Normal 4 3 5 2 2 3 3" xfId="38598" xr:uid="{00000000-0005-0000-0000-0000BAA40000}"/>
    <cellStyle name="Normal 4 3 5 2 2 4" xfId="24647" xr:uid="{00000000-0005-0000-0000-0000BBA40000}"/>
    <cellStyle name="Normal 4 3 5 2 2 4 2" xfId="43841" xr:uid="{00000000-0005-0000-0000-0000BCA40000}"/>
    <cellStyle name="Normal 4 3 5 2 2 5" xfId="34143" xr:uid="{00000000-0005-0000-0000-0000BDA40000}"/>
    <cellStyle name="Normal 4 3 5 2 3" xfId="14818" xr:uid="{00000000-0005-0000-0000-0000BEA40000}"/>
    <cellStyle name="Normal 4 3 5 2 3 2" xfId="15947" xr:uid="{00000000-0005-0000-0000-0000BFA40000}"/>
    <cellStyle name="Normal 4 3 5 2 3 2 2" xfId="20411" xr:uid="{00000000-0005-0000-0000-0000C0A40000}"/>
    <cellStyle name="Normal 4 3 5 2 3 2 2 2" xfId="30779" xr:uid="{00000000-0005-0000-0000-0000C1A40000}"/>
    <cellStyle name="Normal 4 3 5 2 3 2 2 2 2" xfId="49968" xr:uid="{00000000-0005-0000-0000-0000C2A40000}"/>
    <cellStyle name="Normal 4 3 5 2 3 2 2 3" xfId="40270" xr:uid="{00000000-0005-0000-0000-0000C3A40000}"/>
    <cellStyle name="Normal 4 3 5 2 3 2 3" xfId="26324" xr:uid="{00000000-0005-0000-0000-0000C4A40000}"/>
    <cellStyle name="Normal 4 3 5 2 3 2 3 2" xfId="45513" xr:uid="{00000000-0005-0000-0000-0000C5A40000}"/>
    <cellStyle name="Normal 4 3 5 2 3 2 4" xfId="35815" xr:uid="{00000000-0005-0000-0000-0000C6A40000}"/>
    <cellStyle name="Normal 4 3 5 2 3 3" xfId="19296" xr:uid="{00000000-0005-0000-0000-0000C7A40000}"/>
    <cellStyle name="Normal 4 3 5 2 3 3 2" xfId="29664" xr:uid="{00000000-0005-0000-0000-0000C8A40000}"/>
    <cellStyle name="Normal 4 3 5 2 3 3 2 2" xfId="48853" xr:uid="{00000000-0005-0000-0000-0000C9A40000}"/>
    <cellStyle name="Normal 4 3 5 2 3 3 3" xfId="39155" xr:uid="{00000000-0005-0000-0000-0000CAA40000}"/>
    <cellStyle name="Normal 4 3 5 2 3 4" xfId="25209" xr:uid="{00000000-0005-0000-0000-0000CBA40000}"/>
    <cellStyle name="Normal 4 3 5 2 3 4 2" xfId="44398" xr:uid="{00000000-0005-0000-0000-0000CCA40000}"/>
    <cellStyle name="Normal 4 3 5 2 3 5" xfId="34700" xr:uid="{00000000-0005-0000-0000-0000CDA40000}"/>
    <cellStyle name="Normal 4 3 5 2 4" xfId="15390" xr:uid="{00000000-0005-0000-0000-0000CEA40000}"/>
    <cellStyle name="Normal 4 3 5 2 4 2" xfId="19854" xr:uid="{00000000-0005-0000-0000-0000CFA40000}"/>
    <cellStyle name="Normal 4 3 5 2 4 2 2" xfId="30222" xr:uid="{00000000-0005-0000-0000-0000D0A40000}"/>
    <cellStyle name="Normal 4 3 5 2 4 2 2 2" xfId="49411" xr:uid="{00000000-0005-0000-0000-0000D1A40000}"/>
    <cellStyle name="Normal 4 3 5 2 4 2 3" xfId="39713" xr:uid="{00000000-0005-0000-0000-0000D2A40000}"/>
    <cellStyle name="Normal 4 3 5 2 4 3" xfId="25767" xr:uid="{00000000-0005-0000-0000-0000D3A40000}"/>
    <cellStyle name="Normal 4 3 5 2 4 3 2" xfId="44956" xr:uid="{00000000-0005-0000-0000-0000D4A40000}"/>
    <cellStyle name="Normal 4 3 5 2 4 4" xfId="35258" xr:uid="{00000000-0005-0000-0000-0000D5A40000}"/>
    <cellStyle name="Normal 4 3 5 2 5" xfId="17060" xr:uid="{00000000-0005-0000-0000-0000D6A40000}"/>
    <cellStyle name="Normal 4 3 5 2 5 2" xfId="21524" xr:uid="{00000000-0005-0000-0000-0000D7A40000}"/>
    <cellStyle name="Normal 4 3 5 2 5 2 2" xfId="31892" xr:uid="{00000000-0005-0000-0000-0000D8A40000}"/>
    <cellStyle name="Normal 4 3 5 2 5 2 2 2" xfId="51081" xr:uid="{00000000-0005-0000-0000-0000D9A40000}"/>
    <cellStyle name="Normal 4 3 5 2 5 2 3" xfId="41383" xr:uid="{00000000-0005-0000-0000-0000DAA40000}"/>
    <cellStyle name="Normal 4 3 5 2 5 3" xfId="27437" xr:uid="{00000000-0005-0000-0000-0000DBA40000}"/>
    <cellStyle name="Normal 4 3 5 2 5 3 2" xfId="46626" xr:uid="{00000000-0005-0000-0000-0000DCA40000}"/>
    <cellStyle name="Normal 4 3 5 2 5 4" xfId="36928" xr:uid="{00000000-0005-0000-0000-0000DDA40000}"/>
    <cellStyle name="Normal 4 3 5 2 6" xfId="17626" xr:uid="{00000000-0005-0000-0000-0000DEA40000}"/>
    <cellStyle name="Normal 4 3 5 2 6 2" xfId="22081" xr:uid="{00000000-0005-0000-0000-0000DFA40000}"/>
    <cellStyle name="Normal 4 3 5 2 6 2 2" xfId="32449" xr:uid="{00000000-0005-0000-0000-0000E0A40000}"/>
    <cellStyle name="Normal 4 3 5 2 6 2 2 2" xfId="51638" xr:uid="{00000000-0005-0000-0000-0000E1A40000}"/>
    <cellStyle name="Normal 4 3 5 2 6 2 3" xfId="41940" xr:uid="{00000000-0005-0000-0000-0000E2A40000}"/>
    <cellStyle name="Normal 4 3 5 2 6 3" xfId="27994" xr:uid="{00000000-0005-0000-0000-0000E3A40000}"/>
    <cellStyle name="Normal 4 3 5 2 6 3 2" xfId="47183" xr:uid="{00000000-0005-0000-0000-0000E4A40000}"/>
    <cellStyle name="Normal 4 3 5 2 6 4" xfId="37485" xr:uid="{00000000-0005-0000-0000-0000E5A40000}"/>
    <cellStyle name="Normal 4 3 5 2 7" xfId="18183" xr:uid="{00000000-0005-0000-0000-0000E6A40000}"/>
    <cellStyle name="Normal 4 3 5 2 7 2" xfId="28551" xr:uid="{00000000-0005-0000-0000-0000E7A40000}"/>
    <cellStyle name="Normal 4 3 5 2 7 2 2" xfId="47740" xr:uid="{00000000-0005-0000-0000-0000E8A40000}"/>
    <cellStyle name="Normal 4 3 5 2 7 3" xfId="38042" xr:uid="{00000000-0005-0000-0000-0000E9A40000}"/>
    <cellStyle name="Normal 4 3 5 2 8" xfId="24051" xr:uid="{00000000-0005-0000-0000-0000EAA40000}"/>
    <cellStyle name="Normal 4 3 5 2 8 2" xfId="43285" xr:uid="{00000000-0005-0000-0000-0000EBA40000}"/>
    <cellStyle name="Normal 4 3 5 2 9" xfId="33587" xr:uid="{00000000-0005-0000-0000-0000ECA40000}"/>
    <cellStyle name="Normal 4 3 5 3" xfId="13340" xr:uid="{00000000-0005-0000-0000-0000EDA40000}"/>
    <cellStyle name="Normal 4 3 5 3 2" xfId="14240" xr:uid="{00000000-0005-0000-0000-0000EEA40000}"/>
    <cellStyle name="Normal 4 3 5 3 2 2" xfId="16504" xr:uid="{00000000-0005-0000-0000-0000EFA40000}"/>
    <cellStyle name="Normal 4 3 5 3 2 2 2" xfId="20968" xr:uid="{00000000-0005-0000-0000-0000F0A40000}"/>
    <cellStyle name="Normal 4 3 5 3 2 2 2 2" xfId="31336" xr:uid="{00000000-0005-0000-0000-0000F1A40000}"/>
    <cellStyle name="Normal 4 3 5 3 2 2 2 2 2" xfId="50525" xr:uid="{00000000-0005-0000-0000-0000F2A40000}"/>
    <cellStyle name="Normal 4 3 5 3 2 2 2 3" xfId="40827" xr:uid="{00000000-0005-0000-0000-0000F3A40000}"/>
    <cellStyle name="Normal 4 3 5 3 2 2 3" xfId="26881" xr:uid="{00000000-0005-0000-0000-0000F4A40000}"/>
    <cellStyle name="Normal 4 3 5 3 2 2 3 2" xfId="46070" xr:uid="{00000000-0005-0000-0000-0000F5A40000}"/>
    <cellStyle name="Normal 4 3 5 3 2 2 4" xfId="36372" xr:uid="{00000000-0005-0000-0000-0000F6A40000}"/>
    <cellStyle name="Normal 4 3 5 3 2 3" xfId="18740" xr:uid="{00000000-0005-0000-0000-0000F7A40000}"/>
    <cellStyle name="Normal 4 3 5 3 2 3 2" xfId="29108" xr:uid="{00000000-0005-0000-0000-0000F8A40000}"/>
    <cellStyle name="Normal 4 3 5 3 2 3 2 2" xfId="48297" xr:uid="{00000000-0005-0000-0000-0000F9A40000}"/>
    <cellStyle name="Normal 4 3 5 3 2 3 3" xfId="38599" xr:uid="{00000000-0005-0000-0000-0000FAA40000}"/>
    <cellStyle name="Normal 4 3 5 3 2 4" xfId="24648" xr:uid="{00000000-0005-0000-0000-0000FBA40000}"/>
    <cellStyle name="Normal 4 3 5 3 2 4 2" xfId="43842" xr:uid="{00000000-0005-0000-0000-0000FCA40000}"/>
    <cellStyle name="Normal 4 3 5 3 2 5" xfId="34144" xr:uid="{00000000-0005-0000-0000-0000FDA40000}"/>
    <cellStyle name="Normal 4 3 5 3 3" xfId="14819" xr:uid="{00000000-0005-0000-0000-0000FEA40000}"/>
    <cellStyle name="Normal 4 3 5 3 3 2" xfId="15948" xr:uid="{00000000-0005-0000-0000-0000FFA40000}"/>
    <cellStyle name="Normal 4 3 5 3 3 2 2" xfId="20412" xr:uid="{00000000-0005-0000-0000-000000A50000}"/>
    <cellStyle name="Normal 4 3 5 3 3 2 2 2" xfId="30780" xr:uid="{00000000-0005-0000-0000-000001A50000}"/>
    <cellStyle name="Normal 4 3 5 3 3 2 2 2 2" xfId="49969" xr:uid="{00000000-0005-0000-0000-000002A50000}"/>
    <cellStyle name="Normal 4 3 5 3 3 2 2 3" xfId="40271" xr:uid="{00000000-0005-0000-0000-000003A50000}"/>
    <cellStyle name="Normal 4 3 5 3 3 2 3" xfId="26325" xr:uid="{00000000-0005-0000-0000-000004A50000}"/>
    <cellStyle name="Normal 4 3 5 3 3 2 3 2" xfId="45514" xr:uid="{00000000-0005-0000-0000-000005A50000}"/>
    <cellStyle name="Normal 4 3 5 3 3 2 4" xfId="35816" xr:uid="{00000000-0005-0000-0000-000006A50000}"/>
    <cellStyle name="Normal 4 3 5 3 3 3" xfId="19297" xr:uid="{00000000-0005-0000-0000-000007A50000}"/>
    <cellStyle name="Normal 4 3 5 3 3 3 2" xfId="29665" xr:uid="{00000000-0005-0000-0000-000008A50000}"/>
    <cellStyle name="Normal 4 3 5 3 3 3 2 2" xfId="48854" xr:uid="{00000000-0005-0000-0000-000009A50000}"/>
    <cellStyle name="Normal 4 3 5 3 3 3 3" xfId="39156" xr:uid="{00000000-0005-0000-0000-00000AA50000}"/>
    <cellStyle name="Normal 4 3 5 3 3 4" xfId="25210" xr:uid="{00000000-0005-0000-0000-00000BA50000}"/>
    <cellStyle name="Normal 4 3 5 3 3 4 2" xfId="44399" xr:uid="{00000000-0005-0000-0000-00000CA50000}"/>
    <cellStyle name="Normal 4 3 5 3 3 5" xfId="34701" xr:uid="{00000000-0005-0000-0000-00000DA50000}"/>
    <cellStyle name="Normal 4 3 5 3 4" xfId="15391" xr:uid="{00000000-0005-0000-0000-00000EA50000}"/>
    <cellStyle name="Normal 4 3 5 3 4 2" xfId="19855" xr:uid="{00000000-0005-0000-0000-00000FA50000}"/>
    <cellStyle name="Normal 4 3 5 3 4 2 2" xfId="30223" xr:uid="{00000000-0005-0000-0000-000010A50000}"/>
    <cellStyle name="Normal 4 3 5 3 4 2 2 2" xfId="49412" xr:uid="{00000000-0005-0000-0000-000011A50000}"/>
    <cellStyle name="Normal 4 3 5 3 4 2 3" xfId="39714" xr:uid="{00000000-0005-0000-0000-000012A50000}"/>
    <cellStyle name="Normal 4 3 5 3 4 3" xfId="25768" xr:uid="{00000000-0005-0000-0000-000013A50000}"/>
    <cellStyle name="Normal 4 3 5 3 4 3 2" xfId="44957" xr:uid="{00000000-0005-0000-0000-000014A50000}"/>
    <cellStyle name="Normal 4 3 5 3 4 4" xfId="35259" xr:uid="{00000000-0005-0000-0000-000015A50000}"/>
    <cellStyle name="Normal 4 3 5 3 5" xfId="17061" xr:uid="{00000000-0005-0000-0000-000016A50000}"/>
    <cellStyle name="Normal 4 3 5 3 5 2" xfId="21525" xr:uid="{00000000-0005-0000-0000-000017A50000}"/>
    <cellStyle name="Normal 4 3 5 3 5 2 2" xfId="31893" xr:uid="{00000000-0005-0000-0000-000018A50000}"/>
    <cellStyle name="Normal 4 3 5 3 5 2 2 2" xfId="51082" xr:uid="{00000000-0005-0000-0000-000019A50000}"/>
    <cellStyle name="Normal 4 3 5 3 5 2 3" xfId="41384" xr:uid="{00000000-0005-0000-0000-00001AA50000}"/>
    <cellStyle name="Normal 4 3 5 3 5 3" xfId="27438" xr:uid="{00000000-0005-0000-0000-00001BA50000}"/>
    <cellStyle name="Normal 4 3 5 3 5 3 2" xfId="46627" xr:uid="{00000000-0005-0000-0000-00001CA50000}"/>
    <cellStyle name="Normal 4 3 5 3 5 4" xfId="36929" xr:uid="{00000000-0005-0000-0000-00001DA50000}"/>
    <cellStyle name="Normal 4 3 5 3 6" xfId="17627" xr:uid="{00000000-0005-0000-0000-00001EA50000}"/>
    <cellStyle name="Normal 4 3 5 3 6 2" xfId="22082" xr:uid="{00000000-0005-0000-0000-00001FA50000}"/>
    <cellStyle name="Normal 4 3 5 3 6 2 2" xfId="32450" xr:uid="{00000000-0005-0000-0000-000020A50000}"/>
    <cellStyle name="Normal 4 3 5 3 6 2 2 2" xfId="51639" xr:uid="{00000000-0005-0000-0000-000021A50000}"/>
    <cellStyle name="Normal 4 3 5 3 6 2 3" xfId="41941" xr:uid="{00000000-0005-0000-0000-000022A50000}"/>
    <cellStyle name="Normal 4 3 5 3 6 3" xfId="27995" xr:uid="{00000000-0005-0000-0000-000023A50000}"/>
    <cellStyle name="Normal 4 3 5 3 6 3 2" xfId="47184" xr:uid="{00000000-0005-0000-0000-000024A50000}"/>
    <cellStyle name="Normal 4 3 5 3 6 4" xfId="37486" xr:uid="{00000000-0005-0000-0000-000025A50000}"/>
    <cellStyle name="Normal 4 3 5 3 7" xfId="18184" xr:uid="{00000000-0005-0000-0000-000026A50000}"/>
    <cellStyle name="Normal 4 3 5 3 7 2" xfId="28552" xr:uid="{00000000-0005-0000-0000-000027A50000}"/>
    <cellStyle name="Normal 4 3 5 3 7 2 2" xfId="47741" xr:uid="{00000000-0005-0000-0000-000028A50000}"/>
    <cellStyle name="Normal 4 3 5 3 7 3" xfId="38043" xr:uid="{00000000-0005-0000-0000-000029A50000}"/>
    <cellStyle name="Normal 4 3 5 3 8" xfId="24052" xr:uid="{00000000-0005-0000-0000-00002AA50000}"/>
    <cellStyle name="Normal 4 3 5 3 8 2" xfId="43286" xr:uid="{00000000-0005-0000-0000-00002BA50000}"/>
    <cellStyle name="Normal 4 3 5 3 9" xfId="33588" xr:uid="{00000000-0005-0000-0000-00002CA50000}"/>
    <cellStyle name="Normal 4 3 5 4" xfId="14238" xr:uid="{00000000-0005-0000-0000-00002DA50000}"/>
    <cellStyle name="Normal 4 3 5 4 2" xfId="16502" xr:uid="{00000000-0005-0000-0000-00002EA50000}"/>
    <cellStyle name="Normal 4 3 5 4 2 2" xfId="20966" xr:uid="{00000000-0005-0000-0000-00002FA50000}"/>
    <cellStyle name="Normal 4 3 5 4 2 2 2" xfId="31334" xr:uid="{00000000-0005-0000-0000-000030A50000}"/>
    <cellStyle name="Normal 4 3 5 4 2 2 2 2" xfId="50523" xr:uid="{00000000-0005-0000-0000-000031A50000}"/>
    <cellStyle name="Normal 4 3 5 4 2 2 3" xfId="40825" xr:uid="{00000000-0005-0000-0000-000032A50000}"/>
    <cellStyle name="Normal 4 3 5 4 2 3" xfId="26879" xr:uid="{00000000-0005-0000-0000-000033A50000}"/>
    <cellStyle name="Normal 4 3 5 4 2 3 2" xfId="46068" xr:uid="{00000000-0005-0000-0000-000034A50000}"/>
    <cellStyle name="Normal 4 3 5 4 2 4" xfId="36370" xr:uid="{00000000-0005-0000-0000-000035A50000}"/>
    <cellStyle name="Normal 4 3 5 4 3" xfId="18738" xr:uid="{00000000-0005-0000-0000-000036A50000}"/>
    <cellStyle name="Normal 4 3 5 4 3 2" xfId="29106" xr:uid="{00000000-0005-0000-0000-000037A50000}"/>
    <cellStyle name="Normal 4 3 5 4 3 2 2" xfId="48295" xr:uid="{00000000-0005-0000-0000-000038A50000}"/>
    <cellStyle name="Normal 4 3 5 4 3 3" xfId="38597" xr:uid="{00000000-0005-0000-0000-000039A50000}"/>
    <cellStyle name="Normal 4 3 5 4 4" xfId="24646" xr:uid="{00000000-0005-0000-0000-00003AA50000}"/>
    <cellStyle name="Normal 4 3 5 4 4 2" xfId="43840" xr:uid="{00000000-0005-0000-0000-00003BA50000}"/>
    <cellStyle name="Normal 4 3 5 4 5" xfId="34142" xr:uid="{00000000-0005-0000-0000-00003CA50000}"/>
    <cellStyle name="Normal 4 3 5 5" xfId="14817" xr:uid="{00000000-0005-0000-0000-00003DA50000}"/>
    <cellStyle name="Normal 4 3 5 5 2" xfId="15946" xr:uid="{00000000-0005-0000-0000-00003EA50000}"/>
    <cellStyle name="Normal 4 3 5 5 2 2" xfId="20410" xr:uid="{00000000-0005-0000-0000-00003FA50000}"/>
    <cellStyle name="Normal 4 3 5 5 2 2 2" xfId="30778" xr:uid="{00000000-0005-0000-0000-000040A50000}"/>
    <cellStyle name="Normal 4 3 5 5 2 2 2 2" xfId="49967" xr:uid="{00000000-0005-0000-0000-000041A50000}"/>
    <cellStyle name="Normal 4 3 5 5 2 2 3" xfId="40269" xr:uid="{00000000-0005-0000-0000-000042A50000}"/>
    <cellStyle name="Normal 4 3 5 5 2 3" xfId="26323" xr:uid="{00000000-0005-0000-0000-000043A50000}"/>
    <cellStyle name="Normal 4 3 5 5 2 3 2" xfId="45512" xr:uid="{00000000-0005-0000-0000-000044A50000}"/>
    <cellStyle name="Normal 4 3 5 5 2 4" xfId="35814" xr:uid="{00000000-0005-0000-0000-000045A50000}"/>
    <cellStyle name="Normal 4 3 5 5 3" xfId="19295" xr:uid="{00000000-0005-0000-0000-000046A50000}"/>
    <cellStyle name="Normal 4 3 5 5 3 2" xfId="29663" xr:uid="{00000000-0005-0000-0000-000047A50000}"/>
    <cellStyle name="Normal 4 3 5 5 3 2 2" xfId="48852" xr:uid="{00000000-0005-0000-0000-000048A50000}"/>
    <cellStyle name="Normal 4 3 5 5 3 3" xfId="39154" xr:uid="{00000000-0005-0000-0000-000049A50000}"/>
    <cellStyle name="Normal 4 3 5 5 4" xfId="25208" xr:uid="{00000000-0005-0000-0000-00004AA50000}"/>
    <cellStyle name="Normal 4 3 5 5 4 2" xfId="44397" xr:uid="{00000000-0005-0000-0000-00004BA50000}"/>
    <cellStyle name="Normal 4 3 5 5 5" xfId="34699" xr:uid="{00000000-0005-0000-0000-00004CA50000}"/>
    <cellStyle name="Normal 4 3 5 6" xfId="15389" xr:uid="{00000000-0005-0000-0000-00004DA50000}"/>
    <cellStyle name="Normal 4 3 5 6 2" xfId="19853" xr:uid="{00000000-0005-0000-0000-00004EA50000}"/>
    <cellStyle name="Normal 4 3 5 6 2 2" xfId="30221" xr:uid="{00000000-0005-0000-0000-00004FA50000}"/>
    <cellStyle name="Normal 4 3 5 6 2 2 2" xfId="49410" xr:uid="{00000000-0005-0000-0000-000050A50000}"/>
    <cellStyle name="Normal 4 3 5 6 2 3" xfId="39712" xr:uid="{00000000-0005-0000-0000-000051A50000}"/>
    <cellStyle name="Normal 4 3 5 6 3" xfId="25766" xr:uid="{00000000-0005-0000-0000-000052A50000}"/>
    <cellStyle name="Normal 4 3 5 6 3 2" xfId="44955" xr:uid="{00000000-0005-0000-0000-000053A50000}"/>
    <cellStyle name="Normal 4 3 5 6 4" xfId="35257" xr:uid="{00000000-0005-0000-0000-000054A50000}"/>
    <cellStyle name="Normal 4 3 5 7" xfId="17059" xr:uid="{00000000-0005-0000-0000-000055A50000}"/>
    <cellStyle name="Normal 4 3 5 7 2" xfId="21523" xr:uid="{00000000-0005-0000-0000-000056A50000}"/>
    <cellStyle name="Normal 4 3 5 7 2 2" xfId="31891" xr:uid="{00000000-0005-0000-0000-000057A50000}"/>
    <cellStyle name="Normal 4 3 5 7 2 2 2" xfId="51080" xr:uid="{00000000-0005-0000-0000-000058A50000}"/>
    <cellStyle name="Normal 4 3 5 7 2 3" xfId="41382" xr:uid="{00000000-0005-0000-0000-000059A50000}"/>
    <cellStyle name="Normal 4 3 5 7 3" xfId="27436" xr:uid="{00000000-0005-0000-0000-00005AA50000}"/>
    <cellStyle name="Normal 4 3 5 7 3 2" xfId="46625" xr:uid="{00000000-0005-0000-0000-00005BA50000}"/>
    <cellStyle name="Normal 4 3 5 7 4" xfId="36927" xr:uid="{00000000-0005-0000-0000-00005CA50000}"/>
    <cellStyle name="Normal 4 3 5 8" xfId="17625" xr:uid="{00000000-0005-0000-0000-00005DA50000}"/>
    <cellStyle name="Normal 4 3 5 8 2" xfId="22080" xr:uid="{00000000-0005-0000-0000-00005EA50000}"/>
    <cellStyle name="Normal 4 3 5 8 2 2" xfId="32448" xr:uid="{00000000-0005-0000-0000-00005FA50000}"/>
    <cellStyle name="Normal 4 3 5 8 2 2 2" xfId="51637" xr:uid="{00000000-0005-0000-0000-000060A50000}"/>
    <cellStyle name="Normal 4 3 5 8 2 3" xfId="41939" xr:uid="{00000000-0005-0000-0000-000061A50000}"/>
    <cellStyle name="Normal 4 3 5 8 3" xfId="27993" xr:uid="{00000000-0005-0000-0000-000062A50000}"/>
    <cellStyle name="Normal 4 3 5 8 3 2" xfId="47182" xr:uid="{00000000-0005-0000-0000-000063A50000}"/>
    <cellStyle name="Normal 4 3 5 8 4" xfId="37484" xr:uid="{00000000-0005-0000-0000-000064A50000}"/>
    <cellStyle name="Normal 4 3 5 9" xfId="18182" xr:uid="{00000000-0005-0000-0000-000065A50000}"/>
    <cellStyle name="Normal 4 3 5 9 2" xfId="28550" xr:uid="{00000000-0005-0000-0000-000066A50000}"/>
    <cellStyle name="Normal 4 3 5 9 2 2" xfId="47739" xr:uid="{00000000-0005-0000-0000-000067A50000}"/>
    <cellStyle name="Normal 4 3 5 9 3" xfId="38041" xr:uid="{00000000-0005-0000-0000-000068A50000}"/>
    <cellStyle name="Normal 4 3 6" xfId="6147" xr:uid="{00000000-0005-0000-0000-000069A50000}"/>
    <cellStyle name="Normal 4 3 6 10" xfId="13341" xr:uid="{00000000-0005-0000-0000-00006AA50000}"/>
    <cellStyle name="Normal 4 3 6 2" xfId="14241" xr:uid="{00000000-0005-0000-0000-00006BA50000}"/>
    <cellStyle name="Normal 4 3 6 2 2" xfId="16505" xr:uid="{00000000-0005-0000-0000-00006CA50000}"/>
    <cellStyle name="Normal 4 3 6 2 2 2" xfId="20969" xr:uid="{00000000-0005-0000-0000-00006DA50000}"/>
    <cellStyle name="Normal 4 3 6 2 2 2 2" xfId="31337" xr:uid="{00000000-0005-0000-0000-00006EA50000}"/>
    <cellStyle name="Normal 4 3 6 2 2 2 2 2" xfId="50526" xr:uid="{00000000-0005-0000-0000-00006FA50000}"/>
    <cellStyle name="Normal 4 3 6 2 2 2 3" xfId="40828" xr:uid="{00000000-0005-0000-0000-000070A50000}"/>
    <cellStyle name="Normal 4 3 6 2 2 3" xfId="26882" xr:uid="{00000000-0005-0000-0000-000071A50000}"/>
    <cellStyle name="Normal 4 3 6 2 2 3 2" xfId="46071" xr:uid="{00000000-0005-0000-0000-000072A50000}"/>
    <cellStyle name="Normal 4 3 6 2 2 4" xfId="36373" xr:uid="{00000000-0005-0000-0000-000073A50000}"/>
    <cellStyle name="Normal 4 3 6 2 3" xfId="18741" xr:uid="{00000000-0005-0000-0000-000074A50000}"/>
    <cellStyle name="Normal 4 3 6 2 3 2" xfId="29109" xr:uid="{00000000-0005-0000-0000-000075A50000}"/>
    <cellStyle name="Normal 4 3 6 2 3 2 2" xfId="48298" xr:uid="{00000000-0005-0000-0000-000076A50000}"/>
    <cellStyle name="Normal 4 3 6 2 3 3" xfId="38600" xr:uid="{00000000-0005-0000-0000-000077A50000}"/>
    <cellStyle name="Normal 4 3 6 2 4" xfId="24649" xr:uid="{00000000-0005-0000-0000-000078A50000}"/>
    <cellStyle name="Normal 4 3 6 2 4 2" xfId="43843" xr:uid="{00000000-0005-0000-0000-000079A50000}"/>
    <cellStyle name="Normal 4 3 6 2 5" xfId="34145" xr:uid="{00000000-0005-0000-0000-00007AA50000}"/>
    <cellStyle name="Normal 4 3 6 3" xfId="14820" xr:uid="{00000000-0005-0000-0000-00007BA50000}"/>
    <cellStyle name="Normal 4 3 6 3 2" xfId="15949" xr:uid="{00000000-0005-0000-0000-00007CA50000}"/>
    <cellStyle name="Normal 4 3 6 3 2 2" xfId="20413" xr:uid="{00000000-0005-0000-0000-00007DA50000}"/>
    <cellStyle name="Normal 4 3 6 3 2 2 2" xfId="30781" xr:uid="{00000000-0005-0000-0000-00007EA50000}"/>
    <cellStyle name="Normal 4 3 6 3 2 2 2 2" xfId="49970" xr:uid="{00000000-0005-0000-0000-00007FA50000}"/>
    <cellStyle name="Normal 4 3 6 3 2 2 3" xfId="40272" xr:uid="{00000000-0005-0000-0000-000080A50000}"/>
    <cellStyle name="Normal 4 3 6 3 2 3" xfId="26326" xr:uid="{00000000-0005-0000-0000-000081A50000}"/>
    <cellStyle name="Normal 4 3 6 3 2 3 2" xfId="45515" xr:uid="{00000000-0005-0000-0000-000082A50000}"/>
    <cellStyle name="Normal 4 3 6 3 2 4" xfId="35817" xr:uid="{00000000-0005-0000-0000-000083A50000}"/>
    <cellStyle name="Normal 4 3 6 3 3" xfId="19298" xr:uid="{00000000-0005-0000-0000-000084A50000}"/>
    <cellStyle name="Normal 4 3 6 3 3 2" xfId="29666" xr:uid="{00000000-0005-0000-0000-000085A50000}"/>
    <cellStyle name="Normal 4 3 6 3 3 2 2" xfId="48855" xr:uid="{00000000-0005-0000-0000-000086A50000}"/>
    <cellStyle name="Normal 4 3 6 3 3 3" xfId="39157" xr:uid="{00000000-0005-0000-0000-000087A50000}"/>
    <cellStyle name="Normal 4 3 6 3 4" xfId="25211" xr:uid="{00000000-0005-0000-0000-000088A50000}"/>
    <cellStyle name="Normal 4 3 6 3 4 2" xfId="44400" xr:uid="{00000000-0005-0000-0000-000089A50000}"/>
    <cellStyle name="Normal 4 3 6 3 5" xfId="34702" xr:uid="{00000000-0005-0000-0000-00008AA50000}"/>
    <cellStyle name="Normal 4 3 6 4" xfId="15392" xr:uid="{00000000-0005-0000-0000-00008BA50000}"/>
    <cellStyle name="Normal 4 3 6 4 2" xfId="19856" xr:uid="{00000000-0005-0000-0000-00008CA50000}"/>
    <cellStyle name="Normal 4 3 6 4 2 2" xfId="30224" xr:uid="{00000000-0005-0000-0000-00008DA50000}"/>
    <cellStyle name="Normal 4 3 6 4 2 2 2" xfId="49413" xr:uid="{00000000-0005-0000-0000-00008EA50000}"/>
    <cellStyle name="Normal 4 3 6 4 2 3" xfId="39715" xr:uid="{00000000-0005-0000-0000-00008FA50000}"/>
    <cellStyle name="Normal 4 3 6 4 3" xfId="25769" xr:uid="{00000000-0005-0000-0000-000090A50000}"/>
    <cellStyle name="Normal 4 3 6 4 3 2" xfId="44958" xr:uid="{00000000-0005-0000-0000-000091A50000}"/>
    <cellStyle name="Normal 4 3 6 4 4" xfId="35260" xr:uid="{00000000-0005-0000-0000-000092A50000}"/>
    <cellStyle name="Normal 4 3 6 5" xfId="17062" xr:uid="{00000000-0005-0000-0000-000093A50000}"/>
    <cellStyle name="Normal 4 3 6 5 2" xfId="21526" xr:uid="{00000000-0005-0000-0000-000094A50000}"/>
    <cellStyle name="Normal 4 3 6 5 2 2" xfId="31894" xr:uid="{00000000-0005-0000-0000-000095A50000}"/>
    <cellStyle name="Normal 4 3 6 5 2 2 2" xfId="51083" xr:uid="{00000000-0005-0000-0000-000096A50000}"/>
    <cellStyle name="Normal 4 3 6 5 2 3" xfId="41385" xr:uid="{00000000-0005-0000-0000-000097A50000}"/>
    <cellStyle name="Normal 4 3 6 5 3" xfId="27439" xr:uid="{00000000-0005-0000-0000-000098A50000}"/>
    <cellStyle name="Normal 4 3 6 5 3 2" xfId="46628" xr:uid="{00000000-0005-0000-0000-000099A50000}"/>
    <cellStyle name="Normal 4 3 6 5 4" xfId="36930" xr:uid="{00000000-0005-0000-0000-00009AA50000}"/>
    <cellStyle name="Normal 4 3 6 6" xfId="17628" xr:uid="{00000000-0005-0000-0000-00009BA50000}"/>
    <cellStyle name="Normal 4 3 6 6 2" xfId="22083" xr:uid="{00000000-0005-0000-0000-00009CA50000}"/>
    <cellStyle name="Normal 4 3 6 6 2 2" xfId="32451" xr:uid="{00000000-0005-0000-0000-00009DA50000}"/>
    <cellStyle name="Normal 4 3 6 6 2 2 2" xfId="51640" xr:uid="{00000000-0005-0000-0000-00009EA50000}"/>
    <cellStyle name="Normal 4 3 6 6 2 3" xfId="41942" xr:uid="{00000000-0005-0000-0000-00009FA50000}"/>
    <cellStyle name="Normal 4 3 6 6 3" xfId="27996" xr:uid="{00000000-0005-0000-0000-0000A0A50000}"/>
    <cellStyle name="Normal 4 3 6 6 3 2" xfId="47185" xr:uid="{00000000-0005-0000-0000-0000A1A50000}"/>
    <cellStyle name="Normal 4 3 6 6 4" xfId="37487" xr:uid="{00000000-0005-0000-0000-0000A2A50000}"/>
    <cellStyle name="Normal 4 3 6 7" xfId="18185" xr:uid="{00000000-0005-0000-0000-0000A3A50000}"/>
    <cellStyle name="Normal 4 3 6 7 2" xfId="28553" xr:uid="{00000000-0005-0000-0000-0000A4A50000}"/>
    <cellStyle name="Normal 4 3 6 7 2 2" xfId="47742" xr:uid="{00000000-0005-0000-0000-0000A5A50000}"/>
    <cellStyle name="Normal 4 3 6 7 3" xfId="38044" xr:uid="{00000000-0005-0000-0000-0000A6A50000}"/>
    <cellStyle name="Normal 4 3 6 8" xfId="24053" xr:uid="{00000000-0005-0000-0000-0000A7A50000}"/>
    <cellStyle name="Normal 4 3 6 8 2" xfId="43287" xr:uid="{00000000-0005-0000-0000-0000A8A50000}"/>
    <cellStyle name="Normal 4 3 6 9" xfId="33589" xr:uid="{00000000-0005-0000-0000-0000A9A50000}"/>
    <cellStyle name="Normal 4 3 7" xfId="13342" xr:uid="{00000000-0005-0000-0000-0000AAA50000}"/>
    <cellStyle name="Normal 4 3 7 2" xfId="14242" xr:uid="{00000000-0005-0000-0000-0000ABA50000}"/>
    <cellStyle name="Normal 4 3 7 2 2" xfId="16506" xr:uid="{00000000-0005-0000-0000-0000ACA50000}"/>
    <cellStyle name="Normal 4 3 7 2 2 2" xfId="20970" xr:uid="{00000000-0005-0000-0000-0000ADA50000}"/>
    <cellStyle name="Normal 4 3 7 2 2 2 2" xfId="31338" xr:uid="{00000000-0005-0000-0000-0000AEA50000}"/>
    <cellStyle name="Normal 4 3 7 2 2 2 2 2" xfId="50527" xr:uid="{00000000-0005-0000-0000-0000AFA50000}"/>
    <cellStyle name="Normal 4 3 7 2 2 2 3" xfId="40829" xr:uid="{00000000-0005-0000-0000-0000B0A50000}"/>
    <cellStyle name="Normal 4 3 7 2 2 3" xfId="26883" xr:uid="{00000000-0005-0000-0000-0000B1A50000}"/>
    <cellStyle name="Normal 4 3 7 2 2 3 2" xfId="46072" xr:uid="{00000000-0005-0000-0000-0000B2A50000}"/>
    <cellStyle name="Normal 4 3 7 2 2 4" xfId="36374" xr:uid="{00000000-0005-0000-0000-0000B3A50000}"/>
    <cellStyle name="Normal 4 3 7 2 3" xfId="18742" xr:uid="{00000000-0005-0000-0000-0000B4A50000}"/>
    <cellStyle name="Normal 4 3 7 2 3 2" xfId="29110" xr:uid="{00000000-0005-0000-0000-0000B5A50000}"/>
    <cellStyle name="Normal 4 3 7 2 3 2 2" xfId="48299" xr:uid="{00000000-0005-0000-0000-0000B6A50000}"/>
    <cellStyle name="Normal 4 3 7 2 3 3" xfId="38601" xr:uid="{00000000-0005-0000-0000-0000B7A50000}"/>
    <cellStyle name="Normal 4 3 7 2 4" xfId="24650" xr:uid="{00000000-0005-0000-0000-0000B8A50000}"/>
    <cellStyle name="Normal 4 3 7 2 4 2" xfId="43844" xr:uid="{00000000-0005-0000-0000-0000B9A50000}"/>
    <cellStyle name="Normal 4 3 7 2 5" xfId="34146" xr:uid="{00000000-0005-0000-0000-0000BAA50000}"/>
    <cellStyle name="Normal 4 3 7 3" xfId="14821" xr:uid="{00000000-0005-0000-0000-0000BBA50000}"/>
    <cellStyle name="Normal 4 3 7 3 2" xfId="15950" xr:uid="{00000000-0005-0000-0000-0000BCA50000}"/>
    <cellStyle name="Normal 4 3 7 3 2 2" xfId="20414" xr:uid="{00000000-0005-0000-0000-0000BDA50000}"/>
    <cellStyle name="Normal 4 3 7 3 2 2 2" xfId="30782" xr:uid="{00000000-0005-0000-0000-0000BEA50000}"/>
    <cellStyle name="Normal 4 3 7 3 2 2 2 2" xfId="49971" xr:uid="{00000000-0005-0000-0000-0000BFA50000}"/>
    <cellStyle name="Normal 4 3 7 3 2 2 3" xfId="40273" xr:uid="{00000000-0005-0000-0000-0000C0A50000}"/>
    <cellStyle name="Normal 4 3 7 3 2 3" xfId="26327" xr:uid="{00000000-0005-0000-0000-0000C1A50000}"/>
    <cellStyle name="Normal 4 3 7 3 2 3 2" xfId="45516" xr:uid="{00000000-0005-0000-0000-0000C2A50000}"/>
    <cellStyle name="Normal 4 3 7 3 2 4" xfId="35818" xr:uid="{00000000-0005-0000-0000-0000C3A50000}"/>
    <cellStyle name="Normal 4 3 7 3 3" xfId="19299" xr:uid="{00000000-0005-0000-0000-0000C4A50000}"/>
    <cellStyle name="Normal 4 3 7 3 3 2" xfId="29667" xr:uid="{00000000-0005-0000-0000-0000C5A50000}"/>
    <cellStyle name="Normal 4 3 7 3 3 2 2" xfId="48856" xr:uid="{00000000-0005-0000-0000-0000C6A50000}"/>
    <cellStyle name="Normal 4 3 7 3 3 3" xfId="39158" xr:uid="{00000000-0005-0000-0000-0000C7A50000}"/>
    <cellStyle name="Normal 4 3 7 3 4" xfId="25212" xr:uid="{00000000-0005-0000-0000-0000C8A50000}"/>
    <cellStyle name="Normal 4 3 7 3 4 2" xfId="44401" xr:uid="{00000000-0005-0000-0000-0000C9A50000}"/>
    <cellStyle name="Normal 4 3 7 3 5" xfId="34703" xr:uid="{00000000-0005-0000-0000-0000CAA50000}"/>
    <cellStyle name="Normal 4 3 7 4" xfId="15393" xr:uid="{00000000-0005-0000-0000-0000CBA50000}"/>
    <cellStyle name="Normal 4 3 7 4 2" xfId="19857" xr:uid="{00000000-0005-0000-0000-0000CCA50000}"/>
    <cellStyle name="Normal 4 3 7 4 2 2" xfId="30225" xr:uid="{00000000-0005-0000-0000-0000CDA50000}"/>
    <cellStyle name="Normal 4 3 7 4 2 2 2" xfId="49414" xr:uid="{00000000-0005-0000-0000-0000CEA50000}"/>
    <cellStyle name="Normal 4 3 7 4 2 3" xfId="39716" xr:uid="{00000000-0005-0000-0000-0000CFA50000}"/>
    <cellStyle name="Normal 4 3 7 4 3" xfId="25770" xr:uid="{00000000-0005-0000-0000-0000D0A50000}"/>
    <cellStyle name="Normal 4 3 7 4 3 2" xfId="44959" xr:uid="{00000000-0005-0000-0000-0000D1A50000}"/>
    <cellStyle name="Normal 4 3 7 4 4" xfId="35261" xr:uid="{00000000-0005-0000-0000-0000D2A50000}"/>
    <cellStyle name="Normal 4 3 7 5" xfId="17063" xr:uid="{00000000-0005-0000-0000-0000D3A50000}"/>
    <cellStyle name="Normal 4 3 7 5 2" xfId="21527" xr:uid="{00000000-0005-0000-0000-0000D4A50000}"/>
    <cellStyle name="Normal 4 3 7 5 2 2" xfId="31895" xr:uid="{00000000-0005-0000-0000-0000D5A50000}"/>
    <cellStyle name="Normal 4 3 7 5 2 2 2" xfId="51084" xr:uid="{00000000-0005-0000-0000-0000D6A50000}"/>
    <cellStyle name="Normal 4 3 7 5 2 3" xfId="41386" xr:uid="{00000000-0005-0000-0000-0000D7A50000}"/>
    <cellStyle name="Normal 4 3 7 5 3" xfId="27440" xr:uid="{00000000-0005-0000-0000-0000D8A50000}"/>
    <cellStyle name="Normal 4 3 7 5 3 2" xfId="46629" xr:uid="{00000000-0005-0000-0000-0000D9A50000}"/>
    <cellStyle name="Normal 4 3 7 5 4" xfId="36931" xr:uid="{00000000-0005-0000-0000-0000DAA50000}"/>
    <cellStyle name="Normal 4 3 7 6" xfId="17629" xr:uid="{00000000-0005-0000-0000-0000DBA50000}"/>
    <cellStyle name="Normal 4 3 7 6 2" xfId="22084" xr:uid="{00000000-0005-0000-0000-0000DCA50000}"/>
    <cellStyle name="Normal 4 3 7 6 2 2" xfId="32452" xr:uid="{00000000-0005-0000-0000-0000DDA50000}"/>
    <cellStyle name="Normal 4 3 7 6 2 2 2" xfId="51641" xr:uid="{00000000-0005-0000-0000-0000DEA50000}"/>
    <cellStyle name="Normal 4 3 7 6 2 3" xfId="41943" xr:uid="{00000000-0005-0000-0000-0000DFA50000}"/>
    <cellStyle name="Normal 4 3 7 6 3" xfId="27997" xr:uid="{00000000-0005-0000-0000-0000E0A50000}"/>
    <cellStyle name="Normal 4 3 7 6 3 2" xfId="47186" xr:uid="{00000000-0005-0000-0000-0000E1A50000}"/>
    <cellStyle name="Normal 4 3 7 6 4" xfId="37488" xr:uid="{00000000-0005-0000-0000-0000E2A50000}"/>
    <cellStyle name="Normal 4 3 7 7" xfId="18186" xr:uid="{00000000-0005-0000-0000-0000E3A50000}"/>
    <cellStyle name="Normal 4 3 7 7 2" xfId="28554" xr:uid="{00000000-0005-0000-0000-0000E4A50000}"/>
    <cellStyle name="Normal 4 3 7 7 2 2" xfId="47743" xr:uid="{00000000-0005-0000-0000-0000E5A50000}"/>
    <cellStyle name="Normal 4 3 7 7 3" xfId="38045" xr:uid="{00000000-0005-0000-0000-0000E6A50000}"/>
    <cellStyle name="Normal 4 3 7 8" xfId="24054" xr:uid="{00000000-0005-0000-0000-0000E7A50000}"/>
    <cellStyle name="Normal 4 3 7 8 2" xfId="43288" xr:uid="{00000000-0005-0000-0000-0000E8A50000}"/>
    <cellStyle name="Normal 4 3 7 9" xfId="33590" xr:uid="{00000000-0005-0000-0000-0000E9A50000}"/>
    <cellStyle name="Normal 4 3 8" xfId="13343" xr:uid="{00000000-0005-0000-0000-0000EAA50000}"/>
    <cellStyle name="Normal 4 3 8 2" xfId="14243" xr:uid="{00000000-0005-0000-0000-0000EBA50000}"/>
    <cellStyle name="Normal 4 3 8 2 2" xfId="16507" xr:uid="{00000000-0005-0000-0000-0000ECA50000}"/>
    <cellStyle name="Normal 4 3 8 2 2 2" xfId="20971" xr:uid="{00000000-0005-0000-0000-0000EDA50000}"/>
    <cellStyle name="Normal 4 3 8 2 2 2 2" xfId="31339" xr:uid="{00000000-0005-0000-0000-0000EEA50000}"/>
    <cellStyle name="Normal 4 3 8 2 2 2 2 2" xfId="50528" xr:uid="{00000000-0005-0000-0000-0000EFA50000}"/>
    <cellStyle name="Normal 4 3 8 2 2 2 3" xfId="40830" xr:uid="{00000000-0005-0000-0000-0000F0A50000}"/>
    <cellStyle name="Normal 4 3 8 2 2 3" xfId="26884" xr:uid="{00000000-0005-0000-0000-0000F1A50000}"/>
    <cellStyle name="Normal 4 3 8 2 2 3 2" xfId="46073" xr:uid="{00000000-0005-0000-0000-0000F2A50000}"/>
    <cellStyle name="Normal 4 3 8 2 2 4" xfId="36375" xr:uid="{00000000-0005-0000-0000-0000F3A50000}"/>
    <cellStyle name="Normal 4 3 8 2 3" xfId="18743" xr:uid="{00000000-0005-0000-0000-0000F4A50000}"/>
    <cellStyle name="Normal 4 3 8 2 3 2" xfId="29111" xr:uid="{00000000-0005-0000-0000-0000F5A50000}"/>
    <cellStyle name="Normal 4 3 8 2 3 2 2" xfId="48300" xr:uid="{00000000-0005-0000-0000-0000F6A50000}"/>
    <cellStyle name="Normal 4 3 8 2 3 3" xfId="38602" xr:uid="{00000000-0005-0000-0000-0000F7A50000}"/>
    <cellStyle name="Normal 4 3 8 2 4" xfId="24651" xr:uid="{00000000-0005-0000-0000-0000F8A50000}"/>
    <cellStyle name="Normal 4 3 8 2 4 2" xfId="43845" xr:uid="{00000000-0005-0000-0000-0000F9A50000}"/>
    <cellStyle name="Normal 4 3 8 2 5" xfId="34147" xr:uid="{00000000-0005-0000-0000-0000FAA50000}"/>
    <cellStyle name="Normal 4 3 8 3" xfId="14822" xr:uid="{00000000-0005-0000-0000-0000FBA50000}"/>
    <cellStyle name="Normal 4 3 8 3 2" xfId="15951" xr:uid="{00000000-0005-0000-0000-0000FCA50000}"/>
    <cellStyle name="Normal 4 3 8 3 2 2" xfId="20415" xr:uid="{00000000-0005-0000-0000-0000FDA50000}"/>
    <cellStyle name="Normal 4 3 8 3 2 2 2" xfId="30783" xr:uid="{00000000-0005-0000-0000-0000FEA50000}"/>
    <cellStyle name="Normal 4 3 8 3 2 2 2 2" xfId="49972" xr:uid="{00000000-0005-0000-0000-0000FFA50000}"/>
    <cellStyle name="Normal 4 3 8 3 2 2 3" xfId="40274" xr:uid="{00000000-0005-0000-0000-000000A60000}"/>
    <cellStyle name="Normal 4 3 8 3 2 3" xfId="26328" xr:uid="{00000000-0005-0000-0000-000001A60000}"/>
    <cellStyle name="Normal 4 3 8 3 2 3 2" xfId="45517" xr:uid="{00000000-0005-0000-0000-000002A60000}"/>
    <cellStyle name="Normal 4 3 8 3 2 4" xfId="35819" xr:uid="{00000000-0005-0000-0000-000003A60000}"/>
    <cellStyle name="Normal 4 3 8 3 3" xfId="19300" xr:uid="{00000000-0005-0000-0000-000004A60000}"/>
    <cellStyle name="Normal 4 3 8 3 3 2" xfId="29668" xr:uid="{00000000-0005-0000-0000-000005A60000}"/>
    <cellStyle name="Normal 4 3 8 3 3 2 2" xfId="48857" xr:uid="{00000000-0005-0000-0000-000006A60000}"/>
    <cellStyle name="Normal 4 3 8 3 3 3" xfId="39159" xr:uid="{00000000-0005-0000-0000-000007A60000}"/>
    <cellStyle name="Normal 4 3 8 3 4" xfId="25213" xr:uid="{00000000-0005-0000-0000-000008A60000}"/>
    <cellStyle name="Normal 4 3 8 3 4 2" xfId="44402" xr:uid="{00000000-0005-0000-0000-000009A60000}"/>
    <cellStyle name="Normal 4 3 8 3 5" xfId="34704" xr:uid="{00000000-0005-0000-0000-00000AA60000}"/>
    <cellStyle name="Normal 4 3 8 4" xfId="15394" xr:uid="{00000000-0005-0000-0000-00000BA60000}"/>
    <cellStyle name="Normal 4 3 8 4 2" xfId="19858" xr:uid="{00000000-0005-0000-0000-00000CA60000}"/>
    <cellStyle name="Normal 4 3 8 4 2 2" xfId="30226" xr:uid="{00000000-0005-0000-0000-00000DA60000}"/>
    <cellStyle name="Normal 4 3 8 4 2 2 2" xfId="49415" xr:uid="{00000000-0005-0000-0000-00000EA60000}"/>
    <cellStyle name="Normal 4 3 8 4 2 3" xfId="39717" xr:uid="{00000000-0005-0000-0000-00000FA60000}"/>
    <cellStyle name="Normal 4 3 8 4 3" xfId="25771" xr:uid="{00000000-0005-0000-0000-000010A60000}"/>
    <cellStyle name="Normal 4 3 8 4 3 2" xfId="44960" xr:uid="{00000000-0005-0000-0000-000011A60000}"/>
    <cellStyle name="Normal 4 3 8 4 4" xfId="35262" xr:uid="{00000000-0005-0000-0000-000012A60000}"/>
    <cellStyle name="Normal 4 3 8 5" xfId="17064" xr:uid="{00000000-0005-0000-0000-000013A60000}"/>
    <cellStyle name="Normal 4 3 8 5 2" xfId="21528" xr:uid="{00000000-0005-0000-0000-000014A60000}"/>
    <cellStyle name="Normal 4 3 8 5 2 2" xfId="31896" xr:uid="{00000000-0005-0000-0000-000015A60000}"/>
    <cellStyle name="Normal 4 3 8 5 2 2 2" xfId="51085" xr:uid="{00000000-0005-0000-0000-000016A60000}"/>
    <cellStyle name="Normal 4 3 8 5 2 3" xfId="41387" xr:uid="{00000000-0005-0000-0000-000017A60000}"/>
    <cellStyle name="Normal 4 3 8 5 3" xfId="27441" xr:uid="{00000000-0005-0000-0000-000018A60000}"/>
    <cellStyle name="Normal 4 3 8 5 3 2" xfId="46630" xr:uid="{00000000-0005-0000-0000-000019A60000}"/>
    <cellStyle name="Normal 4 3 8 5 4" xfId="36932" xr:uid="{00000000-0005-0000-0000-00001AA60000}"/>
    <cellStyle name="Normal 4 3 8 6" xfId="17630" xr:uid="{00000000-0005-0000-0000-00001BA60000}"/>
    <cellStyle name="Normal 4 3 8 6 2" xfId="22085" xr:uid="{00000000-0005-0000-0000-00001CA60000}"/>
    <cellStyle name="Normal 4 3 8 6 2 2" xfId="32453" xr:uid="{00000000-0005-0000-0000-00001DA60000}"/>
    <cellStyle name="Normal 4 3 8 6 2 2 2" xfId="51642" xr:uid="{00000000-0005-0000-0000-00001EA60000}"/>
    <cellStyle name="Normal 4 3 8 6 2 3" xfId="41944" xr:uid="{00000000-0005-0000-0000-00001FA60000}"/>
    <cellStyle name="Normal 4 3 8 6 3" xfId="27998" xr:uid="{00000000-0005-0000-0000-000020A60000}"/>
    <cellStyle name="Normal 4 3 8 6 3 2" xfId="47187" xr:uid="{00000000-0005-0000-0000-000021A60000}"/>
    <cellStyle name="Normal 4 3 8 6 4" xfId="37489" xr:uid="{00000000-0005-0000-0000-000022A60000}"/>
    <cellStyle name="Normal 4 3 8 7" xfId="18187" xr:uid="{00000000-0005-0000-0000-000023A60000}"/>
    <cellStyle name="Normal 4 3 8 7 2" xfId="28555" xr:uid="{00000000-0005-0000-0000-000024A60000}"/>
    <cellStyle name="Normal 4 3 8 7 2 2" xfId="47744" xr:uid="{00000000-0005-0000-0000-000025A60000}"/>
    <cellStyle name="Normal 4 3 8 7 3" xfId="38046" xr:uid="{00000000-0005-0000-0000-000026A60000}"/>
    <cellStyle name="Normal 4 3 8 8" xfId="24055" xr:uid="{00000000-0005-0000-0000-000027A60000}"/>
    <cellStyle name="Normal 4 3 8 8 2" xfId="43289" xr:uid="{00000000-0005-0000-0000-000028A60000}"/>
    <cellStyle name="Normal 4 3 8 9" xfId="33591" xr:uid="{00000000-0005-0000-0000-000029A60000}"/>
    <cellStyle name="Normal 4 3 9" xfId="22594" xr:uid="{00000000-0005-0000-0000-00002AA60000}"/>
    <cellStyle name="Normal 4 3 9 2" xfId="32689" xr:uid="{00000000-0005-0000-0000-00002BA60000}"/>
    <cellStyle name="Normal 4 3 9 2 2" xfId="51876" xr:uid="{00000000-0005-0000-0000-00002CA60000}"/>
    <cellStyle name="Normal 4 3 9 3" xfId="42178" xr:uid="{00000000-0005-0000-0000-00002DA60000}"/>
    <cellStyle name="Normal 4 30" xfId="4593" xr:uid="{00000000-0005-0000-0000-00002EA60000}"/>
    <cellStyle name="Normal 4 30 2" xfId="4594" xr:uid="{00000000-0005-0000-0000-00002FA60000}"/>
    <cellStyle name="Normal 4 31" xfId="4595" xr:uid="{00000000-0005-0000-0000-000030A60000}"/>
    <cellStyle name="Normal 4 31 2" xfId="4596" xr:uid="{00000000-0005-0000-0000-000031A60000}"/>
    <cellStyle name="Normal 4 32" xfId="4597" xr:uid="{00000000-0005-0000-0000-000032A60000}"/>
    <cellStyle name="Normal 4 32 2" xfId="4598" xr:uid="{00000000-0005-0000-0000-000033A60000}"/>
    <cellStyle name="Normal 4 33" xfId="4599" xr:uid="{00000000-0005-0000-0000-000034A60000}"/>
    <cellStyle name="Normal 4 33 2" xfId="4600" xr:uid="{00000000-0005-0000-0000-000035A60000}"/>
    <cellStyle name="Normal 4 34" xfId="4601" xr:uid="{00000000-0005-0000-0000-000036A60000}"/>
    <cellStyle name="Normal 4 35" xfId="4602" xr:uid="{00000000-0005-0000-0000-000037A60000}"/>
    <cellStyle name="Normal 4 36" xfId="4603" xr:uid="{00000000-0005-0000-0000-000038A60000}"/>
    <cellStyle name="Normal 4 37" xfId="4604" xr:uid="{00000000-0005-0000-0000-000039A60000}"/>
    <cellStyle name="Normal 4 38" xfId="4605" xr:uid="{00000000-0005-0000-0000-00003AA60000}"/>
    <cellStyle name="Normal 4 39" xfId="4606" xr:uid="{00000000-0005-0000-0000-00003BA60000}"/>
    <cellStyle name="Normal 4 4" xfId="1198" xr:uid="{00000000-0005-0000-0000-00003CA60000}"/>
    <cellStyle name="Normal 4 4 10" xfId="52573" xr:uid="{00000000-0005-0000-0000-00003DA60000}"/>
    <cellStyle name="Normal 4 4 11" xfId="12060" xr:uid="{00000000-0005-0000-0000-00003EA60000}"/>
    <cellStyle name="Normal 4 4 2" xfId="4608" xr:uid="{00000000-0005-0000-0000-00003FA60000}"/>
    <cellStyle name="Normal 4 4 2 10" xfId="18188" xr:uid="{00000000-0005-0000-0000-000040A60000}"/>
    <cellStyle name="Normal 4 4 2 10 2" xfId="28556" xr:uid="{00000000-0005-0000-0000-000041A60000}"/>
    <cellStyle name="Normal 4 4 2 10 2 2" xfId="47745" xr:uid="{00000000-0005-0000-0000-000042A60000}"/>
    <cellStyle name="Normal 4 4 2 10 3" xfId="38047" xr:uid="{00000000-0005-0000-0000-000043A60000}"/>
    <cellStyle name="Normal 4 4 2 11" xfId="24056" xr:uid="{00000000-0005-0000-0000-000044A60000}"/>
    <cellStyle name="Normal 4 4 2 11 2" xfId="43290" xr:uid="{00000000-0005-0000-0000-000045A60000}"/>
    <cellStyle name="Normal 4 4 2 12" xfId="33592" xr:uid="{00000000-0005-0000-0000-000046A60000}"/>
    <cellStyle name="Normal 4 4 2 13" xfId="52773" xr:uid="{00000000-0005-0000-0000-000047A60000}"/>
    <cellStyle name="Normal 4 4 2 14" xfId="13344" xr:uid="{00000000-0005-0000-0000-000048A60000}"/>
    <cellStyle name="Normal 4 4 2 2" xfId="13345" xr:uid="{00000000-0005-0000-0000-000049A60000}"/>
    <cellStyle name="Normal 4 4 2 2 10" xfId="24057" xr:uid="{00000000-0005-0000-0000-00004AA60000}"/>
    <cellStyle name="Normal 4 4 2 2 10 2" xfId="43291" xr:uid="{00000000-0005-0000-0000-00004BA60000}"/>
    <cellStyle name="Normal 4 4 2 2 11" xfId="33593" xr:uid="{00000000-0005-0000-0000-00004CA60000}"/>
    <cellStyle name="Normal 4 4 2 2 12" xfId="53201" xr:uid="{00000000-0005-0000-0000-00004DA60000}"/>
    <cellStyle name="Normal 4 4 2 2 2" xfId="13346" xr:uid="{00000000-0005-0000-0000-00004EA60000}"/>
    <cellStyle name="Normal 4 4 2 2 2 10" xfId="54054" xr:uid="{00000000-0005-0000-0000-00004FA60000}"/>
    <cellStyle name="Normal 4 4 2 2 2 2" xfId="14246" xr:uid="{00000000-0005-0000-0000-000050A60000}"/>
    <cellStyle name="Normal 4 4 2 2 2 2 2" xfId="16510" xr:uid="{00000000-0005-0000-0000-000051A60000}"/>
    <cellStyle name="Normal 4 4 2 2 2 2 2 2" xfId="20974" xr:uid="{00000000-0005-0000-0000-000052A60000}"/>
    <cellStyle name="Normal 4 4 2 2 2 2 2 2 2" xfId="31342" xr:uid="{00000000-0005-0000-0000-000053A60000}"/>
    <cellStyle name="Normal 4 4 2 2 2 2 2 2 2 2" xfId="50531" xr:uid="{00000000-0005-0000-0000-000054A60000}"/>
    <cellStyle name="Normal 4 4 2 2 2 2 2 2 3" xfId="40833" xr:uid="{00000000-0005-0000-0000-000055A60000}"/>
    <cellStyle name="Normal 4 4 2 2 2 2 2 3" xfId="26887" xr:uid="{00000000-0005-0000-0000-000056A60000}"/>
    <cellStyle name="Normal 4 4 2 2 2 2 2 3 2" xfId="46076" xr:uid="{00000000-0005-0000-0000-000057A60000}"/>
    <cellStyle name="Normal 4 4 2 2 2 2 2 4" xfId="36378" xr:uid="{00000000-0005-0000-0000-000058A60000}"/>
    <cellStyle name="Normal 4 4 2 2 2 2 3" xfId="18746" xr:uid="{00000000-0005-0000-0000-000059A60000}"/>
    <cellStyle name="Normal 4 4 2 2 2 2 3 2" xfId="29114" xr:uid="{00000000-0005-0000-0000-00005AA60000}"/>
    <cellStyle name="Normal 4 4 2 2 2 2 3 2 2" xfId="48303" xr:uid="{00000000-0005-0000-0000-00005BA60000}"/>
    <cellStyle name="Normal 4 4 2 2 2 2 3 3" xfId="38605" xr:uid="{00000000-0005-0000-0000-00005CA60000}"/>
    <cellStyle name="Normal 4 4 2 2 2 2 4" xfId="24654" xr:uid="{00000000-0005-0000-0000-00005DA60000}"/>
    <cellStyle name="Normal 4 4 2 2 2 2 4 2" xfId="43848" xr:uid="{00000000-0005-0000-0000-00005EA60000}"/>
    <cellStyle name="Normal 4 4 2 2 2 2 5" xfId="34150" xr:uid="{00000000-0005-0000-0000-00005FA60000}"/>
    <cellStyle name="Normal 4 4 2 2 2 3" xfId="14825" xr:uid="{00000000-0005-0000-0000-000060A60000}"/>
    <cellStyle name="Normal 4 4 2 2 2 3 2" xfId="15954" xr:uid="{00000000-0005-0000-0000-000061A60000}"/>
    <cellStyle name="Normal 4 4 2 2 2 3 2 2" xfId="20418" xr:uid="{00000000-0005-0000-0000-000062A60000}"/>
    <cellStyle name="Normal 4 4 2 2 2 3 2 2 2" xfId="30786" xr:uid="{00000000-0005-0000-0000-000063A60000}"/>
    <cellStyle name="Normal 4 4 2 2 2 3 2 2 2 2" xfId="49975" xr:uid="{00000000-0005-0000-0000-000064A60000}"/>
    <cellStyle name="Normal 4 4 2 2 2 3 2 2 3" xfId="40277" xr:uid="{00000000-0005-0000-0000-000065A60000}"/>
    <cellStyle name="Normal 4 4 2 2 2 3 2 3" xfId="26331" xr:uid="{00000000-0005-0000-0000-000066A60000}"/>
    <cellStyle name="Normal 4 4 2 2 2 3 2 3 2" xfId="45520" xr:uid="{00000000-0005-0000-0000-000067A60000}"/>
    <cellStyle name="Normal 4 4 2 2 2 3 2 4" xfId="35822" xr:uid="{00000000-0005-0000-0000-000068A60000}"/>
    <cellStyle name="Normal 4 4 2 2 2 3 3" xfId="19303" xr:uid="{00000000-0005-0000-0000-000069A60000}"/>
    <cellStyle name="Normal 4 4 2 2 2 3 3 2" xfId="29671" xr:uid="{00000000-0005-0000-0000-00006AA60000}"/>
    <cellStyle name="Normal 4 4 2 2 2 3 3 2 2" xfId="48860" xr:uid="{00000000-0005-0000-0000-00006BA60000}"/>
    <cellStyle name="Normal 4 4 2 2 2 3 3 3" xfId="39162" xr:uid="{00000000-0005-0000-0000-00006CA60000}"/>
    <cellStyle name="Normal 4 4 2 2 2 3 4" xfId="25216" xr:uid="{00000000-0005-0000-0000-00006DA60000}"/>
    <cellStyle name="Normal 4 4 2 2 2 3 4 2" xfId="44405" xr:uid="{00000000-0005-0000-0000-00006EA60000}"/>
    <cellStyle name="Normal 4 4 2 2 2 3 5" xfId="34707" xr:uid="{00000000-0005-0000-0000-00006FA60000}"/>
    <cellStyle name="Normal 4 4 2 2 2 4" xfId="15397" xr:uid="{00000000-0005-0000-0000-000070A60000}"/>
    <cellStyle name="Normal 4 4 2 2 2 4 2" xfId="19861" xr:uid="{00000000-0005-0000-0000-000071A60000}"/>
    <cellStyle name="Normal 4 4 2 2 2 4 2 2" xfId="30229" xr:uid="{00000000-0005-0000-0000-000072A60000}"/>
    <cellStyle name="Normal 4 4 2 2 2 4 2 2 2" xfId="49418" xr:uid="{00000000-0005-0000-0000-000073A60000}"/>
    <cellStyle name="Normal 4 4 2 2 2 4 2 3" xfId="39720" xr:uid="{00000000-0005-0000-0000-000074A60000}"/>
    <cellStyle name="Normal 4 4 2 2 2 4 3" xfId="25774" xr:uid="{00000000-0005-0000-0000-000075A60000}"/>
    <cellStyle name="Normal 4 4 2 2 2 4 3 2" xfId="44963" xr:uid="{00000000-0005-0000-0000-000076A60000}"/>
    <cellStyle name="Normal 4 4 2 2 2 4 4" xfId="35265" xr:uid="{00000000-0005-0000-0000-000077A60000}"/>
    <cellStyle name="Normal 4 4 2 2 2 5" xfId="17067" xr:uid="{00000000-0005-0000-0000-000078A60000}"/>
    <cellStyle name="Normal 4 4 2 2 2 5 2" xfId="21531" xr:uid="{00000000-0005-0000-0000-000079A60000}"/>
    <cellStyle name="Normal 4 4 2 2 2 5 2 2" xfId="31899" xr:uid="{00000000-0005-0000-0000-00007AA60000}"/>
    <cellStyle name="Normal 4 4 2 2 2 5 2 2 2" xfId="51088" xr:uid="{00000000-0005-0000-0000-00007BA60000}"/>
    <cellStyle name="Normal 4 4 2 2 2 5 2 3" xfId="41390" xr:uid="{00000000-0005-0000-0000-00007CA60000}"/>
    <cellStyle name="Normal 4 4 2 2 2 5 3" xfId="27444" xr:uid="{00000000-0005-0000-0000-00007DA60000}"/>
    <cellStyle name="Normal 4 4 2 2 2 5 3 2" xfId="46633" xr:uid="{00000000-0005-0000-0000-00007EA60000}"/>
    <cellStyle name="Normal 4 4 2 2 2 5 4" xfId="36935" xr:uid="{00000000-0005-0000-0000-00007FA60000}"/>
    <cellStyle name="Normal 4 4 2 2 2 6" xfId="17633" xr:uid="{00000000-0005-0000-0000-000080A60000}"/>
    <cellStyle name="Normal 4 4 2 2 2 6 2" xfId="22088" xr:uid="{00000000-0005-0000-0000-000081A60000}"/>
    <cellStyle name="Normal 4 4 2 2 2 6 2 2" xfId="32456" xr:uid="{00000000-0005-0000-0000-000082A60000}"/>
    <cellStyle name="Normal 4 4 2 2 2 6 2 2 2" xfId="51645" xr:uid="{00000000-0005-0000-0000-000083A60000}"/>
    <cellStyle name="Normal 4 4 2 2 2 6 2 3" xfId="41947" xr:uid="{00000000-0005-0000-0000-000084A60000}"/>
    <cellStyle name="Normal 4 4 2 2 2 6 3" xfId="28001" xr:uid="{00000000-0005-0000-0000-000085A60000}"/>
    <cellStyle name="Normal 4 4 2 2 2 6 3 2" xfId="47190" xr:uid="{00000000-0005-0000-0000-000086A60000}"/>
    <cellStyle name="Normal 4 4 2 2 2 6 4" xfId="37492" xr:uid="{00000000-0005-0000-0000-000087A60000}"/>
    <cellStyle name="Normal 4 4 2 2 2 7" xfId="18190" xr:uid="{00000000-0005-0000-0000-000088A60000}"/>
    <cellStyle name="Normal 4 4 2 2 2 7 2" xfId="28558" xr:uid="{00000000-0005-0000-0000-000089A60000}"/>
    <cellStyle name="Normal 4 4 2 2 2 7 2 2" xfId="47747" xr:uid="{00000000-0005-0000-0000-00008AA60000}"/>
    <cellStyle name="Normal 4 4 2 2 2 7 3" xfId="38049" xr:uid="{00000000-0005-0000-0000-00008BA60000}"/>
    <cellStyle name="Normal 4 4 2 2 2 8" xfId="24058" xr:uid="{00000000-0005-0000-0000-00008CA60000}"/>
    <cellStyle name="Normal 4 4 2 2 2 8 2" xfId="43292" xr:uid="{00000000-0005-0000-0000-00008DA60000}"/>
    <cellStyle name="Normal 4 4 2 2 2 9" xfId="33594" xr:uid="{00000000-0005-0000-0000-00008EA60000}"/>
    <cellStyle name="Normal 4 4 2 2 3" xfId="13347" xr:uid="{00000000-0005-0000-0000-00008FA60000}"/>
    <cellStyle name="Normal 4 4 2 2 3 2" xfId="14247" xr:uid="{00000000-0005-0000-0000-000090A60000}"/>
    <cellStyle name="Normal 4 4 2 2 3 2 2" xfId="16511" xr:uid="{00000000-0005-0000-0000-000091A60000}"/>
    <cellStyle name="Normal 4 4 2 2 3 2 2 2" xfId="20975" xr:uid="{00000000-0005-0000-0000-000092A60000}"/>
    <cellStyle name="Normal 4 4 2 2 3 2 2 2 2" xfId="31343" xr:uid="{00000000-0005-0000-0000-000093A60000}"/>
    <cellStyle name="Normal 4 4 2 2 3 2 2 2 2 2" xfId="50532" xr:uid="{00000000-0005-0000-0000-000094A60000}"/>
    <cellStyle name="Normal 4 4 2 2 3 2 2 2 3" xfId="40834" xr:uid="{00000000-0005-0000-0000-000095A60000}"/>
    <cellStyle name="Normal 4 4 2 2 3 2 2 3" xfId="26888" xr:uid="{00000000-0005-0000-0000-000096A60000}"/>
    <cellStyle name="Normal 4 4 2 2 3 2 2 3 2" xfId="46077" xr:uid="{00000000-0005-0000-0000-000097A60000}"/>
    <cellStyle name="Normal 4 4 2 2 3 2 2 4" xfId="36379" xr:uid="{00000000-0005-0000-0000-000098A60000}"/>
    <cellStyle name="Normal 4 4 2 2 3 2 3" xfId="18747" xr:uid="{00000000-0005-0000-0000-000099A60000}"/>
    <cellStyle name="Normal 4 4 2 2 3 2 3 2" xfId="29115" xr:uid="{00000000-0005-0000-0000-00009AA60000}"/>
    <cellStyle name="Normal 4 4 2 2 3 2 3 2 2" xfId="48304" xr:uid="{00000000-0005-0000-0000-00009BA60000}"/>
    <cellStyle name="Normal 4 4 2 2 3 2 3 3" xfId="38606" xr:uid="{00000000-0005-0000-0000-00009CA60000}"/>
    <cellStyle name="Normal 4 4 2 2 3 2 4" xfId="24655" xr:uid="{00000000-0005-0000-0000-00009DA60000}"/>
    <cellStyle name="Normal 4 4 2 2 3 2 4 2" xfId="43849" xr:uid="{00000000-0005-0000-0000-00009EA60000}"/>
    <cellStyle name="Normal 4 4 2 2 3 2 5" xfId="34151" xr:uid="{00000000-0005-0000-0000-00009FA60000}"/>
    <cellStyle name="Normal 4 4 2 2 3 3" xfId="14826" xr:uid="{00000000-0005-0000-0000-0000A0A60000}"/>
    <cellStyle name="Normal 4 4 2 2 3 3 2" xfId="15955" xr:uid="{00000000-0005-0000-0000-0000A1A60000}"/>
    <cellStyle name="Normal 4 4 2 2 3 3 2 2" xfId="20419" xr:uid="{00000000-0005-0000-0000-0000A2A60000}"/>
    <cellStyle name="Normal 4 4 2 2 3 3 2 2 2" xfId="30787" xr:uid="{00000000-0005-0000-0000-0000A3A60000}"/>
    <cellStyle name="Normal 4 4 2 2 3 3 2 2 2 2" xfId="49976" xr:uid="{00000000-0005-0000-0000-0000A4A60000}"/>
    <cellStyle name="Normal 4 4 2 2 3 3 2 2 3" xfId="40278" xr:uid="{00000000-0005-0000-0000-0000A5A60000}"/>
    <cellStyle name="Normal 4 4 2 2 3 3 2 3" xfId="26332" xr:uid="{00000000-0005-0000-0000-0000A6A60000}"/>
    <cellStyle name="Normal 4 4 2 2 3 3 2 3 2" xfId="45521" xr:uid="{00000000-0005-0000-0000-0000A7A60000}"/>
    <cellStyle name="Normal 4 4 2 2 3 3 2 4" xfId="35823" xr:uid="{00000000-0005-0000-0000-0000A8A60000}"/>
    <cellStyle name="Normal 4 4 2 2 3 3 3" xfId="19304" xr:uid="{00000000-0005-0000-0000-0000A9A60000}"/>
    <cellStyle name="Normal 4 4 2 2 3 3 3 2" xfId="29672" xr:uid="{00000000-0005-0000-0000-0000AAA60000}"/>
    <cellStyle name="Normal 4 4 2 2 3 3 3 2 2" xfId="48861" xr:uid="{00000000-0005-0000-0000-0000ABA60000}"/>
    <cellStyle name="Normal 4 4 2 2 3 3 3 3" xfId="39163" xr:uid="{00000000-0005-0000-0000-0000ACA60000}"/>
    <cellStyle name="Normal 4 4 2 2 3 3 4" xfId="25217" xr:uid="{00000000-0005-0000-0000-0000ADA60000}"/>
    <cellStyle name="Normal 4 4 2 2 3 3 4 2" xfId="44406" xr:uid="{00000000-0005-0000-0000-0000AEA60000}"/>
    <cellStyle name="Normal 4 4 2 2 3 3 5" xfId="34708" xr:uid="{00000000-0005-0000-0000-0000AFA60000}"/>
    <cellStyle name="Normal 4 4 2 2 3 4" xfId="15398" xr:uid="{00000000-0005-0000-0000-0000B0A60000}"/>
    <cellStyle name="Normal 4 4 2 2 3 4 2" xfId="19862" xr:uid="{00000000-0005-0000-0000-0000B1A60000}"/>
    <cellStyle name="Normal 4 4 2 2 3 4 2 2" xfId="30230" xr:uid="{00000000-0005-0000-0000-0000B2A60000}"/>
    <cellStyle name="Normal 4 4 2 2 3 4 2 2 2" xfId="49419" xr:uid="{00000000-0005-0000-0000-0000B3A60000}"/>
    <cellStyle name="Normal 4 4 2 2 3 4 2 3" xfId="39721" xr:uid="{00000000-0005-0000-0000-0000B4A60000}"/>
    <cellStyle name="Normal 4 4 2 2 3 4 3" xfId="25775" xr:uid="{00000000-0005-0000-0000-0000B5A60000}"/>
    <cellStyle name="Normal 4 4 2 2 3 4 3 2" xfId="44964" xr:uid="{00000000-0005-0000-0000-0000B6A60000}"/>
    <cellStyle name="Normal 4 4 2 2 3 4 4" xfId="35266" xr:uid="{00000000-0005-0000-0000-0000B7A60000}"/>
    <cellStyle name="Normal 4 4 2 2 3 5" xfId="17068" xr:uid="{00000000-0005-0000-0000-0000B8A60000}"/>
    <cellStyle name="Normal 4 4 2 2 3 5 2" xfId="21532" xr:uid="{00000000-0005-0000-0000-0000B9A60000}"/>
    <cellStyle name="Normal 4 4 2 2 3 5 2 2" xfId="31900" xr:uid="{00000000-0005-0000-0000-0000BAA60000}"/>
    <cellStyle name="Normal 4 4 2 2 3 5 2 2 2" xfId="51089" xr:uid="{00000000-0005-0000-0000-0000BBA60000}"/>
    <cellStyle name="Normal 4 4 2 2 3 5 2 3" xfId="41391" xr:uid="{00000000-0005-0000-0000-0000BCA60000}"/>
    <cellStyle name="Normal 4 4 2 2 3 5 3" xfId="27445" xr:uid="{00000000-0005-0000-0000-0000BDA60000}"/>
    <cellStyle name="Normal 4 4 2 2 3 5 3 2" xfId="46634" xr:uid="{00000000-0005-0000-0000-0000BEA60000}"/>
    <cellStyle name="Normal 4 4 2 2 3 5 4" xfId="36936" xr:uid="{00000000-0005-0000-0000-0000BFA60000}"/>
    <cellStyle name="Normal 4 4 2 2 3 6" xfId="17634" xr:uid="{00000000-0005-0000-0000-0000C0A60000}"/>
    <cellStyle name="Normal 4 4 2 2 3 6 2" xfId="22089" xr:uid="{00000000-0005-0000-0000-0000C1A60000}"/>
    <cellStyle name="Normal 4 4 2 2 3 6 2 2" xfId="32457" xr:uid="{00000000-0005-0000-0000-0000C2A60000}"/>
    <cellStyle name="Normal 4 4 2 2 3 6 2 2 2" xfId="51646" xr:uid="{00000000-0005-0000-0000-0000C3A60000}"/>
    <cellStyle name="Normal 4 4 2 2 3 6 2 3" xfId="41948" xr:uid="{00000000-0005-0000-0000-0000C4A60000}"/>
    <cellStyle name="Normal 4 4 2 2 3 6 3" xfId="28002" xr:uid="{00000000-0005-0000-0000-0000C5A60000}"/>
    <cellStyle name="Normal 4 4 2 2 3 6 3 2" xfId="47191" xr:uid="{00000000-0005-0000-0000-0000C6A60000}"/>
    <cellStyle name="Normal 4 4 2 2 3 6 4" xfId="37493" xr:uid="{00000000-0005-0000-0000-0000C7A60000}"/>
    <cellStyle name="Normal 4 4 2 2 3 7" xfId="18191" xr:uid="{00000000-0005-0000-0000-0000C8A60000}"/>
    <cellStyle name="Normal 4 4 2 2 3 7 2" xfId="28559" xr:uid="{00000000-0005-0000-0000-0000C9A60000}"/>
    <cellStyle name="Normal 4 4 2 2 3 7 2 2" xfId="47748" xr:uid="{00000000-0005-0000-0000-0000CAA60000}"/>
    <cellStyle name="Normal 4 4 2 2 3 7 3" xfId="38050" xr:uid="{00000000-0005-0000-0000-0000CBA60000}"/>
    <cellStyle name="Normal 4 4 2 2 3 8" xfId="24059" xr:uid="{00000000-0005-0000-0000-0000CCA60000}"/>
    <cellStyle name="Normal 4 4 2 2 3 8 2" xfId="43293" xr:uid="{00000000-0005-0000-0000-0000CDA60000}"/>
    <cellStyle name="Normal 4 4 2 2 3 9" xfId="33595" xr:uid="{00000000-0005-0000-0000-0000CEA60000}"/>
    <cellStyle name="Normal 4 4 2 2 4" xfId="14245" xr:uid="{00000000-0005-0000-0000-0000CFA60000}"/>
    <cellStyle name="Normal 4 4 2 2 4 2" xfId="16509" xr:uid="{00000000-0005-0000-0000-0000D0A60000}"/>
    <cellStyle name="Normal 4 4 2 2 4 2 2" xfId="20973" xr:uid="{00000000-0005-0000-0000-0000D1A60000}"/>
    <cellStyle name="Normal 4 4 2 2 4 2 2 2" xfId="31341" xr:uid="{00000000-0005-0000-0000-0000D2A60000}"/>
    <cellStyle name="Normal 4 4 2 2 4 2 2 2 2" xfId="50530" xr:uid="{00000000-0005-0000-0000-0000D3A60000}"/>
    <cellStyle name="Normal 4 4 2 2 4 2 2 3" xfId="40832" xr:uid="{00000000-0005-0000-0000-0000D4A60000}"/>
    <cellStyle name="Normal 4 4 2 2 4 2 3" xfId="26886" xr:uid="{00000000-0005-0000-0000-0000D5A60000}"/>
    <cellStyle name="Normal 4 4 2 2 4 2 3 2" xfId="46075" xr:uid="{00000000-0005-0000-0000-0000D6A60000}"/>
    <cellStyle name="Normal 4 4 2 2 4 2 4" xfId="36377" xr:uid="{00000000-0005-0000-0000-0000D7A60000}"/>
    <cellStyle name="Normal 4 4 2 2 4 3" xfId="18745" xr:uid="{00000000-0005-0000-0000-0000D8A60000}"/>
    <cellStyle name="Normal 4 4 2 2 4 3 2" xfId="29113" xr:uid="{00000000-0005-0000-0000-0000D9A60000}"/>
    <cellStyle name="Normal 4 4 2 2 4 3 2 2" xfId="48302" xr:uid="{00000000-0005-0000-0000-0000DAA60000}"/>
    <cellStyle name="Normal 4 4 2 2 4 3 3" xfId="38604" xr:uid="{00000000-0005-0000-0000-0000DBA60000}"/>
    <cellStyle name="Normal 4 4 2 2 4 4" xfId="24653" xr:uid="{00000000-0005-0000-0000-0000DCA60000}"/>
    <cellStyle name="Normal 4 4 2 2 4 4 2" xfId="43847" xr:uid="{00000000-0005-0000-0000-0000DDA60000}"/>
    <cellStyle name="Normal 4 4 2 2 4 5" xfId="34149" xr:uid="{00000000-0005-0000-0000-0000DEA60000}"/>
    <cellStyle name="Normal 4 4 2 2 5" xfId="14824" xr:uid="{00000000-0005-0000-0000-0000DFA60000}"/>
    <cellStyle name="Normal 4 4 2 2 5 2" xfId="15953" xr:uid="{00000000-0005-0000-0000-0000E0A60000}"/>
    <cellStyle name="Normal 4 4 2 2 5 2 2" xfId="20417" xr:uid="{00000000-0005-0000-0000-0000E1A60000}"/>
    <cellStyle name="Normal 4 4 2 2 5 2 2 2" xfId="30785" xr:uid="{00000000-0005-0000-0000-0000E2A60000}"/>
    <cellStyle name="Normal 4 4 2 2 5 2 2 2 2" xfId="49974" xr:uid="{00000000-0005-0000-0000-0000E3A60000}"/>
    <cellStyle name="Normal 4 4 2 2 5 2 2 3" xfId="40276" xr:uid="{00000000-0005-0000-0000-0000E4A60000}"/>
    <cellStyle name="Normal 4 4 2 2 5 2 3" xfId="26330" xr:uid="{00000000-0005-0000-0000-0000E5A60000}"/>
    <cellStyle name="Normal 4 4 2 2 5 2 3 2" xfId="45519" xr:uid="{00000000-0005-0000-0000-0000E6A60000}"/>
    <cellStyle name="Normal 4 4 2 2 5 2 4" xfId="35821" xr:uid="{00000000-0005-0000-0000-0000E7A60000}"/>
    <cellStyle name="Normal 4 4 2 2 5 3" xfId="19302" xr:uid="{00000000-0005-0000-0000-0000E8A60000}"/>
    <cellStyle name="Normal 4 4 2 2 5 3 2" xfId="29670" xr:uid="{00000000-0005-0000-0000-0000E9A60000}"/>
    <cellStyle name="Normal 4 4 2 2 5 3 2 2" xfId="48859" xr:uid="{00000000-0005-0000-0000-0000EAA60000}"/>
    <cellStyle name="Normal 4 4 2 2 5 3 3" xfId="39161" xr:uid="{00000000-0005-0000-0000-0000EBA60000}"/>
    <cellStyle name="Normal 4 4 2 2 5 4" xfId="25215" xr:uid="{00000000-0005-0000-0000-0000ECA60000}"/>
    <cellStyle name="Normal 4 4 2 2 5 4 2" xfId="44404" xr:uid="{00000000-0005-0000-0000-0000EDA60000}"/>
    <cellStyle name="Normal 4 4 2 2 5 5" xfId="34706" xr:uid="{00000000-0005-0000-0000-0000EEA60000}"/>
    <cellStyle name="Normal 4 4 2 2 6" xfId="15396" xr:uid="{00000000-0005-0000-0000-0000EFA60000}"/>
    <cellStyle name="Normal 4 4 2 2 6 2" xfId="19860" xr:uid="{00000000-0005-0000-0000-0000F0A60000}"/>
    <cellStyle name="Normal 4 4 2 2 6 2 2" xfId="30228" xr:uid="{00000000-0005-0000-0000-0000F1A60000}"/>
    <cellStyle name="Normal 4 4 2 2 6 2 2 2" xfId="49417" xr:uid="{00000000-0005-0000-0000-0000F2A60000}"/>
    <cellStyle name="Normal 4 4 2 2 6 2 3" xfId="39719" xr:uid="{00000000-0005-0000-0000-0000F3A60000}"/>
    <cellStyle name="Normal 4 4 2 2 6 3" xfId="25773" xr:uid="{00000000-0005-0000-0000-0000F4A60000}"/>
    <cellStyle name="Normal 4 4 2 2 6 3 2" xfId="44962" xr:uid="{00000000-0005-0000-0000-0000F5A60000}"/>
    <cellStyle name="Normal 4 4 2 2 6 4" xfId="35264" xr:uid="{00000000-0005-0000-0000-0000F6A60000}"/>
    <cellStyle name="Normal 4 4 2 2 7" xfId="17066" xr:uid="{00000000-0005-0000-0000-0000F7A60000}"/>
    <cellStyle name="Normal 4 4 2 2 7 2" xfId="21530" xr:uid="{00000000-0005-0000-0000-0000F8A60000}"/>
    <cellStyle name="Normal 4 4 2 2 7 2 2" xfId="31898" xr:uid="{00000000-0005-0000-0000-0000F9A60000}"/>
    <cellStyle name="Normal 4 4 2 2 7 2 2 2" xfId="51087" xr:uid="{00000000-0005-0000-0000-0000FAA60000}"/>
    <cellStyle name="Normal 4 4 2 2 7 2 3" xfId="41389" xr:uid="{00000000-0005-0000-0000-0000FBA60000}"/>
    <cellStyle name="Normal 4 4 2 2 7 3" xfId="27443" xr:uid="{00000000-0005-0000-0000-0000FCA60000}"/>
    <cellStyle name="Normal 4 4 2 2 7 3 2" xfId="46632" xr:uid="{00000000-0005-0000-0000-0000FDA60000}"/>
    <cellStyle name="Normal 4 4 2 2 7 4" xfId="36934" xr:uid="{00000000-0005-0000-0000-0000FEA60000}"/>
    <cellStyle name="Normal 4 4 2 2 8" xfId="17632" xr:uid="{00000000-0005-0000-0000-0000FFA60000}"/>
    <cellStyle name="Normal 4 4 2 2 8 2" xfId="22087" xr:uid="{00000000-0005-0000-0000-000000A70000}"/>
    <cellStyle name="Normal 4 4 2 2 8 2 2" xfId="32455" xr:uid="{00000000-0005-0000-0000-000001A70000}"/>
    <cellStyle name="Normal 4 4 2 2 8 2 2 2" xfId="51644" xr:uid="{00000000-0005-0000-0000-000002A70000}"/>
    <cellStyle name="Normal 4 4 2 2 8 2 3" xfId="41946" xr:uid="{00000000-0005-0000-0000-000003A70000}"/>
    <cellStyle name="Normal 4 4 2 2 8 3" xfId="28000" xr:uid="{00000000-0005-0000-0000-000004A70000}"/>
    <cellStyle name="Normal 4 4 2 2 8 3 2" xfId="47189" xr:uid="{00000000-0005-0000-0000-000005A70000}"/>
    <cellStyle name="Normal 4 4 2 2 8 4" xfId="37491" xr:uid="{00000000-0005-0000-0000-000006A70000}"/>
    <cellStyle name="Normal 4 4 2 2 9" xfId="18189" xr:uid="{00000000-0005-0000-0000-000007A70000}"/>
    <cellStyle name="Normal 4 4 2 2 9 2" xfId="28557" xr:uid="{00000000-0005-0000-0000-000008A70000}"/>
    <cellStyle name="Normal 4 4 2 2 9 2 2" xfId="47746" xr:uid="{00000000-0005-0000-0000-000009A70000}"/>
    <cellStyle name="Normal 4 4 2 2 9 3" xfId="38048" xr:uid="{00000000-0005-0000-0000-00000AA70000}"/>
    <cellStyle name="Normal 4 4 2 3" xfId="13348" xr:uid="{00000000-0005-0000-0000-00000BA70000}"/>
    <cellStyle name="Normal 4 4 2 3 10" xfId="53658" xr:uid="{00000000-0005-0000-0000-00000CA70000}"/>
    <cellStyle name="Normal 4 4 2 3 2" xfId="14248" xr:uid="{00000000-0005-0000-0000-00000DA70000}"/>
    <cellStyle name="Normal 4 4 2 3 2 2" xfId="16512" xr:uid="{00000000-0005-0000-0000-00000EA70000}"/>
    <cellStyle name="Normal 4 4 2 3 2 2 2" xfId="20976" xr:uid="{00000000-0005-0000-0000-00000FA70000}"/>
    <cellStyle name="Normal 4 4 2 3 2 2 2 2" xfId="31344" xr:uid="{00000000-0005-0000-0000-000010A70000}"/>
    <cellStyle name="Normal 4 4 2 3 2 2 2 2 2" xfId="50533" xr:uid="{00000000-0005-0000-0000-000011A70000}"/>
    <cellStyle name="Normal 4 4 2 3 2 2 2 3" xfId="40835" xr:uid="{00000000-0005-0000-0000-000012A70000}"/>
    <cellStyle name="Normal 4 4 2 3 2 2 3" xfId="26889" xr:uid="{00000000-0005-0000-0000-000013A70000}"/>
    <cellStyle name="Normal 4 4 2 3 2 2 3 2" xfId="46078" xr:uid="{00000000-0005-0000-0000-000014A70000}"/>
    <cellStyle name="Normal 4 4 2 3 2 2 4" xfId="36380" xr:uid="{00000000-0005-0000-0000-000015A70000}"/>
    <cellStyle name="Normal 4 4 2 3 2 3" xfId="18748" xr:uid="{00000000-0005-0000-0000-000016A70000}"/>
    <cellStyle name="Normal 4 4 2 3 2 3 2" xfId="29116" xr:uid="{00000000-0005-0000-0000-000017A70000}"/>
    <cellStyle name="Normal 4 4 2 3 2 3 2 2" xfId="48305" xr:uid="{00000000-0005-0000-0000-000018A70000}"/>
    <cellStyle name="Normal 4 4 2 3 2 3 3" xfId="38607" xr:uid="{00000000-0005-0000-0000-000019A70000}"/>
    <cellStyle name="Normal 4 4 2 3 2 4" xfId="24656" xr:uid="{00000000-0005-0000-0000-00001AA70000}"/>
    <cellStyle name="Normal 4 4 2 3 2 4 2" xfId="43850" xr:uid="{00000000-0005-0000-0000-00001BA70000}"/>
    <cellStyle name="Normal 4 4 2 3 2 5" xfId="34152" xr:uid="{00000000-0005-0000-0000-00001CA70000}"/>
    <cellStyle name="Normal 4 4 2 3 3" xfId="14827" xr:uid="{00000000-0005-0000-0000-00001DA70000}"/>
    <cellStyle name="Normal 4 4 2 3 3 2" xfId="15956" xr:uid="{00000000-0005-0000-0000-00001EA70000}"/>
    <cellStyle name="Normal 4 4 2 3 3 2 2" xfId="20420" xr:uid="{00000000-0005-0000-0000-00001FA70000}"/>
    <cellStyle name="Normal 4 4 2 3 3 2 2 2" xfId="30788" xr:uid="{00000000-0005-0000-0000-000020A70000}"/>
    <cellStyle name="Normal 4 4 2 3 3 2 2 2 2" xfId="49977" xr:uid="{00000000-0005-0000-0000-000021A70000}"/>
    <cellStyle name="Normal 4 4 2 3 3 2 2 3" xfId="40279" xr:uid="{00000000-0005-0000-0000-000022A70000}"/>
    <cellStyle name="Normal 4 4 2 3 3 2 3" xfId="26333" xr:uid="{00000000-0005-0000-0000-000023A70000}"/>
    <cellStyle name="Normal 4 4 2 3 3 2 3 2" xfId="45522" xr:uid="{00000000-0005-0000-0000-000024A70000}"/>
    <cellStyle name="Normal 4 4 2 3 3 2 4" xfId="35824" xr:uid="{00000000-0005-0000-0000-000025A70000}"/>
    <cellStyle name="Normal 4 4 2 3 3 3" xfId="19305" xr:uid="{00000000-0005-0000-0000-000026A70000}"/>
    <cellStyle name="Normal 4 4 2 3 3 3 2" xfId="29673" xr:uid="{00000000-0005-0000-0000-000027A70000}"/>
    <cellStyle name="Normal 4 4 2 3 3 3 2 2" xfId="48862" xr:uid="{00000000-0005-0000-0000-000028A70000}"/>
    <cellStyle name="Normal 4 4 2 3 3 3 3" xfId="39164" xr:uid="{00000000-0005-0000-0000-000029A70000}"/>
    <cellStyle name="Normal 4 4 2 3 3 4" xfId="25218" xr:uid="{00000000-0005-0000-0000-00002AA70000}"/>
    <cellStyle name="Normal 4 4 2 3 3 4 2" xfId="44407" xr:uid="{00000000-0005-0000-0000-00002BA70000}"/>
    <cellStyle name="Normal 4 4 2 3 3 5" xfId="34709" xr:uid="{00000000-0005-0000-0000-00002CA70000}"/>
    <cellStyle name="Normal 4 4 2 3 4" xfId="15399" xr:uid="{00000000-0005-0000-0000-00002DA70000}"/>
    <cellStyle name="Normal 4 4 2 3 4 2" xfId="19863" xr:uid="{00000000-0005-0000-0000-00002EA70000}"/>
    <cellStyle name="Normal 4 4 2 3 4 2 2" xfId="30231" xr:uid="{00000000-0005-0000-0000-00002FA70000}"/>
    <cellStyle name="Normal 4 4 2 3 4 2 2 2" xfId="49420" xr:uid="{00000000-0005-0000-0000-000030A70000}"/>
    <cellStyle name="Normal 4 4 2 3 4 2 3" xfId="39722" xr:uid="{00000000-0005-0000-0000-000031A70000}"/>
    <cellStyle name="Normal 4 4 2 3 4 3" xfId="25776" xr:uid="{00000000-0005-0000-0000-000032A70000}"/>
    <cellStyle name="Normal 4 4 2 3 4 3 2" xfId="44965" xr:uid="{00000000-0005-0000-0000-000033A70000}"/>
    <cellStyle name="Normal 4 4 2 3 4 4" xfId="35267" xr:uid="{00000000-0005-0000-0000-000034A70000}"/>
    <cellStyle name="Normal 4 4 2 3 5" xfId="17069" xr:uid="{00000000-0005-0000-0000-000035A70000}"/>
    <cellStyle name="Normal 4 4 2 3 5 2" xfId="21533" xr:uid="{00000000-0005-0000-0000-000036A70000}"/>
    <cellStyle name="Normal 4 4 2 3 5 2 2" xfId="31901" xr:uid="{00000000-0005-0000-0000-000037A70000}"/>
    <cellStyle name="Normal 4 4 2 3 5 2 2 2" xfId="51090" xr:uid="{00000000-0005-0000-0000-000038A70000}"/>
    <cellStyle name="Normal 4 4 2 3 5 2 3" xfId="41392" xr:uid="{00000000-0005-0000-0000-000039A70000}"/>
    <cellStyle name="Normal 4 4 2 3 5 3" xfId="27446" xr:uid="{00000000-0005-0000-0000-00003AA70000}"/>
    <cellStyle name="Normal 4 4 2 3 5 3 2" xfId="46635" xr:uid="{00000000-0005-0000-0000-00003BA70000}"/>
    <cellStyle name="Normal 4 4 2 3 5 4" xfId="36937" xr:uid="{00000000-0005-0000-0000-00003CA70000}"/>
    <cellStyle name="Normal 4 4 2 3 6" xfId="17635" xr:uid="{00000000-0005-0000-0000-00003DA70000}"/>
    <cellStyle name="Normal 4 4 2 3 6 2" xfId="22090" xr:uid="{00000000-0005-0000-0000-00003EA70000}"/>
    <cellStyle name="Normal 4 4 2 3 6 2 2" xfId="32458" xr:uid="{00000000-0005-0000-0000-00003FA70000}"/>
    <cellStyle name="Normal 4 4 2 3 6 2 2 2" xfId="51647" xr:uid="{00000000-0005-0000-0000-000040A70000}"/>
    <cellStyle name="Normal 4 4 2 3 6 2 3" xfId="41949" xr:uid="{00000000-0005-0000-0000-000041A70000}"/>
    <cellStyle name="Normal 4 4 2 3 6 3" xfId="28003" xr:uid="{00000000-0005-0000-0000-000042A70000}"/>
    <cellStyle name="Normal 4 4 2 3 6 3 2" xfId="47192" xr:uid="{00000000-0005-0000-0000-000043A70000}"/>
    <cellStyle name="Normal 4 4 2 3 6 4" xfId="37494" xr:uid="{00000000-0005-0000-0000-000044A70000}"/>
    <cellStyle name="Normal 4 4 2 3 7" xfId="18192" xr:uid="{00000000-0005-0000-0000-000045A70000}"/>
    <cellStyle name="Normal 4 4 2 3 7 2" xfId="28560" xr:uid="{00000000-0005-0000-0000-000046A70000}"/>
    <cellStyle name="Normal 4 4 2 3 7 2 2" xfId="47749" xr:uid="{00000000-0005-0000-0000-000047A70000}"/>
    <cellStyle name="Normal 4 4 2 3 7 3" xfId="38051" xr:uid="{00000000-0005-0000-0000-000048A70000}"/>
    <cellStyle name="Normal 4 4 2 3 8" xfId="24060" xr:uid="{00000000-0005-0000-0000-000049A70000}"/>
    <cellStyle name="Normal 4 4 2 3 8 2" xfId="43294" xr:uid="{00000000-0005-0000-0000-00004AA70000}"/>
    <cellStyle name="Normal 4 4 2 3 9" xfId="33596" xr:uid="{00000000-0005-0000-0000-00004BA70000}"/>
    <cellStyle name="Normal 4 4 2 4" xfId="13349" xr:uid="{00000000-0005-0000-0000-00004CA70000}"/>
    <cellStyle name="Normal 4 4 2 4 2" xfId="14249" xr:uid="{00000000-0005-0000-0000-00004DA70000}"/>
    <cellStyle name="Normal 4 4 2 4 2 2" xfId="16513" xr:uid="{00000000-0005-0000-0000-00004EA70000}"/>
    <cellStyle name="Normal 4 4 2 4 2 2 2" xfId="20977" xr:uid="{00000000-0005-0000-0000-00004FA70000}"/>
    <cellStyle name="Normal 4 4 2 4 2 2 2 2" xfId="31345" xr:uid="{00000000-0005-0000-0000-000050A70000}"/>
    <cellStyle name="Normal 4 4 2 4 2 2 2 2 2" xfId="50534" xr:uid="{00000000-0005-0000-0000-000051A70000}"/>
    <cellStyle name="Normal 4 4 2 4 2 2 2 3" xfId="40836" xr:uid="{00000000-0005-0000-0000-000052A70000}"/>
    <cellStyle name="Normal 4 4 2 4 2 2 3" xfId="26890" xr:uid="{00000000-0005-0000-0000-000053A70000}"/>
    <cellStyle name="Normal 4 4 2 4 2 2 3 2" xfId="46079" xr:uid="{00000000-0005-0000-0000-000054A70000}"/>
    <cellStyle name="Normal 4 4 2 4 2 2 4" xfId="36381" xr:uid="{00000000-0005-0000-0000-000055A70000}"/>
    <cellStyle name="Normal 4 4 2 4 2 3" xfId="18749" xr:uid="{00000000-0005-0000-0000-000056A70000}"/>
    <cellStyle name="Normal 4 4 2 4 2 3 2" xfId="29117" xr:uid="{00000000-0005-0000-0000-000057A70000}"/>
    <cellStyle name="Normal 4 4 2 4 2 3 2 2" xfId="48306" xr:uid="{00000000-0005-0000-0000-000058A70000}"/>
    <cellStyle name="Normal 4 4 2 4 2 3 3" xfId="38608" xr:uid="{00000000-0005-0000-0000-000059A70000}"/>
    <cellStyle name="Normal 4 4 2 4 2 4" xfId="24657" xr:uid="{00000000-0005-0000-0000-00005AA70000}"/>
    <cellStyle name="Normal 4 4 2 4 2 4 2" xfId="43851" xr:uid="{00000000-0005-0000-0000-00005BA70000}"/>
    <cellStyle name="Normal 4 4 2 4 2 5" xfId="34153" xr:uid="{00000000-0005-0000-0000-00005CA70000}"/>
    <cellStyle name="Normal 4 4 2 4 3" xfId="14828" xr:uid="{00000000-0005-0000-0000-00005DA70000}"/>
    <cellStyle name="Normal 4 4 2 4 3 2" xfId="15957" xr:uid="{00000000-0005-0000-0000-00005EA70000}"/>
    <cellStyle name="Normal 4 4 2 4 3 2 2" xfId="20421" xr:uid="{00000000-0005-0000-0000-00005FA70000}"/>
    <cellStyle name="Normal 4 4 2 4 3 2 2 2" xfId="30789" xr:uid="{00000000-0005-0000-0000-000060A70000}"/>
    <cellStyle name="Normal 4 4 2 4 3 2 2 2 2" xfId="49978" xr:uid="{00000000-0005-0000-0000-000061A70000}"/>
    <cellStyle name="Normal 4 4 2 4 3 2 2 3" xfId="40280" xr:uid="{00000000-0005-0000-0000-000062A70000}"/>
    <cellStyle name="Normal 4 4 2 4 3 2 3" xfId="26334" xr:uid="{00000000-0005-0000-0000-000063A70000}"/>
    <cellStyle name="Normal 4 4 2 4 3 2 3 2" xfId="45523" xr:uid="{00000000-0005-0000-0000-000064A70000}"/>
    <cellStyle name="Normal 4 4 2 4 3 2 4" xfId="35825" xr:uid="{00000000-0005-0000-0000-000065A70000}"/>
    <cellStyle name="Normal 4 4 2 4 3 3" xfId="19306" xr:uid="{00000000-0005-0000-0000-000066A70000}"/>
    <cellStyle name="Normal 4 4 2 4 3 3 2" xfId="29674" xr:uid="{00000000-0005-0000-0000-000067A70000}"/>
    <cellStyle name="Normal 4 4 2 4 3 3 2 2" xfId="48863" xr:uid="{00000000-0005-0000-0000-000068A70000}"/>
    <cellStyle name="Normal 4 4 2 4 3 3 3" xfId="39165" xr:uid="{00000000-0005-0000-0000-000069A70000}"/>
    <cellStyle name="Normal 4 4 2 4 3 4" xfId="25219" xr:uid="{00000000-0005-0000-0000-00006AA70000}"/>
    <cellStyle name="Normal 4 4 2 4 3 4 2" xfId="44408" xr:uid="{00000000-0005-0000-0000-00006BA70000}"/>
    <cellStyle name="Normal 4 4 2 4 3 5" xfId="34710" xr:uid="{00000000-0005-0000-0000-00006CA70000}"/>
    <cellStyle name="Normal 4 4 2 4 4" xfId="15400" xr:uid="{00000000-0005-0000-0000-00006DA70000}"/>
    <cellStyle name="Normal 4 4 2 4 4 2" xfId="19864" xr:uid="{00000000-0005-0000-0000-00006EA70000}"/>
    <cellStyle name="Normal 4 4 2 4 4 2 2" xfId="30232" xr:uid="{00000000-0005-0000-0000-00006FA70000}"/>
    <cellStyle name="Normal 4 4 2 4 4 2 2 2" xfId="49421" xr:uid="{00000000-0005-0000-0000-000070A70000}"/>
    <cellStyle name="Normal 4 4 2 4 4 2 3" xfId="39723" xr:uid="{00000000-0005-0000-0000-000071A70000}"/>
    <cellStyle name="Normal 4 4 2 4 4 3" xfId="25777" xr:uid="{00000000-0005-0000-0000-000072A70000}"/>
    <cellStyle name="Normal 4 4 2 4 4 3 2" xfId="44966" xr:uid="{00000000-0005-0000-0000-000073A70000}"/>
    <cellStyle name="Normal 4 4 2 4 4 4" xfId="35268" xr:uid="{00000000-0005-0000-0000-000074A70000}"/>
    <cellStyle name="Normal 4 4 2 4 5" xfId="17070" xr:uid="{00000000-0005-0000-0000-000075A70000}"/>
    <cellStyle name="Normal 4 4 2 4 5 2" xfId="21534" xr:uid="{00000000-0005-0000-0000-000076A70000}"/>
    <cellStyle name="Normal 4 4 2 4 5 2 2" xfId="31902" xr:uid="{00000000-0005-0000-0000-000077A70000}"/>
    <cellStyle name="Normal 4 4 2 4 5 2 2 2" xfId="51091" xr:uid="{00000000-0005-0000-0000-000078A70000}"/>
    <cellStyle name="Normal 4 4 2 4 5 2 3" xfId="41393" xr:uid="{00000000-0005-0000-0000-000079A70000}"/>
    <cellStyle name="Normal 4 4 2 4 5 3" xfId="27447" xr:uid="{00000000-0005-0000-0000-00007AA70000}"/>
    <cellStyle name="Normal 4 4 2 4 5 3 2" xfId="46636" xr:uid="{00000000-0005-0000-0000-00007BA70000}"/>
    <cellStyle name="Normal 4 4 2 4 5 4" xfId="36938" xr:uid="{00000000-0005-0000-0000-00007CA70000}"/>
    <cellStyle name="Normal 4 4 2 4 6" xfId="17636" xr:uid="{00000000-0005-0000-0000-00007DA70000}"/>
    <cellStyle name="Normal 4 4 2 4 6 2" xfId="22091" xr:uid="{00000000-0005-0000-0000-00007EA70000}"/>
    <cellStyle name="Normal 4 4 2 4 6 2 2" xfId="32459" xr:uid="{00000000-0005-0000-0000-00007FA70000}"/>
    <cellStyle name="Normal 4 4 2 4 6 2 2 2" xfId="51648" xr:uid="{00000000-0005-0000-0000-000080A70000}"/>
    <cellStyle name="Normal 4 4 2 4 6 2 3" xfId="41950" xr:uid="{00000000-0005-0000-0000-000081A70000}"/>
    <cellStyle name="Normal 4 4 2 4 6 3" xfId="28004" xr:uid="{00000000-0005-0000-0000-000082A70000}"/>
    <cellStyle name="Normal 4 4 2 4 6 3 2" xfId="47193" xr:uid="{00000000-0005-0000-0000-000083A70000}"/>
    <cellStyle name="Normal 4 4 2 4 6 4" xfId="37495" xr:uid="{00000000-0005-0000-0000-000084A70000}"/>
    <cellStyle name="Normal 4 4 2 4 7" xfId="18193" xr:uid="{00000000-0005-0000-0000-000085A70000}"/>
    <cellStyle name="Normal 4 4 2 4 7 2" xfId="28561" xr:uid="{00000000-0005-0000-0000-000086A70000}"/>
    <cellStyle name="Normal 4 4 2 4 7 2 2" xfId="47750" xr:uid="{00000000-0005-0000-0000-000087A70000}"/>
    <cellStyle name="Normal 4 4 2 4 7 3" xfId="38052" xr:uid="{00000000-0005-0000-0000-000088A70000}"/>
    <cellStyle name="Normal 4 4 2 4 8" xfId="24061" xr:uid="{00000000-0005-0000-0000-000089A70000}"/>
    <cellStyle name="Normal 4 4 2 4 8 2" xfId="43295" xr:uid="{00000000-0005-0000-0000-00008AA70000}"/>
    <cellStyle name="Normal 4 4 2 4 9" xfId="33597" xr:uid="{00000000-0005-0000-0000-00008BA70000}"/>
    <cellStyle name="Normal 4 4 2 5" xfId="14244" xr:uid="{00000000-0005-0000-0000-00008CA70000}"/>
    <cellStyle name="Normal 4 4 2 5 2" xfId="16508" xr:uid="{00000000-0005-0000-0000-00008DA70000}"/>
    <cellStyle name="Normal 4 4 2 5 2 2" xfId="20972" xr:uid="{00000000-0005-0000-0000-00008EA70000}"/>
    <cellStyle name="Normal 4 4 2 5 2 2 2" xfId="31340" xr:uid="{00000000-0005-0000-0000-00008FA70000}"/>
    <cellStyle name="Normal 4 4 2 5 2 2 2 2" xfId="50529" xr:uid="{00000000-0005-0000-0000-000090A70000}"/>
    <cellStyle name="Normal 4 4 2 5 2 2 3" xfId="40831" xr:uid="{00000000-0005-0000-0000-000091A70000}"/>
    <cellStyle name="Normal 4 4 2 5 2 3" xfId="26885" xr:uid="{00000000-0005-0000-0000-000092A70000}"/>
    <cellStyle name="Normal 4 4 2 5 2 3 2" xfId="46074" xr:uid="{00000000-0005-0000-0000-000093A70000}"/>
    <cellStyle name="Normal 4 4 2 5 2 4" xfId="36376" xr:uid="{00000000-0005-0000-0000-000094A70000}"/>
    <cellStyle name="Normal 4 4 2 5 3" xfId="18744" xr:uid="{00000000-0005-0000-0000-000095A70000}"/>
    <cellStyle name="Normal 4 4 2 5 3 2" xfId="29112" xr:uid="{00000000-0005-0000-0000-000096A70000}"/>
    <cellStyle name="Normal 4 4 2 5 3 2 2" xfId="48301" xr:uid="{00000000-0005-0000-0000-000097A70000}"/>
    <cellStyle name="Normal 4 4 2 5 3 3" xfId="38603" xr:uid="{00000000-0005-0000-0000-000098A70000}"/>
    <cellStyle name="Normal 4 4 2 5 4" xfId="24652" xr:uid="{00000000-0005-0000-0000-000099A70000}"/>
    <cellStyle name="Normal 4 4 2 5 4 2" xfId="43846" xr:uid="{00000000-0005-0000-0000-00009AA70000}"/>
    <cellStyle name="Normal 4 4 2 5 5" xfId="34148" xr:uid="{00000000-0005-0000-0000-00009BA70000}"/>
    <cellStyle name="Normal 4 4 2 6" xfId="14823" xr:uid="{00000000-0005-0000-0000-00009CA70000}"/>
    <cellStyle name="Normal 4 4 2 6 2" xfId="15952" xr:uid="{00000000-0005-0000-0000-00009DA70000}"/>
    <cellStyle name="Normal 4 4 2 6 2 2" xfId="20416" xr:uid="{00000000-0005-0000-0000-00009EA70000}"/>
    <cellStyle name="Normal 4 4 2 6 2 2 2" xfId="30784" xr:uid="{00000000-0005-0000-0000-00009FA70000}"/>
    <cellStyle name="Normal 4 4 2 6 2 2 2 2" xfId="49973" xr:uid="{00000000-0005-0000-0000-0000A0A70000}"/>
    <cellStyle name="Normal 4 4 2 6 2 2 3" xfId="40275" xr:uid="{00000000-0005-0000-0000-0000A1A70000}"/>
    <cellStyle name="Normal 4 4 2 6 2 3" xfId="26329" xr:uid="{00000000-0005-0000-0000-0000A2A70000}"/>
    <cellStyle name="Normal 4 4 2 6 2 3 2" xfId="45518" xr:uid="{00000000-0005-0000-0000-0000A3A70000}"/>
    <cellStyle name="Normal 4 4 2 6 2 4" xfId="35820" xr:uid="{00000000-0005-0000-0000-0000A4A70000}"/>
    <cellStyle name="Normal 4 4 2 6 3" xfId="19301" xr:uid="{00000000-0005-0000-0000-0000A5A70000}"/>
    <cellStyle name="Normal 4 4 2 6 3 2" xfId="29669" xr:uid="{00000000-0005-0000-0000-0000A6A70000}"/>
    <cellStyle name="Normal 4 4 2 6 3 2 2" xfId="48858" xr:uid="{00000000-0005-0000-0000-0000A7A70000}"/>
    <cellStyle name="Normal 4 4 2 6 3 3" xfId="39160" xr:uid="{00000000-0005-0000-0000-0000A8A70000}"/>
    <cellStyle name="Normal 4 4 2 6 4" xfId="25214" xr:uid="{00000000-0005-0000-0000-0000A9A70000}"/>
    <cellStyle name="Normal 4 4 2 6 4 2" xfId="44403" xr:uid="{00000000-0005-0000-0000-0000AAA70000}"/>
    <cellStyle name="Normal 4 4 2 6 5" xfId="34705" xr:uid="{00000000-0005-0000-0000-0000ABA70000}"/>
    <cellStyle name="Normal 4 4 2 7" xfId="15395" xr:uid="{00000000-0005-0000-0000-0000ACA70000}"/>
    <cellStyle name="Normal 4 4 2 7 2" xfId="19859" xr:uid="{00000000-0005-0000-0000-0000ADA70000}"/>
    <cellStyle name="Normal 4 4 2 7 2 2" xfId="30227" xr:uid="{00000000-0005-0000-0000-0000AEA70000}"/>
    <cellStyle name="Normal 4 4 2 7 2 2 2" xfId="49416" xr:uid="{00000000-0005-0000-0000-0000AFA70000}"/>
    <cellStyle name="Normal 4 4 2 7 2 3" xfId="39718" xr:uid="{00000000-0005-0000-0000-0000B0A70000}"/>
    <cellStyle name="Normal 4 4 2 7 3" xfId="25772" xr:uid="{00000000-0005-0000-0000-0000B1A70000}"/>
    <cellStyle name="Normal 4 4 2 7 3 2" xfId="44961" xr:uid="{00000000-0005-0000-0000-0000B2A70000}"/>
    <cellStyle name="Normal 4 4 2 7 4" xfId="35263" xr:uid="{00000000-0005-0000-0000-0000B3A70000}"/>
    <cellStyle name="Normal 4 4 2 8" xfId="17065" xr:uid="{00000000-0005-0000-0000-0000B4A70000}"/>
    <cellStyle name="Normal 4 4 2 8 2" xfId="21529" xr:uid="{00000000-0005-0000-0000-0000B5A70000}"/>
    <cellStyle name="Normal 4 4 2 8 2 2" xfId="31897" xr:uid="{00000000-0005-0000-0000-0000B6A70000}"/>
    <cellStyle name="Normal 4 4 2 8 2 2 2" xfId="51086" xr:uid="{00000000-0005-0000-0000-0000B7A70000}"/>
    <cellStyle name="Normal 4 4 2 8 2 3" xfId="41388" xr:uid="{00000000-0005-0000-0000-0000B8A70000}"/>
    <cellStyle name="Normal 4 4 2 8 3" xfId="27442" xr:uid="{00000000-0005-0000-0000-0000B9A70000}"/>
    <cellStyle name="Normal 4 4 2 8 3 2" xfId="46631" xr:uid="{00000000-0005-0000-0000-0000BAA70000}"/>
    <cellStyle name="Normal 4 4 2 8 4" xfId="36933" xr:uid="{00000000-0005-0000-0000-0000BBA70000}"/>
    <cellStyle name="Normal 4 4 2 9" xfId="17631" xr:uid="{00000000-0005-0000-0000-0000BCA70000}"/>
    <cellStyle name="Normal 4 4 2 9 2" xfId="22086" xr:uid="{00000000-0005-0000-0000-0000BDA70000}"/>
    <cellStyle name="Normal 4 4 2 9 2 2" xfId="32454" xr:uid="{00000000-0005-0000-0000-0000BEA70000}"/>
    <cellStyle name="Normal 4 4 2 9 2 2 2" xfId="51643" xr:uid="{00000000-0005-0000-0000-0000BFA70000}"/>
    <cellStyle name="Normal 4 4 2 9 2 3" xfId="41945" xr:uid="{00000000-0005-0000-0000-0000C0A70000}"/>
    <cellStyle name="Normal 4 4 2 9 3" xfId="27999" xr:uid="{00000000-0005-0000-0000-0000C1A70000}"/>
    <cellStyle name="Normal 4 4 2 9 3 2" xfId="47188" xr:uid="{00000000-0005-0000-0000-0000C2A70000}"/>
    <cellStyle name="Normal 4 4 2 9 4" xfId="37490" xr:uid="{00000000-0005-0000-0000-0000C3A70000}"/>
    <cellStyle name="Normal 4 4 3" xfId="4609" xr:uid="{00000000-0005-0000-0000-0000C4A70000}"/>
    <cellStyle name="Normal 4 4 3 10" xfId="24062" xr:uid="{00000000-0005-0000-0000-0000C5A70000}"/>
    <cellStyle name="Normal 4 4 3 10 2" xfId="43296" xr:uid="{00000000-0005-0000-0000-0000C6A70000}"/>
    <cellStyle name="Normal 4 4 3 11" xfId="33598" xr:uid="{00000000-0005-0000-0000-0000C7A70000}"/>
    <cellStyle name="Normal 4 4 3 12" xfId="52983" xr:uid="{00000000-0005-0000-0000-0000C8A70000}"/>
    <cellStyle name="Normal 4 4 3 13" xfId="13350" xr:uid="{00000000-0005-0000-0000-0000C9A70000}"/>
    <cellStyle name="Normal 4 4 3 2" xfId="13351" xr:uid="{00000000-0005-0000-0000-0000CAA70000}"/>
    <cellStyle name="Normal 4 4 3 2 10" xfId="53858" xr:uid="{00000000-0005-0000-0000-0000CBA70000}"/>
    <cellStyle name="Normal 4 4 3 2 2" xfId="14251" xr:uid="{00000000-0005-0000-0000-0000CCA70000}"/>
    <cellStyle name="Normal 4 4 3 2 2 2" xfId="16515" xr:uid="{00000000-0005-0000-0000-0000CDA70000}"/>
    <cellStyle name="Normal 4 4 3 2 2 2 2" xfId="20979" xr:uid="{00000000-0005-0000-0000-0000CEA70000}"/>
    <cellStyle name="Normal 4 4 3 2 2 2 2 2" xfId="31347" xr:uid="{00000000-0005-0000-0000-0000CFA70000}"/>
    <cellStyle name="Normal 4 4 3 2 2 2 2 2 2" xfId="50536" xr:uid="{00000000-0005-0000-0000-0000D0A70000}"/>
    <cellStyle name="Normal 4 4 3 2 2 2 2 3" xfId="40838" xr:uid="{00000000-0005-0000-0000-0000D1A70000}"/>
    <cellStyle name="Normal 4 4 3 2 2 2 3" xfId="26892" xr:uid="{00000000-0005-0000-0000-0000D2A70000}"/>
    <cellStyle name="Normal 4 4 3 2 2 2 3 2" xfId="46081" xr:uid="{00000000-0005-0000-0000-0000D3A70000}"/>
    <cellStyle name="Normal 4 4 3 2 2 2 4" xfId="36383" xr:uid="{00000000-0005-0000-0000-0000D4A70000}"/>
    <cellStyle name="Normal 4 4 3 2 2 3" xfId="18751" xr:uid="{00000000-0005-0000-0000-0000D5A70000}"/>
    <cellStyle name="Normal 4 4 3 2 2 3 2" xfId="29119" xr:uid="{00000000-0005-0000-0000-0000D6A70000}"/>
    <cellStyle name="Normal 4 4 3 2 2 3 2 2" xfId="48308" xr:uid="{00000000-0005-0000-0000-0000D7A70000}"/>
    <cellStyle name="Normal 4 4 3 2 2 3 3" xfId="38610" xr:uid="{00000000-0005-0000-0000-0000D8A70000}"/>
    <cellStyle name="Normal 4 4 3 2 2 4" xfId="24659" xr:uid="{00000000-0005-0000-0000-0000D9A70000}"/>
    <cellStyle name="Normal 4 4 3 2 2 4 2" xfId="43853" xr:uid="{00000000-0005-0000-0000-0000DAA70000}"/>
    <cellStyle name="Normal 4 4 3 2 2 5" xfId="34155" xr:uid="{00000000-0005-0000-0000-0000DBA70000}"/>
    <cellStyle name="Normal 4 4 3 2 3" xfId="14830" xr:uid="{00000000-0005-0000-0000-0000DCA70000}"/>
    <cellStyle name="Normal 4 4 3 2 3 2" xfId="15959" xr:uid="{00000000-0005-0000-0000-0000DDA70000}"/>
    <cellStyle name="Normal 4 4 3 2 3 2 2" xfId="20423" xr:uid="{00000000-0005-0000-0000-0000DEA70000}"/>
    <cellStyle name="Normal 4 4 3 2 3 2 2 2" xfId="30791" xr:uid="{00000000-0005-0000-0000-0000DFA70000}"/>
    <cellStyle name="Normal 4 4 3 2 3 2 2 2 2" xfId="49980" xr:uid="{00000000-0005-0000-0000-0000E0A70000}"/>
    <cellStyle name="Normal 4 4 3 2 3 2 2 3" xfId="40282" xr:uid="{00000000-0005-0000-0000-0000E1A70000}"/>
    <cellStyle name="Normal 4 4 3 2 3 2 3" xfId="26336" xr:uid="{00000000-0005-0000-0000-0000E2A70000}"/>
    <cellStyle name="Normal 4 4 3 2 3 2 3 2" xfId="45525" xr:uid="{00000000-0005-0000-0000-0000E3A70000}"/>
    <cellStyle name="Normal 4 4 3 2 3 2 4" xfId="35827" xr:uid="{00000000-0005-0000-0000-0000E4A70000}"/>
    <cellStyle name="Normal 4 4 3 2 3 3" xfId="19308" xr:uid="{00000000-0005-0000-0000-0000E5A70000}"/>
    <cellStyle name="Normal 4 4 3 2 3 3 2" xfId="29676" xr:uid="{00000000-0005-0000-0000-0000E6A70000}"/>
    <cellStyle name="Normal 4 4 3 2 3 3 2 2" xfId="48865" xr:uid="{00000000-0005-0000-0000-0000E7A70000}"/>
    <cellStyle name="Normal 4 4 3 2 3 3 3" xfId="39167" xr:uid="{00000000-0005-0000-0000-0000E8A70000}"/>
    <cellStyle name="Normal 4 4 3 2 3 4" xfId="25221" xr:uid="{00000000-0005-0000-0000-0000E9A70000}"/>
    <cellStyle name="Normal 4 4 3 2 3 4 2" xfId="44410" xr:uid="{00000000-0005-0000-0000-0000EAA70000}"/>
    <cellStyle name="Normal 4 4 3 2 3 5" xfId="34712" xr:uid="{00000000-0005-0000-0000-0000EBA70000}"/>
    <cellStyle name="Normal 4 4 3 2 4" xfId="15402" xr:uid="{00000000-0005-0000-0000-0000ECA70000}"/>
    <cellStyle name="Normal 4 4 3 2 4 2" xfId="19866" xr:uid="{00000000-0005-0000-0000-0000EDA70000}"/>
    <cellStyle name="Normal 4 4 3 2 4 2 2" xfId="30234" xr:uid="{00000000-0005-0000-0000-0000EEA70000}"/>
    <cellStyle name="Normal 4 4 3 2 4 2 2 2" xfId="49423" xr:uid="{00000000-0005-0000-0000-0000EFA70000}"/>
    <cellStyle name="Normal 4 4 3 2 4 2 3" xfId="39725" xr:uid="{00000000-0005-0000-0000-0000F0A70000}"/>
    <cellStyle name="Normal 4 4 3 2 4 3" xfId="25779" xr:uid="{00000000-0005-0000-0000-0000F1A70000}"/>
    <cellStyle name="Normal 4 4 3 2 4 3 2" xfId="44968" xr:uid="{00000000-0005-0000-0000-0000F2A70000}"/>
    <cellStyle name="Normal 4 4 3 2 4 4" xfId="35270" xr:uid="{00000000-0005-0000-0000-0000F3A70000}"/>
    <cellStyle name="Normal 4 4 3 2 5" xfId="17072" xr:uid="{00000000-0005-0000-0000-0000F4A70000}"/>
    <cellStyle name="Normal 4 4 3 2 5 2" xfId="21536" xr:uid="{00000000-0005-0000-0000-0000F5A70000}"/>
    <cellStyle name="Normal 4 4 3 2 5 2 2" xfId="31904" xr:uid="{00000000-0005-0000-0000-0000F6A70000}"/>
    <cellStyle name="Normal 4 4 3 2 5 2 2 2" xfId="51093" xr:uid="{00000000-0005-0000-0000-0000F7A70000}"/>
    <cellStyle name="Normal 4 4 3 2 5 2 3" xfId="41395" xr:uid="{00000000-0005-0000-0000-0000F8A70000}"/>
    <cellStyle name="Normal 4 4 3 2 5 3" xfId="27449" xr:uid="{00000000-0005-0000-0000-0000F9A70000}"/>
    <cellStyle name="Normal 4 4 3 2 5 3 2" xfId="46638" xr:uid="{00000000-0005-0000-0000-0000FAA70000}"/>
    <cellStyle name="Normal 4 4 3 2 5 4" xfId="36940" xr:uid="{00000000-0005-0000-0000-0000FBA70000}"/>
    <cellStyle name="Normal 4 4 3 2 6" xfId="17638" xr:uid="{00000000-0005-0000-0000-0000FCA70000}"/>
    <cellStyle name="Normal 4 4 3 2 6 2" xfId="22093" xr:uid="{00000000-0005-0000-0000-0000FDA70000}"/>
    <cellStyle name="Normal 4 4 3 2 6 2 2" xfId="32461" xr:uid="{00000000-0005-0000-0000-0000FEA70000}"/>
    <cellStyle name="Normal 4 4 3 2 6 2 2 2" xfId="51650" xr:uid="{00000000-0005-0000-0000-0000FFA70000}"/>
    <cellStyle name="Normal 4 4 3 2 6 2 3" xfId="41952" xr:uid="{00000000-0005-0000-0000-000000A80000}"/>
    <cellStyle name="Normal 4 4 3 2 6 3" xfId="28006" xr:uid="{00000000-0005-0000-0000-000001A80000}"/>
    <cellStyle name="Normal 4 4 3 2 6 3 2" xfId="47195" xr:uid="{00000000-0005-0000-0000-000002A80000}"/>
    <cellStyle name="Normal 4 4 3 2 6 4" xfId="37497" xr:uid="{00000000-0005-0000-0000-000003A80000}"/>
    <cellStyle name="Normal 4 4 3 2 7" xfId="18195" xr:uid="{00000000-0005-0000-0000-000004A80000}"/>
    <cellStyle name="Normal 4 4 3 2 7 2" xfId="28563" xr:uid="{00000000-0005-0000-0000-000005A80000}"/>
    <cellStyle name="Normal 4 4 3 2 7 2 2" xfId="47752" xr:uid="{00000000-0005-0000-0000-000006A80000}"/>
    <cellStyle name="Normal 4 4 3 2 7 3" xfId="38054" xr:uid="{00000000-0005-0000-0000-000007A80000}"/>
    <cellStyle name="Normal 4 4 3 2 8" xfId="24063" xr:uid="{00000000-0005-0000-0000-000008A80000}"/>
    <cellStyle name="Normal 4 4 3 2 8 2" xfId="43297" xr:uid="{00000000-0005-0000-0000-000009A80000}"/>
    <cellStyle name="Normal 4 4 3 2 9" xfId="33599" xr:uid="{00000000-0005-0000-0000-00000AA80000}"/>
    <cellStyle name="Normal 4 4 3 3" xfId="13352" xr:uid="{00000000-0005-0000-0000-00000BA80000}"/>
    <cellStyle name="Normal 4 4 3 3 2" xfId="14252" xr:uid="{00000000-0005-0000-0000-00000CA80000}"/>
    <cellStyle name="Normal 4 4 3 3 2 2" xfId="16516" xr:uid="{00000000-0005-0000-0000-00000DA80000}"/>
    <cellStyle name="Normal 4 4 3 3 2 2 2" xfId="20980" xr:uid="{00000000-0005-0000-0000-00000EA80000}"/>
    <cellStyle name="Normal 4 4 3 3 2 2 2 2" xfId="31348" xr:uid="{00000000-0005-0000-0000-00000FA80000}"/>
    <cellStyle name="Normal 4 4 3 3 2 2 2 2 2" xfId="50537" xr:uid="{00000000-0005-0000-0000-000010A80000}"/>
    <cellStyle name="Normal 4 4 3 3 2 2 2 3" xfId="40839" xr:uid="{00000000-0005-0000-0000-000011A80000}"/>
    <cellStyle name="Normal 4 4 3 3 2 2 3" xfId="26893" xr:uid="{00000000-0005-0000-0000-000012A80000}"/>
    <cellStyle name="Normal 4 4 3 3 2 2 3 2" xfId="46082" xr:uid="{00000000-0005-0000-0000-000013A80000}"/>
    <cellStyle name="Normal 4 4 3 3 2 2 4" xfId="36384" xr:uid="{00000000-0005-0000-0000-000014A80000}"/>
    <cellStyle name="Normal 4 4 3 3 2 3" xfId="18752" xr:uid="{00000000-0005-0000-0000-000015A80000}"/>
    <cellStyle name="Normal 4 4 3 3 2 3 2" xfId="29120" xr:uid="{00000000-0005-0000-0000-000016A80000}"/>
    <cellStyle name="Normal 4 4 3 3 2 3 2 2" xfId="48309" xr:uid="{00000000-0005-0000-0000-000017A80000}"/>
    <cellStyle name="Normal 4 4 3 3 2 3 3" xfId="38611" xr:uid="{00000000-0005-0000-0000-000018A80000}"/>
    <cellStyle name="Normal 4 4 3 3 2 4" xfId="24660" xr:uid="{00000000-0005-0000-0000-000019A80000}"/>
    <cellStyle name="Normal 4 4 3 3 2 4 2" xfId="43854" xr:uid="{00000000-0005-0000-0000-00001AA80000}"/>
    <cellStyle name="Normal 4 4 3 3 2 5" xfId="34156" xr:uid="{00000000-0005-0000-0000-00001BA80000}"/>
    <cellStyle name="Normal 4 4 3 3 3" xfId="14831" xr:uid="{00000000-0005-0000-0000-00001CA80000}"/>
    <cellStyle name="Normal 4 4 3 3 3 2" xfId="15960" xr:uid="{00000000-0005-0000-0000-00001DA80000}"/>
    <cellStyle name="Normal 4 4 3 3 3 2 2" xfId="20424" xr:uid="{00000000-0005-0000-0000-00001EA80000}"/>
    <cellStyle name="Normal 4 4 3 3 3 2 2 2" xfId="30792" xr:uid="{00000000-0005-0000-0000-00001FA80000}"/>
    <cellStyle name="Normal 4 4 3 3 3 2 2 2 2" xfId="49981" xr:uid="{00000000-0005-0000-0000-000020A80000}"/>
    <cellStyle name="Normal 4 4 3 3 3 2 2 3" xfId="40283" xr:uid="{00000000-0005-0000-0000-000021A80000}"/>
    <cellStyle name="Normal 4 4 3 3 3 2 3" xfId="26337" xr:uid="{00000000-0005-0000-0000-000022A80000}"/>
    <cellStyle name="Normal 4 4 3 3 3 2 3 2" xfId="45526" xr:uid="{00000000-0005-0000-0000-000023A80000}"/>
    <cellStyle name="Normal 4 4 3 3 3 2 4" xfId="35828" xr:uid="{00000000-0005-0000-0000-000024A80000}"/>
    <cellStyle name="Normal 4 4 3 3 3 3" xfId="19309" xr:uid="{00000000-0005-0000-0000-000025A80000}"/>
    <cellStyle name="Normal 4 4 3 3 3 3 2" xfId="29677" xr:uid="{00000000-0005-0000-0000-000026A80000}"/>
    <cellStyle name="Normal 4 4 3 3 3 3 2 2" xfId="48866" xr:uid="{00000000-0005-0000-0000-000027A80000}"/>
    <cellStyle name="Normal 4 4 3 3 3 3 3" xfId="39168" xr:uid="{00000000-0005-0000-0000-000028A80000}"/>
    <cellStyle name="Normal 4 4 3 3 3 4" xfId="25222" xr:uid="{00000000-0005-0000-0000-000029A80000}"/>
    <cellStyle name="Normal 4 4 3 3 3 4 2" xfId="44411" xr:uid="{00000000-0005-0000-0000-00002AA80000}"/>
    <cellStyle name="Normal 4 4 3 3 3 5" xfId="34713" xr:uid="{00000000-0005-0000-0000-00002BA80000}"/>
    <cellStyle name="Normal 4 4 3 3 4" xfId="15403" xr:uid="{00000000-0005-0000-0000-00002CA80000}"/>
    <cellStyle name="Normal 4 4 3 3 4 2" xfId="19867" xr:uid="{00000000-0005-0000-0000-00002DA80000}"/>
    <cellStyle name="Normal 4 4 3 3 4 2 2" xfId="30235" xr:uid="{00000000-0005-0000-0000-00002EA80000}"/>
    <cellStyle name="Normal 4 4 3 3 4 2 2 2" xfId="49424" xr:uid="{00000000-0005-0000-0000-00002FA80000}"/>
    <cellStyle name="Normal 4 4 3 3 4 2 3" xfId="39726" xr:uid="{00000000-0005-0000-0000-000030A80000}"/>
    <cellStyle name="Normal 4 4 3 3 4 3" xfId="25780" xr:uid="{00000000-0005-0000-0000-000031A80000}"/>
    <cellStyle name="Normal 4 4 3 3 4 3 2" xfId="44969" xr:uid="{00000000-0005-0000-0000-000032A80000}"/>
    <cellStyle name="Normal 4 4 3 3 4 4" xfId="35271" xr:uid="{00000000-0005-0000-0000-000033A80000}"/>
    <cellStyle name="Normal 4 4 3 3 5" xfId="17073" xr:uid="{00000000-0005-0000-0000-000034A80000}"/>
    <cellStyle name="Normal 4 4 3 3 5 2" xfId="21537" xr:uid="{00000000-0005-0000-0000-000035A80000}"/>
    <cellStyle name="Normal 4 4 3 3 5 2 2" xfId="31905" xr:uid="{00000000-0005-0000-0000-000036A80000}"/>
    <cellStyle name="Normal 4 4 3 3 5 2 2 2" xfId="51094" xr:uid="{00000000-0005-0000-0000-000037A80000}"/>
    <cellStyle name="Normal 4 4 3 3 5 2 3" xfId="41396" xr:uid="{00000000-0005-0000-0000-000038A80000}"/>
    <cellStyle name="Normal 4 4 3 3 5 3" xfId="27450" xr:uid="{00000000-0005-0000-0000-000039A80000}"/>
    <cellStyle name="Normal 4 4 3 3 5 3 2" xfId="46639" xr:uid="{00000000-0005-0000-0000-00003AA80000}"/>
    <cellStyle name="Normal 4 4 3 3 5 4" xfId="36941" xr:uid="{00000000-0005-0000-0000-00003BA80000}"/>
    <cellStyle name="Normal 4 4 3 3 6" xfId="17639" xr:uid="{00000000-0005-0000-0000-00003CA80000}"/>
    <cellStyle name="Normal 4 4 3 3 6 2" xfId="22094" xr:uid="{00000000-0005-0000-0000-00003DA80000}"/>
    <cellStyle name="Normal 4 4 3 3 6 2 2" xfId="32462" xr:uid="{00000000-0005-0000-0000-00003EA80000}"/>
    <cellStyle name="Normal 4 4 3 3 6 2 2 2" xfId="51651" xr:uid="{00000000-0005-0000-0000-00003FA80000}"/>
    <cellStyle name="Normal 4 4 3 3 6 2 3" xfId="41953" xr:uid="{00000000-0005-0000-0000-000040A80000}"/>
    <cellStyle name="Normal 4 4 3 3 6 3" xfId="28007" xr:uid="{00000000-0005-0000-0000-000041A80000}"/>
    <cellStyle name="Normal 4 4 3 3 6 3 2" xfId="47196" xr:uid="{00000000-0005-0000-0000-000042A80000}"/>
    <cellStyle name="Normal 4 4 3 3 6 4" xfId="37498" xr:uid="{00000000-0005-0000-0000-000043A80000}"/>
    <cellStyle name="Normal 4 4 3 3 7" xfId="18196" xr:uid="{00000000-0005-0000-0000-000044A80000}"/>
    <cellStyle name="Normal 4 4 3 3 7 2" xfId="28564" xr:uid="{00000000-0005-0000-0000-000045A80000}"/>
    <cellStyle name="Normal 4 4 3 3 7 2 2" xfId="47753" xr:uid="{00000000-0005-0000-0000-000046A80000}"/>
    <cellStyle name="Normal 4 4 3 3 7 3" xfId="38055" xr:uid="{00000000-0005-0000-0000-000047A80000}"/>
    <cellStyle name="Normal 4 4 3 3 8" xfId="24064" xr:uid="{00000000-0005-0000-0000-000048A80000}"/>
    <cellStyle name="Normal 4 4 3 3 8 2" xfId="43298" xr:uid="{00000000-0005-0000-0000-000049A80000}"/>
    <cellStyle name="Normal 4 4 3 3 9" xfId="33600" xr:uid="{00000000-0005-0000-0000-00004AA80000}"/>
    <cellStyle name="Normal 4 4 3 4" xfId="14250" xr:uid="{00000000-0005-0000-0000-00004BA80000}"/>
    <cellStyle name="Normal 4 4 3 4 2" xfId="16514" xr:uid="{00000000-0005-0000-0000-00004CA80000}"/>
    <cellStyle name="Normal 4 4 3 4 2 2" xfId="20978" xr:uid="{00000000-0005-0000-0000-00004DA80000}"/>
    <cellStyle name="Normal 4 4 3 4 2 2 2" xfId="31346" xr:uid="{00000000-0005-0000-0000-00004EA80000}"/>
    <cellStyle name="Normal 4 4 3 4 2 2 2 2" xfId="50535" xr:uid="{00000000-0005-0000-0000-00004FA80000}"/>
    <cellStyle name="Normal 4 4 3 4 2 2 3" xfId="40837" xr:uid="{00000000-0005-0000-0000-000050A80000}"/>
    <cellStyle name="Normal 4 4 3 4 2 3" xfId="26891" xr:uid="{00000000-0005-0000-0000-000051A80000}"/>
    <cellStyle name="Normal 4 4 3 4 2 3 2" xfId="46080" xr:uid="{00000000-0005-0000-0000-000052A80000}"/>
    <cellStyle name="Normal 4 4 3 4 2 4" xfId="36382" xr:uid="{00000000-0005-0000-0000-000053A80000}"/>
    <cellStyle name="Normal 4 4 3 4 3" xfId="18750" xr:uid="{00000000-0005-0000-0000-000054A80000}"/>
    <cellStyle name="Normal 4 4 3 4 3 2" xfId="29118" xr:uid="{00000000-0005-0000-0000-000055A80000}"/>
    <cellStyle name="Normal 4 4 3 4 3 2 2" xfId="48307" xr:uid="{00000000-0005-0000-0000-000056A80000}"/>
    <cellStyle name="Normal 4 4 3 4 3 3" xfId="38609" xr:uid="{00000000-0005-0000-0000-000057A80000}"/>
    <cellStyle name="Normal 4 4 3 4 4" xfId="24658" xr:uid="{00000000-0005-0000-0000-000058A80000}"/>
    <cellStyle name="Normal 4 4 3 4 4 2" xfId="43852" xr:uid="{00000000-0005-0000-0000-000059A80000}"/>
    <cellStyle name="Normal 4 4 3 4 5" xfId="34154" xr:uid="{00000000-0005-0000-0000-00005AA80000}"/>
    <cellStyle name="Normal 4 4 3 5" xfId="14829" xr:uid="{00000000-0005-0000-0000-00005BA80000}"/>
    <cellStyle name="Normal 4 4 3 5 2" xfId="15958" xr:uid="{00000000-0005-0000-0000-00005CA80000}"/>
    <cellStyle name="Normal 4 4 3 5 2 2" xfId="20422" xr:uid="{00000000-0005-0000-0000-00005DA80000}"/>
    <cellStyle name="Normal 4 4 3 5 2 2 2" xfId="30790" xr:uid="{00000000-0005-0000-0000-00005EA80000}"/>
    <cellStyle name="Normal 4 4 3 5 2 2 2 2" xfId="49979" xr:uid="{00000000-0005-0000-0000-00005FA80000}"/>
    <cellStyle name="Normal 4 4 3 5 2 2 3" xfId="40281" xr:uid="{00000000-0005-0000-0000-000060A80000}"/>
    <cellStyle name="Normal 4 4 3 5 2 3" xfId="26335" xr:uid="{00000000-0005-0000-0000-000061A80000}"/>
    <cellStyle name="Normal 4 4 3 5 2 3 2" xfId="45524" xr:uid="{00000000-0005-0000-0000-000062A80000}"/>
    <cellStyle name="Normal 4 4 3 5 2 4" xfId="35826" xr:uid="{00000000-0005-0000-0000-000063A80000}"/>
    <cellStyle name="Normal 4 4 3 5 3" xfId="19307" xr:uid="{00000000-0005-0000-0000-000064A80000}"/>
    <cellStyle name="Normal 4 4 3 5 3 2" xfId="29675" xr:uid="{00000000-0005-0000-0000-000065A80000}"/>
    <cellStyle name="Normal 4 4 3 5 3 2 2" xfId="48864" xr:uid="{00000000-0005-0000-0000-000066A80000}"/>
    <cellStyle name="Normal 4 4 3 5 3 3" xfId="39166" xr:uid="{00000000-0005-0000-0000-000067A80000}"/>
    <cellStyle name="Normal 4 4 3 5 4" xfId="25220" xr:uid="{00000000-0005-0000-0000-000068A80000}"/>
    <cellStyle name="Normal 4 4 3 5 4 2" xfId="44409" xr:uid="{00000000-0005-0000-0000-000069A80000}"/>
    <cellStyle name="Normal 4 4 3 5 5" xfId="34711" xr:uid="{00000000-0005-0000-0000-00006AA80000}"/>
    <cellStyle name="Normal 4 4 3 6" xfId="15401" xr:uid="{00000000-0005-0000-0000-00006BA80000}"/>
    <cellStyle name="Normal 4 4 3 6 2" xfId="19865" xr:uid="{00000000-0005-0000-0000-00006CA80000}"/>
    <cellStyle name="Normal 4 4 3 6 2 2" xfId="30233" xr:uid="{00000000-0005-0000-0000-00006DA80000}"/>
    <cellStyle name="Normal 4 4 3 6 2 2 2" xfId="49422" xr:uid="{00000000-0005-0000-0000-00006EA80000}"/>
    <cellStyle name="Normal 4 4 3 6 2 3" xfId="39724" xr:uid="{00000000-0005-0000-0000-00006FA80000}"/>
    <cellStyle name="Normal 4 4 3 6 3" xfId="25778" xr:uid="{00000000-0005-0000-0000-000070A80000}"/>
    <cellStyle name="Normal 4 4 3 6 3 2" xfId="44967" xr:uid="{00000000-0005-0000-0000-000071A80000}"/>
    <cellStyle name="Normal 4 4 3 6 4" xfId="35269" xr:uid="{00000000-0005-0000-0000-000072A80000}"/>
    <cellStyle name="Normal 4 4 3 7" xfId="17071" xr:uid="{00000000-0005-0000-0000-000073A80000}"/>
    <cellStyle name="Normal 4 4 3 7 2" xfId="21535" xr:uid="{00000000-0005-0000-0000-000074A80000}"/>
    <cellStyle name="Normal 4 4 3 7 2 2" xfId="31903" xr:uid="{00000000-0005-0000-0000-000075A80000}"/>
    <cellStyle name="Normal 4 4 3 7 2 2 2" xfId="51092" xr:uid="{00000000-0005-0000-0000-000076A80000}"/>
    <cellStyle name="Normal 4 4 3 7 2 3" xfId="41394" xr:uid="{00000000-0005-0000-0000-000077A80000}"/>
    <cellStyle name="Normal 4 4 3 7 3" xfId="27448" xr:uid="{00000000-0005-0000-0000-000078A80000}"/>
    <cellStyle name="Normal 4 4 3 7 3 2" xfId="46637" xr:uid="{00000000-0005-0000-0000-000079A80000}"/>
    <cellStyle name="Normal 4 4 3 7 4" xfId="36939" xr:uid="{00000000-0005-0000-0000-00007AA80000}"/>
    <cellStyle name="Normal 4 4 3 8" xfId="17637" xr:uid="{00000000-0005-0000-0000-00007BA80000}"/>
    <cellStyle name="Normal 4 4 3 8 2" xfId="22092" xr:uid="{00000000-0005-0000-0000-00007CA80000}"/>
    <cellStyle name="Normal 4 4 3 8 2 2" xfId="32460" xr:uid="{00000000-0005-0000-0000-00007DA80000}"/>
    <cellStyle name="Normal 4 4 3 8 2 2 2" xfId="51649" xr:uid="{00000000-0005-0000-0000-00007EA80000}"/>
    <cellStyle name="Normal 4 4 3 8 2 3" xfId="41951" xr:uid="{00000000-0005-0000-0000-00007FA80000}"/>
    <cellStyle name="Normal 4 4 3 8 3" xfId="28005" xr:uid="{00000000-0005-0000-0000-000080A80000}"/>
    <cellStyle name="Normal 4 4 3 8 3 2" xfId="47194" xr:uid="{00000000-0005-0000-0000-000081A80000}"/>
    <cellStyle name="Normal 4 4 3 8 4" xfId="37496" xr:uid="{00000000-0005-0000-0000-000082A80000}"/>
    <cellStyle name="Normal 4 4 3 9" xfId="18194" xr:uid="{00000000-0005-0000-0000-000083A80000}"/>
    <cellStyle name="Normal 4 4 3 9 2" xfId="28562" xr:uid="{00000000-0005-0000-0000-000084A80000}"/>
    <cellStyle name="Normal 4 4 3 9 2 2" xfId="47751" xr:uid="{00000000-0005-0000-0000-000085A80000}"/>
    <cellStyle name="Normal 4 4 3 9 3" xfId="38053" xr:uid="{00000000-0005-0000-0000-000086A80000}"/>
    <cellStyle name="Normal 4 4 4" xfId="4610" xr:uid="{00000000-0005-0000-0000-000087A80000}"/>
    <cellStyle name="Normal 4 4 4 10" xfId="53462" xr:uid="{00000000-0005-0000-0000-000088A80000}"/>
    <cellStyle name="Normal 4 4 4 11" xfId="13353" xr:uid="{00000000-0005-0000-0000-000089A80000}"/>
    <cellStyle name="Normal 4 4 4 2" xfId="14253" xr:uid="{00000000-0005-0000-0000-00008AA80000}"/>
    <cellStyle name="Normal 4 4 4 2 2" xfId="16517" xr:uid="{00000000-0005-0000-0000-00008BA80000}"/>
    <cellStyle name="Normal 4 4 4 2 2 2" xfId="20981" xr:uid="{00000000-0005-0000-0000-00008CA80000}"/>
    <cellStyle name="Normal 4 4 4 2 2 2 2" xfId="31349" xr:uid="{00000000-0005-0000-0000-00008DA80000}"/>
    <cellStyle name="Normal 4 4 4 2 2 2 2 2" xfId="50538" xr:uid="{00000000-0005-0000-0000-00008EA80000}"/>
    <cellStyle name="Normal 4 4 4 2 2 2 3" xfId="40840" xr:uid="{00000000-0005-0000-0000-00008FA80000}"/>
    <cellStyle name="Normal 4 4 4 2 2 3" xfId="26894" xr:uid="{00000000-0005-0000-0000-000090A80000}"/>
    <cellStyle name="Normal 4 4 4 2 2 3 2" xfId="46083" xr:uid="{00000000-0005-0000-0000-000091A80000}"/>
    <cellStyle name="Normal 4 4 4 2 2 4" xfId="36385" xr:uid="{00000000-0005-0000-0000-000092A80000}"/>
    <cellStyle name="Normal 4 4 4 2 3" xfId="18753" xr:uid="{00000000-0005-0000-0000-000093A80000}"/>
    <cellStyle name="Normal 4 4 4 2 3 2" xfId="29121" xr:uid="{00000000-0005-0000-0000-000094A80000}"/>
    <cellStyle name="Normal 4 4 4 2 3 2 2" xfId="48310" xr:uid="{00000000-0005-0000-0000-000095A80000}"/>
    <cellStyle name="Normal 4 4 4 2 3 3" xfId="38612" xr:uid="{00000000-0005-0000-0000-000096A80000}"/>
    <cellStyle name="Normal 4 4 4 2 4" xfId="24661" xr:uid="{00000000-0005-0000-0000-000097A80000}"/>
    <cellStyle name="Normal 4 4 4 2 4 2" xfId="43855" xr:uid="{00000000-0005-0000-0000-000098A80000}"/>
    <cellStyle name="Normal 4 4 4 2 5" xfId="34157" xr:uid="{00000000-0005-0000-0000-000099A80000}"/>
    <cellStyle name="Normal 4 4 4 3" xfId="14832" xr:uid="{00000000-0005-0000-0000-00009AA80000}"/>
    <cellStyle name="Normal 4 4 4 3 2" xfId="15961" xr:uid="{00000000-0005-0000-0000-00009BA80000}"/>
    <cellStyle name="Normal 4 4 4 3 2 2" xfId="20425" xr:uid="{00000000-0005-0000-0000-00009CA80000}"/>
    <cellStyle name="Normal 4 4 4 3 2 2 2" xfId="30793" xr:uid="{00000000-0005-0000-0000-00009DA80000}"/>
    <cellStyle name="Normal 4 4 4 3 2 2 2 2" xfId="49982" xr:uid="{00000000-0005-0000-0000-00009EA80000}"/>
    <cellStyle name="Normal 4 4 4 3 2 2 3" xfId="40284" xr:uid="{00000000-0005-0000-0000-00009FA80000}"/>
    <cellStyle name="Normal 4 4 4 3 2 3" xfId="26338" xr:uid="{00000000-0005-0000-0000-0000A0A80000}"/>
    <cellStyle name="Normal 4 4 4 3 2 3 2" xfId="45527" xr:uid="{00000000-0005-0000-0000-0000A1A80000}"/>
    <cellStyle name="Normal 4 4 4 3 2 4" xfId="35829" xr:uid="{00000000-0005-0000-0000-0000A2A80000}"/>
    <cellStyle name="Normal 4 4 4 3 3" xfId="19310" xr:uid="{00000000-0005-0000-0000-0000A3A80000}"/>
    <cellStyle name="Normal 4 4 4 3 3 2" xfId="29678" xr:uid="{00000000-0005-0000-0000-0000A4A80000}"/>
    <cellStyle name="Normal 4 4 4 3 3 2 2" xfId="48867" xr:uid="{00000000-0005-0000-0000-0000A5A80000}"/>
    <cellStyle name="Normal 4 4 4 3 3 3" xfId="39169" xr:uid="{00000000-0005-0000-0000-0000A6A80000}"/>
    <cellStyle name="Normal 4 4 4 3 4" xfId="25223" xr:uid="{00000000-0005-0000-0000-0000A7A80000}"/>
    <cellStyle name="Normal 4 4 4 3 4 2" xfId="44412" xr:uid="{00000000-0005-0000-0000-0000A8A80000}"/>
    <cellStyle name="Normal 4 4 4 3 5" xfId="34714" xr:uid="{00000000-0005-0000-0000-0000A9A80000}"/>
    <cellStyle name="Normal 4 4 4 4" xfId="15404" xr:uid="{00000000-0005-0000-0000-0000AAA80000}"/>
    <cellStyle name="Normal 4 4 4 4 2" xfId="19868" xr:uid="{00000000-0005-0000-0000-0000ABA80000}"/>
    <cellStyle name="Normal 4 4 4 4 2 2" xfId="30236" xr:uid="{00000000-0005-0000-0000-0000ACA80000}"/>
    <cellStyle name="Normal 4 4 4 4 2 2 2" xfId="49425" xr:uid="{00000000-0005-0000-0000-0000ADA80000}"/>
    <cellStyle name="Normal 4 4 4 4 2 3" xfId="39727" xr:uid="{00000000-0005-0000-0000-0000AEA80000}"/>
    <cellStyle name="Normal 4 4 4 4 3" xfId="25781" xr:uid="{00000000-0005-0000-0000-0000AFA80000}"/>
    <cellStyle name="Normal 4 4 4 4 3 2" xfId="44970" xr:uid="{00000000-0005-0000-0000-0000B0A80000}"/>
    <cellStyle name="Normal 4 4 4 4 4" xfId="35272" xr:uid="{00000000-0005-0000-0000-0000B1A80000}"/>
    <cellStyle name="Normal 4 4 4 5" xfId="17074" xr:uid="{00000000-0005-0000-0000-0000B2A80000}"/>
    <cellStyle name="Normal 4 4 4 5 2" xfId="21538" xr:uid="{00000000-0005-0000-0000-0000B3A80000}"/>
    <cellStyle name="Normal 4 4 4 5 2 2" xfId="31906" xr:uid="{00000000-0005-0000-0000-0000B4A80000}"/>
    <cellStyle name="Normal 4 4 4 5 2 2 2" xfId="51095" xr:uid="{00000000-0005-0000-0000-0000B5A80000}"/>
    <cellStyle name="Normal 4 4 4 5 2 3" xfId="41397" xr:uid="{00000000-0005-0000-0000-0000B6A80000}"/>
    <cellStyle name="Normal 4 4 4 5 3" xfId="27451" xr:uid="{00000000-0005-0000-0000-0000B7A80000}"/>
    <cellStyle name="Normal 4 4 4 5 3 2" xfId="46640" xr:uid="{00000000-0005-0000-0000-0000B8A80000}"/>
    <cellStyle name="Normal 4 4 4 5 4" xfId="36942" xr:uid="{00000000-0005-0000-0000-0000B9A80000}"/>
    <cellStyle name="Normal 4 4 4 6" xfId="17640" xr:uid="{00000000-0005-0000-0000-0000BAA80000}"/>
    <cellStyle name="Normal 4 4 4 6 2" xfId="22095" xr:uid="{00000000-0005-0000-0000-0000BBA80000}"/>
    <cellStyle name="Normal 4 4 4 6 2 2" xfId="32463" xr:uid="{00000000-0005-0000-0000-0000BCA80000}"/>
    <cellStyle name="Normal 4 4 4 6 2 2 2" xfId="51652" xr:uid="{00000000-0005-0000-0000-0000BDA80000}"/>
    <cellStyle name="Normal 4 4 4 6 2 3" xfId="41954" xr:uid="{00000000-0005-0000-0000-0000BEA80000}"/>
    <cellStyle name="Normal 4 4 4 6 3" xfId="28008" xr:uid="{00000000-0005-0000-0000-0000BFA80000}"/>
    <cellStyle name="Normal 4 4 4 6 3 2" xfId="47197" xr:uid="{00000000-0005-0000-0000-0000C0A80000}"/>
    <cellStyle name="Normal 4 4 4 6 4" xfId="37499" xr:uid="{00000000-0005-0000-0000-0000C1A80000}"/>
    <cellStyle name="Normal 4 4 4 7" xfId="18197" xr:uid="{00000000-0005-0000-0000-0000C2A80000}"/>
    <cellStyle name="Normal 4 4 4 7 2" xfId="28565" xr:uid="{00000000-0005-0000-0000-0000C3A80000}"/>
    <cellStyle name="Normal 4 4 4 7 2 2" xfId="47754" xr:uid="{00000000-0005-0000-0000-0000C4A80000}"/>
    <cellStyle name="Normal 4 4 4 7 3" xfId="38056" xr:uid="{00000000-0005-0000-0000-0000C5A80000}"/>
    <cellStyle name="Normal 4 4 4 8" xfId="24065" xr:uid="{00000000-0005-0000-0000-0000C6A80000}"/>
    <cellStyle name="Normal 4 4 4 8 2" xfId="43299" xr:uid="{00000000-0005-0000-0000-0000C7A80000}"/>
    <cellStyle name="Normal 4 4 4 9" xfId="33601" xr:uid="{00000000-0005-0000-0000-0000C8A80000}"/>
    <cellStyle name="Normal 4 4 5" xfId="4607" xr:uid="{00000000-0005-0000-0000-0000C9A80000}"/>
    <cellStyle name="Normal 4 4 5 10" xfId="13354" xr:uid="{00000000-0005-0000-0000-0000CAA80000}"/>
    <cellStyle name="Normal 4 4 5 2" xfId="14254" xr:uid="{00000000-0005-0000-0000-0000CBA80000}"/>
    <cellStyle name="Normal 4 4 5 2 2" xfId="16518" xr:uid="{00000000-0005-0000-0000-0000CCA80000}"/>
    <cellStyle name="Normal 4 4 5 2 2 2" xfId="20982" xr:uid="{00000000-0005-0000-0000-0000CDA80000}"/>
    <cellStyle name="Normal 4 4 5 2 2 2 2" xfId="31350" xr:uid="{00000000-0005-0000-0000-0000CEA80000}"/>
    <cellStyle name="Normal 4 4 5 2 2 2 2 2" xfId="50539" xr:uid="{00000000-0005-0000-0000-0000CFA80000}"/>
    <cellStyle name="Normal 4 4 5 2 2 2 3" xfId="40841" xr:uid="{00000000-0005-0000-0000-0000D0A80000}"/>
    <cellStyle name="Normal 4 4 5 2 2 3" xfId="26895" xr:uid="{00000000-0005-0000-0000-0000D1A80000}"/>
    <cellStyle name="Normal 4 4 5 2 2 3 2" xfId="46084" xr:uid="{00000000-0005-0000-0000-0000D2A80000}"/>
    <cellStyle name="Normal 4 4 5 2 2 4" xfId="36386" xr:uid="{00000000-0005-0000-0000-0000D3A80000}"/>
    <cellStyle name="Normal 4 4 5 2 3" xfId="18754" xr:uid="{00000000-0005-0000-0000-0000D4A80000}"/>
    <cellStyle name="Normal 4 4 5 2 3 2" xfId="29122" xr:uid="{00000000-0005-0000-0000-0000D5A80000}"/>
    <cellStyle name="Normal 4 4 5 2 3 2 2" xfId="48311" xr:uid="{00000000-0005-0000-0000-0000D6A80000}"/>
    <cellStyle name="Normal 4 4 5 2 3 3" xfId="38613" xr:uid="{00000000-0005-0000-0000-0000D7A80000}"/>
    <cellStyle name="Normal 4 4 5 2 4" xfId="24662" xr:uid="{00000000-0005-0000-0000-0000D8A80000}"/>
    <cellStyle name="Normal 4 4 5 2 4 2" xfId="43856" xr:uid="{00000000-0005-0000-0000-0000D9A80000}"/>
    <cellStyle name="Normal 4 4 5 2 5" xfId="34158" xr:uid="{00000000-0005-0000-0000-0000DAA80000}"/>
    <cellStyle name="Normal 4 4 5 3" xfId="14833" xr:uid="{00000000-0005-0000-0000-0000DBA80000}"/>
    <cellStyle name="Normal 4 4 5 3 2" xfId="15962" xr:uid="{00000000-0005-0000-0000-0000DCA80000}"/>
    <cellStyle name="Normal 4 4 5 3 2 2" xfId="20426" xr:uid="{00000000-0005-0000-0000-0000DDA80000}"/>
    <cellStyle name="Normal 4 4 5 3 2 2 2" xfId="30794" xr:uid="{00000000-0005-0000-0000-0000DEA80000}"/>
    <cellStyle name="Normal 4 4 5 3 2 2 2 2" xfId="49983" xr:uid="{00000000-0005-0000-0000-0000DFA80000}"/>
    <cellStyle name="Normal 4 4 5 3 2 2 3" xfId="40285" xr:uid="{00000000-0005-0000-0000-0000E0A80000}"/>
    <cellStyle name="Normal 4 4 5 3 2 3" xfId="26339" xr:uid="{00000000-0005-0000-0000-0000E1A80000}"/>
    <cellStyle name="Normal 4 4 5 3 2 3 2" xfId="45528" xr:uid="{00000000-0005-0000-0000-0000E2A80000}"/>
    <cellStyle name="Normal 4 4 5 3 2 4" xfId="35830" xr:uid="{00000000-0005-0000-0000-0000E3A80000}"/>
    <cellStyle name="Normal 4 4 5 3 3" xfId="19311" xr:uid="{00000000-0005-0000-0000-0000E4A80000}"/>
    <cellStyle name="Normal 4 4 5 3 3 2" xfId="29679" xr:uid="{00000000-0005-0000-0000-0000E5A80000}"/>
    <cellStyle name="Normal 4 4 5 3 3 2 2" xfId="48868" xr:uid="{00000000-0005-0000-0000-0000E6A80000}"/>
    <cellStyle name="Normal 4 4 5 3 3 3" xfId="39170" xr:uid="{00000000-0005-0000-0000-0000E7A80000}"/>
    <cellStyle name="Normal 4 4 5 3 4" xfId="25224" xr:uid="{00000000-0005-0000-0000-0000E8A80000}"/>
    <cellStyle name="Normal 4 4 5 3 4 2" xfId="44413" xr:uid="{00000000-0005-0000-0000-0000E9A80000}"/>
    <cellStyle name="Normal 4 4 5 3 5" xfId="34715" xr:uid="{00000000-0005-0000-0000-0000EAA80000}"/>
    <cellStyle name="Normal 4 4 5 4" xfId="15405" xr:uid="{00000000-0005-0000-0000-0000EBA80000}"/>
    <cellStyle name="Normal 4 4 5 4 2" xfId="19869" xr:uid="{00000000-0005-0000-0000-0000ECA80000}"/>
    <cellStyle name="Normal 4 4 5 4 2 2" xfId="30237" xr:uid="{00000000-0005-0000-0000-0000EDA80000}"/>
    <cellStyle name="Normal 4 4 5 4 2 2 2" xfId="49426" xr:uid="{00000000-0005-0000-0000-0000EEA80000}"/>
    <cellStyle name="Normal 4 4 5 4 2 3" xfId="39728" xr:uid="{00000000-0005-0000-0000-0000EFA80000}"/>
    <cellStyle name="Normal 4 4 5 4 3" xfId="25782" xr:uid="{00000000-0005-0000-0000-0000F0A80000}"/>
    <cellStyle name="Normal 4 4 5 4 3 2" xfId="44971" xr:uid="{00000000-0005-0000-0000-0000F1A80000}"/>
    <cellStyle name="Normal 4 4 5 4 4" xfId="35273" xr:uid="{00000000-0005-0000-0000-0000F2A80000}"/>
    <cellStyle name="Normal 4 4 5 5" xfId="17075" xr:uid="{00000000-0005-0000-0000-0000F3A80000}"/>
    <cellStyle name="Normal 4 4 5 5 2" xfId="21539" xr:uid="{00000000-0005-0000-0000-0000F4A80000}"/>
    <cellStyle name="Normal 4 4 5 5 2 2" xfId="31907" xr:uid="{00000000-0005-0000-0000-0000F5A80000}"/>
    <cellStyle name="Normal 4 4 5 5 2 2 2" xfId="51096" xr:uid="{00000000-0005-0000-0000-0000F6A80000}"/>
    <cellStyle name="Normal 4 4 5 5 2 3" xfId="41398" xr:uid="{00000000-0005-0000-0000-0000F7A80000}"/>
    <cellStyle name="Normal 4 4 5 5 3" xfId="27452" xr:uid="{00000000-0005-0000-0000-0000F8A80000}"/>
    <cellStyle name="Normal 4 4 5 5 3 2" xfId="46641" xr:uid="{00000000-0005-0000-0000-0000F9A80000}"/>
    <cellStyle name="Normal 4 4 5 5 4" xfId="36943" xr:uid="{00000000-0005-0000-0000-0000FAA80000}"/>
    <cellStyle name="Normal 4 4 5 6" xfId="17641" xr:uid="{00000000-0005-0000-0000-0000FBA80000}"/>
    <cellStyle name="Normal 4 4 5 6 2" xfId="22096" xr:uid="{00000000-0005-0000-0000-0000FCA80000}"/>
    <cellStyle name="Normal 4 4 5 6 2 2" xfId="32464" xr:uid="{00000000-0005-0000-0000-0000FDA80000}"/>
    <cellStyle name="Normal 4 4 5 6 2 2 2" xfId="51653" xr:uid="{00000000-0005-0000-0000-0000FEA80000}"/>
    <cellStyle name="Normal 4 4 5 6 2 3" xfId="41955" xr:uid="{00000000-0005-0000-0000-0000FFA80000}"/>
    <cellStyle name="Normal 4 4 5 6 3" xfId="28009" xr:uid="{00000000-0005-0000-0000-000000A90000}"/>
    <cellStyle name="Normal 4 4 5 6 3 2" xfId="47198" xr:uid="{00000000-0005-0000-0000-000001A90000}"/>
    <cellStyle name="Normal 4 4 5 6 4" xfId="37500" xr:uid="{00000000-0005-0000-0000-000002A90000}"/>
    <cellStyle name="Normal 4 4 5 7" xfId="18198" xr:uid="{00000000-0005-0000-0000-000003A90000}"/>
    <cellStyle name="Normal 4 4 5 7 2" xfId="28566" xr:uid="{00000000-0005-0000-0000-000004A90000}"/>
    <cellStyle name="Normal 4 4 5 7 2 2" xfId="47755" xr:uid="{00000000-0005-0000-0000-000005A90000}"/>
    <cellStyle name="Normal 4 4 5 7 3" xfId="38057" xr:uid="{00000000-0005-0000-0000-000006A90000}"/>
    <cellStyle name="Normal 4 4 5 8" xfId="24066" xr:uid="{00000000-0005-0000-0000-000007A90000}"/>
    <cellStyle name="Normal 4 4 5 8 2" xfId="43300" xr:uid="{00000000-0005-0000-0000-000008A90000}"/>
    <cellStyle name="Normal 4 4 5 9" xfId="33602" xr:uid="{00000000-0005-0000-0000-000009A90000}"/>
    <cellStyle name="Normal 4 4 6" xfId="22876" xr:uid="{00000000-0005-0000-0000-00000AA90000}"/>
    <cellStyle name="Normal 4 4 6 2" xfId="32960" xr:uid="{00000000-0005-0000-0000-00000BA90000}"/>
    <cellStyle name="Normal 4 4 6 2 2" xfId="52146" xr:uid="{00000000-0005-0000-0000-00000CA90000}"/>
    <cellStyle name="Normal 4 4 6 3" xfId="42448" xr:uid="{00000000-0005-0000-0000-00000DA90000}"/>
    <cellStyle name="Normal 4 4 7" xfId="23454" xr:uid="{00000000-0005-0000-0000-00000EA90000}"/>
    <cellStyle name="Normal 4 4 8" xfId="23233" xr:uid="{00000000-0005-0000-0000-00000FA90000}"/>
    <cellStyle name="Normal 4 4 8 2" xfId="42801" xr:uid="{00000000-0005-0000-0000-000010A90000}"/>
    <cellStyle name="Normal 4 4 9" xfId="12511" xr:uid="{00000000-0005-0000-0000-000011A90000}"/>
    <cellStyle name="Normal 4 40" xfId="4611" xr:uid="{00000000-0005-0000-0000-000012A90000}"/>
    <cellStyle name="Normal 4 41" xfId="4612" xr:uid="{00000000-0005-0000-0000-000013A90000}"/>
    <cellStyle name="Normal 4 42" xfId="4613" xr:uid="{00000000-0005-0000-0000-000014A90000}"/>
    <cellStyle name="Normal 4 43" xfId="4614" xr:uid="{00000000-0005-0000-0000-000015A90000}"/>
    <cellStyle name="Normal 4 44" xfId="4615" xr:uid="{00000000-0005-0000-0000-000016A90000}"/>
    <cellStyle name="Normal 4 45" xfId="4616" xr:uid="{00000000-0005-0000-0000-000017A90000}"/>
    <cellStyle name="Normal 4 46" xfId="4617" xr:uid="{00000000-0005-0000-0000-000018A90000}"/>
    <cellStyle name="Normal 4 47" xfId="4618" xr:uid="{00000000-0005-0000-0000-000019A90000}"/>
    <cellStyle name="Normal 4 48" xfId="4619" xr:uid="{00000000-0005-0000-0000-00001AA90000}"/>
    <cellStyle name="Normal 4 49" xfId="4620" xr:uid="{00000000-0005-0000-0000-00001BA90000}"/>
    <cellStyle name="Normal 4 5" xfId="1508" xr:uid="{00000000-0005-0000-0000-00001CA90000}"/>
    <cellStyle name="Normal 4 5 2" xfId="4622" xr:uid="{00000000-0005-0000-0000-00001DA90000}"/>
    <cellStyle name="Normal 4 5 2 10" xfId="24067" xr:uid="{00000000-0005-0000-0000-00001EA90000}"/>
    <cellStyle name="Normal 4 5 2 10 2" xfId="43301" xr:uid="{00000000-0005-0000-0000-00001FA90000}"/>
    <cellStyle name="Normal 4 5 2 11" xfId="33603" xr:uid="{00000000-0005-0000-0000-000020A90000}"/>
    <cellStyle name="Normal 4 5 2 12" xfId="52807" xr:uid="{00000000-0005-0000-0000-000021A90000}"/>
    <cellStyle name="Normal 4 5 2 13" xfId="13355" xr:uid="{00000000-0005-0000-0000-000022A90000}"/>
    <cellStyle name="Normal 4 5 2 2" xfId="13356" xr:uid="{00000000-0005-0000-0000-000023A90000}"/>
    <cellStyle name="Normal 4 5 2 2 10" xfId="53235" xr:uid="{00000000-0005-0000-0000-000024A90000}"/>
    <cellStyle name="Normal 4 5 2 2 2" xfId="14256" xr:uid="{00000000-0005-0000-0000-000025A90000}"/>
    <cellStyle name="Normal 4 5 2 2 2 2" xfId="16520" xr:uid="{00000000-0005-0000-0000-000026A90000}"/>
    <cellStyle name="Normal 4 5 2 2 2 2 2" xfId="20984" xr:uid="{00000000-0005-0000-0000-000027A90000}"/>
    <cellStyle name="Normal 4 5 2 2 2 2 2 2" xfId="31352" xr:uid="{00000000-0005-0000-0000-000028A90000}"/>
    <cellStyle name="Normal 4 5 2 2 2 2 2 2 2" xfId="50541" xr:uid="{00000000-0005-0000-0000-000029A90000}"/>
    <cellStyle name="Normal 4 5 2 2 2 2 2 3" xfId="40843" xr:uid="{00000000-0005-0000-0000-00002AA90000}"/>
    <cellStyle name="Normal 4 5 2 2 2 2 3" xfId="26897" xr:uid="{00000000-0005-0000-0000-00002BA90000}"/>
    <cellStyle name="Normal 4 5 2 2 2 2 3 2" xfId="46086" xr:uid="{00000000-0005-0000-0000-00002CA90000}"/>
    <cellStyle name="Normal 4 5 2 2 2 2 4" xfId="36388" xr:uid="{00000000-0005-0000-0000-00002DA90000}"/>
    <cellStyle name="Normal 4 5 2 2 2 3" xfId="18756" xr:uid="{00000000-0005-0000-0000-00002EA90000}"/>
    <cellStyle name="Normal 4 5 2 2 2 3 2" xfId="29124" xr:uid="{00000000-0005-0000-0000-00002FA90000}"/>
    <cellStyle name="Normal 4 5 2 2 2 3 2 2" xfId="48313" xr:uid="{00000000-0005-0000-0000-000030A90000}"/>
    <cellStyle name="Normal 4 5 2 2 2 3 3" xfId="38615" xr:uid="{00000000-0005-0000-0000-000031A90000}"/>
    <cellStyle name="Normal 4 5 2 2 2 4" xfId="24664" xr:uid="{00000000-0005-0000-0000-000032A90000}"/>
    <cellStyle name="Normal 4 5 2 2 2 4 2" xfId="43858" xr:uid="{00000000-0005-0000-0000-000033A90000}"/>
    <cellStyle name="Normal 4 5 2 2 2 5" xfId="34160" xr:uid="{00000000-0005-0000-0000-000034A90000}"/>
    <cellStyle name="Normal 4 5 2 2 2 6" xfId="54088" xr:uid="{00000000-0005-0000-0000-000035A90000}"/>
    <cellStyle name="Normal 4 5 2 2 3" xfId="14835" xr:uid="{00000000-0005-0000-0000-000036A90000}"/>
    <cellStyle name="Normal 4 5 2 2 3 2" xfId="15964" xr:uid="{00000000-0005-0000-0000-000037A90000}"/>
    <cellStyle name="Normal 4 5 2 2 3 2 2" xfId="20428" xr:uid="{00000000-0005-0000-0000-000038A90000}"/>
    <cellStyle name="Normal 4 5 2 2 3 2 2 2" xfId="30796" xr:uid="{00000000-0005-0000-0000-000039A90000}"/>
    <cellStyle name="Normal 4 5 2 2 3 2 2 2 2" xfId="49985" xr:uid="{00000000-0005-0000-0000-00003AA90000}"/>
    <cellStyle name="Normal 4 5 2 2 3 2 2 3" xfId="40287" xr:uid="{00000000-0005-0000-0000-00003BA90000}"/>
    <cellStyle name="Normal 4 5 2 2 3 2 3" xfId="26341" xr:uid="{00000000-0005-0000-0000-00003CA90000}"/>
    <cellStyle name="Normal 4 5 2 2 3 2 3 2" xfId="45530" xr:uid="{00000000-0005-0000-0000-00003DA90000}"/>
    <cellStyle name="Normal 4 5 2 2 3 2 4" xfId="35832" xr:uid="{00000000-0005-0000-0000-00003EA90000}"/>
    <cellStyle name="Normal 4 5 2 2 3 3" xfId="19313" xr:uid="{00000000-0005-0000-0000-00003FA90000}"/>
    <cellStyle name="Normal 4 5 2 2 3 3 2" xfId="29681" xr:uid="{00000000-0005-0000-0000-000040A90000}"/>
    <cellStyle name="Normal 4 5 2 2 3 3 2 2" xfId="48870" xr:uid="{00000000-0005-0000-0000-000041A90000}"/>
    <cellStyle name="Normal 4 5 2 2 3 3 3" xfId="39172" xr:uid="{00000000-0005-0000-0000-000042A90000}"/>
    <cellStyle name="Normal 4 5 2 2 3 4" xfId="25226" xr:uid="{00000000-0005-0000-0000-000043A90000}"/>
    <cellStyle name="Normal 4 5 2 2 3 4 2" xfId="44415" xr:uid="{00000000-0005-0000-0000-000044A90000}"/>
    <cellStyle name="Normal 4 5 2 2 3 5" xfId="34717" xr:uid="{00000000-0005-0000-0000-000045A90000}"/>
    <cellStyle name="Normal 4 5 2 2 4" xfId="15407" xr:uid="{00000000-0005-0000-0000-000046A90000}"/>
    <cellStyle name="Normal 4 5 2 2 4 2" xfId="19871" xr:uid="{00000000-0005-0000-0000-000047A90000}"/>
    <cellStyle name="Normal 4 5 2 2 4 2 2" xfId="30239" xr:uid="{00000000-0005-0000-0000-000048A90000}"/>
    <cellStyle name="Normal 4 5 2 2 4 2 2 2" xfId="49428" xr:uid="{00000000-0005-0000-0000-000049A90000}"/>
    <cellStyle name="Normal 4 5 2 2 4 2 3" xfId="39730" xr:uid="{00000000-0005-0000-0000-00004AA90000}"/>
    <cellStyle name="Normal 4 5 2 2 4 3" xfId="25784" xr:uid="{00000000-0005-0000-0000-00004BA90000}"/>
    <cellStyle name="Normal 4 5 2 2 4 3 2" xfId="44973" xr:uid="{00000000-0005-0000-0000-00004CA90000}"/>
    <cellStyle name="Normal 4 5 2 2 4 4" xfId="35275" xr:uid="{00000000-0005-0000-0000-00004DA90000}"/>
    <cellStyle name="Normal 4 5 2 2 5" xfId="17077" xr:uid="{00000000-0005-0000-0000-00004EA90000}"/>
    <cellStyle name="Normal 4 5 2 2 5 2" xfId="21541" xr:uid="{00000000-0005-0000-0000-00004FA90000}"/>
    <cellStyle name="Normal 4 5 2 2 5 2 2" xfId="31909" xr:uid="{00000000-0005-0000-0000-000050A90000}"/>
    <cellStyle name="Normal 4 5 2 2 5 2 2 2" xfId="51098" xr:uid="{00000000-0005-0000-0000-000051A90000}"/>
    <cellStyle name="Normal 4 5 2 2 5 2 3" xfId="41400" xr:uid="{00000000-0005-0000-0000-000052A90000}"/>
    <cellStyle name="Normal 4 5 2 2 5 3" xfId="27454" xr:uid="{00000000-0005-0000-0000-000053A90000}"/>
    <cellStyle name="Normal 4 5 2 2 5 3 2" xfId="46643" xr:uid="{00000000-0005-0000-0000-000054A90000}"/>
    <cellStyle name="Normal 4 5 2 2 5 4" xfId="36945" xr:uid="{00000000-0005-0000-0000-000055A90000}"/>
    <cellStyle name="Normal 4 5 2 2 6" xfId="17643" xr:uid="{00000000-0005-0000-0000-000056A90000}"/>
    <cellStyle name="Normal 4 5 2 2 6 2" xfId="22098" xr:uid="{00000000-0005-0000-0000-000057A90000}"/>
    <cellStyle name="Normal 4 5 2 2 6 2 2" xfId="32466" xr:uid="{00000000-0005-0000-0000-000058A90000}"/>
    <cellStyle name="Normal 4 5 2 2 6 2 2 2" xfId="51655" xr:uid="{00000000-0005-0000-0000-000059A90000}"/>
    <cellStyle name="Normal 4 5 2 2 6 2 3" xfId="41957" xr:uid="{00000000-0005-0000-0000-00005AA90000}"/>
    <cellStyle name="Normal 4 5 2 2 6 3" xfId="28011" xr:uid="{00000000-0005-0000-0000-00005BA90000}"/>
    <cellStyle name="Normal 4 5 2 2 6 3 2" xfId="47200" xr:uid="{00000000-0005-0000-0000-00005CA90000}"/>
    <cellStyle name="Normal 4 5 2 2 6 4" xfId="37502" xr:uid="{00000000-0005-0000-0000-00005DA90000}"/>
    <cellStyle name="Normal 4 5 2 2 7" xfId="18200" xr:uid="{00000000-0005-0000-0000-00005EA90000}"/>
    <cellStyle name="Normal 4 5 2 2 7 2" xfId="28568" xr:uid="{00000000-0005-0000-0000-00005FA90000}"/>
    <cellStyle name="Normal 4 5 2 2 7 2 2" xfId="47757" xr:uid="{00000000-0005-0000-0000-000060A90000}"/>
    <cellStyle name="Normal 4 5 2 2 7 3" xfId="38059" xr:uid="{00000000-0005-0000-0000-000061A90000}"/>
    <cellStyle name="Normal 4 5 2 2 8" xfId="24068" xr:uid="{00000000-0005-0000-0000-000062A90000}"/>
    <cellStyle name="Normal 4 5 2 2 8 2" xfId="43302" xr:uid="{00000000-0005-0000-0000-000063A90000}"/>
    <cellStyle name="Normal 4 5 2 2 9" xfId="33604" xr:uid="{00000000-0005-0000-0000-000064A90000}"/>
    <cellStyle name="Normal 4 5 2 3" xfId="13357" xr:uid="{00000000-0005-0000-0000-000065A90000}"/>
    <cellStyle name="Normal 4 5 2 3 10" xfId="53692" xr:uid="{00000000-0005-0000-0000-000066A90000}"/>
    <cellStyle name="Normal 4 5 2 3 2" xfId="14257" xr:uid="{00000000-0005-0000-0000-000067A90000}"/>
    <cellStyle name="Normal 4 5 2 3 2 2" xfId="16521" xr:uid="{00000000-0005-0000-0000-000068A90000}"/>
    <cellStyle name="Normal 4 5 2 3 2 2 2" xfId="20985" xr:uid="{00000000-0005-0000-0000-000069A90000}"/>
    <cellStyle name="Normal 4 5 2 3 2 2 2 2" xfId="31353" xr:uid="{00000000-0005-0000-0000-00006AA90000}"/>
    <cellStyle name="Normal 4 5 2 3 2 2 2 2 2" xfId="50542" xr:uid="{00000000-0005-0000-0000-00006BA90000}"/>
    <cellStyle name="Normal 4 5 2 3 2 2 2 3" xfId="40844" xr:uid="{00000000-0005-0000-0000-00006CA90000}"/>
    <cellStyle name="Normal 4 5 2 3 2 2 3" xfId="26898" xr:uid="{00000000-0005-0000-0000-00006DA90000}"/>
    <cellStyle name="Normal 4 5 2 3 2 2 3 2" xfId="46087" xr:uid="{00000000-0005-0000-0000-00006EA90000}"/>
    <cellStyle name="Normal 4 5 2 3 2 2 4" xfId="36389" xr:uid="{00000000-0005-0000-0000-00006FA90000}"/>
    <cellStyle name="Normal 4 5 2 3 2 3" xfId="18757" xr:uid="{00000000-0005-0000-0000-000070A90000}"/>
    <cellStyle name="Normal 4 5 2 3 2 3 2" xfId="29125" xr:uid="{00000000-0005-0000-0000-000071A90000}"/>
    <cellStyle name="Normal 4 5 2 3 2 3 2 2" xfId="48314" xr:uid="{00000000-0005-0000-0000-000072A90000}"/>
    <cellStyle name="Normal 4 5 2 3 2 3 3" xfId="38616" xr:uid="{00000000-0005-0000-0000-000073A90000}"/>
    <cellStyle name="Normal 4 5 2 3 2 4" xfId="24665" xr:uid="{00000000-0005-0000-0000-000074A90000}"/>
    <cellStyle name="Normal 4 5 2 3 2 4 2" xfId="43859" xr:uid="{00000000-0005-0000-0000-000075A90000}"/>
    <cellStyle name="Normal 4 5 2 3 2 5" xfId="34161" xr:uid="{00000000-0005-0000-0000-000076A90000}"/>
    <cellStyle name="Normal 4 5 2 3 3" xfId="14836" xr:uid="{00000000-0005-0000-0000-000077A90000}"/>
    <cellStyle name="Normal 4 5 2 3 3 2" xfId="15965" xr:uid="{00000000-0005-0000-0000-000078A90000}"/>
    <cellStyle name="Normal 4 5 2 3 3 2 2" xfId="20429" xr:uid="{00000000-0005-0000-0000-000079A90000}"/>
    <cellStyle name="Normal 4 5 2 3 3 2 2 2" xfId="30797" xr:uid="{00000000-0005-0000-0000-00007AA90000}"/>
    <cellStyle name="Normal 4 5 2 3 3 2 2 2 2" xfId="49986" xr:uid="{00000000-0005-0000-0000-00007BA90000}"/>
    <cellStyle name="Normal 4 5 2 3 3 2 2 3" xfId="40288" xr:uid="{00000000-0005-0000-0000-00007CA90000}"/>
    <cellStyle name="Normal 4 5 2 3 3 2 3" xfId="26342" xr:uid="{00000000-0005-0000-0000-00007DA90000}"/>
    <cellStyle name="Normal 4 5 2 3 3 2 3 2" xfId="45531" xr:uid="{00000000-0005-0000-0000-00007EA90000}"/>
    <cellStyle name="Normal 4 5 2 3 3 2 4" xfId="35833" xr:uid="{00000000-0005-0000-0000-00007FA90000}"/>
    <cellStyle name="Normal 4 5 2 3 3 3" xfId="19314" xr:uid="{00000000-0005-0000-0000-000080A90000}"/>
    <cellStyle name="Normal 4 5 2 3 3 3 2" xfId="29682" xr:uid="{00000000-0005-0000-0000-000081A90000}"/>
    <cellStyle name="Normal 4 5 2 3 3 3 2 2" xfId="48871" xr:uid="{00000000-0005-0000-0000-000082A90000}"/>
    <cellStyle name="Normal 4 5 2 3 3 3 3" xfId="39173" xr:uid="{00000000-0005-0000-0000-000083A90000}"/>
    <cellStyle name="Normal 4 5 2 3 3 4" xfId="25227" xr:uid="{00000000-0005-0000-0000-000084A90000}"/>
    <cellStyle name="Normal 4 5 2 3 3 4 2" xfId="44416" xr:uid="{00000000-0005-0000-0000-000085A90000}"/>
    <cellStyle name="Normal 4 5 2 3 3 5" xfId="34718" xr:uid="{00000000-0005-0000-0000-000086A90000}"/>
    <cellStyle name="Normal 4 5 2 3 4" xfId="15408" xr:uid="{00000000-0005-0000-0000-000087A90000}"/>
    <cellStyle name="Normal 4 5 2 3 4 2" xfId="19872" xr:uid="{00000000-0005-0000-0000-000088A90000}"/>
    <cellStyle name="Normal 4 5 2 3 4 2 2" xfId="30240" xr:uid="{00000000-0005-0000-0000-000089A90000}"/>
    <cellStyle name="Normal 4 5 2 3 4 2 2 2" xfId="49429" xr:uid="{00000000-0005-0000-0000-00008AA90000}"/>
    <cellStyle name="Normal 4 5 2 3 4 2 3" xfId="39731" xr:uid="{00000000-0005-0000-0000-00008BA90000}"/>
    <cellStyle name="Normal 4 5 2 3 4 3" xfId="25785" xr:uid="{00000000-0005-0000-0000-00008CA90000}"/>
    <cellStyle name="Normal 4 5 2 3 4 3 2" xfId="44974" xr:uid="{00000000-0005-0000-0000-00008DA90000}"/>
    <cellStyle name="Normal 4 5 2 3 4 4" xfId="35276" xr:uid="{00000000-0005-0000-0000-00008EA90000}"/>
    <cellStyle name="Normal 4 5 2 3 5" xfId="17078" xr:uid="{00000000-0005-0000-0000-00008FA90000}"/>
    <cellStyle name="Normal 4 5 2 3 5 2" xfId="21542" xr:uid="{00000000-0005-0000-0000-000090A90000}"/>
    <cellStyle name="Normal 4 5 2 3 5 2 2" xfId="31910" xr:uid="{00000000-0005-0000-0000-000091A90000}"/>
    <cellStyle name="Normal 4 5 2 3 5 2 2 2" xfId="51099" xr:uid="{00000000-0005-0000-0000-000092A90000}"/>
    <cellStyle name="Normal 4 5 2 3 5 2 3" xfId="41401" xr:uid="{00000000-0005-0000-0000-000093A90000}"/>
    <cellStyle name="Normal 4 5 2 3 5 3" xfId="27455" xr:uid="{00000000-0005-0000-0000-000094A90000}"/>
    <cellStyle name="Normal 4 5 2 3 5 3 2" xfId="46644" xr:uid="{00000000-0005-0000-0000-000095A90000}"/>
    <cellStyle name="Normal 4 5 2 3 5 4" xfId="36946" xr:uid="{00000000-0005-0000-0000-000096A90000}"/>
    <cellStyle name="Normal 4 5 2 3 6" xfId="17644" xr:uid="{00000000-0005-0000-0000-000097A90000}"/>
    <cellStyle name="Normal 4 5 2 3 6 2" xfId="22099" xr:uid="{00000000-0005-0000-0000-000098A90000}"/>
    <cellStyle name="Normal 4 5 2 3 6 2 2" xfId="32467" xr:uid="{00000000-0005-0000-0000-000099A90000}"/>
    <cellStyle name="Normal 4 5 2 3 6 2 2 2" xfId="51656" xr:uid="{00000000-0005-0000-0000-00009AA90000}"/>
    <cellStyle name="Normal 4 5 2 3 6 2 3" xfId="41958" xr:uid="{00000000-0005-0000-0000-00009BA90000}"/>
    <cellStyle name="Normal 4 5 2 3 6 3" xfId="28012" xr:uid="{00000000-0005-0000-0000-00009CA90000}"/>
    <cellStyle name="Normal 4 5 2 3 6 3 2" xfId="47201" xr:uid="{00000000-0005-0000-0000-00009DA90000}"/>
    <cellStyle name="Normal 4 5 2 3 6 4" xfId="37503" xr:uid="{00000000-0005-0000-0000-00009EA90000}"/>
    <cellStyle name="Normal 4 5 2 3 7" xfId="18201" xr:uid="{00000000-0005-0000-0000-00009FA90000}"/>
    <cellStyle name="Normal 4 5 2 3 7 2" xfId="28569" xr:uid="{00000000-0005-0000-0000-0000A0A90000}"/>
    <cellStyle name="Normal 4 5 2 3 7 2 2" xfId="47758" xr:uid="{00000000-0005-0000-0000-0000A1A90000}"/>
    <cellStyle name="Normal 4 5 2 3 7 3" xfId="38060" xr:uid="{00000000-0005-0000-0000-0000A2A90000}"/>
    <cellStyle name="Normal 4 5 2 3 8" xfId="24069" xr:uid="{00000000-0005-0000-0000-0000A3A90000}"/>
    <cellStyle name="Normal 4 5 2 3 8 2" xfId="43303" xr:uid="{00000000-0005-0000-0000-0000A4A90000}"/>
    <cellStyle name="Normal 4 5 2 3 9" xfId="33605" xr:uid="{00000000-0005-0000-0000-0000A5A90000}"/>
    <cellStyle name="Normal 4 5 2 4" xfId="14255" xr:uid="{00000000-0005-0000-0000-0000A6A90000}"/>
    <cellStyle name="Normal 4 5 2 4 2" xfId="16519" xr:uid="{00000000-0005-0000-0000-0000A7A90000}"/>
    <cellStyle name="Normal 4 5 2 4 2 2" xfId="20983" xr:uid="{00000000-0005-0000-0000-0000A8A90000}"/>
    <cellStyle name="Normal 4 5 2 4 2 2 2" xfId="31351" xr:uid="{00000000-0005-0000-0000-0000A9A90000}"/>
    <cellStyle name="Normal 4 5 2 4 2 2 2 2" xfId="50540" xr:uid="{00000000-0005-0000-0000-0000AAA90000}"/>
    <cellStyle name="Normal 4 5 2 4 2 2 3" xfId="40842" xr:uid="{00000000-0005-0000-0000-0000ABA90000}"/>
    <cellStyle name="Normal 4 5 2 4 2 3" xfId="26896" xr:uid="{00000000-0005-0000-0000-0000ACA90000}"/>
    <cellStyle name="Normal 4 5 2 4 2 3 2" xfId="46085" xr:uid="{00000000-0005-0000-0000-0000ADA90000}"/>
    <cellStyle name="Normal 4 5 2 4 2 4" xfId="36387" xr:uid="{00000000-0005-0000-0000-0000AEA90000}"/>
    <cellStyle name="Normal 4 5 2 4 3" xfId="18755" xr:uid="{00000000-0005-0000-0000-0000AFA90000}"/>
    <cellStyle name="Normal 4 5 2 4 3 2" xfId="29123" xr:uid="{00000000-0005-0000-0000-0000B0A90000}"/>
    <cellStyle name="Normal 4 5 2 4 3 2 2" xfId="48312" xr:uid="{00000000-0005-0000-0000-0000B1A90000}"/>
    <cellStyle name="Normal 4 5 2 4 3 3" xfId="38614" xr:uid="{00000000-0005-0000-0000-0000B2A90000}"/>
    <cellStyle name="Normal 4 5 2 4 4" xfId="24663" xr:uid="{00000000-0005-0000-0000-0000B3A90000}"/>
    <cellStyle name="Normal 4 5 2 4 4 2" xfId="43857" xr:uid="{00000000-0005-0000-0000-0000B4A90000}"/>
    <cellStyle name="Normal 4 5 2 4 5" xfId="34159" xr:uid="{00000000-0005-0000-0000-0000B5A90000}"/>
    <cellStyle name="Normal 4 5 2 5" xfId="14834" xr:uid="{00000000-0005-0000-0000-0000B6A90000}"/>
    <cellStyle name="Normal 4 5 2 5 2" xfId="15963" xr:uid="{00000000-0005-0000-0000-0000B7A90000}"/>
    <cellStyle name="Normal 4 5 2 5 2 2" xfId="20427" xr:uid="{00000000-0005-0000-0000-0000B8A90000}"/>
    <cellStyle name="Normal 4 5 2 5 2 2 2" xfId="30795" xr:uid="{00000000-0005-0000-0000-0000B9A90000}"/>
    <cellStyle name="Normal 4 5 2 5 2 2 2 2" xfId="49984" xr:uid="{00000000-0005-0000-0000-0000BAA90000}"/>
    <cellStyle name="Normal 4 5 2 5 2 2 3" xfId="40286" xr:uid="{00000000-0005-0000-0000-0000BBA90000}"/>
    <cellStyle name="Normal 4 5 2 5 2 3" xfId="26340" xr:uid="{00000000-0005-0000-0000-0000BCA90000}"/>
    <cellStyle name="Normal 4 5 2 5 2 3 2" xfId="45529" xr:uid="{00000000-0005-0000-0000-0000BDA90000}"/>
    <cellStyle name="Normal 4 5 2 5 2 4" xfId="35831" xr:uid="{00000000-0005-0000-0000-0000BEA90000}"/>
    <cellStyle name="Normal 4 5 2 5 3" xfId="19312" xr:uid="{00000000-0005-0000-0000-0000BFA90000}"/>
    <cellStyle name="Normal 4 5 2 5 3 2" xfId="29680" xr:uid="{00000000-0005-0000-0000-0000C0A90000}"/>
    <cellStyle name="Normal 4 5 2 5 3 2 2" xfId="48869" xr:uid="{00000000-0005-0000-0000-0000C1A90000}"/>
    <cellStyle name="Normal 4 5 2 5 3 3" xfId="39171" xr:uid="{00000000-0005-0000-0000-0000C2A90000}"/>
    <cellStyle name="Normal 4 5 2 5 4" xfId="25225" xr:uid="{00000000-0005-0000-0000-0000C3A90000}"/>
    <cellStyle name="Normal 4 5 2 5 4 2" xfId="44414" xr:uid="{00000000-0005-0000-0000-0000C4A90000}"/>
    <cellStyle name="Normal 4 5 2 5 5" xfId="34716" xr:uid="{00000000-0005-0000-0000-0000C5A90000}"/>
    <cellStyle name="Normal 4 5 2 6" xfId="15406" xr:uid="{00000000-0005-0000-0000-0000C6A90000}"/>
    <cellStyle name="Normal 4 5 2 6 2" xfId="19870" xr:uid="{00000000-0005-0000-0000-0000C7A90000}"/>
    <cellStyle name="Normal 4 5 2 6 2 2" xfId="30238" xr:uid="{00000000-0005-0000-0000-0000C8A90000}"/>
    <cellStyle name="Normal 4 5 2 6 2 2 2" xfId="49427" xr:uid="{00000000-0005-0000-0000-0000C9A90000}"/>
    <cellStyle name="Normal 4 5 2 6 2 3" xfId="39729" xr:uid="{00000000-0005-0000-0000-0000CAA90000}"/>
    <cellStyle name="Normal 4 5 2 6 3" xfId="25783" xr:uid="{00000000-0005-0000-0000-0000CBA90000}"/>
    <cellStyle name="Normal 4 5 2 6 3 2" xfId="44972" xr:uid="{00000000-0005-0000-0000-0000CCA90000}"/>
    <cellStyle name="Normal 4 5 2 6 4" xfId="35274" xr:uid="{00000000-0005-0000-0000-0000CDA90000}"/>
    <cellStyle name="Normal 4 5 2 7" xfId="17076" xr:uid="{00000000-0005-0000-0000-0000CEA90000}"/>
    <cellStyle name="Normal 4 5 2 7 2" xfId="21540" xr:uid="{00000000-0005-0000-0000-0000CFA90000}"/>
    <cellStyle name="Normal 4 5 2 7 2 2" xfId="31908" xr:uid="{00000000-0005-0000-0000-0000D0A90000}"/>
    <cellStyle name="Normal 4 5 2 7 2 2 2" xfId="51097" xr:uid="{00000000-0005-0000-0000-0000D1A90000}"/>
    <cellStyle name="Normal 4 5 2 7 2 3" xfId="41399" xr:uid="{00000000-0005-0000-0000-0000D2A90000}"/>
    <cellStyle name="Normal 4 5 2 7 3" xfId="27453" xr:uid="{00000000-0005-0000-0000-0000D3A90000}"/>
    <cellStyle name="Normal 4 5 2 7 3 2" xfId="46642" xr:uid="{00000000-0005-0000-0000-0000D4A90000}"/>
    <cellStyle name="Normal 4 5 2 7 4" xfId="36944" xr:uid="{00000000-0005-0000-0000-0000D5A90000}"/>
    <cellStyle name="Normal 4 5 2 8" xfId="17642" xr:uid="{00000000-0005-0000-0000-0000D6A90000}"/>
    <cellStyle name="Normal 4 5 2 8 2" xfId="22097" xr:uid="{00000000-0005-0000-0000-0000D7A90000}"/>
    <cellStyle name="Normal 4 5 2 8 2 2" xfId="32465" xr:uid="{00000000-0005-0000-0000-0000D8A90000}"/>
    <cellStyle name="Normal 4 5 2 8 2 2 2" xfId="51654" xr:uid="{00000000-0005-0000-0000-0000D9A90000}"/>
    <cellStyle name="Normal 4 5 2 8 2 3" xfId="41956" xr:uid="{00000000-0005-0000-0000-0000DAA90000}"/>
    <cellStyle name="Normal 4 5 2 8 3" xfId="28010" xr:uid="{00000000-0005-0000-0000-0000DBA90000}"/>
    <cellStyle name="Normal 4 5 2 8 3 2" xfId="47199" xr:uid="{00000000-0005-0000-0000-0000DCA90000}"/>
    <cellStyle name="Normal 4 5 2 8 4" xfId="37501" xr:uid="{00000000-0005-0000-0000-0000DDA90000}"/>
    <cellStyle name="Normal 4 5 2 9" xfId="18199" xr:uid="{00000000-0005-0000-0000-0000DEA90000}"/>
    <cellStyle name="Normal 4 5 2 9 2" xfId="28567" xr:uid="{00000000-0005-0000-0000-0000DFA90000}"/>
    <cellStyle name="Normal 4 5 2 9 2 2" xfId="47756" xr:uid="{00000000-0005-0000-0000-0000E0A90000}"/>
    <cellStyle name="Normal 4 5 2 9 3" xfId="38058" xr:uid="{00000000-0005-0000-0000-0000E1A90000}"/>
    <cellStyle name="Normal 4 5 3" xfId="4621" xr:uid="{00000000-0005-0000-0000-0000E2A90000}"/>
    <cellStyle name="Normal 4 5 3 10" xfId="24070" xr:uid="{00000000-0005-0000-0000-0000E3A90000}"/>
    <cellStyle name="Normal 4 5 3 10 2" xfId="43304" xr:uid="{00000000-0005-0000-0000-0000E4A90000}"/>
    <cellStyle name="Normal 4 5 3 11" xfId="33606" xr:uid="{00000000-0005-0000-0000-0000E5A90000}"/>
    <cellStyle name="Normal 4 5 3 12" xfId="53017" xr:uid="{00000000-0005-0000-0000-0000E6A90000}"/>
    <cellStyle name="Normal 4 5 3 13" xfId="13358" xr:uid="{00000000-0005-0000-0000-0000E7A90000}"/>
    <cellStyle name="Normal 4 5 3 2" xfId="13359" xr:uid="{00000000-0005-0000-0000-0000E8A90000}"/>
    <cellStyle name="Normal 4 5 3 2 10" xfId="53892" xr:uid="{00000000-0005-0000-0000-0000E9A90000}"/>
    <cellStyle name="Normal 4 5 3 2 2" xfId="14259" xr:uid="{00000000-0005-0000-0000-0000EAA90000}"/>
    <cellStyle name="Normal 4 5 3 2 2 2" xfId="16523" xr:uid="{00000000-0005-0000-0000-0000EBA90000}"/>
    <cellStyle name="Normal 4 5 3 2 2 2 2" xfId="20987" xr:uid="{00000000-0005-0000-0000-0000ECA90000}"/>
    <cellStyle name="Normal 4 5 3 2 2 2 2 2" xfId="31355" xr:uid="{00000000-0005-0000-0000-0000EDA90000}"/>
    <cellStyle name="Normal 4 5 3 2 2 2 2 2 2" xfId="50544" xr:uid="{00000000-0005-0000-0000-0000EEA90000}"/>
    <cellStyle name="Normal 4 5 3 2 2 2 2 3" xfId="40846" xr:uid="{00000000-0005-0000-0000-0000EFA90000}"/>
    <cellStyle name="Normal 4 5 3 2 2 2 3" xfId="26900" xr:uid="{00000000-0005-0000-0000-0000F0A90000}"/>
    <cellStyle name="Normal 4 5 3 2 2 2 3 2" xfId="46089" xr:uid="{00000000-0005-0000-0000-0000F1A90000}"/>
    <cellStyle name="Normal 4 5 3 2 2 2 4" xfId="36391" xr:uid="{00000000-0005-0000-0000-0000F2A90000}"/>
    <cellStyle name="Normal 4 5 3 2 2 3" xfId="18759" xr:uid="{00000000-0005-0000-0000-0000F3A90000}"/>
    <cellStyle name="Normal 4 5 3 2 2 3 2" xfId="29127" xr:uid="{00000000-0005-0000-0000-0000F4A90000}"/>
    <cellStyle name="Normal 4 5 3 2 2 3 2 2" xfId="48316" xr:uid="{00000000-0005-0000-0000-0000F5A90000}"/>
    <cellStyle name="Normal 4 5 3 2 2 3 3" xfId="38618" xr:uid="{00000000-0005-0000-0000-0000F6A90000}"/>
    <cellStyle name="Normal 4 5 3 2 2 4" xfId="24667" xr:uid="{00000000-0005-0000-0000-0000F7A90000}"/>
    <cellStyle name="Normal 4 5 3 2 2 4 2" xfId="43861" xr:uid="{00000000-0005-0000-0000-0000F8A90000}"/>
    <cellStyle name="Normal 4 5 3 2 2 5" xfId="34163" xr:uid="{00000000-0005-0000-0000-0000F9A90000}"/>
    <cellStyle name="Normal 4 5 3 2 3" xfId="14838" xr:uid="{00000000-0005-0000-0000-0000FAA90000}"/>
    <cellStyle name="Normal 4 5 3 2 3 2" xfId="15967" xr:uid="{00000000-0005-0000-0000-0000FBA90000}"/>
    <cellStyle name="Normal 4 5 3 2 3 2 2" xfId="20431" xr:uid="{00000000-0005-0000-0000-0000FCA90000}"/>
    <cellStyle name="Normal 4 5 3 2 3 2 2 2" xfId="30799" xr:uid="{00000000-0005-0000-0000-0000FDA90000}"/>
    <cellStyle name="Normal 4 5 3 2 3 2 2 2 2" xfId="49988" xr:uid="{00000000-0005-0000-0000-0000FEA90000}"/>
    <cellStyle name="Normal 4 5 3 2 3 2 2 3" xfId="40290" xr:uid="{00000000-0005-0000-0000-0000FFA90000}"/>
    <cellStyle name="Normal 4 5 3 2 3 2 3" xfId="26344" xr:uid="{00000000-0005-0000-0000-000000AA0000}"/>
    <cellStyle name="Normal 4 5 3 2 3 2 3 2" xfId="45533" xr:uid="{00000000-0005-0000-0000-000001AA0000}"/>
    <cellStyle name="Normal 4 5 3 2 3 2 4" xfId="35835" xr:uid="{00000000-0005-0000-0000-000002AA0000}"/>
    <cellStyle name="Normal 4 5 3 2 3 3" xfId="19316" xr:uid="{00000000-0005-0000-0000-000003AA0000}"/>
    <cellStyle name="Normal 4 5 3 2 3 3 2" xfId="29684" xr:uid="{00000000-0005-0000-0000-000004AA0000}"/>
    <cellStyle name="Normal 4 5 3 2 3 3 2 2" xfId="48873" xr:uid="{00000000-0005-0000-0000-000005AA0000}"/>
    <cellStyle name="Normal 4 5 3 2 3 3 3" xfId="39175" xr:uid="{00000000-0005-0000-0000-000006AA0000}"/>
    <cellStyle name="Normal 4 5 3 2 3 4" xfId="25229" xr:uid="{00000000-0005-0000-0000-000007AA0000}"/>
    <cellStyle name="Normal 4 5 3 2 3 4 2" xfId="44418" xr:uid="{00000000-0005-0000-0000-000008AA0000}"/>
    <cellStyle name="Normal 4 5 3 2 3 5" xfId="34720" xr:uid="{00000000-0005-0000-0000-000009AA0000}"/>
    <cellStyle name="Normal 4 5 3 2 4" xfId="15410" xr:uid="{00000000-0005-0000-0000-00000AAA0000}"/>
    <cellStyle name="Normal 4 5 3 2 4 2" xfId="19874" xr:uid="{00000000-0005-0000-0000-00000BAA0000}"/>
    <cellStyle name="Normal 4 5 3 2 4 2 2" xfId="30242" xr:uid="{00000000-0005-0000-0000-00000CAA0000}"/>
    <cellStyle name="Normal 4 5 3 2 4 2 2 2" xfId="49431" xr:uid="{00000000-0005-0000-0000-00000DAA0000}"/>
    <cellStyle name="Normal 4 5 3 2 4 2 3" xfId="39733" xr:uid="{00000000-0005-0000-0000-00000EAA0000}"/>
    <cellStyle name="Normal 4 5 3 2 4 3" xfId="25787" xr:uid="{00000000-0005-0000-0000-00000FAA0000}"/>
    <cellStyle name="Normal 4 5 3 2 4 3 2" xfId="44976" xr:uid="{00000000-0005-0000-0000-000010AA0000}"/>
    <cellStyle name="Normal 4 5 3 2 4 4" xfId="35278" xr:uid="{00000000-0005-0000-0000-000011AA0000}"/>
    <cellStyle name="Normal 4 5 3 2 5" xfId="17080" xr:uid="{00000000-0005-0000-0000-000012AA0000}"/>
    <cellStyle name="Normal 4 5 3 2 5 2" xfId="21544" xr:uid="{00000000-0005-0000-0000-000013AA0000}"/>
    <cellStyle name="Normal 4 5 3 2 5 2 2" xfId="31912" xr:uid="{00000000-0005-0000-0000-000014AA0000}"/>
    <cellStyle name="Normal 4 5 3 2 5 2 2 2" xfId="51101" xr:uid="{00000000-0005-0000-0000-000015AA0000}"/>
    <cellStyle name="Normal 4 5 3 2 5 2 3" xfId="41403" xr:uid="{00000000-0005-0000-0000-000016AA0000}"/>
    <cellStyle name="Normal 4 5 3 2 5 3" xfId="27457" xr:uid="{00000000-0005-0000-0000-000017AA0000}"/>
    <cellStyle name="Normal 4 5 3 2 5 3 2" xfId="46646" xr:uid="{00000000-0005-0000-0000-000018AA0000}"/>
    <cellStyle name="Normal 4 5 3 2 5 4" xfId="36948" xr:uid="{00000000-0005-0000-0000-000019AA0000}"/>
    <cellStyle name="Normal 4 5 3 2 6" xfId="17646" xr:uid="{00000000-0005-0000-0000-00001AAA0000}"/>
    <cellStyle name="Normal 4 5 3 2 6 2" xfId="22101" xr:uid="{00000000-0005-0000-0000-00001BAA0000}"/>
    <cellStyle name="Normal 4 5 3 2 6 2 2" xfId="32469" xr:uid="{00000000-0005-0000-0000-00001CAA0000}"/>
    <cellStyle name="Normal 4 5 3 2 6 2 2 2" xfId="51658" xr:uid="{00000000-0005-0000-0000-00001DAA0000}"/>
    <cellStyle name="Normal 4 5 3 2 6 2 3" xfId="41960" xr:uid="{00000000-0005-0000-0000-00001EAA0000}"/>
    <cellStyle name="Normal 4 5 3 2 6 3" xfId="28014" xr:uid="{00000000-0005-0000-0000-00001FAA0000}"/>
    <cellStyle name="Normal 4 5 3 2 6 3 2" xfId="47203" xr:uid="{00000000-0005-0000-0000-000020AA0000}"/>
    <cellStyle name="Normal 4 5 3 2 6 4" xfId="37505" xr:uid="{00000000-0005-0000-0000-000021AA0000}"/>
    <cellStyle name="Normal 4 5 3 2 7" xfId="18203" xr:uid="{00000000-0005-0000-0000-000022AA0000}"/>
    <cellStyle name="Normal 4 5 3 2 7 2" xfId="28571" xr:uid="{00000000-0005-0000-0000-000023AA0000}"/>
    <cellStyle name="Normal 4 5 3 2 7 2 2" xfId="47760" xr:uid="{00000000-0005-0000-0000-000024AA0000}"/>
    <cellStyle name="Normal 4 5 3 2 7 3" xfId="38062" xr:uid="{00000000-0005-0000-0000-000025AA0000}"/>
    <cellStyle name="Normal 4 5 3 2 8" xfId="24071" xr:uid="{00000000-0005-0000-0000-000026AA0000}"/>
    <cellStyle name="Normal 4 5 3 2 8 2" xfId="43305" xr:uid="{00000000-0005-0000-0000-000027AA0000}"/>
    <cellStyle name="Normal 4 5 3 2 9" xfId="33607" xr:uid="{00000000-0005-0000-0000-000028AA0000}"/>
    <cellStyle name="Normal 4 5 3 3" xfId="13360" xr:uid="{00000000-0005-0000-0000-000029AA0000}"/>
    <cellStyle name="Normal 4 5 3 3 2" xfId="14260" xr:uid="{00000000-0005-0000-0000-00002AAA0000}"/>
    <cellStyle name="Normal 4 5 3 3 2 2" xfId="16524" xr:uid="{00000000-0005-0000-0000-00002BAA0000}"/>
    <cellStyle name="Normal 4 5 3 3 2 2 2" xfId="20988" xr:uid="{00000000-0005-0000-0000-00002CAA0000}"/>
    <cellStyle name="Normal 4 5 3 3 2 2 2 2" xfId="31356" xr:uid="{00000000-0005-0000-0000-00002DAA0000}"/>
    <cellStyle name="Normal 4 5 3 3 2 2 2 2 2" xfId="50545" xr:uid="{00000000-0005-0000-0000-00002EAA0000}"/>
    <cellStyle name="Normal 4 5 3 3 2 2 2 3" xfId="40847" xr:uid="{00000000-0005-0000-0000-00002FAA0000}"/>
    <cellStyle name="Normal 4 5 3 3 2 2 3" xfId="26901" xr:uid="{00000000-0005-0000-0000-000030AA0000}"/>
    <cellStyle name="Normal 4 5 3 3 2 2 3 2" xfId="46090" xr:uid="{00000000-0005-0000-0000-000031AA0000}"/>
    <cellStyle name="Normal 4 5 3 3 2 2 4" xfId="36392" xr:uid="{00000000-0005-0000-0000-000032AA0000}"/>
    <cellStyle name="Normal 4 5 3 3 2 3" xfId="18760" xr:uid="{00000000-0005-0000-0000-000033AA0000}"/>
    <cellStyle name="Normal 4 5 3 3 2 3 2" xfId="29128" xr:uid="{00000000-0005-0000-0000-000034AA0000}"/>
    <cellStyle name="Normal 4 5 3 3 2 3 2 2" xfId="48317" xr:uid="{00000000-0005-0000-0000-000035AA0000}"/>
    <cellStyle name="Normal 4 5 3 3 2 3 3" xfId="38619" xr:uid="{00000000-0005-0000-0000-000036AA0000}"/>
    <cellStyle name="Normal 4 5 3 3 2 4" xfId="24668" xr:uid="{00000000-0005-0000-0000-000037AA0000}"/>
    <cellStyle name="Normal 4 5 3 3 2 4 2" xfId="43862" xr:uid="{00000000-0005-0000-0000-000038AA0000}"/>
    <cellStyle name="Normal 4 5 3 3 2 5" xfId="34164" xr:uid="{00000000-0005-0000-0000-000039AA0000}"/>
    <cellStyle name="Normal 4 5 3 3 3" xfId="14839" xr:uid="{00000000-0005-0000-0000-00003AAA0000}"/>
    <cellStyle name="Normal 4 5 3 3 3 2" xfId="15968" xr:uid="{00000000-0005-0000-0000-00003BAA0000}"/>
    <cellStyle name="Normal 4 5 3 3 3 2 2" xfId="20432" xr:uid="{00000000-0005-0000-0000-00003CAA0000}"/>
    <cellStyle name="Normal 4 5 3 3 3 2 2 2" xfId="30800" xr:uid="{00000000-0005-0000-0000-00003DAA0000}"/>
    <cellStyle name="Normal 4 5 3 3 3 2 2 2 2" xfId="49989" xr:uid="{00000000-0005-0000-0000-00003EAA0000}"/>
    <cellStyle name="Normal 4 5 3 3 3 2 2 3" xfId="40291" xr:uid="{00000000-0005-0000-0000-00003FAA0000}"/>
    <cellStyle name="Normal 4 5 3 3 3 2 3" xfId="26345" xr:uid="{00000000-0005-0000-0000-000040AA0000}"/>
    <cellStyle name="Normal 4 5 3 3 3 2 3 2" xfId="45534" xr:uid="{00000000-0005-0000-0000-000041AA0000}"/>
    <cellStyle name="Normal 4 5 3 3 3 2 4" xfId="35836" xr:uid="{00000000-0005-0000-0000-000042AA0000}"/>
    <cellStyle name="Normal 4 5 3 3 3 3" xfId="19317" xr:uid="{00000000-0005-0000-0000-000043AA0000}"/>
    <cellStyle name="Normal 4 5 3 3 3 3 2" xfId="29685" xr:uid="{00000000-0005-0000-0000-000044AA0000}"/>
    <cellStyle name="Normal 4 5 3 3 3 3 2 2" xfId="48874" xr:uid="{00000000-0005-0000-0000-000045AA0000}"/>
    <cellStyle name="Normal 4 5 3 3 3 3 3" xfId="39176" xr:uid="{00000000-0005-0000-0000-000046AA0000}"/>
    <cellStyle name="Normal 4 5 3 3 3 4" xfId="25230" xr:uid="{00000000-0005-0000-0000-000047AA0000}"/>
    <cellStyle name="Normal 4 5 3 3 3 4 2" xfId="44419" xr:uid="{00000000-0005-0000-0000-000048AA0000}"/>
    <cellStyle name="Normal 4 5 3 3 3 5" xfId="34721" xr:uid="{00000000-0005-0000-0000-000049AA0000}"/>
    <cellStyle name="Normal 4 5 3 3 4" xfId="15411" xr:uid="{00000000-0005-0000-0000-00004AAA0000}"/>
    <cellStyle name="Normal 4 5 3 3 4 2" xfId="19875" xr:uid="{00000000-0005-0000-0000-00004BAA0000}"/>
    <cellStyle name="Normal 4 5 3 3 4 2 2" xfId="30243" xr:uid="{00000000-0005-0000-0000-00004CAA0000}"/>
    <cellStyle name="Normal 4 5 3 3 4 2 2 2" xfId="49432" xr:uid="{00000000-0005-0000-0000-00004DAA0000}"/>
    <cellStyle name="Normal 4 5 3 3 4 2 3" xfId="39734" xr:uid="{00000000-0005-0000-0000-00004EAA0000}"/>
    <cellStyle name="Normal 4 5 3 3 4 3" xfId="25788" xr:uid="{00000000-0005-0000-0000-00004FAA0000}"/>
    <cellStyle name="Normal 4 5 3 3 4 3 2" xfId="44977" xr:uid="{00000000-0005-0000-0000-000050AA0000}"/>
    <cellStyle name="Normal 4 5 3 3 4 4" xfId="35279" xr:uid="{00000000-0005-0000-0000-000051AA0000}"/>
    <cellStyle name="Normal 4 5 3 3 5" xfId="17081" xr:uid="{00000000-0005-0000-0000-000052AA0000}"/>
    <cellStyle name="Normal 4 5 3 3 5 2" xfId="21545" xr:uid="{00000000-0005-0000-0000-000053AA0000}"/>
    <cellStyle name="Normal 4 5 3 3 5 2 2" xfId="31913" xr:uid="{00000000-0005-0000-0000-000054AA0000}"/>
    <cellStyle name="Normal 4 5 3 3 5 2 2 2" xfId="51102" xr:uid="{00000000-0005-0000-0000-000055AA0000}"/>
    <cellStyle name="Normal 4 5 3 3 5 2 3" xfId="41404" xr:uid="{00000000-0005-0000-0000-000056AA0000}"/>
    <cellStyle name="Normal 4 5 3 3 5 3" xfId="27458" xr:uid="{00000000-0005-0000-0000-000057AA0000}"/>
    <cellStyle name="Normal 4 5 3 3 5 3 2" xfId="46647" xr:uid="{00000000-0005-0000-0000-000058AA0000}"/>
    <cellStyle name="Normal 4 5 3 3 5 4" xfId="36949" xr:uid="{00000000-0005-0000-0000-000059AA0000}"/>
    <cellStyle name="Normal 4 5 3 3 6" xfId="17647" xr:uid="{00000000-0005-0000-0000-00005AAA0000}"/>
    <cellStyle name="Normal 4 5 3 3 6 2" xfId="22102" xr:uid="{00000000-0005-0000-0000-00005BAA0000}"/>
    <cellStyle name="Normal 4 5 3 3 6 2 2" xfId="32470" xr:uid="{00000000-0005-0000-0000-00005CAA0000}"/>
    <cellStyle name="Normal 4 5 3 3 6 2 2 2" xfId="51659" xr:uid="{00000000-0005-0000-0000-00005DAA0000}"/>
    <cellStyle name="Normal 4 5 3 3 6 2 3" xfId="41961" xr:uid="{00000000-0005-0000-0000-00005EAA0000}"/>
    <cellStyle name="Normal 4 5 3 3 6 3" xfId="28015" xr:uid="{00000000-0005-0000-0000-00005FAA0000}"/>
    <cellStyle name="Normal 4 5 3 3 6 3 2" xfId="47204" xr:uid="{00000000-0005-0000-0000-000060AA0000}"/>
    <cellStyle name="Normal 4 5 3 3 6 4" xfId="37506" xr:uid="{00000000-0005-0000-0000-000061AA0000}"/>
    <cellStyle name="Normal 4 5 3 3 7" xfId="18204" xr:uid="{00000000-0005-0000-0000-000062AA0000}"/>
    <cellStyle name="Normal 4 5 3 3 7 2" xfId="28572" xr:uid="{00000000-0005-0000-0000-000063AA0000}"/>
    <cellStyle name="Normal 4 5 3 3 7 2 2" xfId="47761" xr:uid="{00000000-0005-0000-0000-000064AA0000}"/>
    <cellStyle name="Normal 4 5 3 3 7 3" xfId="38063" xr:uid="{00000000-0005-0000-0000-000065AA0000}"/>
    <cellStyle name="Normal 4 5 3 3 8" xfId="24072" xr:uid="{00000000-0005-0000-0000-000066AA0000}"/>
    <cellStyle name="Normal 4 5 3 3 8 2" xfId="43306" xr:uid="{00000000-0005-0000-0000-000067AA0000}"/>
    <cellStyle name="Normal 4 5 3 3 9" xfId="33608" xr:uid="{00000000-0005-0000-0000-000068AA0000}"/>
    <cellStyle name="Normal 4 5 3 4" xfId="14258" xr:uid="{00000000-0005-0000-0000-000069AA0000}"/>
    <cellStyle name="Normal 4 5 3 4 2" xfId="16522" xr:uid="{00000000-0005-0000-0000-00006AAA0000}"/>
    <cellStyle name="Normal 4 5 3 4 2 2" xfId="20986" xr:uid="{00000000-0005-0000-0000-00006BAA0000}"/>
    <cellStyle name="Normal 4 5 3 4 2 2 2" xfId="31354" xr:uid="{00000000-0005-0000-0000-00006CAA0000}"/>
    <cellStyle name="Normal 4 5 3 4 2 2 2 2" xfId="50543" xr:uid="{00000000-0005-0000-0000-00006DAA0000}"/>
    <cellStyle name="Normal 4 5 3 4 2 2 3" xfId="40845" xr:uid="{00000000-0005-0000-0000-00006EAA0000}"/>
    <cellStyle name="Normal 4 5 3 4 2 3" xfId="26899" xr:uid="{00000000-0005-0000-0000-00006FAA0000}"/>
    <cellStyle name="Normal 4 5 3 4 2 3 2" xfId="46088" xr:uid="{00000000-0005-0000-0000-000070AA0000}"/>
    <cellStyle name="Normal 4 5 3 4 2 4" xfId="36390" xr:uid="{00000000-0005-0000-0000-000071AA0000}"/>
    <cellStyle name="Normal 4 5 3 4 3" xfId="18758" xr:uid="{00000000-0005-0000-0000-000072AA0000}"/>
    <cellStyle name="Normal 4 5 3 4 3 2" xfId="29126" xr:uid="{00000000-0005-0000-0000-000073AA0000}"/>
    <cellStyle name="Normal 4 5 3 4 3 2 2" xfId="48315" xr:uid="{00000000-0005-0000-0000-000074AA0000}"/>
    <cellStyle name="Normal 4 5 3 4 3 3" xfId="38617" xr:uid="{00000000-0005-0000-0000-000075AA0000}"/>
    <cellStyle name="Normal 4 5 3 4 4" xfId="24666" xr:uid="{00000000-0005-0000-0000-000076AA0000}"/>
    <cellStyle name="Normal 4 5 3 4 4 2" xfId="43860" xr:uid="{00000000-0005-0000-0000-000077AA0000}"/>
    <cellStyle name="Normal 4 5 3 4 5" xfId="34162" xr:uid="{00000000-0005-0000-0000-000078AA0000}"/>
    <cellStyle name="Normal 4 5 3 5" xfId="14837" xr:uid="{00000000-0005-0000-0000-000079AA0000}"/>
    <cellStyle name="Normal 4 5 3 5 2" xfId="15966" xr:uid="{00000000-0005-0000-0000-00007AAA0000}"/>
    <cellStyle name="Normal 4 5 3 5 2 2" xfId="20430" xr:uid="{00000000-0005-0000-0000-00007BAA0000}"/>
    <cellStyle name="Normal 4 5 3 5 2 2 2" xfId="30798" xr:uid="{00000000-0005-0000-0000-00007CAA0000}"/>
    <cellStyle name="Normal 4 5 3 5 2 2 2 2" xfId="49987" xr:uid="{00000000-0005-0000-0000-00007DAA0000}"/>
    <cellStyle name="Normal 4 5 3 5 2 2 3" xfId="40289" xr:uid="{00000000-0005-0000-0000-00007EAA0000}"/>
    <cellStyle name="Normal 4 5 3 5 2 3" xfId="26343" xr:uid="{00000000-0005-0000-0000-00007FAA0000}"/>
    <cellStyle name="Normal 4 5 3 5 2 3 2" xfId="45532" xr:uid="{00000000-0005-0000-0000-000080AA0000}"/>
    <cellStyle name="Normal 4 5 3 5 2 4" xfId="35834" xr:uid="{00000000-0005-0000-0000-000081AA0000}"/>
    <cellStyle name="Normal 4 5 3 5 3" xfId="19315" xr:uid="{00000000-0005-0000-0000-000082AA0000}"/>
    <cellStyle name="Normal 4 5 3 5 3 2" xfId="29683" xr:uid="{00000000-0005-0000-0000-000083AA0000}"/>
    <cellStyle name="Normal 4 5 3 5 3 2 2" xfId="48872" xr:uid="{00000000-0005-0000-0000-000084AA0000}"/>
    <cellStyle name="Normal 4 5 3 5 3 3" xfId="39174" xr:uid="{00000000-0005-0000-0000-000085AA0000}"/>
    <cellStyle name="Normal 4 5 3 5 4" xfId="25228" xr:uid="{00000000-0005-0000-0000-000086AA0000}"/>
    <cellStyle name="Normal 4 5 3 5 4 2" xfId="44417" xr:uid="{00000000-0005-0000-0000-000087AA0000}"/>
    <cellStyle name="Normal 4 5 3 5 5" xfId="34719" xr:uid="{00000000-0005-0000-0000-000088AA0000}"/>
    <cellStyle name="Normal 4 5 3 6" xfId="15409" xr:uid="{00000000-0005-0000-0000-000089AA0000}"/>
    <cellStyle name="Normal 4 5 3 6 2" xfId="19873" xr:uid="{00000000-0005-0000-0000-00008AAA0000}"/>
    <cellStyle name="Normal 4 5 3 6 2 2" xfId="30241" xr:uid="{00000000-0005-0000-0000-00008BAA0000}"/>
    <cellStyle name="Normal 4 5 3 6 2 2 2" xfId="49430" xr:uid="{00000000-0005-0000-0000-00008CAA0000}"/>
    <cellStyle name="Normal 4 5 3 6 2 3" xfId="39732" xr:uid="{00000000-0005-0000-0000-00008DAA0000}"/>
    <cellStyle name="Normal 4 5 3 6 3" xfId="25786" xr:uid="{00000000-0005-0000-0000-00008EAA0000}"/>
    <cellStyle name="Normal 4 5 3 6 3 2" xfId="44975" xr:uid="{00000000-0005-0000-0000-00008FAA0000}"/>
    <cellStyle name="Normal 4 5 3 6 4" xfId="35277" xr:uid="{00000000-0005-0000-0000-000090AA0000}"/>
    <cellStyle name="Normal 4 5 3 7" xfId="17079" xr:uid="{00000000-0005-0000-0000-000091AA0000}"/>
    <cellStyle name="Normal 4 5 3 7 2" xfId="21543" xr:uid="{00000000-0005-0000-0000-000092AA0000}"/>
    <cellStyle name="Normal 4 5 3 7 2 2" xfId="31911" xr:uid="{00000000-0005-0000-0000-000093AA0000}"/>
    <cellStyle name="Normal 4 5 3 7 2 2 2" xfId="51100" xr:uid="{00000000-0005-0000-0000-000094AA0000}"/>
    <cellStyle name="Normal 4 5 3 7 2 3" xfId="41402" xr:uid="{00000000-0005-0000-0000-000095AA0000}"/>
    <cellStyle name="Normal 4 5 3 7 3" xfId="27456" xr:uid="{00000000-0005-0000-0000-000096AA0000}"/>
    <cellStyle name="Normal 4 5 3 7 3 2" xfId="46645" xr:uid="{00000000-0005-0000-0000-000097AA0000}"/>
    <cellStyle name="Normal 4 5 3 7 4" xfId="36947" xr:uid="{00000000-0005-0000-0000-000098AA0000}"/>
    <cellStyle name="Normal 4 5 3 8" xfId="17645" xr:uid="{00000000-0005-0000-0000-000099AA0000}"/>
    <cellStyle name="Normal 4 5 3 8 2" xfId="22100" xr:uid="{00000000-0005-0000-0000-00009AAA0000}"/>
    <cellStyle name="Normal 4 5 3 8 2 2" xfId="32468" xr:uid="{00000000-0005-0000-0000-00009BAA0000}"/>
    <cellStyle name="Normal 4 5 3 8 2 2 2" xfId="51657" xr:uid="{00000000-0005-0000-0000-00009CAA0000}"/>
    <cellStyle name="Normal 4 5 3 8 2 3" xfId="41959" xr:uid="{00000000-0005-0000-0000-00009DAA0000}"/>
    <cellStyle name="Normal 4 5 3 8 3" xfId="28013" xr:uid="{00000000-0005-0000-0000-00009EAA0000}"/>
    <cellStyle name="Normal 4 5 3 8 3 2" xfId="47202" xr:uid="{00000000-0005-0000-0000-00009FAA0000}"/>
    <cellStyle name="Normal 4 5 3 8 4" xfId="37504" xr:uid="{00000000-0005-0000-0000-0000A0AA0000}"/>
    <cellStyle name="Normal 4 5 3 9" xfId="18202" xr:uid="{00000000-0005-0000-0000-0000A1AA0000}"/>
    <cellStyle name="Normal 4 5 3 9 2" xfId="28570" xr:uid="{00000000-0005-0000-0000-0000A2AA0000}"/>
    <cellStyle name="Normal 4 5 3 9 2 2" xfId="47759" xr:uid="{00000000-0005-0000-0000-0000A3AA0000}"/>
    <cellStyle name="Normal 4 5 3 9 3" xfId="38061" xr:uid="{00000000-0005-0000-0000-0000A4AA0000}"/>
    <cellStyle name="Normal 4 5 4" xfId="13361" xr:uid="{00000000-0005-0000-0000-0000A5AA0000}"/>
    <cellStyle name="Normal 4 5 4 10" xfId="53496" xr:uid="{00000000-0005-0000-0000-0000A6AA0000}"/>
    <cellStyle name="Normal 4 5 4 2" xfId="14261" xr:uid="{00000000-0005-0000-0000-0000A7AA0000}"/>
    <cellStyle name="Normal 4 5 4 2 2" xfId="16525" xr:uid="{00000000-0005-0000-0000-0000A8AA0000}"/>
    <cellStyle name="Normal 4 5 4 2 2 2" xfId="20989" xr:uid="{00000000-0005-0000-0000-0000A9AA0000}"/>
    <cellStyle name="Normal 4 5 4 2 2 2 2" xfId="31357" xr:uid="{00000000-0005-0000-0000-0000AAAA0000}"/>
    <cellStyle name="Normal 4 5 4 2 2 2 2 2" xfId="50546" xr:uid="{00000000-0005-0000-0000-0000ABAA0000}"/>
    <cellStyle name="Normal 4 5 4 2 2 2 3" xfId="40848" xr:uid="{00000000-0005-0000-0000-0000ACAA0000}"/>
    <cellStyle name="Normal 4 5 4 2 2 3" xfId="26902" xr:uid="{00000000-0005-0000-0000-0000ADAA0000}"/>
    <cellStyle name="Normal 4 5 4 2 2 3 2" xfId="46091" xr:uid="{00000000-0005-0000-0000-0000AEAA0000}"/>
    <cellStyle name="Normal 4 5 4 2 2 4" xfId="36393" xr:uid="{00000000-0005-0000-0000-0000AFAA0000}"/>
    <cellStyle name="Normal 4 5 4 2 3" xfId="18761" xr:uid="{00000000-0005-0000-0000-0000B0AA0000}"/>
    <cellStyle name="Normal 4 5 4 2 3 2" xfId="29129" xr:uid="{00000000-0005-0000-0000-0000B1AA0000}"/>
    <cellStyle name="Normal 4 5 4 2 3 2 2" xfId="48318" xr:uid="{00000000-0005-0000-0000-0000B2AA0000}"/>
    <cellStyle name="Normal 4 5 4 2 3 3" xfId="38620" xr:uid="{00000000-0005-0000-0000-0000B3AA0000}"/>
    <cellStyle name="Normal 4 5 4 2 4" xfId="24669" xr:uid="{00000000-0005-0000-0000-0000B4AA0000}"/>
    <cellStyle name="Normal 4 5 4 2 4 2" xfId="43863" xr:uid="{00000000-0005-0000-0000-0000B5AA0000}"/>
    <cellStyle name="Normal 4 5 4 2 5" xfId="34165" xr:uid="{00000000-0005-0000-0000-0000B6AA0000}"/>
    <cellStyle name="Normal 4 5 4 3" xfId="14840" xr:uid="{00000000-0005-0000-0000-0000B7AA0000}"/>
    <cellStyle name="Normal 4 5 4 3 2" xfId="15969" xr:uid="{00000000-0005-0000-0000-0000B8AA0000}"/>
    <cellStyle name="Normal 4 5 4 3 2 2" xfId="20433" xr:uid="{00000000-0005-0000-0000-0000B9AA0000}"/>
    <cellStyle name="Normal 4 5 4 3 2 2 2" xfId="30801" xr:uid="{00000000-0005-0000-0000-0000BAAA0000}"/>
    <cellStyle name="Normal 4 5 4 3 2 2 2 2" xfId="49990" xr:uid="{00000000-0005-0000-0000-0000BBAA0000}"/>
    <cellStyle name="Normal 4 5 4 3 2 2 3" xfId="40292" xr:uid="{00000000-0005-0000-0000-0000BCAA0000}"/>
    <cellStyle name="Normal 4 5 4 3 2 3" xfId="26346" xr:uid="{00000000-0005-0000-0000-0000BDAA0000}"/>
    <cellStyle name="Normal 4 5 4 3 2 3 2" xfId="45535" xr:uid="{00000000-0005-0000-0000-0000BEAA0000}"/>
    <cellStyle name="Normal 4 5 4 3 2 4" xfId="35837" xr:uid="{00000000-0005-0000-0000-0000BFAA0000}"/>
    <cellStyle name="Normal 4 5 4 3 3" xfId="19318" xr:uid="{00000000-0005-0000-0000-0000C0AA0000}"/>
    <cellStyle name="Normal 4 5 4 3 3 2" xfId="29686" xr:uid="{00000000-0005-0000-0000-0000C1AA0000}"/>
    <cellStyle name="Normal 4 5 4 3 3 2 2" xfId="48875" xr:uid="{00000000-0005-0000-0000-0000C2AA0000}"/>
    <cellStyle name="Normal 4 5 4 3 3 3" xfId="39177" xr:uid="{00000000-0005-0000-0000-0000C3AA0000}"/>
    <cellStyle name="Normal 4 5 4 3 4" xfId="25231" xr:uid="{00000000-0005-0000-0000-0000C4AA0000}"/>
    <cellStyle name="Normal 4 5 4 3 4 2" xfId="44420" xr:uid="{00000000-0005-0000-0000-0000C5AA0000}"/>
    <cellStyle name="Normal 4 5 4 3 5" xfId="34722" xr:uid="{00000000-0005-0000-0000-0000C6AA0000}"/>
    <cellStyle name="Normal 4 5 4 4" xfId="15412" xr:uid="{00000000-0005-0000-0000-0000C7AA0000}"/>
    <cellStyle name="Normal 4 5 4 4 2" xfId="19876" xr:uid="{00000000-0005-0000-0000-0000C8AA0000}"/>
    <cellStyle name="Normal 4 5 4 4 2 2" xfId="30244" xr:uid="{00000000-0005-0000-0000-0000C9AA0000}"/>
    <cellStyle name="Normal 4 5 4 4 2 2 2" xfId="49433" xr:uid="{00000000-0005-0000-0000-0000CAAA0000}"/>
    <cellStyle name="Normal 4 5 4 4 2 3" xfId="39735" xr:uid="{00000000-0005-0000-0000-0000CBAA0000}"/>
    <cellStyle name="Normal 4 5 4 4 3" xfId="25789" xr:uid="{00000000-0005-0000-0000-0000CCAA0000}"/>
    <cellStyle name="Normal 4 5 4 4 3 2" xfId="44978" xr:uid="{00000000-0005-0000-0000-0000CDAA0000}"/>
    <cellStyle name="Normal 4 5 4 4 4" xfId="35280" xr:uid="{00000000-0005-0000-0000-0000CEAA0000}"/>
    <cellStyle name="Normal 4 5 4 5" xfId="17082" xr:uid="{00000000-0005-0000-0000-0000CFAA0000}"/>
    <cellStyle name="Normal 4 5 4 5 2" xfId="21546" xr:uid="{00000000-0005-0000-0000-0000D0AA0000}"/>
    <cellStyle name="Normal 4 5 4 5 2 2" xfId="31914" xr:uid="{00000000-0005-0000-0000-0000D1AA0000}"/>
    <cellStyle name="Normal 4 5 4 5 2 2 2" xfId="51103" xr:uid="{00000000-0005-0000-0000-0000D2AA0000}"/>
    <cellStyle name="Normal 4 5 4 5 2 3" xfId="41405" xr:uid="{00000000-0005-0000-0000-0000D3AA0000}"/>
    <cellStyle name="Normal 4 5 4 5 3" xfId="27459" xr:uid="{00000000-0005-0000-0000-0000D4AA0000}"/>
    <cellStyle name="Normal 4 5 4 5 3 2" xfId="46648" xr:uid="{00000000-0005-0000-0000-0000D5AA0000}"/>
    <cellStyle name="Normal 4 5 4 5 4" xfId="36950" xr:uid="{00000000-0005-0000-0000-0000D6AA0000}"/>
    <cellStyle name="Normal 4 5 4 6" xfId="17648" xr:uid="{00000000-0005-0000-0000-0000D7AA0000}"/>
    <cellStyle name="Normal 4 5 4 6 2" xfId="22103" xr:uid="{00000000-0005-0000-0000-0000D8AA0000}"/>
    <cellStyle name="Normal 4 5 4 6 2 2" xfId="32471" xr:uid="{00000000-0005-0000-0000-0000D9AA0000}"/>
    <cellStyle name="Normal 4 5 4 6 2 2 2" xfId="51660" xr:uid="{00000000-0005-0000-0000-0000DAAA0000}"/>
    <cellStyle name="Normal 4 5 4 6 2 3" xfId="41962" xr:uid="{00000000-0005-0000-0000-0000DBAA0000}"/>
    <cellStyle name="Normal 4 5 4 6 3" xfId="28016" xr:uid="{00000000-0005-0000-0000-0000DCAA0000}"/>
    <cellStyle name="Normal 4 5 4 6 3 2" xfId="47205" xr:uid="{00000000-0005-0000-0000-0000DDAA0000}"/>
    <cellStyle name="Normal 4 5 4 6 4" xfId="37507" xr:uid="{00000000-0005-0000-0000-0000DEAA0000}"/>
    <cellStyle name="Normal 4 5 4 7" xfId="18205" xr:uid="{00000000-0005-0000-0000-0000DFAA0000}"/>
    <cellStyle name="Normal 4 5 4 7 2" xfId="28573" xr:uid="{00000000-0005-0000-0000-0000E0AA0000}"/>
    <cellStyle name="Normal 4 5 4 7 2 2" xfId="47762" xr:uid="{00000000-0005-0000-0000-0000E1AA0000}"/>
    <cellStyle name="Normal 4 5 4 7 3" xfId="38064" xr:uid="{00000000-0005-0000-0000-0000E2AA0000}"/>
    <cellStyle name="Normal 4 5 4 8" xfId="24073" xr:uid="{00000000-0005-0000-0000-0000E3AA0000}"/>
    <cellStyle name="Normal 4 5 4 8 2" xfId="43307" xr:uid="{00000000-0005-0000-0000-0000E4AA0000}"/>
    <cellStyle name="Normal 4 5 4 9" xfId="33609" xr:uid="{00000000-0005-0000-0000-0000E5AA0000}"/>
    <cellStyle name="Normal 4 5 5" xfId="13362" xr:uid="{00000000-0005-0000-0000-0000E6AA0000}"/>
    <cellStyle name="Normal 4 5 5 2" xfId="14262" xr:uid="{00000000-0005-0000-0000-0000E7AA0000}"/>
    <cellStyle name="Normal 4 5 5 2 2" xfId="16526" xr:uid="{00000000-0005-0000-0000-0000E8AA0000}"/>
    <cellStyle name="Normal 4 5 5 2 2 2" xfId="20990" xr:uid="{00000000-0005-0000-0000-0000E9AA0000}"/>
    <cellStyle name="Normal 4 5 5 2 2 2 2" xfId="31358" xr:uid="{00000000-0005-0000-0000-0000EAAA0000}"/>
    <cellStyle name="Normal 4 5 5 2 2 2 2 2" xfId="50547" xr:uid="{00000000-0005-0000-0000-0000EBAA0000}"/>
    <cellStyle name="Normal 4 5 5 2 2 2 3" xfId="40849" xr:uid="{00000000-0005-0000-0000-0000ECAA0000}"/>
    <cellStyle name="Normal 4 5 5 2 2 3" xfId="26903" xr:uid="{00000000-0005-0000-0000-0000EDAA0000}"/>
    <cellStyle name="Normal 4 5 5 2 2 3 2" xfId="46092" xr:uid="{00000000-0005-0000-0000-0000EEAA0000}"/>
    <cellStyle name="Normal 4 5 5 2 2 4" xfId="36394" xr:uid="{00000000-0005-0000-0000-0000EFAA0000}"/>
    <cellStyle name="Normal 4 5 5 2 3" xfId="18762" xr:uid="{00000000-0005-0000-0000-0000F0AA0000}"/>
    <cellStyle name="Normal 4 5 5 2 3 2" xfId="29130" xr:uid="{00000000-0005-0000-0000-0000F1AA0000}"/>
    <cellStyle name="Normal 4 5 5 2 3 2 2" xfId="48319" xr:uid="{00000000-0005-0000-0000-0000F2AA0000}"/>
    <cellStyle name="Normal 4 5 5 2 3 3" xfId="38621" xr:uid="{00000000-0005-0000-0000-0000F3AA0000}"/>
    <cellStyle name="Normal 4 5 5 2 4" xfId="24670" xr:uid="{00000000-0005-0000-0000-0000F4AA0000}"/>
    <cellStyle name="Normal 4 5 5 2 4 2" xfId="43864" xr:uid="{00000000-0005-0000-0000-0000F5AA0000}"/>
    <cellStyle name="Normal 4 5 5 2 5" xfId="34166" xr:uid="{00000000-0005-0000-0000-0000F6AA0000}"/>
    <cellStyle name="Normal 4 5 5 3" xfId="14841" xr:uid="{00000000-0005-0000-0000-0000F7AA0000}"/>
    <cellStyle name="Normal 4 5 5 3 2" xfId="15970" xr:uid="{00000000-0005-0000-0000-0000F8AA0000}"/>
    <cellStyle name="Normal 4 5 5 3 2 2" xfId="20434" xr:uid="{00000000-0005-0000-0000-0000F9AA0000}"/>
    <cellStyle name="Normal 4 5 5 3 2 2 2" xfId="30802" xr:uid="{00000000-0005-0000-0000-0000FAAA0000}"/>
    <cellStyle name="Normal 4 5 5 3 2 2 2 2" xfId="49991" xr:uid="{00000000-0005-0000-0000-0000FBAA0000}"/>
    <cellStyle name="Normal 4 5 5 3 2 2 3" xfId="40293" xr:uid="{00000000-0005-0000-0000-0000FCAA0000}"/>
    <cellStyle name="Normal 4 5 5 3 2 3" xfId="26347" xr:uid="{00000000-0005-0000-0000-0000FDAA0000}"/>
    <cellStyle name="Normal 4 5 5 3 2 3 2" xfId="45536" xr:uid="{00000000-0005-0000-0000-0000FEAA0000}"/>
    <cellStyle name="Normal 4 5 5 3 2 4" xfId="35838" xr:uid="{00000000-0005-0000-0000-0000FFAA0000}"/>
    <cellStyle name="Normal 4 5 5 3 3" xfId="19319" xr:uid="{00000000-0005-0000-0000-000000AB0000}"/>
    <cellStyle name="Normal 4 5 5 3 3 2" xfId="29687" xr:uid="{00000000-0005-0000-0000-000001AB0000}"/>
    <cellStyle name="Normal 4 5 5 3 3 2 2" xfId="48876" xr:uid="{00000000-0005-0000-0000-000002AB0000}"/>
    <cellStyle name="Normal 4 5 5 3 3 3" xfId="39178" xr:uid="{00000000-0005-0000-0000-000003AB0000}"/>
    <cellStyle name="Normal 4 5 5 3 4" xfId="25232" xr:uid="{00000000-0005-0000-0000-000004AB0000}"/>
    <cellStyle name="Normal 4 5 5 3 4 2" xfId="44421" xr:uid="{00000000-0005-0000-0000-000005AB0000}"/>
    <cellStyle name="Normal 4 5 5 3 5" xfId="34723" xr:uid="{00000000-0005-0000-0000-000006AB0000}"/>
    <cellStyle name="Normal 4 5 5 4" xfId="15413" xr:uid="{00000000-0005-0000-0000-000007AB0000}"/>
    <cellStyle name="Normal 4 5 5 4 2" xfId="19877" xr:uid="{00000000-0005-0000-0000-000008AB0000}"/>
    <cellStyle name="Normal 4 5 5 4 2 2" xfId="30245" xr:uid="{00000000-0005-0000-0000-000009AB0000}"/>
    <cellStyle name="Normal 4 5 5 4 2 2 2" xfId="49434" xr:uid="{00000000-0005-0000-0000-00000AAB0000}"/>
    <cellStyle name="Normal 4 5 5 4 2 3" xfId="39736" xr:uid="{00000000-0005-0000-0000-00000BAB0000}"/>
    <cellStyle name="Normal 4 5 5 4 3" xfId="25790" xr:uid="{00000000-0005-0000-0000-00000CAB0000}"/>
    <cellStyle name="Normal 4 5 5 4 3 2" xfId="44979" xr:uid="{00000000-0005-0000-0000-00000DAB0000}"/>
    <cellStyle name="Normal 4 5 5 4 4" xfId="35281" xr:uid="{00000000-0005-0000-0000-00000EAB0000}"/>
    <cellStyle name="Normal 4 5 5 5" xfId="17083" xr:uid="{00000000-0005-0000-0000-00000FAB0000}"/>
    <cellStyle name="Normal 4 5 5 5 2" xfId="21547" xr:uid="{00000000-0005-0000-0000-000010AB0000}"/>
    <cellStyle name="Normal 4 5 5 5 2 2" xfId="31915" xr:uid="{00000000-0005-0000-0000-000011AB0000}"/>
    <cellStyle name="Normal 4 5 5 5 2 2 2" xfId="51104" xr:uid="{00000000-0005-0000-0000-000012AB0000}"/>
    <cellStyle name="Normal 4 5 5 5 2 3" xfId="41406" xr:uid="{00000000-0005-0000-0000-000013AB0000}"/>
    <cellStyle name="Normal 4 5 5 5 3" xfId="27460" xr:uid="{00000000-0005-0000-0000-000014AB0000}"/>
    <cellStyle name="Normal 4 5 5 5 3 2" xfId="46649" xr:uid="{00000000-0005-0000-0000-000015AB0000}"/>
    <cellStyle name="Normal 4 5 5 5 4" xfId="36951" xr:uid="{00000000-0005-0000-0000-000016AB0000}"/>
    <cellStyle name="Normal 4 5 5 6" xfId="17649" xr:uid="{00000000-0005-0000-0000-000017AB0000}"/>
    <cellStyle name="Normal 4 5 5 6 2" xfId="22104" xr:uid="{00000000-0005-0000-0000-000018AB0000}"/>
    <cellStyle name="Normal 4 5 5 6 2 2" xfId="32472" xr:uid="{00000000-0005-0000-0000-000019AB0000}"/>
    <cellStyle name="Normal 4 5 5 6 2 2 2" xfId="51661" xr:uid="{00000000-0005-0000-0000-00001AAB0000}"/>
    <cellStyle name="Normal 4 5 5 6 2 3" xfId="41963" xr:uid="{00000000-0005-0000-0000-00001BAB0000}"/>
    <cellStyle name="Normal 4 5 5 6 3" xfId="28017" xr:uid="{00000000-0005-0000-0000-00001CAB0000}"/>
    <cellStyle name="Normal 4 5 5 6 3 2" xfId="47206" xr:uid="{00000000-0005-0000-0000-00001DAB0000}"/>
    <cellStyle name="Normal 4 5 5 6 4" xfId="37508" xr:uid="{00000000-0005-0000-0000-00001EAB0000}"/>
    <cellStyle name="Normal 4 5 5 7" xfId="18206" xr:uid="{00000000-0005-0000-0000-00001FAB0000}"/>
    <cellStyle name="Normal 4 5 5 7 2" xfId="28574" xr:uid="{00000000-0005-0000-0000-000020AB0000}"/>
    <cellStyle name="Normal 4 5 5 7 2 2" xfId="47763" xr:uid="{00000000-0005-0000-0000-000021AB0000}"/>
    <cellStyle name="Normal 4 5 5 7 3" xfId="38065" xr:uid="{00000000-0005-0000-0000-000022AB0000}"/>
    <cellStyle name="Normal 4 5 5 8" xfId="24074" xr:uid="{00000000-0005-0000-0000-000023AB0000}"/>
    <cellStyle name="Normal 4 5 5 8 2" xfId="43308" xr:uid="{00000000-0005-0000-0000-000024AB0000}"/>
    <cellStyle name="Normal 4 5 5 9" xfId="33610" xr:uid="{00000000-0005-0000-0000-000025AB0000}"/>
    <cellStyle name="Normal 4 5 6" xfId="12512" xr:uid="{00000000-0005-0000-0000-000026AB0000}"/>
    <cellStyle name="Normal 4 5 7" xfId="52607" xr:uid="{00000000-0005-0000-0000-000027AB0000}"/>
    <cellStyle name="Normal 4 5 8" xfId="12057" xr:uid="{00000000-0005-0000-0000-000028AB0000}"/>
    <cellStyle name="Normal 4 50" xfId="4623" xr:uid="{00000000-0005-0000-0000-000029AB0000}"/>
    <cellStyle name="Normal 4 51" xfId="4624" xr:uid="{00000000-0005-0000-0000-00002AAB0000}"/>
    <cellStyle name="Normal 4 52" xfId="4625" xr:uid="{00000000-0005-0000-0000-00002BAB0000}"/>
    <cellStyle name="Normal 4 53" xfId="4626" xr:uid="{00000000-0005-0000-0000-00002CAB0000}"/>
    <cellStyle name="Normal 4 54" xfId="4627" xr:uid="{00000000-0005-0000-0000-00002DAB0000}"/>
    <cellStyle name="Normal 4 55" xfId="4628" xr:uid="{00000000-0005-0000-0000-00002EAB0000}"/>
    <cellStyle name="Normal 4 56" xfId="4629" xr:uid="{00000000-0005-0000-0000-00002FAB0000}"/>
    <cellStyle name="Normal 4 57" xfId="4630" xr:uid="{00000000-0005-0000-0000-000030AB0000}"/>
    <cellStyle name="Normal 4 58" xfId="4631" xr:uid="{00000000-0005-0000-0000-000031AB0000}"/>
    <cellStyle name="Normal 4 59" xfId="4632" xr:uid="{00000000-0005-0000-0000-000032AB0000}"/>
    <cellStyle name="Normal 4 6" xfId="4633" xr:uid="{00000000-0005-0000-0000-000033AB0000}"/>
    <cellStyle name="Normal 4 6 2" xfId="4634" xr:uid="{00000000-0005-0000-0000-000034AB0000}"/>
    <cellStyle name="Normal 4 6 2 10" xfId="24075" xr:uid="{00000000-0005-0000-0000-000035AB0000}"/>
    <cellStyle name="Normal 4 6 2 10 2" xfId="43309" xr:uid="{00000000-0005-0000-0000-000036AB0000}"/>
    <cellStyle name="Normal 4 6 2 11" xfId="33611" xr:uid="{00000000-0005-0000-0000-000037AB0000}"/>
    <cellStyle name="Normal 4 6 2 12" xfId="52840" xr:uid="{00000000-0005-0000-0000-000038AB0000}"/>
    <cellStyle name="Normal 4 6 2 13" xfId="13363" xr:uid="{00000000-0005-0000-0000-000039AB0000}"/>
    <cellStyle name="Normal 4 6 2 2" xfId="13364" xr:uid="{00000000-0005-0000-0000-00003AAB0000}"/>
    <cellStyle name="Normal 4 6 2 2 10" xfId="53268" xr:uid="{00000000-0005-0000-0000-00003BAB0000}"/>
    <cellStyle name="Normal 4 6 2 2 2" xfId="14264" xr:uid="{00000000-0005-0000-0000-00003CAB0000}"/>
    <cellStyle name="Normal 4 6 2 2 2 2" xfId="16528" xr:uid="{00000000-0005-0000-0000-00003DAB0000}"/>
    <cellStyle name="Normal 4 6 2 2 2 2 2" xfId="20992" xr:uid="{00000000-0005-0000-0000-00003EAB0000}"/>
    <cellStyle name="Normal 4 6 2 2 2 2 2 2" xfId="31360" xr:uid="{00000000-0005-0000-0000-00003FAB0000}"/>
    <cellStyle name="Normal 4 6 2 2 2 2 2 2 2" xfId="50549" xr:uid="{00000000-0005-0000-0000-000040AB0000}"/>
    <cellStyle name="Normal 4 6 2 2 2 2 2 3" xfId="40851" xr:uid="{00000000-0005-0000-0000-000041AB0000}"/>
    <cellStyle name="Normal 4 6 2 2 2 2 3" xfId="26905" xr:uid="{00000000-0005-0000-0000-000042AB0000}"/>
    <cellStyle name="Normal 4 6 2 2 2 2 3 2" xfId="46094" xr:uid="{00000000-0005-0000-0000-000043AB0000}"/>
    <cellStyle name="Normal 4 6 2 2 2 2 4" xfId="36396" xr:uid="{00000000-0005-0000-0000-000044AB0000}"/>
    <cellStyle name="Normal 4 6 2 2 2 3" xfId="18764" xr:uid="{00000000-0005-0000-0000-000045AB0000}"/>
    <cellStyle name="Normal 4 6 2 2 2 3 2" xfId="29132" xr:uid="{00000000-0005-0000-0000-000046AB0000}"/>
    <cellStyle name="Normal 4 6 2 2 2 3 2 2" xfId="48321" xr:uid="{00000000-0005-0000-0000-000047AB0000}"/>
    <cellStyle name="Normal 4 6 2 2 2 3 3" xfId="38623" xr:uid="{00000000-0005-0000-0000-000048AB0000}"/>
    <cellStyle name="Normal 4 6 2 2 2 4" xfId="24672" xr:uid="{00000000-0005-0000-0000-000049AB0000}"/>
    <cellStyle name="Normal 4 6 2 2 2 4 2" xfId="43866" xr:uid="{00000000-0005-0000-0000-00004AAB0000}"/>
    <cellStyle name="Normal 4 6 2 2 2 5" xfId="34168" xr:uid="{00000000-0005-0000-0000-00004BAB0000}"/>
    <cellStyle name="Normal 4 6 2 2 2 6" xfId="54121" xr:uid="{00000000-0005-0000-0000-00004CAB0000}"/>
    <cellStyle name="Normal 4 6 2 2 3" xfId="14843" xr:uid="{00000000-0005-0000-0000-00004DAB0000}"/>
    <cellStyle name="Normal 4 6 2 2 3 2" xfId="15972" xr:uid="{00000000-0005-0000-0000-00004EAB0000}"/>
    <cellStyle name="Normal 4 6 2 2 3 2 2" xfId="20436" xr:uid="{00000000-0005-0000-0000-00004FAB0000}"/>
    <cellStyle name="Normal 4 6 2 2 3 2 2 2" xfId="30804" xr:uid="{00000000-0005-0000-0000-000050AB0000}"/>
    <cellStyle name="Normal 4 6 2 2 3 2 2 2 2" xfId="49993" xr:uid="{00000000-0005-0000-0000-000051AB0000}"/>
    <cellStyle name="Normal 4 6 2 2 3 2 2 3" xfId="40295" xr:uid="{00000000-0005-0000-0000-000052AB0000}"/>
    <cellStyle name="Normal 4 6 2 2 3 2 3" xfId="26349" xr:uid="{00000000-0005-0000-0000-000053AB0000}"/>
    <cellStyle name="Normal 4 6 2 2 3 2 3 2" xfId="45538" xr:uid="{00000000-0005-0000-0000-000054AB0000}"/>
    <cellStyle name="Normal 4 6 2 2 3 2 4" xfId="35840" xr:uid="{00000000-0005-0000-0000-000055AB0000}"/>
    <cellStyle name="Normal 4 6 2 2 3 3" xfId="19321" xr:uid="{00000000-0005-0000-0000-000056AB0000}"/>
    <cellStyle name="Normal 4 6 2 2 3 3 2" xfId="29689" xr:uid="{00000000-0005-0000-0000-000057AB0000}"/>
    <cellStyle name="Normal 4 6 2 2 3 3 2 2" xfId="48878" xr:uid="{00000000-0005-0000-0000-000058AB0000}"/>
    <cellStyle name="Normal 4 6 2 2 3 3 3" xfId="39180" xr:uid="{00000000-0005-0000-0000-000059AB0000}"/>
    <cellStyle name="Normal 4 6 2 2 3 4" xfId="25234" xr:uid="{00000000-0005-0000-0000-00005AAB0000}"/>
    <cellStyle name="Normal 4 6 2 2 3 4 2" xfId="44423" xr:uid="{00000000-0005-0000-0000-00005BAB0000}"/>
    <cellStyle name="Normal 4 6 2 2 3 5" xfId="34725" xr:uid="{00000000-0005-0000-0000-00005CAB0000}"/>
    <cellStyle name="Normal 4 6 2 2 4" xfId="15415" xr:uid="{00000000-0005-0000-0000-00005DAB0000}"/>
    <cellStyle name="Normal 4 6 2 2 4 2" xfId="19879" xr:uid="{00000000-0005-0000-0000-00005EAB0000}"/>
    <cellStyle name="Normal 4 6 2 2 4 2 2" xfId="30247" xr:uid="{00000000-0005-0000-0000-00005FAB0000}"/>
    <cellStyle name="Normal 4 6 2 2 4 2 2 2" xfId="49436" xr:uid="{00000000-0005-0000-0000-000060AB0000}"/>
    <cellStyle name="Normal 4 6 2 2 4 2 3" xfId="39738" xr:uid="{00000000-0005-0000-0000-000061AB0000}"/>
    <cellStyle name="Normal 4 6 2 2 4 3" xfId="25792" xr:uid="{00000000-0005-0000-0000-000062AB0000}"/>
    <cellStyle name="Normal 4 6 2 2 4 3 2" xfId="44981" xr:uid="{00000000-0005-0000-0000-000063AB0000}"/>
    <cellStyle name="Normal 4 6 2 2 4 4" xfId="35283" xr:uid="{00000000-0005-0000-0000-000064AB0000}"/>
    <cellStyle name="Normal 4 6 2 2 5" xfId="17085" xr:uid="{00000000-0005-0000-0000-000065AB0000}"/>
    <cellStyle name="Normal 4 6 2 2 5 2" xfId="21549" xr:uid="{00000000-0005-0000-0000-000066AB0000}"/>
    <cellStyle name="Normal 4 6 2 2 5 2 2" xfId="31917" xr:uid="{00000000-0005-0000-0000-000067AB0000}"/>
    <cellStyle name="Normal 4 6 2 2 5 2 2 2" xfId="51106" xr:uid="{00000000-0005-0000-0000-000068AB0000}"/>
    <cellStyle name="Normal 4 6 2 2 5 2 3" xfId="41408" xr:uid="{00000000-0005-0000-0000-000069AB0000}"/>
    <cellStyle name="Normal 4 6 2 2 5 3" xfId="27462" xr:uid="{00000000-0005-0000-0000-00006AAB0000}"/>
    <cellStyle name="Normal 4 6 2 2 5 3 2" xfId="46651" xr:uid="{00000000-0005-0000-0000-00006BAB0000}"/>
    <cellStyle name="Normal 4 6 2 2 5 4" xfId="36953" xr:uid="{00000000-0005-0000-0000-00006CAB0000}"/>
    <cellStyle name="Normal 4 6 2 2 6" xfId="17651" xr:uid="{00000000-0005-0000-0000-00006DAB0000}"/>
    <cellStyle name="Normal 4 6 2 2 6 2" xfId="22106" xr:uid="{00000000-0005-0000-0000-00006EAB0000}"/>
    <cellStyle name="Normal 4 6 2 2 6 2 2" xfId="32474" xr:uid="{00000000-0005-0000-0000-00006FAB0000}"/>
    <cellStyle name="Normal 4 6 2 2 6 2 2 2" xfId="51663" xr:uid="{00000000-0005-0000-0000-000070AB0000}"/>
    <cellStyle name="Normal 4 6 2 2 6 2 3" xfId="41965" xr:uid="{00000000-0005-0000-0000-000071AB0000}"/>
    <cellStyle name="Normal 4 6 2 2 6 3" xfId="28019" xr:uid="{00000000-0005-0000-0000-000072AB0000}"/>
    <cellStyle name="Normal 4 6 2 2 6 3 2" xfId="47208" xr:uid="{00000000-0005-0000-0000-000073AB0000}"/>
    <cellStyle name="Normal 4 6 2 2 6 4" xfId="37510" xr:uid="{00000000-0005-0000-0000-000074AB0000}"/>
    <cellStyle name="Normal 4 6 2 2 7" xfId="18208" xr:uid="{00000000-0005-0000-0000-000075AB0000}"/>
    <cellStyle name="Normal 4 6 2 2 7 2" xfId="28576" xr:uid="{00000000-0005-0000-0000-000076AB0000}"/>
    <cellStyle name="Normal 4 6 2 2 7 2 2" xfId="47765" xr:uid="{00000000-0005-0000-0000-000077AB0000}"/>
    <cellStyle name="Normal 4 6 2 2 7 3" xfId="38067" xr:uid="{00000000-0005-0000-0000-000078AB0000}"/>
    <cellStyle name="Normal 4 6 2 2 8" xfId="24076" xr:uid="{00000000-0005-0000-0000-000079AB0000}"/>
    <cellStyle name="Normal 4 6 2 2 8 2" xfId="43310" xr:uid="{00000000-0005-0000-0000-00007AAB0000}"/>
    <cellStyle name="Normal 4 6 2 2 9" xfId="33612" xr:uid="{00000000-0005-0000-0000-00007BAB0000}"/>
    <cellStyle name="Normal 4 6 2 3" xfId="13365" xr:uid="{00000000-0005-0000-0000-00007CAB0000}"/>
    <cellStyle name="Normal 4 6 2 3 10" xfId="53725" xr:uid="{00000000-0005-0000-0000-00007DAB0000}"/>
    <cellStyle name="Normal 4 6 2 3 2" xfId="14265" xr:uid="{00000000-0005-0000-0000-00007EAB0000}"/>
    <cellStyle name="Normal 4 6 2 3 2 2" xfId="16529" xr:uid="{00000000-0005-0000-0000-00007FAB0000}"/>
    <cellStyle name="Normal 4 6 2 3 2 2 2" xfId="20993" xr:uid="{00000000-0005-0000-0000-000080AB0000}"/>
    <cellStyle name="Normal 4 6 2 3 2 2 2 2" xfId="31361" xr:uid="{00000000-0005-0000-0000-000081AB0000}"/>
    <cellStyle name="Normal 4 6 2 3 2 2 2 2 2" xfId="50550" xr:uid="{00000000-0005-0000-0000-000082AB0000}"/>
    <cellStyle name="Normal 4 6 2 3 2 2 2 3" xfId="40852" xr:uid="{00000000-0005-0000-0000-000083AB0000}"/>
    <cellStyle name="Normal 4 6 2 3 2 2 3" xfId="26906" xr:uid="{00000000-0005-0000-0000-000084AB0000}"/>
    <cellStyle name="Normal 4 6 2 3 2 2 3 2" xfId="46095" xr:uid="{00000000-0005-0000-0000-000085AB0000}"/>
    <cellStyle name="Normal 4 6 2 3 2 2 4" xfId="36397" xr:uid="{00000000-0005-0000-0000-000086AB0000}"/>
    <cellStyle name="Normal 4 6 2 3 2 3" xfId="18765" xr:uid="{00000000-0005-0000-0000-000087AB0000}"/>
    <cellStyle name="Normal 4 6 2 3 2 3 2" xfId="29133" xr:uid="{00000000-0005-0000-0000-000088AB0000}"/>
    <cellStyle name="Normal 4 6 2 3 2 3 2 2" xfId="48322" xr:uid="{00000000-0005-0000-0000-000089AB0000}"/>
    <cellStyle name="Normal 4 6 2 3 2 3 3" xfId="38624" xr:uid="{00000000-0005-0000-0000-00008AAB0000}"/>
    <cellStyle name="Normal 4 6 2 3 2 4" xfId="24673" xr:uid="{00000000-0005-0000-0000-00008BAB0000}"/>
    <cellStyle name="Normal 4 6 2 3 2 4 2" xfId="43867" xr:uid="{00000000-0005-0000-0000-00008CAB0000}"/>
    <cellStyle name="Normal 4 6 2 3 2 5" xfId="34169" xr:uid="{00000000-0005-0000-0000-00008DAB0000}"/>
    <cellStyle name="Normal 4 6 2 3 3" xfId="14844" xr:uid="{00000000-0005-0000-0000-00008EAB0000}"/>
    <cellStyle name="Normal 4 6 2 3 3 2" xfId="15973" xr:uid="{00000000-0005-0000-0000-00008FAB0000}"/>
    <cellStyle name="Normal 4 6 2 3 3 2 2" xfId="20437" xr:uid="{00000000-0005-0000-0000-000090AB0000}"/>
    <cellStyle name="Normal 4 6 2 3 3 2 2 2" xfId="30805" xr:uid="{00000000-0005-0000-0000-000091AB0000}"/>
    <cellStyle name="Normal 4 6 2 3 3 2 2 2 2" xfId="49994" xr:uid="{00000000-0005-0000-0000-000092AB0000}"/>
    <cellStyle name="Normal 4 6 2 3 3 2 2 3" xfId="40296" xr:uid="{00000000-0005-0000-0000-000093AB0000}"/>
    <cellStyle name="Normal 4 6 2 3 3 2 3" xfId="26350" xr:uid="{00000000-0005-0000-0000-000094AB0000}"/>
    <cellStyle name="Normal 4 6 2 3 3 2 3 2" xfId="45539" xr:uid="{00000000-0005-0000-0000-000095AB0000}"/>
    <cellStyle name="Normal 4 6 2 3 3 2 4" xfId="35841" xr:uid="{00000000-0005-0000-0000-000096AB0000}"/>
    <cellStyle name="Normal 4 6 2 3 3 3" xfId="19322" xr:uid="{00000000-0005-0000-0000-000097AB0000}"/>
    <cellStyle name="Normal 4 6 2 3 3 3 2" xfId="29690" xr:uid="{00000000-0005-0000-0000-000098AB0000}"/>
    <cellStyle name="Normal 4 6 2 3 3 3 2 2" xfId="48879" xr:uid="{00000000-0005-0000-0000-000099AB0000}"/>
    <cellStyle name="Normal 4 6 2 3 3 3 3" xfId="39181" xr:uid="{00000000-0005-0000-0000-00009AAB0000}"/>
    <cellStyle name="Normal 4 6 2 3 3 4" xfId="25235" xr:uid="{00000000-0005-0000-0000-00009BAB0000}"/>
    <cellStyle name="Normal 4 6 2 3 3 4 2" xfId="44424" xr:uid="{00000000-0005-0000-0000-00009CAB0000}"/>
    <cellStyle name="Normal 4 6 2 3 3 5" xfId="34726" xr:uid="{00000000-0005-0000-0000-00009DAB0000}"/>
    <cellStyle name="Normal 4 6 2 3 4" xfId="15416" xr:uid="{00000000-0005-0000-0000-00009EAB0000}"/>
    <cellStyle name="Normal 4 6 2 3 4 2" xfId="19880" xr:uid="{00000000-0005-0000-0000-00009FAB0000}"/>
    <cellStyle name="Normal 4 6 2 3 4 2 2" xfId="30248" xr:uid="{00000000-0005-0000-0000-0000A0AB0000}"/>
    <cellStyle name="Normal 4 6 2 3 4 2 2 2" xfId="49437" xr:uid="{00000000-0005-0000-0000-0000A1AB0000}"/>
    <cellStyle name="Normal 4 6 2 3 4 2 3" xfId="39739" xr:uid="{00000000-0005-0000-0000-0000A2AB0000}"/>
    <cellStyle name="Normal 4 6 2 3 4 3" xfId="25793" xr:uid="{00000000-0005-0000-0000-0000A3AB0000}"/>
    <cellStyle name="Normal 4 6 2 3 4 3 2" xfId="44982" xr:uid="{00000000-0005-0000-0000-0000A4AB0000}"/>
    <cellStyle name="Normal 4 6 2 3 4 4" xfId="35284" xr:uid="{00000000-0005-0000-0000-0000A5AB0000}"/>
    <cellStyle name="Normal 4 6 2 3 5" xfId="17086" xr:uid="{00000000-0005-0000-0000-0000A6AB0000}"/>
    <cellStyle name="Normal 4 6 2 3 5 2" xfId="21550" xr:uid="{00000000-0005-0000-0000-0000A7AB0000}"/>
    <cellStyle name="Normal 4 6 2 3 5 2 2" xfId="31918" xr:uid="{00000000-0005-0000-0000-0000A8AB0000}"/>
    <cellStyle name="Normal 4 6 2 3 5 2 2 2" xfId="51107" xr:uid="{00000000-0005-0000-0000-0000A9AB0000}"/>
    <cellStyle name="Normal 4 6 2 3 5 2 3" xfId="41409" xr:uid="{00000000-0005-0000-0000-0000AAAB0000}"/>
    <cellStyle name="Normal 4 6 2 3 5 3" xfId="27463" xr:uid="{00000000-0005-0000-0000-0000ABAB0000}"/>
    <cellStyle name="Normal 4 6 2 3 5 3 2" xfId="46652" xr:uid="{00000000-0005-0000-0000-0000ACAB0000}"/>
    <cellStyle name="Normal 4 6 2 3 5 4" xfId="36954" xr:uid="{00000000-0005-0000-0000-0000ADAB0000}"/>
    <cellStyle name="Normal 4 6 2 3 6" xfId="17652" xr:uid="{00000000-0005-0000-0000-0000AEAB0000}"/>
    <cellStyle name="Normal 4 6 2 3 6 2" xfId="22107" xr:uid="{00000000-0005-0000-0000-0000AFAB0000}"/>
    <cellStyle name="Normal 4 6 2 3 6 2 2" xfId="32475" xr:uid="{00000000-0005-0000-0000-0000B0AB0000}"/>
    <cellStyle name="Normal 4 6 2 3 6 2 2 2" xfId="51664" xr:uid="{00000000-0005-0000-0000-0000B1AB0000}"/>
    <cellStyle name="Normal 4 6 2 3 6 2 3" xfId="41966" xr:uid="{00000000-0005-0000-0000-0000B2AB0000}"/>
    <cellStyle name="Normal 4 6 2 3 6 3" xfId="28020" xr:uid="{00000000-0005-0000-0000-0000B3AB0000}"/>
    <cellStyle name="Normal 4 6 2 3 6 3 2" xfId="47209" xr:uid="{00000000-0005-0000-0000-0000B4AB0000}"/>
    <cellStyle name="Normal 4 6 2 3 6 4" xfId="37511" xr:uid="{00000000-0005-0000-0000-0000B5AB0000}"/>
    <cellStyle name="Normal 4 6 2 3 7" xfId="18209" xr:uid="{00000000-0005-0000-0000-0000B6AB0000}"/>
    <cellStyle name="Normal 4 6 2 3 7 2" xfId="28577" xr:uid="{00000000-0005-0000-0000-0000B7AB0000}"/>
    <cellStyle name="Normal 4 6 2 3 7 2 2" xfId="47766" xr:uid="{00000000-0005-0000-0000-0000B8AB0000}"/>
    <cellStyle name="Normal 4 6 2 3 7 3" xfId="38068" xr:uid="{00000000-0005-0000-0000-0000B9AB0000}"/>
    <cellStyle name="Normal 4 6 2 3 8" xfId="24077" xr:uid="{00000000-0005-0000-0000-0000BAAB0000}"/>
    <cellStyle name="Normal 4 6 2 3 8 2" xfId="43311" xr:uid="{00000000-0005-0000-0000-0000BBAB0000}"/>
    <cellStyle name="Normal 4 6 2 3 9" xfId="33613" xr:uid="{00000000-0005-0000-0000-0000BCAB0000}"/>
    <cellStyle name="Normal 4 6 2 4" xfId="14263" xr:uid="{00000000-0005-0000-0000-0000BDAB0000}"/>
    <cellStyle name="Normal 4 6 2 4 2" xfId="16527" xr:uid="{00000000-0005-0000-0000-0000BEAB0000}"/>
    <cellStyle name="Normal 4 6 2 4 2 2" xfId="20991" xr:uid="{00000000-0005-0000-0000-0000BFAB0000}"/>
    <cellStyle name="Normal 4 6 2 4 2 2 2" xfId="31359" xr:uid="{00000000-0005-0000-0000-0000C0AB0000}"/>
    <cellStyle name="Normal 4 6 2 4 2 2 2 2" xfId="50548" xr:uid="{00000000-0005-0000-0000-0000C1AB0000}"/>
    <cellStyle name="Normal 4 6 2 4 2 2 3" xfId="40850" xr:uid="{00000000-0005-0000-0000-0000C2AB0000}"/>
    <cellStyle name="Normal 4 6 2 4 2 3" xfId="26904" xr:uid="{00000000-0005-0000-0000-0000C3AB0000}"/>
    <cellStyle name="Normal 4 6 2 4 2 3 2" xfId="46093" xr:uid="{00000000-0005-0000-0000-0000C4AB0000}"/>
    <cellStyle name="Normal 4 6 2 4 2 4" xfId="36395" xr:uid="{00000000-0005-0000-0000-0000C5AB0000}"/>
    <cellStyle name="Normal 4 6 2 4 3" xfId="18763" xr:uid="{00000000-0005-0000-0000-0000C6AB0000}"/>
    <cellStyle name="Normal 4 6 2 4 3 2" xfId="29131" xr:uid="{00000000-0005-0000-0000-0000C7AB0000}"/>
    <cellStyle name="Normal 4 6 2 4 3 2 2" xfId="48320" xr:uid="{00000000-0005-0000-0000-0000C8AB0000}"/>
    <cellStyle name="Normal 4 6 2 4 3 3" xfId="38622" xr:uid="{00000000-0005-0000-0000-0000C9AB0000}"/>
    <cellStyle name="Normal 4 6 2 4 4" xfId="24671" xr:uid="{00000000-0005-0000-0000-0000CAAB0000}"/>
    <cellStyle name="Normal 4 6 2 4 4 2" xfId="43865" xr:uid="{00000000-0005-0000-0000-0000CBAB0000}"/>
    <cellStyle name="Normal 4 6 2 4 5" xfId="34167" xr:uid="{00000000-0005-0000-0000-0000CCAB0000}"/>
    <cellStyle name="Normal 4 6 2 5" xfId="14842" xr:uid="{00000000-0005-0000-0000-0000CDAB0000}"/>
    <cellStyle name="Normal 4 6 2 5 2" xfId="15971" xr:uid="{00000000-0005-0000-0000-0000CEAB0000}"/>
    <cellStyle name="Normal 4 6 2 5 2 2" xfId="20435" xr:uid="{00000000-0005-0000-0000-0000CFAB0000}"/>
    <cellStyle name="Normal 4 6 2 5 2 2 2" xfId="30803" xr:uid="{00000000-0005-0000-0000-0000D0AB0000}"/>
    <cellStyle name="Normal 4 6 2 5 2 2 2 2" xfId="49992" xr:uid="{00000000-0005-0000-0000-0000D1AB0000}"/>
    <cellStyle name="Normal 4 6 2 5 2 2 3" xfId="40294" xr:uid="{00000000-0005-0000-0000-0000D2AB0000}"/>
    <cellStyle name="Normal 4 6 2 5 2 3" xfId="26348" xr:uid="{00000000-0005-0000-0000-0000D3AB0000}"/>
    <cellStyle name="Normal 4 6 2 5 2 3 2" xfId="45537" xr:uid="{00000000-0005-0000-0000-0000D4AB0000}"/>
    <cellStyle name="Normal 4 6 2 5 2 4" xfId="35839" xr:uid="{00000000-0005-0000-0000-0000D5AB0000}"/>
    <cellStyle name="Normal 4 6 2 5 3" xfId="19320" xr:uid="{00000000-0005-0000-0000-0000D6AB0000}"/>
    <cellStyle name="Normal 4 6 2 5 3 2" xfId="29688" xr:uid="{00000000-0005-0000-0000-0000D7AB0000}"/>
    <cellStyle name="Normal 4 6 2 5 3 2 2" xfId="48877" xr:uid="{00000000-0005-0000-0000-0000D8AB0000}"/>
    <cellStyle name="Normal 4 6 2 5 3 3" xfId="39179" xr:uid="{00000000-0005-0000-0000-0000D9AB0000}"/>
    <cellStyle name="Normal 4 6 2 5 4" xfId="25233" xr:uid="{00000000-0005-0000-0000-0000DAAB0000}"/>
    <cellStyle name="Normal 4 6 2 5 4 2" xfId="44422" xr:uid="{00000000-0005-0000-0000-0000DBAB0000}"/>
    <cellStyle name="Normal 4 6 2 5 5" xfId="34724" xr:uid="{00000000-0005-0000-0000-0000DCAB0000}"/>
    <cellStyle name="Normal 4 6 2 6" xfId="15414" xr:uid="{00000000-0005-0000-0000-0000DDAB0000}"/>
    <cellStyle name="Normal 4 6 2 6 2" xfId="19878" xr:uid="{00000000-0005-0000-0000-0000DEAB0000}"/>
    <cellStyle name="Normal 4 6 2 6 2 2" xfId="30246" xr:uid="{00000000-0005-0000-0000-0000DFAB0000}"/>
    <cellStyle name="Normal 4 6 2 6 2 2 2" xfId="49435" xr:uid="{00000000-0005-0000-0000-0000E0AB0000}"/>
    <cellStyle name="Normal 4 6 2 6 2 3" xfId="39737" xr:uid="{00000000-0005-0000-0000-0000E1AB0000}"/>
    <cellStyle name="Normal 4 6 2 6 3" xfId="25791" xr:uid="{00000000-0005-0000-0000-0000E2AB0000}"/>
    <cellStyle name="Normal 4 6 2 6 3 2" xfId="44980" xr:uid="{00000000-0005-0000-0000-0000E3AB0000}"/>
    <cellStyle name="Normal 4 6 2 6 4" xfId="35282" xr:uid="{00000000-0005-0000-0000-0000E4AB0000}"/>
    <cellStyle name="Normal 4 6 2 7" xfId="17084" xr:uid="{00000000-0005-0000-0000-0000E5AB0000}"/>
    <cellStyle name="Normal 4 6 2 7 2" xfId="21548" xr:uid="{00000000-0005-0000-0000-0000E6AB0000}"/>
    <cellStyle name="Normal 4 6 2 7 2 2" xfId="31916" xr:uid="{00000000-0005-0000-0000-0000E7AB0000}"/>
    <cellStyle name="Normal 4 6 2 7 2 2 2" xfId="51105" xr:uid="{00000000-0005-0000-0000-0000E8AB0000}"/>
    <cellStyle name="Normal 4 6 2 7 2 3" xfId="41407" xr:uid="{00000000-0005-0000-0000-0000E9AB0000}"/>
    <cellStyle name="Normal 4 6 2 7 3" xfId="27461" xr:uid="{00000000-0005-0000-0000-0000EAAB0000}"/>
    <cellStyle name="Normal 4 6 2 7 3 2" xfId="46650" xr:uid="{00000000-0005-0000-0000-0000EBAB0000}"/>
    <cellStyle name="Normal 4 6 2 7 4" xfId="36952" xr:uid="{00000000-0005-0000-0000-0000ECAB0000}"/>
    <cellStyle name="Normal 4 6 2 8" xfId="17650" xr:uid="{00000000-0005-0000-0000-0000EDAB0000}"/>
    <cellStyle name="Normal 4 6 2 8 2" xfId="22105" xr:uid="{00000000-0005-0000-0000-0000EEAB0000}"/>
    <cellStyle name="Normal 4 6 2 8 2 2" xfId="32473" xr:uid="{00000000-0005-0000-0000-0000EFAB0000}"/>
    <cellStyle name="Normal 4 6 2 8 2 2 2" xfId="51662" xr:uid="{00000000-0005-0000-0000-0000F0AB0000}"/>
    <cellStyle name="Normal 4 6 2 8 2 3" xfId="41964" xr:uid="{00000000-0005-0000-0000-0000F1AB0000}"/>
    <cellStyle name="Normal 4 6 2 8 3" xfId="28018" xr:uid="{00000000-0005-0000-0000-0000F2AB0000}"/>
    <cellStyle name="Normal 4 6 2 8 3 2" xfId="47207" xr:uid="{00000000-0005-0000-0000-0000F3AB0000}"/>
    <cellStyle name="Normal 4 6 2 8 4" xfId="37509" xr:uid="{00000000-0005-0000-0000-0000F4AB0000}"/>
    <cellStyle name="Normal 4 6 2 9" xfId="18207" xr:uid="{00000000-0005-0000-0000-0000F5AB0000}"/>
    <cellStyle name="Normal 4 6 2 9 2" xfId="28575" xr:uid="{00000000-0005-0000-0000-0000F6AB0000}"/>
    <cellStyle name="Normal 4 6 2 9 2 2" xfId="47764" xr:uid="{00000000-0005-0000-0000-0000F7AB0000}"/>
    <cellStyle name="Normal 4 6 2 9 3" xfId="38066" xr:uid="{00000000-0005-0000-0000-0000F8AB0000}"/>
    <cellStyle name="Normal 4 6 3" xfId="13366" xr:uid="{00000000-0005-0000-0000-0000F9AB0000}"/>
    <cellStyle name="Normal 4 6 3 10" xfId="53050" xr:uid="{00000000-0005-0000-0000-0000FAAB0000}"/>
    <cellStyle name="Normal 4 6 3 2" xfId="14266" xr:uid="{00000000-0005-0000-0000-0000FBAB0000}"/>
    <cellStyle name="Normal 4 6 3 2 2" xfId="16530" xr:uid="{00000000-0005-0000-0000-0000FCAB0000}"/>
    <cellStyle name="Normal 4 6 3 2 2 2" xfId="20994" xr:uid="{00000000-0005-0000-0000-0000FDAB0000}"/>
    <cellStyle name="Normal 4 6 3 2 2 2 2" xfId="31362" xr:uid="{00000000-0005-0000-0000-0000FEAB0000}"/>
    <cellStyle name="Normal 4 6 3 2 2 2 2 2" xfId="50551" xr:uid="{00000000-0005-0000-0000-0000FFAB0000}"/>
    <cellStyle name="Normal 4 6 3 2 2 2 3" xfId="40853" xr:uid="{00000000-0005-0000-0000-000000AC0000}"/>
    <cellStyle name="Normal 4 6 3 2 2 3" xfId="26907" xr:uid="{00000000-0005-0000-0000-000001AC0000}"/>
    <cellStyle name="Normal 4 6 3 2 2 3 2" xfId="46096" xr:uid="{00000000-0005-0000-0000-000002AC0000}"/>
    <cellStyle name="Normal 4 6 3 2 2 4" xfId="36398" xr:uid="{00000000-0005-0000-0000-000003AC0000}"/>
    <cellStyle name="Normal 4 6 3 2 3" xfId="18766" xr:uid="{00000000-0005-0000-0000-000004AC0000}"/>
    <cellStyle name="Normal 4 6 3 2 3 2" xfId="29134" xr:uid="{00000000-0005-0000-0000-000005AC0000}"/>
    <cellStyle name="Normal 4 6 3 2 3 2 2" xfId="48323" xr:uid="{00000000-0005-0000-0000-000006AC0000}"/>
    <cellStyle name="Normal 4 6 3 2 3 3" xfId="38625" xr:uid="{00000000-0005-0000-0000-000007AC0000}"/>
    <cellStyle name="Normal 4 6 3 2 4" xfId="24674" xr:uid="{00000000-0005-0000-0000-000008AC0000}"/>
    <cellStyle name="Normal 4 6 3 2 4 2" xfId="43868" xr:uid="{00000000-0005-0000-0000-000009AC0000}"/>
    <cellStyle name="Normal 4 6 3 2 5" xfId="34170" xr:uid="{00000000-0005-0000-0000-00000AAC0000}"/>
    <cellStyle name="Normal 4 6 3 2 6" xfId="53925" xr:uid="{00000000-0005-0000-0000-00000BAC0000}"/>
    <cellStyle name="Normal 4 6 3 3" xfId="14845" xr:uid="{00000000-0005-0000-0000-00000CAC0000}"/>
    <cellStyle name="Normal 4 6 3 3 2" xfId="15974" xr:uid="{00000000-0005-0000-0000-00000DAC0000}"/>
    <cellStyle name="Normal 4 6 3 3 2 2" xfId="20438" xr:uid="{00000000-0005-0000-0000-00000EAC0000}"/>
    <cellStyle name="Normal 4 6 3 3 2 2 2" xfId="30806" xr:uid="{00000000-0005-0000-0000-00000FAC0000}"/>
    <cellStyle name="Normal 4 6 3 3 2 2 2 2" xfId="49995" xr:uid="{00000000-0005-0000-0000-000010AC0000}"/>
    <cellStyle name="Normal 4 6 3 3 2 2 3" xfId="40297" xr:uid="{00000000-0005-0000-0000-000011AC0000}"/>
    <cellStyle name="Normal 4 6 3 3 2 3" xfId="26351" xr:uid="{00000000-0005-0000-0000-000012AC0000}"/>
    <cellStyle name="Normal 4 6 3 3 2 3 2" xfId="45540" xr:uid="{00000000-0005-0000-0000-000013AC0000}"/>
    <cellStyle name="Normal 4 6 3 3 2 4" xfId="35842" xr:uid="{00000000-0005-0000-0000-000014AC0000}"/>
    <cellStyle name="Normal 4 6 3 3 3" xfId="19323" xr:uid="{00000000-0005-0000-0000-000015AC0000}"/>
    <cellStyle name="Normal 4 6 3 3 3 2" xfId="29691" xr:uid="{00000000-0005-0000-0000-000016AC0000}"/>
    <cellStyle name="Normal 4 6 3 3 3 2 2" xfId="48880" xr:uid="{00000000-0005-0000-0000-000017AC0000}"/>
    <cellStyle name="Normal 4 6 3 3 3 3" xfId="39182" xr:uid="{00000000-0005-0000-0000-000018AC0000}"/>
    <cellStyle name="Normal 4 6 3 3 4" xfId="25236" xr:uid="{00000000-0005-0000-0000-000019AC0000}"/>
    <cellStyle name="Normal 4 6 3 3 4 2" xfId="44425" xr:uid="{00000000-0005-0000-0000-00001AAC0000}"/>
    <cellStyle name="Normal 4 6 3 3 5" xfId="34727" xr:uid="{00000000-0005-0000-0000-00001BAC0000}"/>
    <cellStyle name="Normal 4 6 3 4" xfId="15417" xr:uid="{00000000-0005-0000-0000-00001CAC0000}"/>
    <cellStyle name="Normal 4 6 3 4 2" xfId="19881" xr:uid="{00000000-0005-0000-0000-00001DAC0000}"/>
    <cellStyle name="Normal 4 6 3 4 2 2" xfId="30249" xr:uid="{00000000-0005-0000-0000-00001EAC0000}"/>
    <cellStyle name="Normal 4 6 3 4 2 2 2" xfId="49438" xr:uid="{00000000-0005-0000-0000-00001FAC0000}"/>
    <cellStyle name="Normal 4 6 3 4 2 3" xfId="39740" xr:uid="{00000000-0005-0000-0000-000020AC0000}"/>
    <cellStyle name="Normal 4 6 3 4 3" xfId="25794" xr:uid="{00000000-0005-0000-0000-000021AC0000}"/>
    <cellStyle name="Normal 4 6 3 4 3 2" xfId="44983" xr:uid="{00000000-0005-0000-0000-000022AC0000}"/>
    <cellStyle name="Normal 4 6 3 4 4" xfId="35285" xr:uid="{00000000-0005-0000-0000-000023AC0000}"/>
    <cellStyle name="Normal 4 6 3 5" xfId="17087" xr:uid="{00000000-0005-0000-0000-000024AC0000}"/>
    <cellStyle name="Normal 4 6 3 5 2" xfId="21551" xr:uid="{00000000-0005-0000-0000-000025AC0000}"/>
    <cellStyle name="Normal 4 6 3 5 2 2" xfId="31919" xr:uid="{00000000-0005-0000-0000-000026AC0000}"/>
    <cellStyle name="Normal 4 6 3 5 2 2 2" xfId="51108" xr:uid="{00000000-0005-0000-0000-000027AC0000}"/>
    <cellStyle name="Normal 4 6 3 5 2 3" xfId="41410" xr:uid="{00000000-0005-0000-0000-000028AC0000}"/>
    <cellStyle name="Normal 4 6 3 5 3" xfId="27464" xr:uid="{00000000-0005-0000-0000-000029AC0000}"/>
    <cellStyle name="Normal 4 6 3 5 3 2" xfId="46653" xr:uid="{00000000-0005-0000-0000-00002AAC0000}"/>
    <cellStyle name="Normal 4 6 3 5 4" xfId="36955" xr:uid="{00000000-0005-0000-0000-00002BAC0000}"/>
    <cellStyle name="Normal 4 6 3 6" xfId="17653" xr:uid="{00000000-0005-0000-0000-00002CAC0000}"/>
    <cellStyle name="Normal 4 6 3 6 2" xfId="22108" xr:uid="{00000000-0005-0000-0000-00002DAC0000}"/>
    <cellStyle name="Normal 4 6 3 6 2 2" xfId="32476" xr:uid="{00000000-0005-0000-0000-00002EAC0000}"/>
    <cellStyle name="Normal 4 6 3 6 2 2 2" xfId="51665" xr:uid="{00000000-0005-0000-0000-00002FAC0000}"/>
    <cellStyle name="Normal 4 6 3 6 2 3" xfId="41967" xr:uid="{00000000-0005-0000-0000-000030AC0000}"/>
    <cellStyle name="Normal 4 6 3 6 3" xfId="28021" xr:uid="{00000000-0005-0000-0000-000031AC0000}"/>
    <cellStyle name="Normal 4 6 3 6 3 2" xfId="47210" xr:uid="{00000000-0005-0000-0000-000032AC0000}"/>
    <cellStyle name="Normal 4 6 3 6 4" xfId="37512" xr:uid="{00000000-0005-0000-0000-000033AC0000}"/>
    <cellStyle name="Normal 4 6 3 7" xfId="18210" xr:uid="{00000000-0005-0000-0000-000034AC0000}"/>
    <cellStyle name="Normal 4 6 3 7 2" xfId="28578" xr:uid="{00000000-0005-0000-0000-000035AC0000}"/>
    <cellStyle name="Normal 4 6 3 7 2 2" xfId="47767" xr:uid="{00000000-0005-0000-0000-000036AC0000}"/>
    <cellStyle name="Normal 4 6 3 7 3" xfId="38069" xr:uid="{00000000-0005-0000-0000-000037AC0000}"/>
    <cellStyle name="Normal 4 6 3 8" xfId="24078" xr:uid="{00000000-0005-0000-0000-000038AC0000}"/>
    <cellStyle name="Normal 4 6 3 8 2" xfId="43312" xr:uid="{00000000-0005-0000-0000-000039AC0000}"/>
    <cellStyle name="Normal 4 6 3 9" xfId="33614" xr:uid="{00000000-0005-0000-0000-00003AAC0000}"/>
    <cellStyle name="Normal 4 6 4" xfId="13367" xr:uid="{00000000-0005-0000-0000-00003BAC0000}"/>
    <cellStyle name="Normal 4 6 4 10" xfId="53529" xr:uid="{00000000-0005-0000-0000-00003CAC0000}"/>
    <cellStyle name="Normal 4 6 4 2" xfId="14267" xr:uid="{00000000-0005-0000-0000-00003DAC0000}"/>
    <cellStyle name="Normal 4 6 4 2 2" xfId="16531" xr:uid="{00000000-0005-0000-0000-00003EAC0000}"/>
    <cellStyle name="Normal 4 6 4 2 2 2" xfId="20995" xr:uid="{00000000-0005-0000-0000-00003FAC0000}"/>
    <cellStyle name="Normal 4 6 4 2 2 2 2" xfId="31363" xr:uid="{00000000-0005-0000-0000-000040AC0000}"/>
    <cellStyle name="Normal 4 6 4 2 2 2 2 2" xfId="50552" xr:uid="{00000000-0005-0000-0000-000041AC0000}"/>
    <cellStyle name="Normal 4 6 4 2 2 2 3" xfId="40854" xr:uid="{00000000-0005-0000-0000-000042AC0000}"/>
    <cellStyle name="Normal 4 6 4 2 2 3" xfId="26908" xr:uid="{00000000-0005-0000-0000-000043AC0000}"/>
    <cellStyle name="Normal 4 6 4 2 2 3 2" xfId="46097" xr:uid="{00000000-0005-0000-0000-000044AC0000}"/>
    <cellStyle name="Normal 4 6 4 2 2 4" xfId="36399" xr:uid="{00000000-0005-0000-0000-000045AC0000}"/>
    <cellStyle name="Normal 4 6 4 2 3" xfId="18767" xr:uid="{00000000-0005-0000-0000-000046AC0000}"/>
    <cellStyle name="Normal 4 6 4 2 3 2" xfId="29135" xr:uid="{00000000-0005-0000-0000-000047AC0000}"/>
    <cellStyle name="Normal 4 6 4 2 3 2 2" xfId="48324" xr:uid="{00000000-0005-0000-0000-000048AC0000}"/>
    <cellStyle name="Normal 4 6 4 2 3 3" xfId="38626" xr:uid="{00000000-0005-0000-0000-000049AC0000}"/>
    <cellStyle name="Normal 4 6 4 2 4" xfId="24675" xr:uid="{00000000-0005-0000-0000-00004AAC0000}"/>
    <cellStyle name="Normal 4 6 4 2 4 2" xfId="43869" xr:uid="{00000000-0005-0000-0000-00004BAC0000}"/>
    <cellStyle name="Normal 4 6 4 2 5" xfId="34171" xr:uid="{00000000-0005-0000-0000-00004CAC0000}"/>
    <cellStyle name="Normal 4 6 4 3" xfId="14846" xr:uid="{00000000-0005-0000-0000-00004DAC0000}"/>
    <cellStyle name="Normal 4 6 4 3 2" xfId="15975" xr:uid="{00000000-0005-0000-0000-00004EAC0000}"/>
    <cellStyle name="Normal 4 6 4 3 2 2" xfId="20439" xr:uid="{00000000-0005-0000-0000-00004FAC0000}"/>
    <cellStyle name="Normal 4 6 4 3 2 2 2" xfId="30807" xr:uid="{00000000-0005-0000-0000-000050AC0000}"/>
    <cellStyle name="Normal 4 6 4 3 2 2 2 2" xfId="49996" xr:uid="{00000000-0005-0000-0000-000051AC0000}"/>
    <cellStyle name="Normal 4 6 4 3 2 2 3" xfId="40298" xr:uid="{00000000-0005-0000-0000-000052AC0000}"/>
    <cellStyle name="Normal 4 6 4 3 2 3" xfId="26352" xr:uid="{00000000-0005-0000-0000-000053AC0000}"/>
    <cellStyle name="Normal 4 6 4 3 2 3 2" xfId="45541" xr:uid="{00000000-0005-0000-0000-000054AC0000}"/>
    <cellStyle name="Normal 4 6 4 3 2 4" xfId="35843" xr:uid="{00000000-0005-0000-0000-000055AC0000}"/>
    <cellStyle name="Normal 4 6 4 3 3" xfId="19324" xr:uid="{00000000-0005-0000-0000-000056AC0000}"/>
    <cellStyle name="Normal 4 6 4 3 3 2" xfId="29692" xr:uid="{00000000-0005-0000-0000-000057AC0000}"/>
    <cellStyle name="Normal 4 6 4 3 3 2 2" xfId="48881" xr:uid="{00000000-0005-0000-0000-000058AC0000}"/>
    <cellStyle name="Normal 4 6 4 3 3 3" xfId="39183" xr:uid="{00000000-0005-0000-0000-000059AC0000}"/>
    <cellStyle name="Normal 4 6 4 3 4" xfId="25237" xr:uid="{00000000-0005-0000-0000-00005AAC0000}"/>
    <cellStyle name="Normal 4 6 4 3 4 2" xfId="44426" xr:uid="{00000000-0005-0000-0000-00005BAC0000}"/>
    <cellStyle name="Normal 4 6 4 3 5" xfId="34728" xr:uid="{00000000-0005-0000-0000-00005CAC0000}"/>
    <cellStyle name="Normal 4 6 4 4" xfId="15418" xr:uid="{00000000-0005-0000-0000-00005DAC0000}"/>
    <cellStyle name="Normal 4 6 4 4 2" xfId="19882" xr:uid="{00000000-0005-0000-0000-00005EAC0000}"/>
    <cellStyle name="Normal 4 6 4 4 2 2" xfId="30250" xr:uid="{00000000-0005-0000-0000-00005FAC0000}"/>
    <cellStyle name="Normal 4 6 4 4 2 2 2" xfId="49439" xr:uid="{00000000-0005-0000-0000-000060AC0000}"/>
    <cellStyle name="Normal 4 6 4 4 2 3" xfId="39741" xr:uid="{00000000-0005-0000-0000-000061AC0000}"/>
    <cellStyle name="Normal 4 6 4 4 3" xfId="25795" xr:uid="{00000000-0005-0000-0000-000062AC0000}"/>
    <cellStyle name="Normal 4 6 4 4 3 2" xfId="44984" xr:uid="{00000000-0005-0000-0000-000063AC0000}"/>
    <cellStyle name="Normal 4 6 4 4 4" xfId="35286" xr:uid="{00000000-0005-0000-0000-000064AC0000}"/>
    <cellStyle name="Normal 4 6 4 5" xfId="17088" xr:uid="{00000000-0005-0000-0000-000065AC0000}"/>
    <cellStyle name="Normal 4 6 4 5 2" xfId="21552" xr:uid="{00000000-0005-0000-0000-000066AC0000}"/>
    <cellStyle name="Normal 4 6 4 5 2 2" xfId="31920" xr:uid="{00000000-0005-0000-0000-000067AC0000}"/>
    <cellStyle name="Normal 4 6 4 5 2 2 2" xfId="51109" xr:uid="{00000000-0005-0000-0000-000068AC0000}"/>
    <cellStyle name="Normal 4 6 4 5 2 3" xfId="41411" xr:uid="{00000000-0005-0000-0000-000069AC0000}"/>
    <cellStyle name="Normal 4 6 4 5 3" xfId="27465" xr:uid="{00000000-0005-0000-0000-00006AAC0000}"/>
    <cellStyle name="Normal 4 6 4 5 3 2" xfId="46654" xr:uid="{00000000-0005-0000-0000-00006BAC0000}"/>
    <cellStyle name="Normal 4 6 4 5 4" xfId="36956" xr:uid="{00000000-0005-0000-0000-00006CAC0000}"/>
    <cellStyle name="Normal 4 6 4 6" xfId="17654" xr:uid="{00000000-0005-0000-0000-00006DAC0000}"/>
    <cellStyle name="Normal 4 6 4 6 2" xfId="22109" xr:uid="{00000000-0005-0000-0000-00006EAC0000}"/>
    <cellStyle name="Normal 4 6 4 6 2 2" xfId="32477" xr:uid="{00000000-0005-0000-0000-00006FAC0000}"/>
    <cellStyle name="Normal 4 6 4 6 2 2 2" xfId="51666" xr:uid="{00000000-0005-0000-0000-000070AC0000}"/>
    <cellStyle name="Normal 4 6 4 6 2 3" xfId="41968" xr:uid="{00000000-0005-0000-0000-000071AC0000}"/>
    <cellStyle name="Normal 4 6 4 6 3" xfId="28022" xr:uid="{00000000-0005-0000-0000-000072AC0000}"/>
    <cellStyle name="Normal 4 6 4 6 3 2" xfId="47211" xr:uid="{00000000-0005-0000-0000-000073AC0000}"/>
    <cellStyle name="Normal 4 6 4 6 4" xfId="37513" xr:uid="{00000000-0005-0000-0000-000074AC0000}"/>
    <cellStyle name="Normal 4 6 4 7" xfId="18211" xr:uid="{00000000-0005-0000-0000-000075AC0000}"/>
    <cellStyle name="Normal 4 6 4 7 2" xfId="28579" xr:uid="{00000000-0005-0000-0000-000076AC0000}"/>
    <cellStyle name="Normal 4 6 4 7 2 2" xfId="47768" xr:uid="{00000000-0005-0000-0000-000077AC0000}"/>
    <cellStyle name="Normal 4 6 4 7 3" xfId="38070" xr:uid="{00000000-0005-0000-0000-000078AC0000}"/>
    <cellStyle name="Normal 4 6 4 8" xfId="24079" xr:uid="{00000000-0005-0000-0000-000079AC0000}"/>
    <cellStyle name="Normal 4 6 4 8 2" xfId="43313" xr:uid="{00000000-0005-0000-0000-00007AAC0000}"/>
    <cellStyle name="Normal 4 6 4 9" xfId="33615" xr:uid="{00000000-0005-0000-0000-00007BAC0000}"/>
    <cellStyle name="Normal 4 6 5" xfId="52644" xr:uid="{00000000-0005-0000-0000-00007CAC0000}"/>
    <cellStyle name="Normal 4 6 6" xfId="12513" xr:uid="{00000000-0005-0000-0000-00007DAC0000}"/>
    <cellStyle name="Normal 4 60" xfId="4635" xr:uid="{00000000-0005-0000-0000-00007EAC0000}"/>
    <cellStyle name="Normal 4 61" xfId="4636" xr:uid="{00000000-0005-0000-0000-00007FAC0000}"/>
    <cellStyle name="Normal 4 62" xfId="4637" xr:uid="{00000000-0005-0000-0000-000080AC0000}"/>
    <cellStyle name="Normal 4 63" xfId="4638" xr:uid="{00000000-0005-0000-0000-000081AC0000}"/>
    <cellStyle name="Normal 4 64" xfId="4639" xr:uid="{00000000-0005-0000-0000-000082AC0000}"/>
    <cellStyle name="Normal 4 65" xfId="4640" xr:uid="{00000000-0005-0000-0000-000083AC0000}"/>
    <cellStyle name="Normal 4 66" xfId="4641" xr:uid="{00000000-0005-0000-0000-000084AC0000}"/>
    <cellStyle name="Normal 4 67" xfId="4642" xr:uid="{00000000-0005-0000-0000-000085AC0000}"/>
    <cellStyle name="Normal 4 68" xfId="4643" xr:uid="{00000000-0005-0000-0000-000086AC0000}"/>
    <cellStyle name="Normal 4 69" xfId="4644" xr:uid="{00000000-0005-0000-0000-000087AC0000}"/>
    <cellStyle name="Normal 4 7" xfId="4645" xr:uid="{00000000-0005-0000-0000-000088AC0000}"/>
    <cellStyle name="Normal 4 7 2" xfId="4646" xr:uid="{00000000-0005-0000-0000-000089AC0000}"/>
    <cellStyle name="Normal 4 7 2 10" xfId="53099" xr:uid="{00000000-0005-0000-0000-00008AAC0000}"/>
    <cellStyle name="Normal 4 7 2 11" xfId="13368" xr:uid="{00000000-0005-0000-0000-00008BAC0000}"/>
    <cellStyle name="Normal 4 7 2 2" xfId="14268" xr:uid="{00000000-0005-0000-0000-00008CAC0000}"/>
    <cellStyle name="Normal 4 7 2 2 2" xfId="16532" xr:uid="{00000000-0005-0000-0000-00008DAC0000}"/>
    <cellStyle name="Normal 4 7 2 2 2 2" xfId="20996" xr:uid="{00000000-0005-0000-0000-00008EAC0000}"/>
    <cellStyle name="Normal 4 7 2 2 2 2 2" xfId="31364" xr:uid="{00000000-0005-0000-0000-00008FAC0000}"/>
    <cellStyle name="Normal 4 7 2 2 2 2 2 2" xfId="50553" xr:uid="{00000000-0005-0000-0000-000090AC0000}"/>
    <cellStyle name="Normal 4 7 2 2 2 2 3" xfId="40855" xr:uid="{00000000-0005-0000-0000-000091AC0000}"/>
    <cellStyle name="Normal 4 7 2 2 2 3" xfId="26909" xr:uid="{00000000-0005-0000-0000-000092AC0000}"/>
    <cellStyle name="Normal 4 7 2 2 2 3 2" xfId="46098" xr:uid="{00000000-0005-0000-0000-000093AC0000}"/>
    <cellStyle name="Normal 4 7 2 2 2 4" xfId="36400" xr:uid="{00000000-0005-0000-0000-000094AC0000}"/>
    <cellStyle name="Normal 4 7 2 2 3" xfId="18768" xr:uid="{00000000-0005-0000-0000-000095AC0000}"/>
    <cellStyle name="Normal 4 7 2 2 3 2" xfId="29136" xr:uid="{00000000-0005-0000-0000-000096AC0000}"/>
    <cellStyle name="Normal 4 7 2 2 3 2 2" xfId="48325" xr:uid="{00000000-0005-0000-0000-000097AC0000}"/>
    <cellStyle name="Normal 4 7 2 2 3 3" xfId="38627" xr:uid="{00000000-0005-0000-0000-000098AC0000}"/>
    <cellStyle name="Normal 4 7 2 2 4" xfId="24676" xr:uid="{00000000-0005-0000-0000-000099AC0000}"/>
    <cellStyle name="Normal 4 7 2 2 4 2" xfId="43870" xr:uid="{00000000-0005-0000-0000-00009AAC0000}"/>
    <cellStyle name="Normal 4 7 2 2 5" xfId="34172" xr:uid="{00000000-0005-0000-0000-00009BAC0000}"/>
    <cellStyle name="Normal 4 7 2 2 6" xfId="53952" xr:uid="{00000000-0005-0000-0000-00009CAC0000}"/>
    <cellStyle name="Normal 4 7 2 3" xfId="14847" xr:uid="{00000000-0005-0000-0000-00009DAC0000}"/>
    <cellStyle name="Normal 4 7 2 3 2" xfId="15976" xr:uid="{00000000-0005-0000-0000-00009EAC0000}"/>
    <cellStyle name="Normal 4 7 2 3 2 2" xfId="20440" xr:uid="{00000000-0005-0000-0000-00009FAC0000}"/>
    <cellStyle name="Normal 4 7 2 3 2 2 2" xfId="30808" xr:uid="{00000000-0005-0000-0000-0000A0AC0000}"/>
    <cellStyle name="Normal 4 7 2 3 2 2 2 2" xfId="49997" xr:uid="{00000000-0005-0000-0000-0000A1AC0000}"/>
    <cellStyle name="Normal 4 7 2 3 2 2 3" xfId="40299" xr:uid="{00000000-0005-0000-0000-0000A2AC0000}"/>
    <cellStyle name="Normal 4 7 2 3 2 3" xfId="26353" xr:uid="{00000000-0005-0000-0000-0000A3AC0000}"/>
    <cellStyle name="Normal 4 7 2 3 2 3 2" xfId="45542" xr:uid="{00000000-0005-0000-0000-0000A4AC0000}"/>
    <cellStyle name="Normal 4 7 2 3 2 4" xfId="35844" xr:uid="{00000000-0005-0000-0000-0000A5AC0000}"/>
    <cellStyle name="Normal 4 7 2 3 3" xfId="19325" xr:uid="{00000000-0005-0000-0000-0000A6AC0000}"/>
    <cellStyle name="Normal 4 7 2 3 3 2" xfId="29693" xr:uid="{00000000-0005-0000-0000-0000A7AC0000}"/>
    <cellStyle name="Normal 4 7 2 3 3 2 2" xfId="48882" xr:uid="{00000000-0005-0000-0000-0000A8AC0000}"/>
    <cellStyle name="Normal 4 7 2 3 3 3" xfId="39184" xr:uid="{00000000-0005-0000-0000-0000A9AC0000}"/>
    <cellStyle name="Normal 4 7 2 3 4" xfId="25238" xr:uid="{00000000-0005-0000-0000-0000AAAC0000}"/>
    <cellStyle name="Normal 4 7 2 3 4 2" xfId="44427" xr:uid="{00000000-0005-0000-0000-0000ABAC0000}"/>
    <cellStyle name="Normal 4 7 2 3 5" xfId="34729" xr:uid="{00000000-0005-0000-0000-0000ACAC0000}"/>
    <cellStyle name="Normal 4 7 2 4" xfId="15419" xr:uid="{00000000-0005-0000-0000-0000ADAC0000}"/>
    <cellStyle name="Normal 4 7 2 4 2" xfId="19883" xr:uid="{00000000-0005-0000-0000-0000AEAC0000}"/>
    <cellStyle name="Normal 4 7 2 4 2 2" xfId="30251" xr:uid="{00000000-0005-0000-0000-0000AFAC0000}"/>
    <cellStyle name="Normal 4 7 2 4 2 2 2" xfId="49440" xr:uid="{00000000-0005-0000-0000-0000B0AC0000}"/>
    <cellStyle name="Normal 4 7 2 4 2 3" xfId="39742" xr:uid="{00000000-0005-0000-0000-0000B1AC0000}"/>
    <cellStyle name="Normal 4 7 2 4 3" xfId="25796" xr:uid="{00000000-0005-0000-0000-0000B2AC0000}"/>
    <cellStyle name="Normal 4 7 2 4 3 2" xfId="44985" xr:uid="{00000000-0005-0000-0000-0000B3AC0000}"/>
    <cellStyle name="Normal 4 7 2 4 4" xfId="35287" xr:uid="{00000000-0005-0000-0000-0000B4AC0000}"/>
    <cellStyle name="Normal 4 7 2 5" xfId="17089" xr:uid="{00000000-0005-0000-0000-0000B5AC0000}"/>
    <cellStyle name="Normal 4 7 2 5 2" xfId="21553" xr:uid="{00000000-0005-0000-0000-0000B6AC0000}"/>
    <cellStyle name="Normal 4 7 2 5 2 2" xfId="31921" xr:uid="{00000000-0005-0000-0000-0000B7AC0000}"/>
    <cellStyle name="Normal 4 7 2 5 2 2 2" xfId="51110" xr:uid="{00000000-0005-0000-0000-0000B8AC0000}"/>
    <cellStyle name="Normal 4 7 2 5 2 3" xfId="41412" xr:uid="{00000000-0005-0000-0000-0000B9AC0000}"/>
    <cellStyle name="Normal 4 7 2 5 3" xfId="27466" xr:uid="{00000000-0005-0000-0000-0000BAAC0000}"/>
    <cellStyle name="Normal 4 7 2 5 3 2" xfId="46655" xr:uid="{00000000-0005-0000-0000-0000BBAC0000}"/>
    <cellStyle name="Normal 4 7 2 5 4" xfId="36957" xr:uid="{00000000-0005-0000-0000-0000BCAC0000}"/>
    <cellStyle name="Normal 4 7 2 6" xfId="17655" xr:uid="{00000000-0005-0000-0000-0000BDAC0000}"/>
    <cellStyle name="Normal 4 7 2 6 2" xfId="22110" xr:uid="{00000000-0005-0000-0000-0000BEAC0000}"/>
    <cellStyle name="Normal 4 7 2 6 2 2" xfId="32478" xr:uid="{00000000-0005-0000-0000-0000BFAC0000}"/>
    <cellStyle name="Normal 4 7 2 6 2 2 2" xfId="51667" xr:uid="{00000000-0005-0000-0000-0000C0AC0000}"/>
    <cellStyle name="Normal 4 7 2 6 2 3" xfId="41969" xr:uid="{00000000-0005-0000-0000-0000C1AC0000}"/>
    <cellStyle name="Normal 4 7 2 6 3" xfId="28023" xr:uid="{00000000-0005-0000-0000-0000C2AC0000}"/>
    <cellStyle name="Normal 4 7 2 6 3 2" xfId="47212" xr:uid="{00000000-0005-0000-0000-0000C3AC0000}"/>
    <cellStyle name="Normal 4 7 2 6 4" xfId="37514" xr:uid="{00000000-0005-0000-0000-0000C4AC0000}"/>
    <cellStyle name="Normal 4 7 2 7" xfId="18212" xr:uid="{00000000-0005-0000-0000-0000C5AC0000}"/>
    <cellStyle name="Normal 4 7 2 7 2" xfId="28580" xr:uid="{00000000-0005-0000-0000-0000C6AC0000}"/>
    <cellStyle name="Normal 4 7 2 7 2 2" xfId="47769" xr:uid="{00000000-0005-0000-0000-0000C7AC0000}"/>
    <cellStyle name="Normal 4 7 2 7 3" xfId="38071" xr:uid="{00000000-0005-0000-0000-0000C8AC0000}"/>
    <cellStyle name="Normal 4 7 2 8" xfId="24080" xr:uid="{00000000-0005-0000-0000-0000C9AC0000}"/>
    <cellStyle name="Normal 4 7 2 8 2" xfId="43314" xr:uid="{00000000-0005-0000-0000-0000CAAC0000}"/>
    <cellStyle name="Normal 4 7 2 9" xfId="33616" xr:uid="{00000000-0005-0000-0000-0000CBAC0000}"/>
    <cellStyle name="Normal 4 7 3" xfId="13369" xr:uid="{00000000-0005-0000-0000-0000CCAC0000}"/>
    <cellStyle name="Normal 4 7 3 10" xfId="53556" xr:uid="{00000000-0005-0000-0000-0000CDAC0000}"/>
    <cellStyle name="Normal 4 7 3 2" xfId="14269" xr:uid="{00000000-0005-0000-0000-0000CEAC0000}"/>
    <cellStyle name="Normal 4 7 3 2 2" xfId="16533" xr:uid="{00000000-0005-0000-0000-0000CFAC0000}"/>
    <cellStyle name="Normal 4 7 3 2 2 2" xfId="20997" xr:uid="{00000000-0005-0000-0000-0000D0AC0000}"/>
    <cellStyle name="Normal 4 7 3 2 2 2 2" xfId="31365" xr:uid="{00000000-0005-0000-0000-0000D1AC0000}"/>
    <cellStyle name="Normal 4 7 3 2 2 2 2 2" xfId="50554" xr:uid="{00000000-0005-0000-0000-0000D2AC0000}"/>
    <cellStyle name="Normal 4 7 3 2 2 2 3" xfId="40856" xr:uid="{00000000-0005-0000-0000-0000D3AC0000}"/>
    <cellStyle name="Normal 4 7 3 2 2 3" xfId="26910" xr:uid="{00000000-0005-0000-0000-0000D4AC0000}"/>
    <cellStyle name="Normal 4 7 3 2 2 3 2" xfId="46099" xr:uid="{00000000-0005-0000-0000-0000D5AC0000}"/>
    <cellStyle name="Normal 4 7 3 2 2 4" xfId="36401" xr:uid="{00000000-0005-0000-0000-0000D6AC0000}"/>
    <cellStyle name="Normal 4 7 3 2 3" xfId="18769" xr:uid="{00000000-0005-0000-0000-0000D7AC0000}"/>
    <cellStyle name="Normal 4 7 3 2 3 2" xfId="29137" xr:uid="{00000000-0005-0000-0000-0000D8AC0000}"/>
    <cellStyle name="Normal 4 7 3 2 3 2 2" xfId="48326" xr:uid="{00000000-0005-0000-0000-0000D9AC0000}"/>
    <cellStyle name="Normal 4 7 3 2 3 3" xfId="38628" xr:uid="{00000000-0005-0000-0000-0000DAAC0000}"/>
    <cellStyle name="Normal 4 7 3 2 4" xfId="24677" xr:uid="{00000000-0005-0000-0000-0000DBAC0000}"/>
    <cellStyle name="Normal 4 7 3 2 4 2" xfId="43871" xr:uid="{00000000-0005-0000-0000-0000DCAC0000}"/>
    <cellStyle name="Normal 4 7 3 2 5" xfId="34173" xr:uid="{00000000-0005-0000-0000-0000DDAC0000}"/>
    <cellStyle name="Normal 4 7 3 3" xfId="14848" xr:uid="{00000000-0005-0000-0000-0000DEAC0000}"/>
    <cellStyle name="Normal 4 7 3 3 2" xfId="15977" xr:uid="{00000000-0005-0000-0000-0000DFAC0000}"/>
    <cellStyle name="Normal 4 7 3 3 2 2" xfId="20441" xr:uid="{00000000-0005-0000-0000-0000E0AC0000}"/>
    <cellStyle name="Normal 4 7 3 3 2 2 2" xfId="30809" xr:uid="{00000000-0005-0000-0000-0000E1AC0000}"/>
    <cellStyle name="Normal 4 7 3 3 2 2 2 2" xfId="49998" xr:uid="{00000000-0005-0000-0000-0000E2AC0000}"/>
    <cellStyle name="Normal 4 7 3 3 2 2 3" xfId="40300" xr:uid="{00000000-0005-0000-0000-0000E3AC0000}"/>
    <cellStyle name="Normal 4 7 3 3 2 3" xfId="26354" xr:uid="{00000000-0005-0000-0000-0000E4AC0000}"/>
    <cellStyle name="Normal 4 7 3 3 2 3 2" xfId="45543" xr:uid="{00000000-0005-0000-0000-0000E5AC0000}"/>
    <cellStyle name="Normal 4 7 3 3 2 4" xfId="35845" xr:uid="{00000000-0005-0000-0000-0000E6AC0000}"/>
    <cellStyle name="Normal 4 7 3 3 3" xfId="19326" xr:uid="{00000000-0005-0000-0000-0000E7AC0000}"/>
    <cellStyle name="Normal 4 7 3 3 3 2" xfId="29694" xr:uid="{00000000-0005-0000-0000-0000E8AC0000}"/>
    <cellStyle name="Normal 4 7 3 3 3 2 2" xfId="48883" xr:uid="{00000000-0005-0000-0000-0000E9AC0000}"/>
    <cellStyle name="Normal 4 7 3 3 3 3" xfId="39185" xr:uid="{00000000-0005-0000-0000-0000EAAC0000}"/>
    <cellStyle name="Normal 4 7 3 3 4" xfId="25239" xr:uid="{00000000-0005-0000-0000-0000EBAC0000}"/>
    <cellStyle name="Normal 4 7 3 3 4 2" xfId="44428" xr:uid="{00000000-0005-0000-0000-0000ECAC0000}"/>
    <cellStyle name="Normal 4 7 3 3 5" xfId="34730" xr:uid="{00000000-0005-0000-0000-0000EDAC0000}"/>
    <cellStyle name="Normal 4 7 3 4" xfId="15420" xr:uid="{00000000-0005-0000-0000-0000EEAC0000}"/>
    <cellStyle name="Normal 4 7 3 4 2" xfId="19884" xr:uid="{00000000-0005-0000-0000-0000EFAC0000}"/>
    <cellStyle name="Normal 4 7 3 4 2 2" xfId="30252" xr:uid="{00000000-0005-0000-0000-0000F0AC0000}"/>
    <cellStyle name="Normal 4 7 3 4 2 2 2" xfId="49441" xr:uid="{00000000-0005-0000-0000-0000F1AC0000}"/>
    <cellStyle name="Normal 4 7 3 4 2 3" xfId="39743" xr:uid="{00000000-0005-0000-0000-0000F2AC0000}"/>
    <cellStyle name="Normal 4 7 3 4 3" xfId="25797" xr:uid="{00000000-0005-0000-0000-0000F3AC0000}"/>
    <cellStyle name="Normal 4 7 3 4 3 2" xfId="44986" xr:uid="{00000000-0005-0000-0000-0000F4AC0000}"/>
    <cellStyle name="Normal 4 7 3 4 4" xfId="35288" xr:uid="{00000000-0005-0000-0000-0000F5AC0000}"/>
    <cellStyle name="Normal 4 7 3 5" xfId="17090" xr:uid="{00000000-0005-0000-0000-0000F6AC0000}"/>
    <cellStyle name="Normal 4 7 3 5 2" xfId="21554" xr:uid="{00000000-0005-0000-0000-0000F7AC0000}"/>
    <cellStyle name="Normal 4 7 3 5 2 2" xfId="31922" xr:uid="{00000000-0005-0000-0000-0000F8AC0000}"/>
    <cellStyle name="Normal 4 7 3 5 2 2 2" xfId="51111" xr:uid="{00000000-0005-0000-0000-0000F9AC0000}"/>
    <cellStyle name="Normal 4 7 3 5 2 3" xfId="41413" xr:uid="{00000000-0005-0000-0000-0000FAAC0000}"/>
    <cellStyle name="Normal 4 7 3 5 3" xfId="27467" xr:uid="{00000000-0005-0000-0000-0000FBAC0000}"/>
    <cellStyle name="Normal 4 7 3 5 3 2" xfId="46656" xr:uid="{00000000-0005-0000-0000-0000FCAC0000}"/>
    <cellStyle name="Normal 4 7 3 5 4" xfId="36958" xr:uid="{00000000-0005-0000-0000-0000FDAC0000}"/>
    <cellStyle name="Normal 4 7 3 6" xfId="17656" xr:uid="{00000000-0005-0000-0000-0000FEAC0000}"/>
    <cellStyle name="Normal 4 7 3 6 2" xfId="22111" xr:uid="{00000000-0005-0000-0000-0000FFAC0000}"/>
    <cellStyle name="Normal 4 7 3 6 2 2" xfId="32479" xr:uid="{00000000-0005-0000-0000-000000AD0000}"/>
    <cellStyle name="Normal 4 7 3 6 2 2 2" xfId="51668" xr:uid="{00000000-0005-0000-0000-000001AD0000}"/>
    <cellStyle name="Normal 4 7 3 6 2 3" xfId="41970" xr:uid="{00000000-0005-0000-0000-000002AD0000}"/>
    <cellStyle name="Normal 4 7 3 6 3" xfId="28024" xr:uid="{00000000-0005-0000-0000-000003AD0000}"/>
    <cellStyle name="Normal 4 7 3 6 3 2" xfId="47213" xr:uid="{00000000-0005-0000-0000-000004AD0000}"/>
    <cellStyle name="Normal 4 7 3 6 4" xfId="37515" xr:uid="{00000000-0005-0000-0000-000005AD0000}"/>
    <cellStyle name="Normal 4 7 3 7" xfId="18213" xr:uid="{00000000-0005-0000-0000-000006AD0000}"/>
    <cellStyle name="Normal 4 7 3 7 2" xfId="28581" xr:uid="{00000000-0005-0000-0000-000007AD0000}"/>
    <cellStyle name="Normal 4 7 3 7 2 2" xfId="47770" xr:uid="{00000000-0005-0000-0000-000008AD0000}"/>
    <cellStyle name="Normal 4 7 3 7 3" xfId="38072" xr:uid="{00000000-0005-0000-0000-000009AD0000}"/>
    <cellStyle name="Normal 4 7 3 8" xfId="24081" xr:uid="{00000000-0005-0000-0000-00000AAD0000}"/>
    <cellStyle name="Normal 4 7 3 8 2" xfId="43315" xr:uid="{00000000-0005-0000-0000-00000BAD0000}"/>
    <cellStyle name="Normal 4 7 3 9" xfId="33617" xr:uid="{00000000-0005-0000-0000-00000CAD0000}"/>
    <cellStyle name="Normal 4 7 4" xfId="52671" xr:uid="{00000000-0005-0000-0000-00000DAD0000}"/>
    <cellStyle name="Normal 4 7 5" xfId="12514" xr:uid="{00000000-0005-0000-0000-00000EAD0000}"/>
    <cellStyle name="Normal 4 70" xfId="4647" xr:uid="{00000000-0005-0000-0000-00000FAD0000}"/>
    <cellStyle name="Normal 4 71" xfId="4648" xr:uid="{00000000-0005-0000-0000-000010AD0000}"/>
    <cellStyle name="Normal 4 72" xfId="4649" xr:uid="{00000000-0005-0000-0000-000011AD0000}"/>
    <cellStyle name="Normal 4 73" xfId="4650" xr:uid="{00000000-0005-0000-0000-000012AD0000}"/>
    <cellStyle name="Normal 4 74" xfId="4651" xr:uid="{00000000-0005-0000-0000-000013AD0000}"/>
    <cellStyle name="Normal 4 75" xfId="4652" xr:uid="{00000000-0005-0000-0000-000014AD0000}"/>
    <cellStyle name="Normal 4 76" xfId="4653" xr:uid="{00000000-0005-0000-0000-000015AD0000}"/>
    <cellStyle name="Normal 4 77" xfId="4654" xr:uid="{00000000-0005-0000-0000-000016AD0000}"/>
    <cellStyle name="Normal 4 78" xfId="4655" xr:uid="{00000000-0005-0000-0000-000017AD0000}"/>
    <cellStyle name="Normal 4 79" xfId="4656" xr:uid="{00000000-0005-0000-0000-000018AD0000}"/>
    <cellStyle name="Normal 4 8" xfId="4657" xr:uid="{00000000-0005-0000-0000-000019AD0000}"/>
    <cellStyle name="Normal 4 8 10" xfId="52871" xr:uid="{00000000-0005-0000-0000-00001AAD0000}"/>
    <cellStyle name="Normal 4 8 11" xfId="12758" xr:uid="{00000000-0005-0000-0000-00001BAD0000}"/>
    <cellStyle name="Normal 4 8 2" xfId="4658" xr:uid="{00000000-0005-0000-0000-00001CAD0000}"/>
    <cellStyle name="Normal 4 8 2 2" xfId="16079" xr:uid="{00000000-0005-0000-0000-00001DAD0000}"/>
    <cellStyle name="Normal 4 8 2 2 2" xfId="20543" xr:uid="{00000000-0005-0000-0000-00001EAD0000}"/>
    <cellStyle name="Normal 4 8 2 2 2 2" xfId="30911" xr:uid="{00000000-0005-0000-0000-00001FAD0000}"/>
    <cellStyle name="Normal 4 8 2 2 2 2 2" xfId="50100" xr:uid="{00000000-0005-0000-0000-000020AD0000}"/>
    <cellStyle name="Normal 4 8 2 2 2 3" xfId="40402" xr:uid="{00000000-0005-0000-0000-000021AD0000}"/>
    <cellStyle name="Normal 4 8 2 2 3" xfId="26456" xr:uid="{00000000-0005-0000-0000-000022AD0000}"/>
    <cellStyle name="Normal 4 8 2 2 3 2" xfId="45645" xr:uid="{00000000-0005-0000-0000-000023AD0000}"/>
    <cellStyle name="Normal 4 8 2 2 4" xfId="35947" xr:uid="{00000000-0005-0000-0000-000024AD0000}"/>
    <cellStyle name="Normal 4 8 2 3" xfId="18315" xr:uid="{00000000-0005-0000-0000-000025AD0000}"/>
    <cellStyle name="Normal 4 8 2 3 2" xfId="28683" xr:uid="{00000000-0005-0000-0000-000026AD0000}"/>
    <cellStyle name="Normal 4 8 2 3 2 2" xfId="47872" xr:uid="{00000000-0005-0000-0000-000027AD0000}"/>
    <cellStyle name="Normal 4 8 2 3 3" xfId="38174" xr:uid="{00000000-0005-0000-0000-000028AD0000}"/>
    <cellStyle name="Normal 4 8 2 4" xfId="24223" xr:uid="{00000000-0005-0000-0000-000029AD0000}"/>
    <cellStyle name="Normal 4 8 2 4 2" xfId="43417" xr:uid="{00000000-0005-0000-0000-00002AAD0000}"/>
    <cellStyle name="Normal 4 8 2 5" xfId="33719" xr:uid="{00000000-0005-0000-0000-00002BAD0000}"/>
    <cellStyle name="Normal 4 8 2 6" xfId="53755" xr:uid="{00000000-0005-0000-0000-00002CAD0000}"/>
    <cellStyle name="Normal 4 8 2 7" xfId="13815" xr:uid="{00000000-0005-0000-0000-00002DAD0000}"/>
    <cellStyle name="Normal 4 8 3" xfId="14394" xr:uid="{00000000-0005-0000-0000-00002EAD0000}"/>
    <cellStyle name="Normal 4 8 3 2" xfId="15523" xr:uid="{00000000-0005-0000-0000-00002FAD0000}"/>
    <cellStyle name="Normal 4 8 3 2 2" xfId="19987" xr:uid="{00000000-0005-0000-0000-000030AD0000}"/>
    <cellStyle name="Normal 4 8 3 2 2 2" xfId="30355" xr:uid="{00000000-0005-0000-0000-000031AD0000}"/>
    <cellStyle name="Normal 4 8 3 2 2 2 2" xfId="49544" xr:uid="{00000000-0005-0000-0000-000032AD0000}"/>
    <cellStyle name="Normal 4 8 3 2 2 3" xfId="39846" xr:uid="{00000000-0005-0000-0000-000033AD0000}"/>
    <cellStyle name="Normal 4 8 3 2 3" xfId="25900" xr:uid="{00000000-0005-0000-0000-000034AD0000}"/>
    <cellStyle name="Normal 4 8 3 2 3 2" xfId="45089" xr:uid="{00000000-0005-0000-0000-000035AD0000}"/>
    <cellStyle name="Normal 4 8 3 2 4" xfId="35391" xr:uid="{00000000-0005-0000-0000-000036AD0000}"/>
    <cellStyle name="Normal 4 8 3 3" xfId="18872" xr:uid="{00000000-0005-0000-0000-000037AD0000}"/>
    <cellStyle name="Normal 4 8 3 3 2" xfId="29240" xr:uid="{00000000-0005-0000-0000-000038AD0000}"/>
    <cellStyle name="Normal 4 8 3 3 2 2" xfId="48429" xr:uid="{00000000-0005-0000-0000-000039AD0000}"/>
    <cellStyle name="Normal 4 8 3 3 3" xfId="38731" xr:uid="{00000000-0005-0000-0000-00003AAD0000}"/>
    <cellStyle name="Normal 4 8 3 4" xfId="24785" xr:uid="{00000000-0005-0000-0000-00003BAD0000}"/>
    <cellStyle name="Normal 4 8 3 4 2" xfId="43974" xr:uid="{00000000-0005-0000-0000-00003CAD0000}"/>
    <cellStyle name="Normal 4 8 3 5" xfId="34276" xr:uid="{00000000-0005-0000-0000-00003DAD0000}"/>
    <cellStyle name="Normal 4 8 4" xfId="14966" xr:uid="{00000000-0005-0000-0000-00003EAD0000}"/>
    <cellStyle name="Normal 4 8 4 2" xfId="19430" xr:uid="{00000000-0005-0000-0000-00003FAD0000}"/>
    <cellStyle name="Normal 4 8 4 2 2" xfId="29798" xr:uid="{00000000-0005-0000-0000-000040AD0000}"/>
    <cellStyle name="Normal 4 8 4 2 2 2" xfId="48987" xr:uid="{00000000-0005-0000-0000-000041AD0000}"/>
    <cellStyle name="Normal 4 8 4 2 3" xfId="39289" xr:uid="{00000000-0005-0000-0000-000042AD0000}"/>
    <cellStyle name="Normal 4 8 4 3" xfId="25343" xr:uid="{00000000-0005-0000-0000-000043AD0000}"/>
    <cellStyle name="Normal 4 8 4 3 2" xfId="44532" xr:uid="{00000000-0005-0000-0000-000044AD0000}"/>
    <cellStyle name="Normal 4 8 4 4" xfId="34834" xr:uid="{00000000-0005-0000-0000-000045AD0000}"/>
    <cellStyle name="Normal 4 8 5" xfId="16636" xr:uid="{00000000-0005-0000-0000-000046AD0000}"/>
    <cellStyle name="Normal 4 8 5 2" xfId="21100" xr:uid="{00000000-0005-0000-0000-000047AD0000}"/>
    <cellStyle name="Normal 4 8 5 2 2" xfId="31468" xr:uid="{00000000-0005-0000-0000-000048AD0000}"/>
    <cellStyle name="Normal 4 8 5 2 2 2" xfId="50657" xr:uid="{00000000-0005-0000-0000-000049AD0000}"/>
    <cellStyle name="Normal 4 8 5 2 3" xfId="40959" xr:uid="{00000000-0005-0000-0000-00004AAD0000}"/>
    <cellStyle name="Normal 4 8 5 3" xfId="27013" xr:uid="{00000000-0005-0000-0000-00004BAD0000}"/>
    <cellStyle name="Normal 4 8 5 3 2" xfId="46202" xr:uid="{00000000-0005-0000-0000-00004CAD0000}"/>
    <cellStyle name="Normal 4 8 5 4" xfId="36504" xr:uid="{00000000-0005-0000-0000-00004DAD0000}"/>
    <cellStyle name="Normal 4 8 6" xfId="17202" xr:uid="{00000000-0005-0000-0000-00004EAD0000}"/>
    <cellStyle name="Normal 4 8 6 2" xfId="21657" xr:uid="{00000000-0005-0000-0000-00004FAD0000}"/>
    <cellStyle name="Normal 4 8 6 2 2" xfId="32025" xr:uid="{00000000-0005-0000-0000-000050AD0000}"/>
    <cellStyle name="Normal 4 8 6 2 2 2" xfId="51214" xr:uid="{00000000-0005-0000-0000-000051AD0000}"/>
    <cellStyle name="Normal 4 8 6 2 3" xfId="41516" xr:uid="{00000000-0005-0000-0000-000052AD0000}"/>
    <cellStyle name="Normal 4 8 6 3" xfId="27570" xr:uid="{00000000-0005-0000-0000-000053AD0000}"/>
    <cellStyle name="Normal 4 8 6 3 2" xfId="46759" xr:uid="{00000000-0005-0000-0000-000054AD0000}"/>
    <cellStyle name="Normal 4 8 6 4" xfId="37061" xr:uid="{00000000-0005-0000-0000-000055AD0000}"/>
    <cellStyle name="Normal 4 8 7" xfId="17759" xr:uid="{00000000-0005-0000-0000-000056AD0000}"/>
    <cellStyle name="Normal 4 8 7 2" xfId="28127" xr:uid="{00000000-0005-0000-0000-000057AD0000}"/>
    <cellStyle name="Normal 4 8 7 2 2" xfId="47316" xr:uid="{00000000-0005-0000-0000-000058AD0000}"/>
    <cellStyle name="Normal 4 8 7 3" xfId="37618" xr:uid="{00000000-0005-0000-0000-000059AD0000}"/>
    <cellStyle name="Normal 4 8 8" xfId="23580" xr:uid="{00000000-0005-0000-0000-00005AAD0000}"/>
    <cellStyle name="Normal 4 8 8 2" xfId="42861" xr:uid="{00000000-0005-0000-0000-00005BAD0000}"/>
    <cellStyle name="Normal 4 8 9" xfId="33163" xr:uid="{00000000-0005-0000-0000-00005CAD0000}"/>
    <cellStyle name="Normal 4 80" xfId="4659" xr:uid="{00000000-0005-0000-0000-00005DAD0000}"/>
    <cellStyle name="Normal 4 81" xfId="4660" xr:uid="{00000000-0005-0000-0000-00005EAD0000}"/>
    <cellStyle name="Normal 4 82" xfId="4661" xr:uid="{00000000-0005-0000-0000-00005FAD0000}"/>
    <cellStyle name="Normal 4 83" xfId="4662" xr:uid="{00000000-0005-0000-0000-000060AD0000}"/>
    <cellStyle name="Normal 4 84" xfId="4663" xr:uid="{00000000-0005-0000-0000-000061AD0000}"/>
    <cellStyle name="Normal 4 85" xfId="4664" xr:uid="{00000000-0005-0000-0000-000062AD0000}"/>
    <cellStyle name="Normal 4 86" xfId="4665" xr:uid="{00000000-0005-0000-0000-000063AD0000}"/>
    <cellStyle name="Normal 4 87" xfId="4666" xr:uid="{00000000-0005-0000-0000-000064AD0000}"/>
    <cellStyle name="Normal 4 88" xfId="4667" xr:uid="{00000000-0005-0000-0000-000065AD0000}"/>
    <cellStyle name="Normal 4 89" xfId="4668" xr:uid="{00000000-0005-0000-0000-000066AD0000}"/>
    <cellStyle name="Normal 4 9" xfId="4669" xr:uid="{00000000-0005-0000-0000-000067AD0000}"/>
    <cellStyle name="Normal 4 9 10" xfId="53300" xr:uid="{00000000-0005-0000-0000-000068AD0000}"/>
    <cellStyle name="Normal 4 9 11" xfId="12872" xr:uid="{00000000-0005-0000-0000-000069AD0000}"/>
    <cellStyle name="Normal 4 9 2" xfId="4670" xr:uid="{00000000-0005-0000-0000-00006AAD0000}"/>
    <cellStyle name="Normal 4 9 2 2" xfId="16101" xr:uid="{00000000-0005-0000-0000-00006BAD0000}"/>
    <cellStyle name="Normal 4 9 2 2 2" xfId="20565" xr:uid="{00000000-0005-0000-0000-00006CAD0000}"/>
    <cellStyle name="Normal 4 9 2 2 2 2" xfId="30933" xr:uid="{00000000-0005-0000-0000-00006DAD0000}"/>
    <cellStyle name="Normal 4 9 2 2 2 2 2" xfId="50122" xr:uid="{00000000-0005-0000-0000-00006EAD0000}"/>
    <cellStyle name="Normal 4 9 2 2 2 3" xfId="40424" xr:uid="{00000000-0005-0000-0000-00006FAD0000}"/>
    <cellStyle name="Normal 4 9 2 2 3" xfId="26478" xr:uid="{00000000-0005-0000-0000-000070AD0000}"/>
    <cellStyle name="Normal 4 9 2 2 3 2" xfId="45667" xr:uid="{00000000-0005-0000-0000-000071AD0000}"/>
    <cellStyle name="Normal 4 9 2 2 4" xfId="35969" xr:uid="{00000000-0005-0000-0000-000072AD0000}"/>
    <cellStyle name="Normal 4 9 2 3" xfId="18337" xr:uid="{00000000-0005-0000-0000-000073AD0000}"/>
    <cellStyle name="Normal 4 9 2 3 2" xfId="28705" xr:uid="{00000000-0005-0000-0000-000074AD0000}"/>
    <cellStyle name="Normal 4 9 2 3 2 2" xfId="47894" xr:uid="{00000000-0005-0000-0000-000075AD0000}"/>
    <cellStyle name="Normal 4 9 2 3 3" xfId="38196" xr:uid="{00000000-0005-0000-0000-000076AD0000}"/>
    <cellStyle name="Normal 4 9 2 4" xfId="24245" xr:uid="{00000000-0005-0000-0000-000077AD0000}"/>
    <cellStyle name="Normal 4 9 2 4 2" xfId="43439" xr:uid="{00000000-0005-0000-0000-000078AD0000}"/>
    <cellStyle name="Normal 4 9 2 5" xfId="33741" xr:uid="{00000000-0005-0000-0000-000079AD0000}"/>
    <cellStyle name="Normal 4 9 2 6" xfId="54152" xr:uid="{00000000-0005-0000-0000-00007AAD0000}"/>
    <cellStyle name="Normal 4 9 2 7" xfId="13837" xr:uid="{00000000-0005-0000-0000-00007BAD0000}"/>
    <cellStyle name="Normal 4 9 3" xfId="14416" xr:uid="{00000000-0005-0000-0000-00007CAD0000}"/>
    <cellStyle name="Normal 4 9 3 2" xfId="15545" xr:uid="{00000000-0005-0000-0000-00007DAD0000}"/>
    <cellStyle name="Normal 4 9 3 2 2" xfId="20009" xr:uid="{00000000-0005-0000-0000-00007EAD0000}"/>
    <cellStyle name="Normal 4 9 3 2 2 2" xfId="30377" xr:uid="{00000000-0005-0000-0000-00007FAD0000}"/>
    <cellStyle name="Normal 4 9 3 2 2 2 2" xfId="49566" xr:uid="{00000000-0005-0000-0000-000080AD0000}"/>
    <cellStyle name="Normal 4 9 3 2 2 3" xfId="39868" xr:uid="{00000000-0005-0000-0000-000081AD0000}"/>
    <cellStyle name="Normal 4 9 3 2 3" xfId="25922" xr:uid="{00000000-0005-0000-0000-000082AD0000}"/>
    <cellStyle name="Normal 4 9 3 2 3 2" xfId="45111" xr:uid="{00000000-0005-0000-0000-000083AD0000}"/>
    <cellStyle name="Normal 4 9 3 2 4" xfId="35413" xr:uid="{00000000-0005-0000-0000-000084AD0000}"/>
    <cellStyle name="Normal 4 9 3 3" xfId="18894" xr:uid="{00000000-0005-0000-0000-000085AD0000}"/>
    <cellStyle name="Normal 4 9 3 3 2" xfId="29262" xr:uid="{00000000-0005-0000-0000-000086AD0000}"/>
    <cellStyle name="Normal 4 9 3 3 2 2" xfId="48451" xr:uid="{00000000-0005-0000-0000-000087AD0000}"/>
    <cellStyle name="Normal 4 9 3 3 3" xfId="38753" xr:uid="{00000000-0005-0000-0000-000088AD0000}"/>
    <cellStyle name="Normal 4 9 3 4" xfId="24807" xr:uid="{00000000-0005-0000-0000-000089AD0000}"/>
    <cellStyle name="Normal 4 9 3 4 2" xfId="43996" xr:uid="{00000000-0005-0000-0000-00008AAD0000}"/>
    <cellStyle name="Normal 4 9 3 5" xfId="34298" xr:uid="{00000000-0005-0000-0000-00008BAD0000}"/>
    <cellStyle name="Normal 4 9 4" xfId="14988" xr:uid="{00000000-0005-0000-0000-00008CAD0000}"/>
    <cellStyle name="Normal 4 9 4 2" xfId="19452" xr:uid="{00000000-0005-0000-0000-00008DAD0000}"/>
    <cellStyle name="Normal 4 9 4 2 2" xfId="29820" xr:uid="{00000000-0005-0000-0000-00008EAD0000}"/>
    <cellStyle name="Normal 4 9 4 2 2 2" xfId="49009" xr:uid="{00000000-0005-0000-0000-00008FAD0000}"/>
    <cellStyle name="Normal 4 9 4 2 3" xfId="39311" xr:uid="{00000000-0005-0000-0000-000090AD0000}"/>
    <cellStyle name="Normal 4 9 4 3" xfId="25365" xr:uid="{00000000-0005-0000-0000-000091AD0000}"/>
    <cellStyle name="Normal 4 9 4 3 2" xfId="44554" xr:uid="{00000000-0005-0000-0000-000092AD0000}"/>
    <cellStyle name="Normal 4 9 4 4" xfId="34856" xr:uid="{00000000-0005-0000-0000-000093AD0000}"/>
    <cellStyle name="Normal 4 9 5" xfId="16658" xr:uid="{00000000-0005-0000-0000-000094AD0000}"/>
    <cellStyle name="Normal 4 9 5 2" xfId="21122" xr:uid="{00000000-0005-0000-0000-000095AD0000}"/>
    <cellStyle name="Normal 4 9 5 2 2" xfId="31490" xr:uid="{00000000-0005-0000-0000-000096AD0000}"/>
    <cellStyle name="Normal 4 9 5 2 2 2" xfId="50679" xr:uid="{00000000-0005-0000-0000-000097AD0000}"/>
    <cellStyle name="Normal 4 9 5 2 3" xfId="40981" xr:uid="{00000000-0005-0000-0000-000098AD0000}"/>
    <cellStyle name="Normal 4 9 5 3" xfId="27035" xr:uid="{00000000-0005-0000-0000-000099AD0000}"/>
    <cellStyle name="Normal 4 9 5 3 2" xfId="46224" xr:uid="{00000000-0005-0000-0000-00009AAD0000}"/>
    <cellStyle name="Normal 4 9 5 4" xfId="36526" xr:uid="{00000000-0005-0000-0000-00009BAD0000}"/>
    <cellStyle name="Normal 4 9 6" xfId="17224" xr:uid="{00000000-0005-0000-0000-00009CAD0000}"/>
    <cellStyle name="Normal 4 9 6 2" xfId="21679" xr:uid="{00000000-0005-0000-0000-00009DAD0000}"/>
    <cellStyle name="Normal 4 9 6 2 2" xfId="32047" xr:uid="{00000000-0005-0000-0000-00009EAD0000}"/>
    <cellStyle name="Normal 4 9 6 2 2 2" xfId="51236" xr:uid="{00000000-0005-0000-0000-00009FAD0000}"/>
    <cellStyle name="Normal 4 9 6 2 3" xfId="41538" xr:uid="{00000000-0005-0000-0000-0000A0AD0000}"/>
    <cellStyle name="Normal 4 9 6 3" xfId="27592" xr:uid="{00000000-0005-0000-0000-0000A1AD0000}"/>
    <cellStyle name="Normal 4 9 6 3 2" xfId="46781" xr:uid="{00000000-0005-0000-0000-0000A2AD0000}"/>
    <cellStyle name="Normal 4 9 6 4" xfId="37083" xr:uid="{00000000-0005-0000-0000-0000A3AD0000}"/>
    <cellStyle name="Normal 4 9 7" xfId="17781" xr:uid="{00000000-0005-0000-0000-0000A4AD0000}"/>
    <cellStyle name="Normal 4 9 7 2" xfId="28149" xr:uid="{00000000-0005-0000-0000-0000A5AD0000}"/>
    <cellStyle name="Normal 4 9 7 2 2" xfId="47338" xr:uid="{00000000-0005-0000-0000-0000A6AD0000}"/>
    <cellStyle name="Normal 4 9 7 3" xfId="37640" xr:uid="{00000000-0005-0000-0000-0000A7AD0000}"/>
    <cellStyle name="Normal 4 9 8" xfId="23640" xr:uid="{00000000-0005-0000-0000-0000A8AD0000}"/>
    <cellStyle name="Normal 4 9 8 2" xfId="42883" xr:uid="{00000000-0005-0000-0000-0000A9AD0000}"/>
    <cellStyle name="Normal 4 9 9" xfId="33185" xr:uid="{00000000-0005-0000-0000-0000AAAD0000}"/>
    <cellStyle name="Normal 4 90" xfId="4671" xr:uid="{00000000-0005-0000-0000-0000ABAD0000}"/>
    <cellStyle name="Normal 4 91" xfId="4672" xr:uid="{00000000-0005-0000-0000-0000ACAD0000}"/>
    <cellStyle name="Normal 4 92" xfId="4673" xr:uid="{00000000-0005-0000-0000-0000ADAD0000}"/>
    <cellStyle name="Normal 4 93" xfId="4674" xr:uid="{00000000-0005-0000-0000-0000AEAD0000}"/>
    <cellStyle name="Normal 4 94" xfId="4675" xr:uid="{00000000-0005-0000-0000-0000AFAD0000}"/>
    <cellStyle name="Normal 4 95" xfId="4676" xr:uid="{00000000-0005-0000-0000-0000B0AD0000}"/>
    <cellStyle name="Normal 4 96" xfId="4677" xr:uid="{00000000-0005-0000-0000-0000B1AD0000}"/>
    <cellStyle name="Normal 4 97" xfId="4678" xr:uid="{00000000-0005-0000-0000-0000B2AD0000}"/>
    <cellStyle name="Normal 4 98" xfId="4679" xr:uid="{00000000-0005-0000-0000-0000B3AD0000}"/>
    <cellStyle name="Normal 4 99" xfId="4680" xr:uid="{00000000-0005-0000-0000-0000B4AD0000}"/>
    <cellStyle name="Normal 4_Centre Wellington 2013 Load Foecast-April 4" xfId="1199" xr:uid="{00000000-0005-0000-0000-0000B5AD0000}"/>
    <cellStyle name="Normal 40" xfId="1200" xr:uid="{00000000-0005-0000-0000-0000B6AD0000}"/>
    <cellStyle name="Normal 40 2" xfId="4681" xr:uid="{00000000-0005-0000-0000-0000B7AD0000}"/>
    <cellStyle name="Normal 41" xfId="1201" xr:uid="{00000000-0005-0000-0000-0000B8AD0000}"/>
    <cellStyle name="Normal 41 2" xfId="4682" xr:uid="{00000000-0005-0000-0000-0000B9AD0000}"/>
    <cellStyle name="Normal 41 2 2" xfId="32841" xr:uid="{00000000-0005-0000-0000-0000BAAD0000}"/>
    <cellStyle name="Normal 41 2 2 2" xfId="52027" xr:uid="{00000000-0005-0000-0000-0000BBAD0000}"/>
    <cellStyle name="Normal 41 2 3" xfId="42329" xr:uid="{00000000-0005-0000-0000-0000BCAD0000}"/>
    <cellStyle name="Normal 41 2 4" xfId="22757" xr:uid="{00000000-0005-0000-0000-0000BDAD0000}"/>
    <cellStyle name="Normal 41 3" xfId="24164" xr:uid="{00000000-0005-0000-0000-0000BEAD0000}"/>
    <cellStyle name="Normal 41 4" xfId="23114" xr:uid="{00000000-0005-0000-0000-0000BFAD0000}"/>
    <cellStyle name="Normal 41 4 2" xfId="42682" xr:uid="{00000000-0005-0000-0000-0000C0AD0000}"/>
    <cellStyle name="Normal 42" xfId="1202" xr:uid="{00000000-0005-0000-0000-0000C1AD0000}"/>
    <cellStyle name="Normal 42 2" xfId="4683" xr:uid="{00000000-0005-0000-0000-0000C2AD0000}"/>
    <cellStyle name="Normal 42 2 2" xfId="32842" xr:uid="{00000000-0005-0000-0000-0000C3AD0000}"/>
    <cellStyle name="Normal 42 2 2 2" xfId="52028" xr:uid="{00000000-0005-0000-0000-0000C4AD0000}"/>
    <cellStyle name="Normal 42 2 3" xfId="42330" xr:uid="{00000000-0005-0000-0000-0000C5AD0000}"/>
    <cellStyle name="Normal 42 2 4" xfId="22758" xr:uid="{00000000-0005-0000-0000-0000C6AD0000}"/>
    <cellStyle name="Normal 42 3" xfId="24120" xr:uid="{00000000-0005-0000-0000-0000C7AD0000}"/>
    <cellStyle name="Normal 42 4" xfId="23115" xr:uid="{00000000-0005-0000-0000-0000C8AD0000}"/>
    <cellStyle name="Normal 42 4 2" xfId="42683" xr:uid="{00000000-0005-0000-0000-0000C9AD0000}"/>
    <cellStyle name="Normal 43" xfId="1203" xr:uid="{00000000-0005-0000-0000-0000CAAD0000}"/>
    <cellStyle name="Normal 43 2" xfId="4684" xr:uid="{00000000-0005-0000-0000-0000CBAD0000}"/>
    <cellStyle name="Normal 43 2 2" xfId="32856" xr:uid="{00000000-0005-0000-0000-0000CCAD0000}"/>
    <cellStyle name="Normal 43 2 2 2" xfId="52042" xr:uid="{00000000-0005-0000-0000-0000CDAD0000}"/>
    <cellStyle name="Normal 43 2 3" xfId="42344" xr:uid="{00000000-0005-0000-0000-0000CEAD0000}"/>
    <cellStyle name="Normal 43 2 4" xfId="22772" xr:uid="{00000000-0005-0000-0000-0000CFAD0000}"/>
    <cellStyle name="Normal 43 3" xfId="24165" xr:uid="{00000000-0005-0000-0000-0000D0AD0000}"/>
    <cellStyle name="Normal 43 4" xfId="23129" xr:uid="{00000000-0005-0000-0000-0000D1AD0000}"/>
    <cellStyle name="Normal 43 4 2" xfId="42697" xr:uid="{00000000-0005-0000-0000-0000D2AD0000}"/>
    <cellStyle name="Normal 44" xfId="1204" xr:uid="{00000000-0005-0000-0000-0000D3AD0000}"/>
    <cellStyle name="Normal 44 2" xfId="4685" xr:uid="{00000000-0005-0000-0000-0000D4AD0000}"/>
    <cellStyle name="Normal 44 2 2" xfId="32865" xr:uid="{00000000-0005-0000-0000-0000D5AD0000}"/>
    <cellStyle name="Normal 44 2 2 2" xfId="52051" xr:uid="{00000000-0005-0000-0000-0000D6AD0000}"/>
    <cellStyle name="Normal 44 2 3" xfId="42353" xr:uid="{00000000-0005-0000-0000-0000D7AD0000}"/>
    <cellStyle name="Normal 44 2 4" xfId="22781" xr:uid="{00000000-0005-0000-0000-0000D8AD0000}"/>
    <cellStyle name="Normal 44 3" xfId="24121" xr:uid="{00000000-0005-0000-0000-0000D9AD0000}"/>
    <cellStyle name="Normal 44 4" xfId="23138" xr:uid="{00000000-0005-0000-0000-0000DAAD0000}"/>
    <cellStyle name="Normal 44 4 2" xfId="42706" xr:uid="{00000000-0005-0000-0000-0000DBAD0000}"/>
    <cellStyle name="Normal 45" xfId="1205" xr:uid="{00000000-0005-0000-0000-0000DCAD0000}"/>
    <cellStyle name="Normal 45 2" xfId="4686" xr:uid="{00000000-0005-0000-0000-0000DDAD0000}"/>
    <cellStyle name="Normal 45 2 2" xfId="32861" xr:uid="{00000000-0005-0000-0000-0000DEAD0000}"/>
    <cellStyle name="Normal 45 2 2 2" xfId="52047" xr:uid="{00000000-0005-0000-0000-0000DFAD0000}"/>
    <cellStyle name="Normal 45 2 3" xfId="42349" xr:uid="{00000000-0005-0000-0000-0000E0AD0000}"/>
    <cellStyle name="Normal 45 2 4" xfId="22777" xr:uid="{00000000-0005-0000-0000-0000E1AD0000}"/>
    <cellStyle name="Normal 45 3" xfId="24168" xr:uid="{00000000-0005-0000-0000-0000E2AD0000}"/>
    <cellStyle name="Normal 45 4" xfId="23134" xr:uid="{00000000-0005-0000-0000-0000E3AD0000}"/>
    <cellStyle name="Normal 45 4 2" xfId="42702" xr:uid="{00000000-0005-0000-0000-0000E4AD0000}"/>
    <cellStyle name="Normal 46" xfId="1206" xr:uid="{00000000-0005-0000-0000-0000E5AD0000}"/>
    <cellStyle name="Normal 46 2" xfId="4687" xr:uid="{00000000-0005-0000-0000-0000E6AD0000}"/>
    <cellStyle name="Normal 46 2 2" xfId="32867" xr:uid="{00000000-0005-0000-0000-0000E7AD0000}"/>
    <cellStyle name="Normal 46 2 2 2" xfId="52053" xr:uid="{00000000-0005-0000-0000-0000E8AD0000}"/>
    <cellStyle name="Normal 46 2 3" xfId="42355" xr:uid="{00000000-0005-0000-0000-0000E9AD0000}"/>
    <cellStyle name="Normal 46 2 4" xfId="22783" xr:uid="{00000000-0005-0000-0000-0000EAAD0000}"/>
    <cellStyle name="Normal 46 3" xfId="24123" xr:uid="{00000000-0005-0000-0000-0000EBAD0000}"/>
    <cellStyle name="Normal 46 4" xfId="23140" xr:uid="{00000000-0005-0000-0000-0000ECAD0000}"/>
    <cellStyle name="Normal 46 4 2" xfId="42708" xr:uid="{00000000-0005-0000-0000-0000EDAD0000}"/>
    <cellStyle name="Normal 47" xfId="1207" xr:uid="{00000000-0005-0000-0000-0000EEAD0000}"/>
    <cellStyle name="Normal 47 10" xfId="4689" xr:uid="{00000000-0005-0000-0000-0000EFAD0000}"/>
    <cellStyle name="Normal 47 11" xfId="4690" xr:uid="{00000000-0005-0000-0000-0000F0AD0000}"/>
    <cellStyle name="Normal 47 11 2" xfId="4691" xr:uid="{00000000-0005-0000-0000-0000F1AD0000}"/>
    <cellStyle name="Normal 47 11 3" xfId="4692" xr:uid="{00000000-0005-0000-0000-0000F2AD0000}"/>
    <cellStyle name="Normal 47 11 4" xfId="4693" xr:uid="{00000000-0005-0000-0000-0000F3AD0000}"/>
    <cellStyle name="Normal 47 11 5" xfId="4694" xr:uid="{00000000-0005-0000-0000-0000F4AD0000}"/>
    <cellStyle name="Normal 47 11 6" xfId="4695" xr:uid="{00000000-0005-0000-0000-0000F5AD0000}"/>
    <cellStyle name="Normal 47 11 7" xfId="4696" xr:uid="{00000000-0005-0000-0000-0000F6AD0000}"/>
    <cellStyle name="Normal 47 11 8" xfId="4697" xr:uid="{00000000-0005-0000-0000-0000F7AD0000}"/>
    <cellStyle name="Normal 47 12" xfId="4698" xr:uid="{00000000-0005-0000-0000-0000F8AD0000}"/>
    <cellStyle name="Normal 47 13" xfId="4699" xr:uid="{00000000-0005-0000-0000-0000F9AD0000}"/>
    <cellStyle name="Normal 47 14" xfId="4700" xr:uid="{00000000-0005-0000-0000-0000FAAD0000}"/>
    <cellStyle name="Normal 47 15" xfId="4701" xr:uid="{00000000-0005-0000-0000-0000FBAD0000}"/>
    <cellStyle name="Normal 47 16" xfId="4702" xr:uid="{00000000-0005-0000-0000-0000FCAD0000}"/>
    <cellStyle name="Normal 47 17" xfId="4703" xr:uid="{00000000-0005-0000-0000-0000FDAD0000}"/>
    <cellStyle name="Normal 47 18" xfId="4688" xr:uid="{00000000-0005-0000-0000-0000FEAD0000}"/>
    <cellStyle name="Normal 47 19" xfId="13429" xr:uid="{00000000-0005-0000-0000-0000FFAD0000}"/>
    <cellStyle name="Normal 47 2" xfId="4704" xr:uid="{00000000-0005-0000-0000-000000AE0000}"/>
    <cellStyle name="Normal 47 2 2" xfId="32860" xr:uid="{00000000-0005-0000-0000-000001AE0000}"/>
    <cellStyle name="Normal 47 2 2 2" xfId="52046" xr:uid="{00000000-0005-0000-0000-000002AE0000}"/>
    <cellStyle name="Normal 47 2 3" xfId="42348" xr:uid="{00000000-0005-0000-0000-000003AE0000}"/>
    <cellStyle name="Normal 47 2 4" xfId="22776" xr:uid="{00000000-0005-0000-0000-000004AE0000}"/>
    <cellStyle name="Normal 47 3" xfId="4705" xr:uid="{00000000-0005-0000-0000-000005AE0000}"/>
    <cellStyle name="Normal 47 3 2" xfId="4706" xr:uid="{00000000-0005-0000-0000-000006AE0000}"/>
    <cellStyle name="Normal 47 3 3" xfId="4707" xr:uid="{00000000-0005-0000-0000-000007AE0000}"/>
    <cellStyle name="Normal 47 3 4" xfId="4708" xr:uid="{00000000-0005-0000-0000-000008AE0000}"/>
    <cellStyle name="Normal 47 3 5" xfId="4709" xr:uid="{00000000-0005-0000-0000-000009AE0000}"/>
    <cellStyle name="Normal 47 3 6" xfId="4710" xr:uid="{00000000-0005-0000-0000-00000AAE0000}"/>
    <cellStyle name="Normal 47 3 7" xfId="4711" xr:uid="{00000000-0005-0000-0000-00000BAE0000}"/>
    <cellStyle name="Normal 47 3 8" xfId="4712" xr:uid="{00000000-0005-0000-0000-00000CAE0000}"/>
    <cellStyle name="Normal 47 3 9" xfId="24118" xr:uid="{00000000-0005-0000-0000-00000DAE0000}"/>
    <cellStyle name="Normal 47 4" xfId="4713" xr:uid="{00000000-0005-0000-0000-00000EAE0000}"/>
    <cellStyle name="Normal 47 4 2" xfId="4714" xr:uid="{00000000-0005-0000-0000-00000FAE0000}"/>
    <cellStyle name="Normal 47 4 2 2" xfId="42701" xr:uid="{00000000-0005-0000-0000-000010AE0000}"/>
    <cellStyle name="Normal 47 4 3" xfId="4715" xr:uid="{00000000-0005-0000-0000-000011AE0000}"/>
    <cellStyle name="Normal 47 4 4" xfId="4716" xr:uid="{00000000-0005-0000-0000-000012AE0000}"/>
    <cellStyle name="Normal 47 4 5" xfId="4717" xr:uid="{00000000-0005-0000-0000-000013AE0000}"/>
    <cellStyle name="Normal 47 4 6" xfId="4718" xr:uid="{00000000-0005-0000-0000-000014AE0000}"/>
    <cellStyle name="Normal 47 4 7" xfId="4719" xr:uid="{00000000-0005-0000-0000-000015AE0000}"/>
    <cellStyle name="Normal 47 4 8" xfId="4720" xr:uid="{00000000-0005-0000-0000-000016AE0000}"/>
    <cellStyle name="Normal 47 4 9" xfId="23133" xr:uid="{00000000-0005-0000-0000-000017AE0000}"/>
    <cellStyle name="Normal 47 5" xfId="4721" xr:uid="{00000000-0005-0000-0000-000018AE0000}"/>
    <cellStyle name="Normal 47 5 2" xfId="4722" xr:uid="{00000000-0005-0000-0000-000019AE0000}"/>
    <cellStyle name="Normal 47 5 3" xfId="4723" xr:uid="{00000000-0005-0000-0000-00001AAE0000}"/>
    <cellStyle name="Normal 47 5 4" xfId="4724" xr:uid="{00000000-0005-0000-0000-00001BAE0000}"/>
    <cellStyle name="Normal 47 5 5" xfId="4725" xr:uid="{00000000-0005-0000-0000-00001CAE0000}"/>
    <cellStyle name="Normal 47 5 6" xfId="4726" xr:uid="{00000000-0005-0000-0000-00001DAE0000}"/>
    <cellStyle name="Normal 47 5 7" xfId="4727" xr:uid="{00000000-0005-0000-0000-00001EAE0000}"/>
    <cellStyle name="Normal 47 5 8" xfId="4728" xr:uid="{00000000-0005-0000-0000-00001FAE0000}"/>
    <cellStyle name="Normal 47 6" xfId="4729" xr:uid="{00000000-0005-0000-0000-000020AE0000}"/>
    <cellStyle name="Normal 47 6 2" xfId="4730" xr:uid="{00000000-0005-0000-0000-000021AE0000}"/>
    <cellStyle name="Normal 47 6 3" xfId="4731" xr:uid="{00000000-0005-0000-0000-000022AE0000}"/>
    <cellStyle name="Normal 47 6 4" xfId="4732" xr:uid="{00000000-0005-0000-0000-000023AE0000}"/>
    <cellStyle name="Normal 47 6 5" xfId="4733" xr:uid="{00000000-0005-0000-0000-000024AE0000}"/>
    <cellStyle name="Normal 47 6 6" xfId="4734" xr:uid="{00000000-0005-0000-0000-000025AE0000}"/>
    <cellStyle name="Normal 47 6 7" xfId="4735" xr:uid="{00000000-0005-0000-0000-000026AE0000}"/>
    <cellStyle name="Normal 47 6 8" xfId="4736" xr:uid="{00000000-0005-0000-0000-000027AE0000}"/>
    <cellStyle name="Normal 47 7" xfId="4737" xr:uid="{00000000-0005-0000-0000-000028AE0000}"/>
    <cellStyle name="Normal 47 7 2" xfId="4738" xr:uid="{00000000-0005-0000-0000-000029AE0000}"/>
    <cellStyle name="Normal 47 7 3" xfId="4739" xr:uid="{00000000-0005-0000-0000-00002AAE0000}"/>
    <cellStyle name="Normal 47 7 4" xfId="4740" xr:uid="{00000000-0005-0000-0000-00002BAE0000}"/>
    <cellStyle name="Normal 47 7 5" xfId="4741" xr:uid="{00000000-0005-0000-0000-00002CAE0000}"/>
    <cellStyle name="Normal 47 7 6" xfId="4742" xr:uid="{00000000-0005-0000-0000-00002DAE0000}"/>
    <cellStyle name="Normal 47 7 7" xfId="4743" xr:uid="{00000000-0005-0000-0000-00002EAE0000}"/>
    <cellStyle name="Normal 47 7 8" xfId="4744" xr:uid="{00000000-0005-0000-0000-00002FAE0000}"/>
    <cellStyle name="Normal 47 8" xfId="4745" xr:uid="{00000000-0005-0000-0000-000030AE0000}"/>
    <cellStyle name="Normal 47 8 2" xfId="4746" xr:uid="{00000000-0005-0000-0000-000031AE0000}"/>
    <cellStyle name="Normal 47 8 3" xfId="4747" xr:uid="{00000000-0005-0000-0000-000032AE0000}"/>
    <cellStyle name="Normal 47 8 4" xfId="4748" xr:uid="{00000000-0005-0000-0000-000033AE0000}"/>
    <cellStyle name="Normal 47 8 5" xfId="4749" xr:uid="{00000000-0005-0000-0000-000034AE0000}"/>
    <cellStyle name="Normal 47 8 6" xfId="4750" xr:uid="{00000000-0005-0000-0000-000035AE0000}"/>
    <cellStyle name="Normal 47 8 7" xfId="4751" xr:uid="{00000000-0005-0000-0000-000036AE0000}"/>
    <cellStyle name="Normal 47 8 8" xfId="4752" xr:uid="{00000000-0005-0000-0000-000037AE0000}"/>
    <cellStyle name="Normal 47 9" xfId="4753" xr:uid="{00000000-0005-0000-0000-000038AE0000}"/>
    <cellStyle name="Normal 48" xfId="1208" xr:uid="{00000000-0005-0000-0000-000039AE0000}"/>
    <cellStyle name="Normal 48 2" xfId="4754" xr:uid="{00000000-0005-0000-0000-00003AAE0000}"/>
    <cellStyle name="Normal 48 2 2" xfId="32858" xr:uid="{00000000-0005-0000-0000-00003BAE0000}"/>
    <cellStyle name="Normal 48 2 2 2" xfId="52044" xr:uid="{00000000-0005-0000-0000-00003CAE0000}"/>
    <cellStyle name="Normal 48 2 3" xfId="42346" xr:uid="{00000000-0005-0000-0000-00003DAE0000}"/>
    <cellStyle name="Normal 48 2 4" xfId="22774" xr:uid="{00000000-0005-0000-0000-00003EAE0000}"/>
    <cellStyle name="Normal 48 3" xfId="7449" xr:uid="{00000000-0005-0000-0000-00003FAE0000}"/>
    <cellStyle name="Normal 48 3 2" xfId="24163" xr:uid="{00000000-0005-0000-0000-000040AE0000}"/>
    <cellStyle name="Normal 48 4" xfId="23131" xr:uid="{00000000-0005-0000-0000-000041AE0000}"/>
    <cellStyle name="Normal 48 4 2" xfId="42699" xr:uid="{00000000-0005-0000-0000-000042AE0000}"/>
    <cellStyle name="Normal 48 5" xfId="13483" xr:uid="{00000000-0005-0000-0000-000043AE0000}"/>
    <cellStyle name="Normal 49" xfId="1209" xr:uid="{00000000-0005-0000-0000-000044AE0000}"/>
    <cellStyle name="Normal 49 10" xfId="7505" xr:uid="{00000000-0005-0000-0000-000045AE0000}"/>
    <cellStyle name="Normal 49 11" xfId="13436" xr:uid="{00000000-0005-0000-0000-000046AE0000}"/>
    <cellStyle name="Normal 49 2" xfId="4756" xr:uid="{00000000-0005-0000-0000-000047AE0000}"/>
    <cellStyle name="Normal 49 2 2" xfId="4757" xr:uid="{00000000-0005-0000-0000-000048AE0000}"/>
    <cellStyle name="Normal 49 2 2 2" xfId="4758" xr:uid="{00000000-0005-0000-0000-000049AE0000}"/>
    <cellStyle name="Normal 49 2 2 2 2" xfId="4759" xr:uid="{00000000-0005-0000-0000-00004AAE0000}"/>
    <cellStyle name="Normal 49 2 2 2 3" xfId="52048" xr:uid="{00000000-0005-0000-0000-00004BAE0000}"/>
    <cellStyle name="Normal 49 2 2 3" xfId="4760" xr:uid="{00000000-0005-0000-0000-00004CAE0000}"/>
    <cellStyle name="Normal 49 2 2 4" xfId="32862" xr:uid="{00000000-0005-0000-0000-00004DAE0000}"/>
    <cellStyle name="Normal 49 2 3" xfId="4761" xr:uid="{00000000-0005-0000-0000-00004EAE0000}"/>
    <cellStyle name="Normal 49 2 3 2" xfId="4762" xr:uid="{00000000-0005-0000-0000-00004FAE0000}"/>
    <cellStyle name="Normal 49 2 3 3" xfId="42350" xr:uid="{00000000-0005-0000-0000-000050AE0000}"/>
    <cellStyle name="Normal 49 2 4" xfId="4763" xr:uid="{00000000-0005-0000-0000-000051AE0000}"/>
    <cellStyle name="Normal 49 2 5" xfId="22778" xr:uid="{00000000-0005-0000-0000-000052AE0000}"/>
    <cellStyle name="Normal 49 3" xfId="4764" xr:uid="{00000000-0005-0000-0000-000053AE0000}"/>
    <cellStyle name="Normal 49 3 2" xfId="4765" xr:uid="{00000000-0005-0000-0000-000054AE0000}"/>
    <cellStyle name="Normal 49 3 2 2" xfId="4766" xr:uid="{00000000-0005-0000-0000-000055AE0000}"/>
    <cellStyle name="Normal 49 3 2 2 2" xfId="4767" xr:uid="{00000000-0005-0000-0000-000056AE0000}"/>
    <cellStyle name="Normal 49 3 2 3" xfId="4768" xr:uid="{00000000-0005-0000-0000-000057AE0000}"/>
    <cellStyle name="Normal 49 3 3" xfId="4769" xr:uid="{00000000-0005-0000-0000-000058AE0000}"/>
    <cellStyle name="Normal 49 3 3 2" xfId="4770" xr:uid="{00000000-0005-0000-0000-000059AE0000}"/>
    <cellStyle name="Normal 49 3 4" xfId="4771" xr:uid="{00000000-0005-0000-0000-00005AAE0000}"/>
    <cellStyle name="Normal 49 3 5" xfId="24119" xr:uid="{00000000-0005-0000-0000-00005BAE0000}"/>
    <cellStyle name="Normal 49 4" xfId="4772" xr:uid="{00000000-0005-0000-0000-00005CAE0000}"/>
    <cellStyle name="Normal 49 4 2" xfId="4773" xr:uid="{00000000-0005-0000-0000-00005DAE0000}"/>
    <cellStyle name="Normal 49 4 2 2" xfId="4774" xr:uid="{00000000-0005-0000-0000-00005EAE0000}"/>
    <cellStyle name="Normal 49 4 2 2 2" xfId="4775" xr:uid="{00000000-0005-0000-0000-00005FAE0000}"/>
    <cellStyle name="Normal 49 4 2 3" xfId="4776" xr:uid="{00000000-0005-0000-0000-000060AE0000}"/>
    <cellStyle name="Normal 49 4 2 4" xfId="42703" xr:uid="{00000000-0005-0000-0000-000061AE0000}"/>
    <cellStyle name="Normal 49 4 3" xfId="4777" xr:uid="{00000000-0005-0000-0000-000062AE0000}"/>
    <cellStyle name="Normal 49 4 3 2" xfId="4778" xr:uid="{00000000-0005-0000-0000-000063AE0000}"/>
    <cellStyle name="Normal 49 4 4" xfId="4779" xr:uid="{00000000-0005-0000-0000-000064AE0000}"/>
    <cellStyle name="Normal 49 4 5" xfId="23135" xr:uid="{00000000-0005-0000-0000-000065AE0000}"/>
    <cellStyle name="Normal 49 5" xfId="4780" xr:uid="{00000000-0005-0000-0000-000066AE0000}"/>
    <cellStyle name="Normal 49 5 2" xfId="4781" xr:uid="{00000000-0005-0000-0000-000067AE0000}"/>
    <cellStyle name="Normal 49 5 2 2" xfId="4782" xr:uid="{00000000-0005-0000-0000-000068AE0000}"/>
    <cellStyle name="Normal 49 5 3" xfId="4783" xr:uid="{00000000-0005-0000-0000-000069AE0000}"/>
    <cellStyle name="Normal 49 6" xfId="4784" xr:uid="{00000000-0005-0000-0000-00006AAE0000}"/>
    <cellStyle name="Normal 49 6 2" xfId="4785" xr:uid="{00000000-0005-0000-0000-00006BAE0000}"/>
    <cellStyle name="Normal 49 7" xfId="4786" xr:uid="{00000000-0005-0000-0000-00006CAE0000}"/>
    <cellStyle name="Normal 49 8" xfId="4787" xr:uid="{00000000-0005-0000-0000-00006DAE0000}"/>
    <cellStyle name="Normal 49 9" xfId="4755" xr:uid="{00000000-0005-0000-0000-00006EAE0000}"/>
    <cellStyle name="Normal 5" xfId="1210" xr:uid="{00000000-0005-0000-0000-00006FAE0000}"/>
    <cellStyle name="Normal-- 5" xfId="4789" xr:uid="{00000000-0005-0000-0000-000070AE0000}"/>
    <cellStyle name="Normal 5 10" xfId="4790" xr:uid="{00000000-0005-0000-0000-000071AE0000}"/>
    <cellStyle name="Normal 5 10 2" xfId="4791" xr:uid="{00000000-0005-0000-0000-000072AE0000}"/>
    <cellStyle name="Normal 5 10 2 2" xfId="51769" xr:uid="{00000000-0005-0000-0000-000073AE0000}"/>
    <cellStyle name="Normal 5 10 2 3" xfId="54155" xr:uid="{00000000-0005-0000-0000-000074AE0000}"/>
    <cellStyle name="Normal 5 10 2 4" xfId="32581" xr:uid="{00000000-0005-0000-0000-000075AE0000}"/>
    <cellStyle name="Normal 5 10 3" xfId="42071" xr:uid="{00000000-0005-0000-0000-000076AE0000}"/>
    <cellStyle name="Normal 5 10 4" xfId="53303" xr:uid="{00000000-0005-0000-0000-000077AE0000}"/>
    <cellStyle name="Normal 5 10 5" xfId="22222" xr:uid="{00000000-0005-0000-0000-000078AE0000}"/>
    <cellStyle name="Normal 5 100" xfId="4792" xr:uid="{00000000-0005-0000-0000-000079AE0000}"/>
    <cellStyle name="Normal 5 101" xfId="4793" xr:uid="{00000000-0005-0000-0000-00007AAE0000}"/>
    <cellStyle name="Normal 5 102" xfId="4794" xr:uid="{00000000-0005-0000-0000-00007BAE0000}"/>
    <cellStyle name="Normal 5 103" xfId="4795" xr:uid="{00000000-0005-0000-0000-00007CAE0000}"/>
    <cellStyle name="Normal 5 104" xfId="4796" xr:uid="{00000000-0005-0000-0000-00007DAE0000}"/>
    <cellStyle name="Normal 5 105" xfId="4797" xr:uid="{00000000-0005-0000-0000-00007EAE0000}"/>
    <cellStyle name="Normal 5 106" xfId="4798" xr:uid="{00000000-0005-0000-0000-00007FAE0000}"/>
    <cellStyle name="Normal 5 107" xfId="4799" xr:uid="{00000000-0005-0000-0000-000080AE0000}"/>
    <cellStyle name="Normal 5 108" xfId="4800" xr:uid="{00000000-0005-0000-0000-000081AE0000}"/>
    <cellStyle name="Normal 5 109" xfId="4801" xr:uid="{00000000-0005-0000-0000-000082AE0000}"/>
    <cellStyle name="Normal 5 11" xfId="4802" xr:uid="{00000000-0005-0000-0000-000083AE0000}"/>
    <cellStyle name="Normal 5 11 2" xfId="4803" xr:uid="{00000000-0005-0000-0000-000084AE0000}"/>
    <cellStyle name="Normal 5 11 2 2" xfId="51796" xr:uid="{00000000-0005-0000-0000-000085AE0000}"/>
    <cellStyle name="Normal 5 11 2 3" xfId="54188" xr:uid="{00000000-0005-0000-0000-000086AE0000}"/>
    <cellStyle name="Normal 5 11 2 4" xfId="32608" xr:uid="{00000000-0005-0000-0000-000087AE0000}"/>
    <cellStyle name="Normal 5 11 3" xfId="42098" xr:uid="{00000000-0005-0000-0000-000088AE0000}"/>
    <cellStyle name="Normal 5 11 4" xfId="53336" xr:uid="{00000000-0005-0000-0000-000089AE0000}"/>
    <cellStyle name="Normal 5 11 5" xfId="22251" xr:uid="{00000000-0005-0000-0000-00008AAE0000}"/>
    <cellStyle name="Normal 5 110" xfId="4804" xr:uid="{00000000-0005-0000-0000-00008BAE0000}"/>
    <cellStyle name="Normal 5 111" xfId="4805" xr:uid="{00000000-0005-0000-0000-00008CAE0000}"/>
    <cellStyle name="Normal 5 112" xfId="4806" xr:uid="{00000000-0005-0000-0000-00008DAE0000}"/>
    <cellStyle name="Normal 5 113" xfId="4807" xr:uid="{00000000-0005-0000-0000-00008EAE0000}"/>
    <cellStyle name="Normal 5 114" xfId="4788" xr:uid="{00000000-0005-0000-0000-00008FAE0000}"/>
    <cellStyle name="Normal 5 115" xfId="6012" xr:uid="{00000000-0005-0000-0000-000090AE0000}"/>
    <cellStyle name="Normal 5 116" xfId="5999" xr:uid="{00000000-0005-0000-0000-000091AE0000}"/>
    <cellStyle name="Normal 5 117" xfId="11972" xr:uid="{00000000-0005-0000-0000-000092AE0000}"/>
    <cellStyle name="Normal 5 12" xfId="4808" xr:uid="{00000000-0005-0000-0000-000093AE0000}"/>
    <cellStyle name="Normal 5 12 2" xfId="4809" xr:uid="{00000000-0005-0000-0000-000094AE0000}"/>
    <cellStyle name="Normal 5 12 2 2" xfId="53363" xr:uid="{00000000-0005-0000-0000-000095AE0000}"/>
    <cellStyle name="Normal 5 12 3" xfId="12515" xr:uid="{00000000-0005-0000-0000-000096AE0000}"/>
    <cellStyle name="Normal 5 13" xfId="4810" xr:uid="{00000000-0005-0000-0000-000097AE0000}"/>
    <cellStyle name="Normal 5 13 2" xfId="4811" xr:uid="{00000000-0005-0000-0000-000098AE0000}"/>
    <cellStyle name="Normal 5 13 3" xfId="22458" xr:uid="{00000000-0005-0000-0000-000099AE0000}"/>
    <cellStyle name="Normal 5 14" xfId="4812" xr:uid="{00000000-0005-0000-0000-00009AAE0000}"/>
    <cellStyle name="Normal 5 14 2" xfId="4813" xr:uid="{00000000-0005-0000-0000-00009BAE0000}"/>
    <cellStyle name="Normal 5 14 2 2" xfId="42831" xr:uid="{00000000-0005-0000-0000-00009CAE0000}"/>
    <cellStyle name="Normal 5 14 3" xfId="23265" xr:uid="{00000000-0005-0000-0000-00009DAE0000}"/>
    <cellStyle name="Normal 5 15" xfId="4814" xr:uid="{00000000-0005-0000-0000-00009EAE0000}"/>
    <cellStyle name="Normal 5 15 2" xfId="4815" xr:uid="{00000000-0005-0000-0000-00009FAE0000}"/>
    <cellStyle name="Normal 5 15 2 2" xfId="52197" xr:uid="{00000000-0005-0000-0000-0000A0AE0000}"/>
    <cellStyle name="Normal 5 15 3" xfId="33011" xr:uid="{00000000-0005-0000-0000-0000A1AE0000}"/>
    <cellStyle name="Normal 5 16" xfId="4816" xr:uid="{00000000-0005-0000-0000-0000A2AE0000}"/>
    <cellStyle name="Normal 5 16 2" xfId="4817" xr:uid="{00000000-0005-0000-0000-0000A3AE0000}"/>
    <cellStyle name="Normal 5 16 3" xfId="33108" xr:uid="{00000000-0005-0000-0000-0000A4AE0000}"/>
    <cellStyle name="Normal 5 17" xfId="4818" xr:uid="{00000000-0005-0000-0000-0000A5AE0000}"/>
    <cellStyle name="Normal 5 17 2" xfId="4819" xr:uid="{00000000-0005-0000-0000-0000A6AE0000}"/>
    <cellStyle name="Normal 5 17 3" xfId="52292" xr:uid="{00000000-0005-0000-0000-0000A7AE0000}"/>
    <cellStyle name="Normal 5 18" xfId="4820" xr:uid="{00000000-0005-0000-0000-0000A8AE0000}"/>
    <cellStyle name="Normal 5 18 2" xfId="4821" xr:uid="{00000000-0005-0000-0000-0000A9AE0000}"/>
    <cellStyle name="Normal 5 18 3" xfId="52347" xr:uid="{00000000-0005-0000-0000-0000AAAE0000}"/>
    <cellStyle name="Normal 5 19" xfId="4822" xr:uid="{00000000-0005-0000-0000-0000ABAE0000}"/>
    <cellStyle name="Normal 5 19 2" xfId="4823" xr:uid="{00000000-0005-0000-0000-0000ACAE0000}"/>
    <cellStyle name="Normal 5 19 3" xfId="52394" xr:uid="{00000000-0005-0000-0000-0000ADAE0000}"/>
    <cellStyle name="Normal 5 2" xfId="1211" xr:uid="{00000000-0005-0000-0000-0000AEAE0000}"/>
    <cellStyle name="Normal 5 2 10" xfId="12122" xr:uid="{00000000-0005-0000-0000-0000AFAE0000}"/>
    <cellStyle name="Normal 5 2 10 2" xfId="54195" xr:uid="{00000000-0005-0000-0000-0000B0AE0000}"/>
    <cellStyle name="Normal 5 2 10 3" xfId="53343" xr:uid="{00000000-0005-0000-0000-0000B1AE0000}"/>
    <cellStyle name="Normal 5 2 11" xfId="53370" xr:uid="{00000000-0005-0000-0000-0000B2AE0000}"/>
    <cellStyle name="Normal 5 2 12" xfId="52468" xr:uid="{00000000-0005-0000-0000-0000B3AE0000}"/>
    <cellStyle name="Normal 5 2 13" xfId="11981" xr:uid="{00000000-0005-0000-0000-0000B4AE0000}"/>
    <cellStyle name="Normal 5 2 2" xfId="1212" xr:uid="{00000000-0005-0000-0000-0000B5AE0000}"/>
    <cellStyle name="Normal 5 2 2 10" xfId="23243" xr:uid="{00000000-0005-0000-0000-0000B6AE0000}"/>
    <cellStyle name="Normal 5 2 2 10 2" xfId="42811" xr:uid="{00000000-0005-0000-0000-0000B7AE0000}"/>
    <cellStyle name="Normal 5 2 2 11" xfId="33653" xr:uid="{00000000-0005-0000-0000-0000B8AE0000}"/>
    <cellStyle name="Normal 5 2 2 12" xfId="13449" xr:uid="{00000000-0005-0000-0000-0000B9AE0000}"/>
    <cellStyle name="Normal 5 2 2 13" xfId="52512" xr:uid="{00000000-0005-0000-0000-0000BAAE0000}"/>
    <cellStyle name="Normal 5 2 2 14" xfId="12063" xr:uid="{00000000-0005-0000-0000-0000BBAE0000}"/>
    <cellStyle name="Normal 5 2 2 2" xfId="4825" xr:uid="{00000000-0005-0000-0000-0000BCAE0000}"/>
    <cellStyle name="Normal 5 2 2 2 2" xfId="8340" xr:uid="{00000000-0005-0000-0000-0000BDAE0000}"/>
    <cellStyle name="Normal 5 2 2 2 2 2" xfId="11237" xr:uid="{00000000-0005-0000-0000-0000BEAE0000}"/>
    <cellStyle name="Normal 5 2 2 2 2 2 2" xfId="31401" xr:uid="{00000000-0005-0000-0000-0000BFAE0000}"/>
    <cellStyle name="Normal 5 2 2 2 2 2 2 2" xfId="50590" xr:uid="{00000000-0005-0000-0000-0000C0AE0000}"/>
    <cellStyle name="Normal 5 2 2 2 2 2 3" xfId="40892" xr:uid="{00000000-0005-0000-0000-0000C1AE0000}"/>
    <cellStyle name="Normal 5 2 2 2 2 2 4" xfId="53997" xr:uid="{00000000-0005-0000-0000-0000C2AE0000}"/>
    <cellStyle name="Normal 5 2 2 2 2 2 5" xfId="21033" xr:uid="{00000000-0005-0000-0000-0000C3AE0000}"/>
    <cellStyle name="Normal 5 2 2 2 2 3" xfId="26946" xr:uid="{00000000-0005-0000-0000-0000C4AE0000}"/>
    <cellStyle name="Normal 5 2 2 2 2 3 2" xfId="46135" xr:uid="{00000000-0005-0000-0000-0000C5AE0000}"/>
    <cellStyle name="Normal 5 2 2 2 2 4" xfId="36437" xr:uid="{00000000-0005-0000-0000-0000C6AE0000}"/>
    <cellStyle name="Normal 5 2 2 2 2 5" xfId="53144" xr:uid="{00000000-0005-0000-0000-0000C7AE0000}"/>
    <cellStyle name="Normal 5 2 2 2 2 6" xfId="16569" xr:uid="{00000000-0005-0000-0000-0000C8AE0000}"/>
    <cellStyle name="Normal 5 2 2 2 3" xfId="9797" xr:uid="{00000000-0005-0000-0000-0000C9AE0000}"/>
    <cellStyle name="Normal 5 2 2 2 3 2" xfId="29173" xr:uid="{00000000-0005-0000-0000-0000CAAE0000}"/>
    <cellStyle name="Normal 5 2 2 2 3 2 2" xfId="48362" xr:uid="{00000000-0005-0000-0000-0000CBAE0000}"/>
    <cellStyle name="Normal 5 2 2 2 3 3" xfId="38664" xr:uid="{00000000-0005-0000-0000-0000CCAE0000}"/>
    <cellStyle name="Normal 5 2 2 2 3 4" xfId="53601" xr:uid="{00000000-0005-0000-0000-0000CDAE0000}"/>
    <cellStyle name="Normal 5 2 2 2 3 5" xfId="18805" xr:uid="{00000000-0005-0000-0000-0000CEAE0000}"/>
    <cellStyle name="Normal 5 2 2 2 4" xfId="6862" xr:uid="{00000000-0005-0000-0000-0000CFAE0000}"/>
    <cellStyle name="Normal 5 2 2 2 4 2" xfId="43907" xr:uid="{00000000-0005-0000-0000-0000D0AE0000}"/>
    <cellStyle name="Normal 5 2 2 2 4 3" xfId="24713" xr:uid="{00000000-0005-0000-0000-0000D1AE0000}"/>
    <cellStyle name="Normal 5 2 2 2 5" xfId="34209" xr:uid="{00000000-0005-0000-0000-0000D2AE0000}"/>
    <cellStyle name="Normal 5 2 2 2 6" xfId="52716" xr:uid="{00000000-0005-0000-0000-0000D3AE0000}"/>
    <cellStyle name="Normal 5 2 2 2 7" xfId="14306" xr:uid="{00000000-0005-0000-0000-0000D4AE0000}"/>
    <cellStyle name="Normal 5 2 2 3" xfId="7579" xr:uid="{00000000-0005-0000-0000-0000D5AE0000}"/>
    <cellStyle name="Normal 5 2 2 3 2" xfId="9037" xr:uid="{00000000-0005-0000-0000-0000D6AE0000}"/>
    <cellStyle name="Normal 5 2 2 3 2 2" xfId="11934" xr:uid="{00000000-0005-0000-0000-0000D7AE0000}"/>
    <cellStyle name="Normal 5 2 2 3 2 2 2" xfId="30845" xr:uid="{00000000-0005-0000-0000-0000D8AE0000}"/>
    <cellStyle name="Normal 5 2 2 3 2 2 2 2" xfId="50034" xr:uid="{00000000-0005-0000-0000-0000D9AE0000}"/>
    <cellStyle name="Normal 5 2 2 3 2 2 3" xfId="40336" xr:uid="{00000000-0005-0000-0000-0000DAAE0000}"/>
    <cellStyle name="Normal 5 2 2 3 2 2 4" xfId="20477" xr:uid="{00000000-0005-0000-0000-0000DBAE0000}"/>
    <cellStyle name="Normal 5 2 2 3 2 3" xfId="26390" xr:uid="{00000000-0005-0000-0000-0000DCAE0000}"/>
    <cellStyle name="Normal 5 2 2 3 2 3 2" xfId="45579" xr:uid="{00000000-0005-0000-0000-0000DDAE0000}"/>
    <cellStyle name="Normal 5 2 2 3 2 4" xfId="35881" xr:uid="{00000000-0005-0000-0000-0000DEAE0000}"/>
    <cellStyle name="Normal 5 2 2 3 2 5" xfId="53801" xr:uid="{00000000-0005-0000-0000-0000DFAE0000}"/>
    <cellStyle name="Normal 5 2 2 3 2 6" xfId="16013" xr:uid="{00000000-0005-0000-0000-0000E0AE0000}"/>
    <cellStyle name="Normal 5 2 2 3 3" xfId="10494" xr:uid="{00000000-0005-0000-0000-0000E1AE0000}"/>
    <cellStyle name="Normal 5 2 2 3 3 2" xfId="29730" xr:uid="{00000000-0005-0000-0000-0000E2AE0000}"/>
    <cellStyle name="Normal 5 2 2 3 3 2 2" xfId="48919" xr:uid="{00000000-0005-0000-0000-0000E3AE0000}"/>
    <cellStyle name="Normal 5 2 2 3 3 3" xfId="39221" xr:uid="{00000000-0005-0000-0000-0000E4AE0000}"/>
    <cellStyle name="Normal 5 2 2 3 3 4" xfId="19362" xr:uid="{00000000-0005-0000-0000-0000E5AE0000}"/>
    <cellStyle name="Normal 5 2 2 3 4" xfId="25275" xr:uid="{00000000-0005-0000-0000-0000E6AE0000}"/>
    <cellStyle name="Normal 5 2 2 3 4 2" xfId="44464" xr:uid="{00000000-0005-0000-0000-0000E7AE0000}"/>
    <cellStyle name="Normal 5 2 2 3 5" xfId="34766" xr:uid="{00000000-0005-0000-0000-0000E8AE0000}"/>
    <cellStyle name="Normal 5 2 2 3 6" xfId="52926" xr:uid="{00000000-0005-0000-0000-0000E9AE0000}"/>
    <cellStyle name="Normal 5 2 2 3 7" xfId="14885" xr:uid="{00000000-0005-0000-0000-0000EAAE0000}"/>
    <cellStyle name="Normal 5 2 2 4" xfId="7586" xr:uid="{00000000-0005-0000-0000-0000EBAE0000}"/>
    <cellStyle name="Normal 5 2 2 4 2" xfId="10498" xr:uid="{00000000-0005-0000-0000-0000ECAE0000}"/>
    <cellStyle name="Normal 5 2 2 4 2 2" xfId="30288" xr:uid="{00000000-0005-0000-0000-0000EDAE0000}"/>
    <cellStyle name="Normal 5 2 2 4 2 2 2" xfId="49477" xr:uid="{00000000-0005-0000-0000-0000EEAE0000}"/>
    <cellStyle name="Normal 5 2 2 4 2 3" xfId="39779" xr:uid="{00000000-0005-0000-0000-0000EFAE0000}"/>
    <cellStyle name="Normal 5 2 2 4 2 4" xfId="19920" xr:uid="{00000000-0005-0000-0000-0000F0AE0000}"/>
    <cellStyle name="Normal 5 2 2 4 3" xfId="25833" xr:uid="{00000000-0005-0000-0000-0000F1AE0000}"/>
    <cellStyle name="Normal 5 2 2 4 3 2" xfId="45022" xr:uid="{00000000-0005-0000-0000-0000F2AE0000}"/>
    <cellStyle name="Normal 5 2 2 4 4" xfId="35324" xr:uid="{00000000-0005-0000-0000-0000F3AE0000}"/>
    <cellStyle name="Normal 5 2 2 4 5" xfId="53405" xr:uid="{00000000-0005-0000-0000-0000F4AE0000}"/>
    <cellStyle name="Normal 5 2 2 4 6" xfId="15456" xr:uid="{00000000-0005-0000-0000-0000F5AE0000}"/>
    <cellStyle name="Normal 5 2 2 5" xfId="9051" xr:uid="{00000000-0005-0000-0000-0000F6AE0000}"/>
    <cellStyle name="Normal 5 2 2 5 2" xfId="11938" xr:uid="{00000000-0005-0000-0000-0000F7AE0000}"/>
    <cellStyle name="Normal 5 2 2 5 2 2" xfId="31958" xr:uid="{00000000-0005-0000-0000-0000F8AE0000}"/>
    <cellStyle name="Normal 5 2 2 5 2 2 2" xfId="51147" xr:uid="{00000000-0005-0000-0000-0000F9AE0000}"/>
    <cellStyle name="Normal 5 2 2 5 2 3" xfId="41449" xr:uid="{00000000-0005-0000-0000-0000FAAE0000}"/>
    <cellStyle name="Normal 5 2 2 5 2 4" xfId="21590" xr:uid="{00000000-0005-0000-0000-0000FBAE0000}"/>
    <cellStyle name="Normal 5 2 2 5 3" xfId="27503" xr:uid="{00000000-0005-0000-0000-0000FCAE0000}"/>
    <cellStyle name="Normal 5 2 2 5 3 2" xfId="46692" xr:uid="{00000000-0005-0000-0000-0000FDAE0000}"/>
    <cellStyle name="Normal 5 2 2 5 4" xfId="36994" xr:uid="{00000000-0005-0000-0000-0000FEAE0000}"/>
    <cellStyle name="Normal 5 2 2 5 5" xfId="17126" xr:uid="{00000000-0005-0000-0000-0000FFAE0000}"/>
    <cellStyle name="Normal 5 2 2 6" xfId="9056" xr:uid="{00000000-0005-0000-0000-000000AF0000}"/>
    <cellStyle name="Normal 5 2 2 6 2" xfId="22147" xr:uid="{00000000-0005-0000-0000-000001AF0000}"/>
    <cellStyle name="Normal 5 2 2 6 2 2" xfId="32515" xr:uid="{00000000-0005-0000-0000-000002AF0000}"/>
    <cellStyle name="Normal 5 2 2 6 2 2 2" xfId="51704" xr:uid="{00000000-0005-0000-0000-000003AF0000}"/>
    <cellStyle name="Normal 5 2 2 6 2 3" xfId="42006" xr:uid="{00000000-0005-0000-0000-000004AF0000}"/>
    <cellStyle name="Normal 5 2 2 6 3" xfId="28060" xr:uid="{00000000-0005-0000-0000-000005AF0000}"/>
    <cellStyle name="Normal 5 2 2 6 3 2" xfId="47249" xr:uid="{00000000-0005-0000-0000-000006AF0000}"/>
    <cellStyle name="Normal 5 2 2 6 4" xfId="37551" xr:uid="{00000000-0005-0000-0000-000007AF0000}"/>
    <cellStyle name="Normal 5 2 2 6 5" xfId="17692" xr:uid="{00000000-0005-0000-0000-000008AF0000}"/>
    <cellStyle name="Normal 5 2 2 7" xfId="6046" xr:uid="{00000000-0005-0000-0000-000009AF0000}"/>
    <cellStyle name="Normal 5 2 2 7 2" xfId="28617" xr:uid="{00000000-0005-0000-0000-00000AAF0000}"/>
    <cellStyle name="Normal 5 2 2 7 2 2" xfId="47806" xr:uid="{00000000-0005-0000-0000-00000BAF0000}"/>
    <cellStyle name="Normal 5 2 2 7 3" xfId="38108" xr:uid="{00000000-0005-0000-0000-00000CAF0000}"/>
    <cellStyle name="Normal 5 2 2 7 4" xfId="18249" xr:uid="{00000000-0005-0000-0000-00000DAF0000}"/>
    <cellStyle name="Normal 5 2 2 8" xfId="22886" xr:uid="{00000000-0005-0000-0000-00000EAF0000}"/>
    <cellStyle name="Normal 5 2 2 8 2" xfId="32970" xr:uid="{00000000-0005-0000-0000-00000FAF0000}"/>
    <cellStyle name="Normal 5 2 2 8 2 2" xfId="52156" xr:uid="{00000000-0005-0000-0000-000010AF0000}"/>
    <cellStyle name="Normal 5 2 2 8 3" xfId="42458" xr:uid="{00000000-0005-0000-0000-000011AF0000}"/>
    <cellStyle name="Normal 5 2 2 9" xfId="24131" xr:uid="{00000000-0005-0000-0000-000012AF0000}"/>
    <cellStyle name="Normal 5 2 2 9 2" xfId="43351" xr:uid="{00000000-0005-0000-0000-000013AF0000}"/>
    <cellStyle name="Normal 5 2 3" xfId="4826" xr:uid="{00000000-0005-0000-0000-000014AF0000}"/>
    <cellStyle name="Normal 5 2 3 2" xfId="10579" xr:uid="{00000000-0005-0000-0000-000015AF0000}"/>
    <cellStyle name="Normal 5 2 3 2 2" xfId="51776" xr:uid="{00000000-0005-0000-0000-000016AF0000}"/>
    <cellStyle name="Normal 5 2 3 2 2 2" xfId="54033" xr:uid="{00000000-0005-0000-0000-000017AF0000}"/>
    <cellStyle name="Normal 5 2 3 2 2 3" xfId="53180" xr:uid="{00000000-0005-0000-0000-000018AF0000}"/>
    <cellStyle name="Normal 5 2 3 2 3" xfId="53637" xr:uid="{00000000-0005-0000-0000-000019AF0000}"/>
    <cellStyle name="Normal 5 2 3 2 4" xfId="52752" xr:uid="{00000000-0005-0000-0000-00001AAF0000}"/>
    <cellStyle name="Normal 5 2 3 2 5" xfId="32588" xr:uid="{00000000-0005-0000-0000-00001BAF0000}"/>
    <cellStyle name="Normal 5 2 3 3" xfId="7679" xr:uid="{00000000-0005-0000-0000-00001CAF0000}"/>
    <cellStyle name="Normal 5 2 3 3 2" xfId="53837" xr:uid="{00000000-0005-0000-0000-00001DAF0000}"/>
    <cellStyle name="Normal 5 2 3 3 3" xfId="52962" xr:uid="{00000000-0005-0000-0000-00001EAF0000}"/>
    <cellStyle name="Normal 5 2 3 3 4" xfId="42078" xr:uid="{00000000-0005-0000-0000-00001FAF0000}"/>
    <cellStyle name="Normal 5 2 3 4" xfId="22229" xr:uid="{00000000-0005-0000-0000-000020AF0000}"/>
    <cellStyle name="Normal 5 2 3 4 2" xfId="53441" xr:uid="{00000000-0005-0000-0000-000021AF0000}"/>
    <cellStyle name="Normal 5 2 3 5" xfId="52551" xr:uid="{00000000-0005-0000-0000-000022AF0000}"/>
    <cellStyle name="Normal 5 2 3 6" xfId="12064" xr:uid="{00000000-0005-0000-0000-000023AF0000}"/>
    <cellStyle name="Normal 5 2 4" xfId="4827" xr:uid="{00000000-0005-0000-0000-000024AF0000}"/>
    <cellStyle name="Normal 5 2 4 2" xfId="9139" xr:uid="{00000000-0005-0000-0000-000025AF0000}"/>
    <cellStyle name="Normal 5 2 4 2 2" xfId="51803" xr:uid="{00000000-0005-0000-0000-000026AF0000}"/>
    <cellStyle name="Normal 5 2 4 2 2 2" xfId="54064" xr:uid="{00000000-0005-0000-0000-000027AF0000}"/>
    <cellStyle name="Normal 5 2 4 2 2 3" xfId="53211" xr:uid="{00000000-0005-0000-0000-000028AF0000}"/>
    <cellStyle name="Normal 5 2 4 2 3" xfId="53668" xr:uid="{00000000-0005-0000-0000-000029AF0000}"/>
    <cellStyle name="Normal 5 2 4 2 4" xfId="52783" xr:uid="{00000000-0005-0000-0000-00002AAF0000}"/>
    <cellStyle name="Normal 5 2 4 2 5" xfId="32615" xr:uid="{00000000-0005-0000-0000-00002BAF0000}"/>
    <cellStyle name="Normal 5 2 4 3" xfId="42105" xr:uid="{00000000-0005-0000-0000-00002CAF0000}"/>
    <cellStyle name="Normal 5 2 4 3 2" xfId="53868" xr:uid="{00000000-0005-0000-0000-00002DAF0000}"/>
    <cellStyle name="Normal 5 2 4 3 3" xfId="52993" xr:uid="{00000000-0005-0000-0000-00002EAF0000}"/>
    <cellStyle name="Normal 5 2 4 4" xfId="22259" xr:uid="{00000000-0005-0000-0000-00002FAF0000}"/>
    <cellStyle name="Normal 5 2 4 4 2" xfId="53472" xr:uid="{00000000-0005-0000-0000-000030AF0000}"/>
    <cellStyle name="Normal 5 2 4 5" xfId="52583" xr:uid="{00000000-0005-0000-0000-000031AF0000}"/>
    <cellStyle name="Normal 5 2 4 6" xfId="12065" xr:uid="{00000000-0005-0000-0000-000032AF0000}"/>
    <cellStyle name="Normal 5 2 5" xfId="4828" xr:uid="{00000000-0005-0000-0000-000033AF0000}"/>
    <cellStyle name="Normal 5 2 5 2" xfId="12516" xr:uid="{00000000-0005-0000-0000-000034AF0000}"/>
    <cellStyle name="Normal 5 2 5 2 2" xfId="53245" xr:uid="{00000000-0005-0000-0000-000035AF0000}"/>
    <cellStyle name="Normal 5 2 5 2 2 2" xfId="54098" xr:uid="{00000000-0005-0000-0000-000036AF0000}"/>
    <cellStyle name="Normal 5 2 5 2 3" xfId="53702" xr:uid="{00000000-0005-0000-0000-000037AF0000}"/>
    <cellStyle name="Normal 5 2 5 2 4" xfId="52817" xr:uid="{00000000-0005-0000-0000-000038AF0000}"/>
    <cellStyle name="Normal 5 2 5 3" xfId="53027" xr:uid="{00000000-0005-0000-0000-000039AF0000}"/>
    <cellStyle name="Normal 5 2 5 3 2" xfId="53902" xr:uid="{00000000-0005-0000-0000-00003AAF0000}"/>
    <cellStyle name="Normal 5 2 5 4" xfId="53506" xr:uid="{00000000-0005-0000-0000-00003BAF0000}"/>
    <cellStyle name="Normal 5 2 5 5" xfId="52617" xr:uid="{00000000-0005-0000-0000-00003CAF0000}"/>
    <cellStyle name="Normal 5 2 5 6" xfId="12062" xr:uid="{00000000-0005-0000-0000-00003DAF0000}"/>
    <cellStyle name="Normal 5 2 6" xfId="4824" xr:uid="{00000000-0005-0000-0000-00003EAF0000}"/>
    <cellStyle name="Normal 5 2 6 2" xfId="32695" xr:uid="{00000000-0005-0000-0000-00003FAF0000}"/>
    <cellStyle name="Normal 5 2 6 2 2" xfId="51882" xr:uid="{00000000-0005-0000-0000-000040AF0000}"/>
    <cellStyle name="Normal 5 2 6 2 2 2" xfId="54131" xr:uid="{00000000-0005-0000-0000-000041AF0000}"/>
    <cellStyle name="Normal 5 2 6 2 2 3" xfId="53278" xr:uid="{00000000-0005-0000-0000-000042AF0000}"/>
    <cellStyle name="Normal 5 2 6 2 3" xfId="53735" xr:uid="{00000000-0005-0000-0000-000043AF0000}"/>
    <cellStyle name="Normal 5 2 6 2 4" xfId="52850" xr:uid="{00000000-0005-0000-0000-000044AF0000}"/>
    <cellStyle name="Normal 5 2 6 3" xfId="42184" xr:uid="{00000000-0005-0000-0000-000045AF0000}"/>
    <cellStyle name="Normal 5 2 6 3 2" xfId="53935" xr:uid="{00000000-0005-0000-0000-000046AF0000}"/>
    <cellStyle name="Normal 5 2 6 3 3" xfId="53060" xr:uid="{00000000-0005-0000-0000-000047AF0000}"/>
    <cellStyle name="Normal 5 2 6 4" xfId="53539" xr:uid="{00000000-0005-0000-0000-000048AF0000}"/>
    <cellStyle name="Normal 5 2 6 5" xfId="52654" xr:uid="{00000000-0005-0000-0000-000049AF0000}"/>
    <cellStyle name="Normal 5 2 6 6" xfId="22600" xr:uid="{00000000-0005-0000-0000-00004AAF0000}"/>
    <cellStyle name="Normal 5 2 7" xfId="6154" xr:uid="{00000000-0005-0000-0000-00004BAF0000}"/>
    <cellStyle name="Normal 5 2 7 2" xfId="42838" xr:uid="{00000000-0005-0000-0000-00004CAF0000}"/>
    <cellStyle name="Normal 5 2 7 2 2" xfId="53962" xr:uid="{00000000-0005-0000-0000-00004DAF0000}"/>
    <cellStyle name="Normal 5 2 7 2 3" xfId="53109" xr:uid="{00000000-0005-0000-0000-00004EAF0000}"/>
    <cellStyle name="Normal 5 2 7 3" xfId="53566" xr:uid="{00000000-0005-0000-0000-00004FAF0000}"/>
    <cellStyle name="Normal 5 2 7 4" xfId="52681" xr:uid="{00000000-0005-0000-0000-000050AF0000}"/>
    <cellStyle name="Normal 5 2 7 5" xfId="23272" xr:uid="{00000000-0005-0000-0000-000051AF0000}"/>
    <cellStyle name="Normal 5 2 8" xfId="22968" xr:uid="{00000000-0005-0000-0000-000052AF0000}"/>
    <cellStyle name="Normal 5 2 8 2" xfId="42537" xr:uid="{00000000-0005-0000-0000-000053AF0000}"/>
    <cellStyle name="Normal 5 2 8 2 2" xfId="53765" xr:uid="{00000000-0005-0000-0000-000054AF0000}"/>
    <cellStyle name="Normal 5 2 8 3" xfId="52881" xr:uid="{00000000-0005-0000-0000-000055AF0000}"/>
    <cellStyle name="Normal 5 2 9" xfId="33121" xr:uid="{00000000-0005-0000-0000-000056AF0000}"/>
    <cellStyle name="Normal 5 2 9 2" xfId="54162" xr:uid="{00000000-0005-0000-0000-000057AF0000}"/>
    <cellStyle name="Normal 5 2 9 3" xfId="53310" xr:uid="{00000000-0005-0000-0000-000058AF0000}"/>
    <cellStyle name="Normal 5 20" xfId="4829" xr:uid="{00000000-0005-0000-0000-000059AF0000}"/>
    <cellStyle name="Normal 5 20 2" xfId="4830" xr:uid="{00000000-0005-0000-0000-00005AAF0000}"/>
    <cellStyle name="Normal 5 20 3" xfId="12115" xr:uid="{00000000-0005-0000-0000-00005BAF0000}"/>
    <cellStyle name="Normal 5 21" xfId="4831" xr:uid="{00000000-0005-0000-0000-00005CAF0000}"/>
    <cellStyle name="Normal 5 21 2" xfId="4832" xr:uid="{00000000-0005-0000-0000-00005DAF0000}"/>
    <cellStyle name="Normal 5 21 3" xfId="52435" xr:uid="{00000000-0005-0000-0000-00005EAF0000}"/>
    <cellStyle name="Normal 5 22" xfId="4833" xr:uid="{00000000-0005-0000-0000-00005FAF0000}"/>
    <cellStyle name="Normal 5 22 2" xfId="4834" xr:uid="{00000000-0005-0000-0000-000060AF0000}"/>
    <cellStyle name="Normal 5 22 2 2" xfId="4835" xr:uid="{00000000-0005-0000-0000-000061AF0000}"/>
    <cellStyle name="Normal 5 22 3" xfId="4836" xr:uid="{00000000-0005-0000-0000-000062AF0000}"/>
    <cellStyle name="Normal 5 22 4" xfId="4837" xr:uid="{00000000-0005-0000-0000-000063AF0000}"/>
    <cellStyle name="Normal 5 22 5" xfId="52461" xr:uid="{00000000-0005-0000-0000-000064AF0000}"/>
    <cellStyle name="Normal 5 23" xfId="4838" xr:uid="{00000000-0005-0000-0000-000065AF0000}"/>
    <cellStyle name="Normal 5 23 2" xfId="4839" xr:uid="{00000000-0005-0000-0000-000066AF0000}"/>
    <cellStyle name="Normal 5 24" xfId="4840" xr:uid="{00000000-0005-0000-0000-000067AF0000}"/>
    <cellStyle name="Normal 5 24 2" xfId="4841" xr:uid="{00000000-0005-0000-0000-000068AF0000}"/>
    <cellStyle name="Normal 5 25" xfId="4842" xr:uid="{00000000-0005-0000-0000-000069AF0000}"/>
    <cellStyle name="Normal 5 25 2" xfId="4843" xr:uid="{00000000-0005-0000-0000-00006AAF0000}"/>
    <cellStyle name="Normal 5 26" xfId="4844" xr:uid="{00000000-0005-0000-0000-00006BAF0000}"/>
    <cellStyle name="Normal 5 26 2" xfId="4845" xr:uid="{00000000-0005-0000-0000-00006CAF0000}"/>
    <cellStyle name="Normal 5 27" xfId="4846" xr:uid="{00000000-0005-0000-0000-00006DAF0000}"/>
    <cellStyle name="Normal 5 27 2" xfId="4847" xr:uid="{00000000-0005-0000-0000-00006EAF0000}"/>
    <cellStyle name="Normal 5 28" xfId="4848" xr:uid="{00000000-0005-0000-0000-00006FAF0000}"/>
    <cellStyle name="Normal 5 28 2" xfId="4849" xr:uid="{00000000-0005-0000-0000-000070AF0000}"/>
    <cellStyle name="Normal 5 29" xfId="4850" xr:uid="{00000000-0005-0000-0000-000071AF0000}"/>
    <cellStyle name="Normal 5 29 2" xfId="4851" xr:uid="{00000000-0005-0000-0000-000072AF0000}"/>
    <cellStyle name="Normal 5 3" xfId="1213" xr:uid="{00000000-0005-0000-0000-000073AF0000}"/>
    <cellStyle name="Normal 5 3 2" xfId="4853" xr:uid="{00000000-0005-0000-0000-000074AF0000}"/>
    <cellStyle name="Normal 5 3 2 10" xfId="52707" xr:uid="{00000000-0005-0000-0000-000075AF0000}"/>
    <cellStyle name="Normal 5 3 2 11" xfId="13621" xr:uid="{00000000-0005-0000-0000-000076AF0000}"/>
    <cellStyle name="Normal 5 3 2 2" xfId="8336" xr:uid="{00000000-0005-0000-0000-000077AF0000}"/>
    <cellStyle name="Normal 5 3 2 2 2" xfId="11233" xr:uid="{00000000-0005-0000-0000-000078AF0000}"/>
    <cellStyle name="Normal 5 3 2 2 2 2" xfId="21066" xr:uid="{00000000-0005-0000-0000-000079AF0000}"/>
    <cellStyle name="Normal 5 3 2 2 2 2 2" xfId="31434" xr:uid="{00000000-0005-0000-0000-00007AAF0000}"/>
    <cellStyle name="Normal 5 3 2 2 2 2 2 2" xfId="50623" xr:uid="{00000000-0005-0000-0000-00007BAF0000}"/>
    <cellStyle name="Normal 5 3 2 2 2 2 3" xfId="40925" xr:uid="{00000000-0005-0000-0000-00007CAF0000}"/>
    <cellStyle name="Normal 5 3 2 2 2 3" xfId="26979" xr:uid="{00000000-0005-0000-0000-00007DAF0000}"/>
    <cellStyle name="Normal 5 3 2 2 2 3 2" xfId="46168" xr:uid="{00000000-0005-0000-0000-00007EAF0000}"/>
    <cellStyle name="Normal 5 3 2 2 2 4" xfId="36470" xr:uid="{00000000-0005-0000-0000-00007FAF0000}"/>
    <cellStyle name="Normal 5 3 2 2 2 5" xfId="53988" xr:uid="{00000000-0005-0000-0000-000080AF0000}"/>
    <cellStyle name="Normal 5 3 2 2 2 6" xfId="16602" xr:uid="{00000000-0005-0000-0000-000081AF0000}"/>
    <cellStyle name="Normal 5 3 2 2 3" xfId="18838" xr:uid="{00000000-0005-0000-0000-000082AF0000}"/>
    <cellStyle name="Normal 5 3 2 2 3 2" xfId="29206" xr:uid="{00000000-0005-0000-0000-000083AF0000}"/>
    <cellStyle name="Normal 5 3 2 2 3 2 2" xfId="48395" xr:uid="{00000000-0005-0000-0000-000084AF0000}"/>
    <cellStyle name="Normal 5 3 2 2 3 3" xfId="38697" xr:uid="{00000000-0005-0000-0000-000085AF0000}"/>
    <cellStyle name="Normal 5 3 2 2 4" xfId="24746" xr:uid="{00000000-0005-0000-0000-000086AF0000}"/>
    <cellStyle name="Normal 5 3 2 2 4 2" xfId="43940" xr:uid="{00000000-0005-0000-0000-000087AF0000}"/>
    <cellStyle name="Normal 5 3 2 2 5" xfId="34242" xr:uid="{00000000-0005-0000-0000-000088AF0000}"/>
    <cellStyle name="Normal 5 3 2 2 6" xfId="53135" xr:uid="{00000000-0005-0000-0000-000089AF0000}"/>
    <cellStyle name="Normal 5 3 2 2 7" xfId="14339" xr:uid="{00000000-0005-0000-0000-00008AAF0000}"/>
    <cellStyle name="Normal 5 3 2 3" xfId="9793" xr:uid="{00000000-0005-0000-0000-00008BAF0000}"/>
    <cellStyle name="Normal 5 3 2 3 2" xfId="16046" xr:uid="{00000000-0005-0000-0000-00008CAF0000}"/>
    <cellStyle name="Normal 5 3 2 3 2 2" xfId="20510" xr:uid="{00000000-0005-0000-0000-00008DAF0000}"/>
    <cellStyle name="Normal 5 3 2 3 2 2 2" xfId="30878" xr:uid="{00000000-0005-0000-0000-00008EAF0000}"/>
    <cellStyle name="Normal 5 3 2 3 2 2 2 2" xfId="50067" xr:uid="{00000000-0005-0000-0000-00008FAF0000}"/>
    <cellStyle name="Normal 5 3 2 3 2 2 3" xfId="40369" xr:uid="{00000000-0005-0000-0000-000090AF0000}"/>
    <cellStyle name="Normal 5 3 2 3 2 3" xfId="26423" xr:uid="{00000000-0005-0000-0000-000091AF0000}"/>
    <cellStyle name="Normal 5 3 2 3 2 3 2" xfId="45612" xr:uid="{00000000-0005-0000-0000-000092AF0000}"/>
    <cellStyle name="Normal 5 3 2 3 2 4" xfId="35914" xr:uid="{00000000-0005-0000-0000-000093AF0000}"/>
    <cellStyle name="Normal 5 3 2 3 3" xfId="19395" xr:uid="{00000000-0005-0000-0000-000094AF0000}"/>
    <cellStyle name="Normal 5 3 2 3 3 2" xfId="29763" xr:uid="{00000000-0005-0000-0000-000095AF0000}"/>
    <cellStyle name="Normal 5 3 2 3 3 2 2" xfId="48952" xr:uid="{00000000-0005-0000-0000-000096AF0000}"/>
    <cellStyle name="Normal 5 3 2 3 3 3" xfId="39254" xr:uid="{00000000-0005-0000-0000-000097AF0000}"/>
    <cellStyle name="Normal 5 3 2 3 4" xfId="25308" xr:uid="{00000000-0005-0000-0000-000098AF0000}"/>
    <cellStyle name="Normal 5 3 2 3 4 2" xfId="44497" xr:uid="{00000000-0005-0000-0000-000099AF0000}"/>
    <cellStyle name="Normal 5 3 2 3 5" xfId="34799" xr:uid="{00000000-0005-0000-0000-00009AAF0000}"/>
    <cellStyle name="Normal 5 3 2 3 6" xfId="53592" xr:uid="{00000000-0005-0000-0000-00009BAF0000}"/>
    <cellStyle name="Normal 5 3 2 3 7" xfId="14918" xr:uid="{00000000-0005-0000-0000-00009CAF0000}"/>
    <cellStyle name="Normal 5 3 2 4" xfId="6857" xr:uid="{00000000-0005-0000-0000-00009DAF0000}"/>
    <cellStyle name="Normal 5 3 2 4 2" xfId="19953" xr:uid="{00000000-0005-0000-0000-00009EAF0000}"/>
    <cellStyle name="Normal 5 3 2 4 2 2" xfId="30321" xr:uid="{00000000-0005-0000-0000-00009FAF0000}"/>
    <cellStyle name="Normal 5 3 2 4 2 2 2" xfId="49510" xr:uid="{00000000-0005-0000-0000-0000A0AF0000}"/>
    <cellStyle name="Normal 5 3 2 4 2 3" xfId="39812" xr:uid="{00000000-0005-0000-0000-0000A1AF0000}"/>
    <cellStyle name="Normal 5 3 2 4 3" xfId="25866" xr:uid="{00000000-0005-0000-0000-0000A2AF0000}"/>
    <cellStyle name="Normal 5 3 2 4 3 2" xfId="45055" xr:uid="{00000000-0005-0000-0000-0000A3AF0000}"/>
    <cellStyle name="Normal 5 3 2 4 4" xfId="35357" xr:uid="{00000000-0005-0000-0000-0000A4AF0000}"/>
    <cellStyle name="Normal 5 3 2 4 5" xfId="15489" xr:uid="{00000000-0005-0000-0000-0000A5AF0000}"/>
    <cellStyle name="Normal 5 3 2 5" xfId="17159" xr:uid="{00000000-0005-0000-0000-0000A6AF0000}"/>
    <cellStyle name="Normal 5 3 2 5 2" xfId="21623" xr:uid="{00000000-0005-0000-0000-0000A7AF0000}"/>
    <cellStyle name="Normal 5 3 2 5 2 2" xfId="31991" xr:uid="{00000000-0005-0000-0000-0000A8AF0000}"/>
    <cellStyle name="Normal 5 3 2 5 2 2 2" xfId="51180" xr:uid="{00000000-0005-0000-0000-0000A9AF0000}"/>
    <cellStyle name="Normal 5 3 2 5 2 3" xfId="41482" xr:uid="{00000000-0005-0000-0000-0000AAAF0000}"/>
    <cellStyle name="Normal 5 3 2 5 3" xfId="27536" xr:uid="{00000000-0005-0000-0000-0000ABAF0000}"/>
    <cellStyle name="Normal 5 3 2 5 3 2" xfId="46725" xr:uid="{00000000-0005-0000-0000-0000ACAF0000}"/>
    <cellStyle name="Normal 5 3 2 5 4" xfId="37027" xr:uid="{00000000-0005-0000-0000-0000ADAF0000}"/>
    <cellStyle name="Normal 5 3 2 6" xfId="17725" xr:uid="{00000000-0005-0000-0000-0000AEAF0000}"/>
    <cellStyle name="Normal 5 3 2 6 2" xfId="22180" xr:uid="{00000000-0005-0000-0000-0000AFAF0000}"/>
    <cellStyle name="Normal 5 3 2 6 2 2" xfId="32548" xr:uid="{00000000-0005-0000-0000-0000B0AF0000}"/>
    <cellStyle name="Normal 5 3 2 6 2 2 2" xfId="51737" xr:uid="{00000000-0005-0000-0000-0000B1AF0000}"/>
    <cellStyle name="Normal 5 3 2 6 2 3" xfId="42039" xr:uid="{00000000-0005-0000-0000-0000B2AF0000}"/>
    <cellStyle name="Normal 5 3 2 6 3" xfId="28093" xr:uid="{00000000-0005-0000-0000-0000B3AF0000}"/>
    <cellStyle name="Normal 5 3 2 6 3 2" xfId="47282" xr:uid="{00000000-0005-0000-0000-0000B4AF0000}"/>
    <cellStyle name="Normal 5 3 2 6 4" xfId="37584" xr:uid="{00000000-0005-0000-0000-0000B5AF0000}"/>
    <cellStyle name="Normal 5 3 2 7" xfId="18282" xr:uid="{00000000-0005-0000-0000-0000B6AF0000}"/>
    <cellStyle name="Normal 5 3 2 7 2" xfId="28650" xr:uid="{00000000-0005-0000-0000-0000B7AF0000}"/>
    <cellStyle name="Normal 5 3 2 7 2 2" xfId="47839" xr:uid="{00000000-0005-0000-0000-0000B8AF0000}"/>
    <cellStyle name="Normal 5 3 2 7 3" xfId="38141" xr:uid="{00000000-0005-0000-0000-0000B9AF0000}"/>
    <cellStyle name="Normal 5 3 2 8" xfId="24186" xr:uid="{00000000-0005-0000-0000-0000BAAF0000}"/>
    <cellStyle name="Normal 5 3 2 8 2" xfId="43384" xr:uid="{00000000-0005-0000-0000-0000BBAF0000}"/>
    <cellStyle name="Normal 5 3 2 9" xfId="33686" xr:uid="{00000000-0005-0000-0000-0000BCAF0000}"/>
    <cellStyle name="Normal 5 3 3" xfId="4852" xr:uid="{00000000-0005-0000-0000-0000BDAF0000}"/>
    <cellStyle name="Normal 5 3 3 2" xfId="10575" xr:uid="{00000000-0005-0000-0000-0000BEAF0000}"/>
    <cellStyle name="Normal 5 3 3 2 2" xfId="51878" xr:uid="{00000000-0005-0000-0000-0000BFAF0000}"/>
    <cellStyle name="Normal 5 3 3 2 3" xfId="53792" xr:uid="{00000000-0005-0000-0000-0000C0AF0000}"/>
    <cellStyle name="Normal 5 3 3 2 4" xfId="32691" xr:uid="{00000000-0005-0000-0000-0000C1AF0000}"/>
    <cellStyle name="Normal 5 3 3 3" xfId="7675" xr:uid="{00000000-0005-0000-0000-0000C2AF0000}"/>
    <cellStyle name="Normal 5 3 3 3 2" xfId="42180" xr:uid="{00000000-0005-0000-0000-0000C3AF0000}"/>
    <cellStyle name="Normal 5 3 3 4" xfId="52917" xr:uid="{00000000-0005-0000-0000-0000C4AF0000}"/>
    <cellStyle name="Normal 5 3 3 5" xfId="22596" xr:uid="{00000000-0005-0000-0000-0000C5AF0000}"/>
    <cellStyle name="Normal 5 3 4" xfId="9135" xr:uid="{00000000-0005-0000-0000-0000C6AF0000}"/>
    <cellStyle name="Normal 5 3 4 2" xfId="53396" xr:uid="{00000000-0005-0000-0000-0000C7AF0000}"/>
    <cellStyle name="Normal 5 3 4 3" xfId="23455" xr:uid="{00000000-0005-0000-0000-0000C8AF0000}"/>
    <cellStyle name="Normal 5 3 5" xfId="6149" xr:uid="{00000000-0005-0000-0000-0000C9AF0000}"/>
    <cellStyle name="Normal 5 3 5 2" xfId="42533" xr:uid="{00000000-0005-0000-0000-0000CAAF0000}"/>
    <cellStyle name="Normal 5 3 5 3" xfId="22964" xr:uid="{00000000-0005-0000-0000-0000CBAF0000}"/>
    <cellStyle name="Normal 5 3 6" xfId="12517" xr:uid="{00000000-0005-0000-0000-0000CCAF0000}"/>
    <cellStyle name="Normal 5 3 7" xfId="52503" xr:uid="{00000000-0005-0000-0000-0000CDAF0000}"/>
    <cellStyle name="Normal 5 3 8" xfId="12066" xr:uid="{00000000-0005-0000-0000-0000CEAF0000}"/>
    <cellStyle name="Normal 5 30" xfId="4854" xr:uid="{00000000-0005-0000-0000-0000CFAF0000}"/>
    <cellStyle name="Normal 5 30 2" xfId="4855" xr:uid="{00000000-0005-0000-0000-0000D0AF0000}"/>
    <cellStyle name="Normal 5 31" xfId="4856" xr:uid="{00000000-0005-0000-0000-0000D1AF0000}"/>
    <cellStyle name="Normal 5 31 2" xfId="4857" xr:uid="{00000000-0005-0000-0000-0000D2AF0000}"/>
    <cellStyle name="Normal 5 32" xfId="4858" xr:uid="{00000000-0005-0000-0000-0000D3AF0000}"/>
    <cellStyle name="Normal 5 32 2" xfId="4859" xr:uid="{00000000-0005-0000-0000-0000D4AF0000}"/>
    <cellStyle name="Normal 5 33" xfId="4860" xr:uid="{00000000-0005-0000-0000-0000D5AF0000}"/>
    <cellStyle name="Normal 5 33 2" xfId="4861" xr:uid="{00000000-0005-0000-0000-0000D6AF0000}"/>
    <cellStyle name="Normal 5 34" xfId="4862" xr:uid="{00000000-0005-0000-0000-0000D7AF0000}"/>
    <cellStyle name="Normal 5 34 2" xfId="4863" xr:uid="{00000000-0005-0000-0000-0000D8AF0000}"/>
    <cellStyle name="Normal 5 35" xfId="4864" xr:uid="{00000000-0005-0000-0000-0000D9AF0000}"/>
    <cellStyle name="Normal 5 35 2" xfId="4865" xr:uid="{00000000-0005-0000-0000-0000DAAF0000}"/>
    <cellStyle name="Normal 5 36" xfId="4866" xr:uid="{00000000-0005-0000-0000-0000DBAF0000}"/>
    <cellStyle name="Normal 5 36 2" xfId="4867" xr:uid="{00000000-0005-0000-0000-0000DCAF0000}"/>
    <cellStyle name="Normal 5 37" xfId="4868" xr:uid="{00000000-0005-0000-0000-0000DDAF0000}"/>
    <cellStyle name="Normal 5 37 2" xfId="4869" xr:uid="{00000000-0005-0000-0000-0000DEAF0000}"/>
    <cellStyle name="Normal 5 38" xfId="4870" xr:uid="{00000000-0005-0000-0000-0000DFAF0000}"/>
    <cellStyle name="Normal 5 39" xfId="4871" xr:uid="{00000000-0005-0000-0000-0000E0AF0000}"/>
    <cellStyle name="Normal 5 4" xfId="1214" xr:uid="{00000000-0005-0000-0000-0000E1AF0000}"/>
    <cellStyle name="Normal 5 4 2" xfId="4873" xr:uid="{00000000-0005-0000-0000-0000E2AF0000}"/>
    <cellStyle name="Normal 5 4 2 10" xfId="52745" xr:uid="{00000000-0005-0000-0000-0000E3AF0000}"/>
    <cellStyle name="Normal 5 4 2 11" xfId="13669" xr:uid="{00000000-0005-0000-0000-0000E4AF0000}"/>
    <cellStyle name="Normal 5 4 2 2" xfId="14345" xr:uid="{00000000-0005-0000-0000-0000E5AF0000}"/>
    <cellStyle name="Normal 5 4 2 2 2" xfId="16608" xr:uid="{00000000-0005-0000-0000-0000E6AF0000}"/>
    <cellStyle name="Normal 5 4 2 2 2 2" xfId="21072" xr:uid="{00000000-0005-0000-0000-0000E7AF0000}"/>
    <cellStyle name="Normal 5 4 2 2 2 2 2" xfId="31440" xr:uid="{00000000-0005-0000-0000-0000E8AF0000}"/>
    <cellStyle name="Normal 5 4 2 2 2 2 2 2" xfId="50629" xr:uid="{00000000-0005-0000-0000-0000E9AF0000}"/>
    <cellStyle name="Normal 5 4 2 2 2 2 3" xfId="40931" xr:uid="{00000000-0005-0000-0000-0000EAAF0000}"/>
    <cellStyle name="Normal 5 4 2 2 2 3" xfId="26985" xr:uid="{00000000-0005-0000-0000-0000EBAF0000}"/>
    <cellStyle name="Normal 5 4 2 2 2 3 2" xfId="46174" xr:uid="{00000000-0005-0000-0000-0000ECAF0000}"/>
    <cellStyle name="Normal 5 4 2 2 2 4" xfId="36476" xr:uid="{00000000-0005-0000-0000-0000EDAF0000}"/>
    <cellStyle name="Normal 5 4 2 2 2 5" xfId="54026" xr:uid="{00000000-0005-0000-0000-0000EEAF0000}"/>
    <cellStyle name="Normal 5 4 2 2 3" xfId="18844" xr:uid="{00000000-0005-0000-0000-0000EFAF0000}"/>
    <cellStyle name="Normal 5 4 2 2 3 2" xfId="29212" xr:uid="{00000000-0005-0000-0000-0000F0AF0000}"/>
    <cellStyle name="Normal 5 4 2 2 3 2 2" xfId="48401" xr:uid="{00000000-0005-0000-0000-0000F1AF0000}"/>
    <cellStyle name="Normal 5 4 2 2 3 3" xfId="38703" xr:uid="{00000000-0005-0000-0000-0000F2AF0000}"/>
    <cellStyle name="Normal 5 4 2 2 4" xfId="24752" xr:uid="{00000000-0005-0000-0000-0000F3AF0000}"/>
    <cellStyle name="Normal 5 4 2 2 4 2" xfId="43946" xr:uid="{00000000-0005-0000-0000-0000F4AF0000}"/>
    <cellStyle name="Normal 5 4 2 2 5" xfId="34248" xr:uid="{00000000-0005-0000-0000-0000F5AF0000}"/>
    <cellStyle name="Normal 5 4 2 2 6" xfId="53173" xr:uid="{00000000-0005-0000-0000-0000F6AF0000}"/>
    <cellStyle name="Normal 5 4 2 3" xfId="14924" xr:uid="{00000000-0005-0000-0000-0000F7AF0000}"/>
    <cellStyle name="Normal 5 4 2 3 2" xfId="16052" xr:uid="{00000000-0005-0000-0000-0000F8AF0000}"/>
    <cellStyle name="Normal 5 4 2 3 2 2" xfId="20516" xr:uid="{00000000-0005-0000-0000-0000F9AF0000}"/>
    <cellStyle name="Normal 5 4 2 3 2 2 2" xfId="30884" xr:uid="{00000000-0005-0000-0000-0000FAAF0000}"/>
    <cellStyle name="Normal 5 4 2 3 2 2 2 2" xfId="50073" xr:uid="{00000000-0005-0000-0000-0000FBAF0000}"/>
    <cellStyle name="Normal 5 4 2 3 2 2 3" xfId="40375" xr:uid="{00000000-0005-0000-0000-0000FCAF0000}"/>
    <cellStyle name="Normal 5 4 2 3 2 3" xfId="26429" xr:uid="{00000000-0005-0000-0000-0000FDAF0000}"/>
    <cellStyle name="Normal 5 4 2 3 2 3 2" xfId="45618" xr:uid="{00000000-0005-0000-0000-0000FEAF0000}"/>
    <cellStyle name="Normal 5 4 2 3 2 4" xfId="35920" xr:uid="{00000000-0005-0000-0000-0000FFAF0000}"/>
    <cellStyle name="Normal 5 4 2 3 3" xfId="19401" xr:uid="{00000000-0005-0000-0000-000000B00000}"/>
    <cellStyle name="Normal 5 4 2 3 3 2" xfId="29769" xr:uid="{00000000-0005-0000-0000-000001B00000}"/>
    <cellStyle name="Normal 5 4 2 3 3 2 2" xfId="48958" xr:uid="{00000000-0005-0000-0000-000002B00000}"/>
    <cellStyle name="Normal 5 4 2 3 3 3" xfId="39260" xr:uid="{00000000-0005-0000-0000-000003B00000}"/>
    <cellStyle name="Normal 5 4 2 3 4" xfId="25314" xr:uid="{00000000-0005-0000-0000-000004B00000}"/>
    <cellStyle name="Normal 5 4 2 3 4 2" xfId="44503" xr:uid="{00000000-0005-0000-0000-000005B00000}"/>
    <cellStyle name="Normal 5 4 2 3 5" xfId="34805" xr:uid="{00000000-0005-0000-0000-000006B00000}"/>
    <cellStyle name="Normal 5 4 2 3 6" xfId="53630" xr:uid="{00000000-0005-0000-0000-000007B00000}"/>
    <cellStyle name="Normal 5 4 2 4" xfId="15495" xr:uid="{00000000-0005-0000-0000-000008B00000}"/>
    <cellStyle name="Normal 5 4 2 4 2" xfId="19959" xr:uid="{00000000-0005-0000-0000-000009B00000}"/>
    <cellStyle name="Normal 5 4 2 4 2 2" xfId="30327" xr:uid="{00000000-0005-0000-0000-00000AB00000}"/>
    <cellStyle name="Normal 5 4 2 4 2 2 2" xfId="49516" xr:uid="{00000000-0005-0000-0000-00000BB00000}"/>
    <cellStyle name="Normal 5 4 2 4 2 3" xfId="39818" xr:uid="{00000000-0005-0000-0000-00000CB00000}"/>
    <cellStyle name="Normal 5 4 2 4 3" xfId="25872" xr:uid="{00000000-0005-0000-0000-00000DB00000}"/>
    <cellStyle name="Normal 5 4 2 4 3 2" xfId="45061" xr:uid="{00000000-0005-0000-0000-00000EB00000}"/>
    <cellStyle name="Normal 5 4 2 4 4" xfId="35363" xr:uid="{00000000-0005-0000-0000-00000FB00000}"/>
    <cellStyle name="Normal 5 4 2 5" xfId="17165" xr:uid="{00000000-0005-0000-0000-000010B00000}"/>
    <cellStyle name="Normal 5 4 2 5 2" xfId="21629" xr:uid="{00000000-0005-0000-0000-000011B00000}"/>
    <cellStyle name="Normal 5 4 2 5 2 2" xfId="31997" xr:uid="{00000000-0005-0000-0000-000012B00000}"/>
    <cellStyle name="Normal 5 4 2 5 2 2 2" xfId="51186" xr:uid="{00000000-0005-0000-0000-000013B00000}"/>
    <cellStyle name="Normal 5 4 2 5 2 3" xfId="41488" xr:uid="{00000000-0005-0000-0000-000014B00000}"/>
    <cellStyle name="Normal 5 4 2 5 3" xfId="27542" xr:uid="{00000000-0005-0000-0000-000015B00000}"/>
    <cellStyle name="Normal 5 4 2 5 3 2" xfId="46731" xr:uid="{00000000-0005-0000-0000-000016B00000}"/>
    <cellStyle name="Normal 5 4 2 5 4" xfId="37033" xr:uid="{00000000-0005-0000-0000-000017B00000}"/>
    <cellStyle name="Normal 5 4 2 6" xfId="17731" xr:uid="{00000000-0005-0000-0000-000018B00000}"/>
    <cellStyle name="Normal 5 4 2 6 2" xfId="22186" xr:uid="{00000000-0005-0000-0000-000019B00000}"/>
    <cellStyle name="Normal 5 4 2 6 2 2" xfId="32554" xr:uid="{00000000-0005-0000-0000-00001AB00000}"/>
    <cellStyle name="Normal 5 4 2 6 2 2 2" xfId="51743" xr:uid="{00000000-0005-0000-0000-00001BB00000}"/>
    <cellStyle name="Normal 5 4 2 6 2 3" xfId="42045" xr:uid="{00000000-0005-0000-0000-00001CB00000}"/>
    <cellStyle name="Normal 5 4 2 6 3" xfId="28099" xr:uid="{00000000-0005-0000-0000-00001DB00000}"/>
    <cellStyle name="Normal 5 4 2 6 3 2" xfId="47288" xr:uid="{00000000-0005-0000-0000-00001EB00000}"/>
    <cellStyle name="Normal 5 4 2 6 4" xfId="37590" xr:uid="{00000000-0005-0000-0000-00001FB00000}"/>
    <cellStyle name="Normal 5 4 2 7" xfId="18288" xr:uid="{00000000-0005-0000-0000-000020B00000}"/>
    <cellStyle name="Normal 5 4 2 7 2" xfId="28656" xr:uid="{00000000-0005-0000-0000-000021B00000}"/>
    <cellStyle name="Normal 5 4 2 7 2 2" xfId="47845" xr:uid="{00000000-0005-0000-0000-000022B00000}"/>
    <cellStyle name="Normal 5 4 2 7 3" xfId="38147" xr:uid="{00000000-0005-0000-0000-000023B00000}"/>
    <cellStyle name="Normal 5 4 2 8" xfId="24192" xr:uid="{00000000-0005-0000-0000-000024B00000}"/>
    <cellStyle name="Normal 5 4 2 8 2" xfId="43390" xr:uid="{00000000-0005-0000-0000-000025B00000}"/>
    <cellStyle name="Normal 5 4 2 9" xfId="33692" xr:uid="{00000000-0005-0000-0000-000026B00000}"/>
    <cellStyle name="Normal 5 4 3" xfId="4872" xr:uid="{00000000-0005-0000-0000-000027B00000}"/>
    <cellStyle name="Normal 5 4 3 2" xfId="53830" xr:uid="{00000000-0005-0000-0000-000028B00000}"/>
    <cellStyle name="Normal 5 4 3 3" xfId="52955" xr:uid="{00000000-0005-0000-0000-000029B00000}"/>
    <cellStyle name="Normal 5 4 3 4" xfId="22730" xr:uid="{00000000-0005-0000-0000-00002AB00000}"/>
    <cellStyle name="Normal 5 4 4" xfId="23456" xr:uid="{00000000-0005-0000-0000-00002BB00000}"/>
    <cellStyle name="Normal 5 4 4 2" xfId="53434" xr:uid="{00000000-0005-0000-0000-00002CB00000}"/>
    <cellStyle name="Normal 5 4 5" xfId="12518" xr:uid="{00000000-0005-0000-0000-00002DB00000}"/>
    <cellStyle name="Normal 5 4 6" xfId="52544" xr:uid="{00000000-0005-0000-0000-00002EB00000}"/>
    <cellStyle name="Normal 5 4 7" xfId="12067" xr:uid="{00000000-0005-0000-0000-00002FB00000}"/>
    <cellStyle name="Normal 5 40" xfId="4874" xr:uid="{00000000-0005-0000-0000-000030B00000}"/>
    <cellStyle name="Normal 5 41" xfId="4875" xr:uid="{00000000-0005-0000-0000-000031B00000}"/>
    <cellStyle name="Normal 5 42" xfId="4876" xr:uid="{00000000-0005-0000-0000-000032B00000}"/>
    <cellStyle name="Normal 5 43" xfId="4877" xr:uid="{00000000-0005-0000-0000-000033B00000}"/>
    <cellStyle name="Normal 5 44" xfId="4878" xr:uid="{00000000-0005-0000-0000-000034B00000}"/>
    <cellStyle name="Normal 5 45" xfId="4879" xr:uid="{00000000-0005-0000-0000-000035B00000}"/>
    <cellStyle name="Normal 5 46" xfId="4880" xr:uid="{00000000-0005-0000-0000-000036B00000}"/>
    <cellStyle name="Normal 5 47" xfId="4881" xr:uid="{00000000-0005-0000-0000-000037B00000}"/>
    <cellStyle name="Normal 5 48" xfId="4882" xr:uid="{00000000-0005-0000-0000-000038B00000}"/>
    <cellStyle name="Normal 5 49" xfId="4883" xr:uid="{00000000-0005-0000-0000-000039B00000}"/>
    <cellStyle name="Normal 5 5" xfId="1510" xr:uid="{00000000-0005-0000-0000-00003AB00000}"/>
    <cellStyle name="Normal 5 5 2" xfId="4885" xr:uid="{00000000-0005-0000-0000-00003BB00000}"/>
    <cellStyle name="Normal 5 5 2 10" xfId="52776" xr:uid="{00000000-0005-0000-0000-00003CB00000}"/>
    <cellStyle name="Normal 5 5 2 11" xfId="13676" xr:uid="{00000000-0005-0000-0000-00003DB00000}"/>
    <cellStyle name="Normal 5 5 2 2" xfId="14348" xr:uid="{00000000-0005-0000-0000-00003EB00000}"/>
    <cellStyle name="Normal 5 5 2 2 2" xfId="16611" xr:uid="{00000000-0005-0000-0000-00003FB00000}"/>
    <cellStyle name="Normal 5 5 2 2 2 2" xfId="21075" xr:uid="{00000000-0005-0000-0000-000040B00000}"/>
    <cellStyle name="Normal 5 5 2 2 2 2 2" xfId="31443" xr:uid="{00000000-0005-0000-0000-000041B00000}"/>
    <cellStyle name="Normal 5 5 2 2 2 2 2 2" xfId="50632" xr:uid="{00000000-0005-0000-0000-000042B00000}"/>
    <cellStyle name="Normal 5 5 2 2 2 2 3" xfId="40934" xr:uid="{00000000-0005-0000-0000-000043B00000}"/>
    <cellStyle name="Normal 5 5 2 2 2 3" xfId="26988" xr:uid="{00000000-0005-0000-0000-000044B00000}"/>
    <cellStyle name="Normal 5 5 2 2 2 3 2" xfId="46177" xr:uid="{00000000-0005-0000-0000-000045B00000}"/>
    <cellStyle name="Normal 5 5 2 2 2 4" xfId="36479" xr:uid="{00000000-0005-0000-0000-000046B00000}"/>
    <cellStyle name="Normal 5 5 2 2 2 5" xfId="54057" xr:uid="{00000000-0005-0000-0000-000047B00000}"/>
    <cellStyle name="Normal 5 5 2 2 3" xfId="18847" xr:uid="{00000000-0005-0000-0000-000048B00000}"/>
    <cellStyle name="Normal 5 5 2 2 3 2" xfId="29215" xr:uid="{00000000-0005-0000-0000-000049B00000}"/>
    <cellStyle name="Normal 5 5 2 2 3 2 2" xfId="48404" xr:uid="{00000000-0005-0000-0000-00004AB00000}"/>
    <cellStyle name="Normal 5 5 2 2 3 3" xfId="38706" xr:uid="{00000000-0005-0000-0000-00004BB00000}"/>
    <cellStyle name="Normal 5 5 2 2 4" xfId="24755" xr:uid="{00000000-0005-0000-0000-00004CB00000}"/>
    <cellStyle name="Normal 5 5 2 2 4 2" xfId="43949" xr:uid="{00000000-0005-0000-0000-00004DB00000}"/>
    <cellStyle name="Normal 5 5 2 2 5" xfId="34251" xr:uid="{00000000-0005-0000-0000-00004EB00000}"/>
    <cellStyle name="Normal 5 5 2 2 6" xfId="53204" xr:uid="{00000000-0005-0000-0000-00004FB00000}"/>
    <cellStyle name="Normal 5 5 2 3" xfId="14927" xr:uid="{00000000-0005-0000-0000-000050B00000}"/>
    <cellStyle name="Normal 5 5 2 3 2" xfId="16055" xr:uid="{00000000-0005-0000-0000-000051B00000}"/>
    <cellStyle name="Normal 5 5 2 3 2 2" xfId="20519" xr:uid="{00000000-0005-0000-0000-000052B00000}"/>
    <cellStyle name="Normal 5 5 2 3 2 2 2" xfId="30887" xr:uid="{00000000-0005-0000-0000-000053B00000}"/>
    <cellStyle name="Normal 5 5 2 3 2 2 2 2" xfId="50076" xr:uid="{00000000-0005-0000-0000-000054B00000}"/>
    <cellStyle name="Normal 5 5 2 3 2 2 3" xfId="40378" xr:uid="{00000000-0005-0000-0000-000055B00000}"/>
    <cellStyle name="Normal 5 5 2 3 2 3" xfId="26432" xr:uid="{00000000-0005-0000-0000-000056B00000}"/>
    <cellStyle name="Normal 5 5 2 3 2 3 2" xfId="45621" xr:uid="{00000000-0005-0000-0000-000057B00000}"/>
    <cellStyle name="Normal 5 5 2 3 2 4" xfId="35923" xr:uid="{00000000-0005-0000-0000-000058B00000}"/>
    <cellStyle name="Normal 5 5 2 3 3" xfId="19404" xr:uid="{00000000-0005-0000-0000-000059B00000}"/>
    <cellStyle name="Normal 5 5 2 3 3 2" xfId="29772" xr:uid="{00000000-0005-0000-0000-00005AB00000}"/>
    <cellStyle name="Normal 5 5 2 3 3 2 2" xfId="48961" xr:uid="{00000000-0005-0000-0000-00005BB00000}"/>
    <cellStyle name="Normal 5 5 2 3 3 3" xfId="39263" xr:uid="{00000000-0005-0000-0000-00005CB00000}"/>
    <cellStyle name="Normal 5 5 2 3 4" xfId="25317" xr:uid="{00000000-0005-0000-0000-00005DB00000}"/>
    <cellStyle name="Normal 5 5 2 3 4 2" xfId="44506" xr:uid="{00000000-0005-0000-0000-00005EB00000}"/>
    <cellStyle name="Normal 5 5 2 3 5" xfId="34808" xr:uid="{00000000-0005-0000-0000-00005FB00000}"/>
    <cellStyle name="Normal 5 5 2 3 6" xfId="53661" xr:uid="{00000000-0005-0000-0000-000060B00000}"/>
    <cellStyle name="Normal 5 5 2 4" xfId="15498" xr:uid="{00000000-0005-0000-0000-000061B00000}"/>
    <cellStyle name="Normal 5 5 2 4 2" xfId="19962" xr:uid="{00000000-0005-0000-0000-000062B00000}"/>
    <cellStyle name="Normal 5 5 2 4 2 2" xfId="30330" xr:uid="{00000000-0005-0000-0000-000063B00000}"/>
    <cellStyle name="Normal 5 5 2 4 2 2 2" xfId="49519" xr:uid="{00000000-0005-0000-0000-000064B00000}"/>
    <cellStyle name="Normal 5 5 2 4 2 3" xfId="39821" xr:uid="{00000000-0005-0000-0000-000065B00000}"/>
    <cellStyle name="Normal 5 5 2 4 3" xfId="25875" xr:uid="{00000000-0005-0000-0000-000066B00000}"/>
    <cellStyle name="Normal 5 5 2 4 3 2" xfId="45064" xr:uid="{00000000-0005-0000-0000-000067B00000}"/>
    <cellStyle name="Normal 5 5 2 4 4" xfId="35366" xr:uid="{00000000-0005-0000-0000-000068B00000}"/>
    <cellStyle name="Normal 5 5 2 5" xfId="17168" xr:uid="{00000000-0005-0000-0000-000069B00000}"/>
    <cellStyle name="Normal 5 5 2 5 2" xfId="21632" xr:uid="{00000000-0005-0000-0000-00006AB00000}"/>
    <cellStyle name="Normal 5 5 2 5 2 2" xfId="32000" xr:uid="{00000000-0005-0000-0000-00006BB00000}"/>
    <cellStyle name="Normal 5 5 2 5 2 2 2" xfId="51189" xr:uid="{00000000-0005-0000-0000-00006CB00000}"/>
    <cellStyle name="Normal 5 5 2 5 2 3" xfId="41491" xr:uid="{00000000-0005-0000-0000-00006DB00000}"/>
    <cellStyle name="Normal 5 5 2 5 3" xfId="27545" xr:uid="{00000000-0005-0000-0000-00006EB00000}"/>
    <cellStyle name="Normal 5 5 2 5 3 2" xfId="46734" xr:uid="{00000000-0005-0000-0000-00006FB00000}"/>
    <cellStyle name="Normal 5 5 2 5 4" xfId="37036" xr:uid="{00000000-0005-0000-0000-000070B00000}"/>
    <cellStyle name="Normal 5 5 2 6" xfId="17734" xr:uid="{00000000-0005-0000-0000-000071B00000}"/>
    <cellStyle name="Normal 5 5 2 6 2" xfId="22189" xr:uid="{00000000-0005-0000-0000-000072B00000}"/>
    <cellStyle name="Normal 5 5 2 6 2 2" xfId="32557" xr:uid="{00000000-0005-0000-0000-000073B00000}"/>
    <cellStyle name="Normal 5 5 2 6 2 2 2" xfId="51746" xr:uid="{00000000-0005-0000-0000-000074B00000}"/>
    <cellStyle name="Normal 5 5 2 6 2 3" xfId="42048" xr:uid="{00000000-0005-0000-0000-000075B00000}"/>
    <cellStyle name="Normal 5 5 2 6 3" xfId="28102" xr:uid="{00000000-0005-0000-0000-000076B00000}"/>
    <cellStyle name="Normal 5 5 2 6 3 2" xfId="47291" xr:uid="{00000000-0005-0000-0000-000077B00000}"/>
    <cellStyle name="Normal 5 5 2 6 4" xfId="37593" xr:uid="{00000000-0005-0000-0000-000078B00000}"/>
    <cellStyle name="Normal 5 5 2 7" xfId="18291" xr:uid="{00000000-0005-0000-0000-000079B00000}"/>
    <cellStyle name="Normal 5 5 2 7 2" xfId="28659" xr:uid="{00000000-0005-0000-0000-00007AB00000}"/>
    <cellStyle name="Normal 5 5 2 7 2 2" xfId="47848" xr:uid="{00000000-0005-0000-0000-00007BB00000}"/>
    <cellStyle name="Normal 5 5 2 7 3" xfId="38150" xr:uid="{00000000-0005-0000-0000-00007CB00000}"/>
    <cellStyle name="Normal 5 5 2 8" xfId="24195" xr:uid="{00000000-0005-0000-0000-00007DB00000}"/>
    <cellStyle name="Normal 5 5 2 8 2" xfId="43393" xr:uid="{00000000-0005-0000-0000-00007EB00000}"/>
    <cellStyle name="Normal 5 5 2 9" xfId="33695" xr:uid="{00000000-0005-0000-0000-00007FB00000}"/>
    <cellStyle name="Normal 5 5 3" xfId="4884" xr:uid="{00000000-0005-0000-0000-000080B00000}"/>
    <cellStyle name="Normal 5 5 3 2" xfId="32963" xr:uid="{00000000-0005-0000-0000-000081B00000}"/>
    <cellStyle name="Normal 5 5 3 2 2" xfId="52149" xr:uid="{00000000-0005-0000-0000-000082B00000}"/>
    <cellStyle name="Normal 5 5 3 2 3" xfId="53861" xr:uid="{00000000-0005-0000-0000-000083B00000}"/>
    <cellStyle name="Normal 5 5 3 3" xfId="42451" xr:uid="{00000000-0005-0000-0000-000084B00000}"/>
    <cellStyle name="Normal 5 5 3 4" xfId="52986" xr:uid="{00000000-0005-0000-0000-000085B00000}"/>
    <cellStyle name="Normal 5 5 3 5" xfId="22879" xr:uid="{00000000-0005-0000-0000-000086B00000}"/>
    <cellStyle name="Normal 5 5 4" xfId="23457" xr:uid="{00000000-0005-0000-0000-000087B00000}"/>
    <cellStyle name="Normal 5 5 4 2" xfId="53465" xr:uid="{00000000-0005-0000-0000-000088B00000}"/>
    <cellStyle name="Normal 5 5 5" xfId="23236" xr:uid="{00000000-0005-0000-0000-000089B00000}"/>
    <cellStyle name="Normal 5 5 5 2" xfId="42804" xr:uid="{00000000-0005-0000-0000-00008AB00000}"/>
    <cellStyle name="Normal 5 5 6" xfId="12519" xr:uid="{00000000-0005-0000-0000-00008BB00000}"/>
    <cellStyle name="Normal 5 5 7" xfId="52576" xr:uid="{00000000-0005-0000-0000-00008CB00000}"/>
    <cellStyle name="Normal 5 5 8" xfId="12068" xr:uid="{00000000-0005-0000-0000-00008DB00000}"/>
    <cellStyle name="Normal 5 50" xfId="4886" xr:uid="{00000000-0005-0000-0000-00008EB00000}"/>
    <cellStyle name="Normal 5 51" xfId="4887" xr:uid="{00000000-0005-0000-0000-00008FB00000}"/>
    <cellStyle name="Normal 5 52" xfId="4888" xr:uid="{00000000-0005-0000-0000-000090B00000}"/>
    <cellStyle name="Normal 5 53" xfId="4889" xr:uid="{00000000-0005-0000-0000-000091B00000}"/>
    <cellStyle name="Normal 5 54" xfId="4890" xr:uid="{00000000-0005-0000-0000-000092B00000}"/>
    <cellStyle name="Normal 5 55" xfId="4891" xr:uid="{00000000-0005-0000-0000-000093B00000}"/>
    <cellStyle name="Normal 5 56" xfId="4892" xr:uid="{00000000-0005-0000-0000-000094B00000}"/>
    <cellStyle name="Normal 5 57" xfId="4893" xr:uid="{00000000-0005-0000-0000-000095B00000}"/>
    <cellStyle name="Normal 5 58" xfId="4894" xr:uid="{00000000-0005-0000-0000-000096B00000}"/>
    <cellStyle name="Normal 5 59" xfId="4895" xr:uid="{00000000-0005-0000-0000-000097B00000}"/>
    <cellStyle name="Normal 5 6" xfId="4896" xr:uid="{00000000-0005-0000-0000-000098B00000}"/>
    <cellStyle name="Normal 5 6 2" xfId="4897" xr:uid="{00000000-0005-0000-0000-000099B00000}"/>
    <cellStyle name="Normal 5 6 2 2" xfId="53238" xr:uid="{00000000-0005-0000-0000-00009AB00000}"/>
    <cellStyle name="Normal 5 6 2 2 2" xfId="54091" xr:uid="{00000000-0005-0000-0000-00009BB00000}"/>
    <cellStyle name="Normal 5 6 2 3" xfId="53695" xr:uid="{00000000-0005-0000-0000-00009CB00000}"/>
    <cellStyle name="Normal 5 6 2 4" xfId="52810" xr:uid="{00000000-0005-0000-0000-00009DB00000}"/>
    <cellStyle name="Normal 5 6 2 5" xfId="13721" xr:uid="{00000000-0005-0000-0000-00009EB00000}"/>
    <cellStyle name="Normal 5 6 3" xfId="12520" xr:uid="{00000000-0005-0000-0000-00009FB00000}"/>
    <cellStyle name="Normal 5 6 3 2" xfId="53895" xr:uid="{00000000-0005-0000-0000-0000A0B00000}"/>
    <cellStyle name="Normal 5 6 3 3" xfId="53020" xr:uid="{00000000-0005-0000-0000-0000A1B00000}"/>
    <cellStyle name="Normal 5 6 4" xfId="53499" xr:uid="{00000000-0005-0000-0000-0000A2B00000}"/>
    <cellStyle name="Normal 5 6 5" xfId="52610" xr:uid="{00000000-0005-0000-0000-0000A3B00000}"/>
    <cellStyle name="Normal 5 6 6" xfId="12061" xr:uid="{00000000-0005-0000-0000-0000A4B00000}"/>
    <cellStyle name="Normal 5 60" xfId="4898" xr:uid="{00000000-0005-0000-0000-0000A5B00000}"/>
    <cellStyle name="Normal 5 61" xfId="4899" xr:uid="{00000000-0005-0000-0000-0000A6B00000}"/>
    <cellStyle name="Normal 5 62" xfId="4900" xr:uid="{00000000-0005-0000-0000-0000A7B00000}"/>
    <cellStyle name="Normal 5 63" xfId="4901" xr:uid="{00000000-0005-0000-0000-0000A8B00000}"/>
    <cellStyle name="Normal 5 64" xfId="4902" xr:uid="{00000000-0005-0000-0000-0000A9B00000}"/>
    <cellStyle name="Normal 5 65" xfId="4903" xr:uid="{00000000-0005-0000-0000-0000AAB00000}"/>
    <cellStyle name="Normal 5 66" xfId="4904" xr:uid="{00000000-0005-0000-0000-0000ABB00000}"/>
    <cellStyle name="Normal 5 67" xfId="4905" xr:uid="{00000000-0005-0000-0000-0000ACB00000}"/>
    <cellStyle name="Normal 5 68" xfId="4906" xr:uid="{00000000-0005-0000-0000-0000ADB00000}"/>
    <cellStyle name="Normal 5 69" xfId="4907" xr:uid="{00000000-0005-0000-0000-0000AEB00000}"/>
    <cellStyle name="Normal 5 7" xfId="4908" xr:uid="{00000000-0005-0000-0000-0000AFB00000}"/>
    <cellStyle name="Normal 5 7 10" xfId="52647" xr:uid="{00000000-0005-0000-0000-0000B0B00000}"/>
    <cellStyle name="Normal 5 7 11" xfId="12619" xr:uid="{00000000-0005-0000-0000-0000B1B00000}"/>
    <cellStyle name="Normal 5 7 2" xfId="4909" xr:uid="{00000000-0005-0000-0000-0000B2B00000}"/>
    <cellStyle name="Normal 5 7 2 2" xfId="16063" xr:uid="{00000000-0005-0000-0000-0000B3B00000}"/>
    <cellStyle name="Normal 5 7 2 2 2" xfId="20527" xr:uid="{00000000-0005-0000-0000-0000B4B00000}"/>
    <cellStyle name="Normal 5 7 2 2 2 2" xfId="30895" xr:uid="{00000000-0005-0000-0000-0000B5B00000}"/>
    <cellStyle name="Normal 5 7 2 2 2 2 2" xfId="50084" xr:uid="{00000000-0005-0000-0000-0000B6B00000}"/>
    <cellStyle name="Normal 5 7 2 2 2 3" xfId="40386" xr:uid="{00000000-0005-0000-0000-0000B7B00000}"/>
    <cellStyle name="Normal 5 7 2 2 2 4" xfId="54124" xr:uid="{00000000-0005-0000-0000-0000B8B00000}"/>
    <cellStyle name="Normal 5 7 2 2 3" xfId="26440" xr:uid="{00000000-0005-0000-0000-0000B9B00000}"/>
    <cellStyle name="Normal 5 7 2 2 3 2" xfId="45629" xr:uid="{00000000-0005-0000-0000-0000BAB00000}"/>
    <cellStyle name="Normal 5 7 2 2 4" xfId="35931" xr:uid="{00000000-0005-0000-0000-0000BBB00000}"/>
    <cellStyle name="Normal 5 7 2 2 5" xfId="53271" xr:uid="{00000000-0005-0000-0000-0000BCB00000}"/>
    <cellStyle name="Normal 5 7 2 3" xfId="18299" xr:uid="{00000000-0005-0000-0000-0000BDB00000}"/>
    <cellStyle name="Normal 5 7 2 3 2" xfId="28667" xr:uid="{00000000-0005-0000-0000-0000BEB00000}"/>
    <cellStyle name="Normal 5 7 2 3 2 2" xfId="47856" xr:uid="{00000000-0005-0000-0000-0000BFB00000}"/>
    <cellStyle name="Normal 5 7 2 3 3" xfId="38158" xr:uid="{00000000-0005-0000-0000-0000C0B00000}"/>
    <cellStyle name="Normal 5 7 2 3 4" xfId="53728" xr:uid="{00000000-0005-0000-0000-0000C1B00000}"/>
    <cellStyle name="Normal 5 7 2 4" xfId="24207" xr:uid="{00000000-0005-0000-0000-0000C2B00000}"/>
    <cellStyle name="Normal 5 7 2 4 2" xfId="43401" xr:uid="{00000000-0005-0000-0000-0000C3B00000}"/>
    <cellStyle name="Normal 5 7 2 5" xfId="33703" xr:uid="{00000000-0005-0000-0000-0000C4B00000}"/>
    <cellStyle name="Normal 5 7 2 6" xfId="52843" xr:uid="{00000000-0005-0000-0000-0000C5B00000}"/>
    <cellStyle name="Normal 5 7 2 7" xfId="13799" xr:uid="{00000000-0005-0000-0000-0000C6B00000}"/>
    <cellStyle name="Normal 5 7 3" xfId="14378" xr:uid="{00000000-0005-0000-0000-0000C7B00000}"/>
    <cellStyle name="Normal 5 7 3 2" xfId="15507" xr:uid="{00000000-0005-0000-0000-0000C8B00000}"/>
    <cellStyle name="Normal 5 7 3 2 2" xfId="19971" xr:uid="{00000000-0005-0000-0000-0000C9B00000}"/>
    <cellStyle name="Normal 5 7 3 2 2 2" xfId="30339" xr:uid="{00000000-0005-0000-0000-0000CAB00000}"/>
    <cellStyle name="Normal 5 7 3 2 2 2 2" xfId="49528" xr:uid="{00000000-0005-0000-0000-0000CBB00000}"/>
    <cellStyle name="Normal 5 7 3 2 2 3" xfId="39830" xr:uid="{00000000-0005-0000-0000-0000CCB00000}"/>
    <cellStyle name="Normal 5 7 3 2 3" xfId="25884" xr:uid="{00000000-0005-0000-0000-0000CDB00000}"/>
    <cellStyle name="Normal 5 7 3 2 3 2" xfId="45073" xr:uid="{00000000-0005-0000-0000-0000CEB00000}"/>
    <cellStyle name="Normal 5 7 3 2 4" xfId="35375" xr:uid="{00000000-0005-0000-0000-0000CFB00000}"/>
    <cellStyle name="Normal 5 7 3 2 5" xfId="53928" xr:uid="{00000000-0005-0000-0000-0000D0B00000}"/>
    <cellStyle name="Normal 5 7 3 3" xfId="18856" xr:uid="{00000000-0005-0000-0000-0000D1B00000}"/>
    <cellStyle name="Normal 5 7 3 3 2" xfId="29224" xr:uid="{00000000-0005-0000-0000-0000D2B00000}"/>
    <cellStyle name="Normal 5 7 3 3 2 2" xfId="48413" xr:uid="{00000000-0005-0000-0000-0000D3B00000}"/>
    <cellStyle name="Normal 5 7 3 3 3" xfId="38715" xr:uid="{00000000-0005-0000-0000-0000D4B00000}"/>
    <cellStyle name="Normal 5 7 3 4" xfId="24769" xr:uid="{00000000-0005-0000-0000-0000D5B00000}"/>
    <cellStyle name="Normal 5 7 3 4 2" xfId="43958" xr:uid="{00000000-0005-0000-0000-0000D6B00000}"/>
    <cellStyle name="Normal 5 7 3 5" xfId="34260" xr:uid="{00000000-0005-0000-0000-0000D7B00000}"/>
    <cellStyle name="Normal 5 7 3 6" xfId="53053" xr:uid="{00000000-0005-0000-0000-0000D8B00000}"/>
    <cellStyle name="Normal 5 7 4" xfId="14950" xr:uid="{00000000-0005-0000-0000-0000D9B00000}"/>
    <cellStyle name="Normal 5 7 4 2" xfId="19414" xr:uid="{00000000-0005-0000-0000-0000DAB00000}"/>
    <cellStyle name="Normal 5 7 4 2 2" xfId="29782" xr:uid="{00000000-0005-0000-0000-0000DBB00000}"/>
    <cellStyle name="Normal 5 7 4 2 2 2" xfId="48971" xr:uid="{00000000-0005-0000-0000-0000DCB00000}"/>
    <cellStyle name="Normal 5 7 4 2 3" xfId="39273" xr:uid="{00000000-0005-0000-0000-0000DDB00000}"/>
    <cellStyle name="Normal 5 7 4 3" xfId="25327" xr:uid="{00000000-0005-0000-0000-0000DEB00000}"/>
    <cellStyle name="Normal 5 7 4 3 2" xfId="44516" xr:uid="{00000000-0005-0000-0000-0000DFB00000}"/>
    <cellStyle name="Normal 5 7 4 4" xfId="34818" xr:uid="{00000000-0005-0000-0000-0000E0B00000}"/>
    <cellStyle name="Normal 5 7 4 5" xfId="53532" xr:uid="{00000000-0005-0000-0000-0000E1B00000}"/>
    <cellStyle name="Normal 5 7 5" xfId="16620" xr:uid="{00000000-0005-0000-0000-0000E2B00000}"/>
    <cellStyle name="Normal 5 7 5 2" xfId="21084" xr:uid="{00000000-0005-0000-0000-0000E3B00000}"/>
    <cellStyle name="Normal 5 7 5 2 2" xfId="31452" xr:uid="{00000000-0005-0000-0000-0000E4B00000}"/>
    <cellStyle name="Normal 5 7 5 2 2 2" xfId="50641" xr:uid="{00000000-0005-0000-0000-0000E5B00000}"/>
    <cellStyle name="Normal 5 7 5 2 3" xfId="40943" xr:uid="{00000000-0005-0000-0000-0000E6B00000}"/>
    <cellStyle name="Normal 5 7 5 3" xfId="26997" xr:uid="{00000000-0005-0000-0000-0000E7B00000}"/>
    <cellStyle name="Normal 5 7 5 3 2" xfId="46186" xr:uid="{00000000-0005-0000-0000-0000E8B00000}"/>
    <cellStyle name="Normal 5 7 5 4" xfId="36488" xr:uid="{00000000-0005-0000-0000-0000E9B00000}"/>
    <cellStyle name="Normal 5 7 6" xfId="17186" xr:uid="{00000000-0005-0000-0000-0000EAB00000}"/>
    <cellStyle name="Normal 5 7 6 2" xfId="21641" xr:uid="{00000000-0005-0000-0000-0000EBB00000}"/>
    <cellStyle name="Normal 5 7 6 2 2" xfId="32009" xr:uid="{00000000-0005-0000-0000-0000ECB00000}"/>
    <cellStyle name="Normal 5 7 6 2 2 2" xfId="51198" xr:uid="{00000000-0005-0000-0000-0000EDB00000}"/>
    <cellStyle name="Normal 5 7 6 2 3" xfId="41500" xr:uid="{00000000-0005-0000-0000-0000EEB00000}"/>
    <cellStyle name="Normal 5 7 6 3" xfId="27554" xr:uid="{00000000-0005-0000-0000-0000EFB00000}"/>
    <cellStyle name="Normal 5 7 6 3 2" xfId="46743" xr:uid="{00000000-0005-0000-0000-0000F0B00000}"/>
    <cellStyle name="Normal 5 7 6 4" xfId="37045" xr:uid="{00000000-0005-0000-0000-0000F1B00000}"/>
    <cellStyle name="Normal 5 7 7" xfId="17743" xr:uid="{00000000-0005-0000-0000-0000F2B00000}"/>
    <cellStyle name="Normal 5 7 7 2" xfId="28111" xr:uid="{00000000-0005-0000-0000-0000F3B00000}"/>
    <cellStyle name="Normal 5 7 7 2 2" xfId="47300" xr:uid="{00000000-0005-0000-0000-0000F4B00000}"/>
    <cellStyle name="Normal 5 7 7 3" xfId="37602" xr:uid="{00000000-0005-0000-0000-0000F5B00000}"/>
    <cellStyle name="Normal 5 7 8" xfId="23517" xr:uid="{00000000-0005-0000-0000-0000F6B00000}"/>
    <cellStyle name="Normal 5 7 8 2" xfId="42845" xr:uid="{00000000-0005-0000-0000-0000F7B00000}"/>
    <cellStyle name="Normal 5 7 9" xfId="33147" xr:uid="{00000000-0005-0000-0000-0000F8B00000}"/>
    <cellStyle name="Normal 5 70" xfId="4910" xr:uid="{00000000-0005-0000-0000-0000F9B00000}"/>
    <cellStyle name="Normal 5 71" xfId="4911" xr:uid="{00000000-0005-0000-0000-0000FAB00000}"/>
    <cellStyle name="Normal 5 72" xfId="4912" xr:uid="{00000000-0005-0000-0000-0000FBB00000}"/>
    <cellStyle name="Normal 5 73" xfId="4913" xr:uid="{00000000-0005-0000-0000-0000FCB00000}"/>
    <cellStyle name="Normal 5 74" xfId="4914" xr:uid="{00000000-0005-0000-0000-0000FDB00000}"/>
    <cellStyle name="Normal 5 75" xfId="4915" xr:uid="{00000000-0005-0000-0000-0000FEB00000}"/>
    <cellStyle name="Normal 5 76" xfId="4916" xr:uid="{00000000-0005-0000-0000-0000FFB00000}"/>
    <cellStyle name="Normal 5 77" xfId="4917" xr:uid="{00000000-0005-0000-0000-000000B10000}"/>
    <cellStyle name="Normal 5 78" xfId="4918" xr:uid="{00000000-0005-0000-0000-000001B10000}"/>
    <cellStyle name="Normal 5 79" xfId="4919" xr:uid="{00000000-0005-0000-0000-000002B10000}"/>
    <cellStyle name="Normal 5 8" xfId="4920" xr:uid="{00000000-0005-0000-0000-000003B10000}"/>
    <cellStyle name="Normal 5 8 10" xfId="52674" xr:uid="{00000000-0005-0000-0000-000004B10000}"/>
    <cellStyle name="Normal 5 8 11" xfId="12873" xr:uid="{00000000-0005-0000-0000-000005B10000}"/>
    <cellStyle name="Normal 5 8 2" xfId="4921" xr:uid="{00000000-0005-0000-0000-000006B10000}"/>
    <cellStyle name="Normal 5 8 2 2" xfId="16102" xr:uid="{00000000-0005-0000-0000-000007B10000}"/>
    <cellStyle name="Normal 5 8 2 2 2" xfId="20566" xr:uid="{00000000-0005-0000-0000-000008B10000}"/>
    <cellStyle name="Normal 5 8 2 2 2 2" xfId="30934" xr:uid="{00000000-0005-0000-0000-000009B10000}"/>
    <cellStyle name="Normal 5 8 2 2 2 2 2" xfId="50123" xr:uid="{00000000-0005-0000-0000-00000AB10000}"/>
    <cellStyle name="Normal 5 8 2 2 2 3" xfId="40425" xr:uid="{00000000-0005-0000-0000-00000BB10000}"/>
    <cellStyle name="Normal 5 8 2 2 3" xfId="26479" xr:uid="{00000000-0005-0000-0000-00000CB10000}"/>
    <cellStyle name="Normal 5 8 2 2 3 2" xfId="45668" xr:uid="{00000000-0005-0000-0000-00000DB10000}"/>
    <cellStyle name="Normal 5 8 2 2 4" xfId="35970" xr:uid="{00000000-0005-0000-0000-00000EB10000}"/>
    <cellStyle name="Normal 5 8 2 2 5" xfId="53955" xr:uid="{00000000-0005-0000-0000-00000FB10000}"/>
    <cellStyle name="Normal 5 8 2 3" xfId="18338" xr:uid="{00000000-0005-0000-0000-000010B10000}"/>
    <cellStyle name="Normal 5 8 2 3 2" xfId="28706" xr:uid="{00000000-0005-0000-0000-000011B10000}"/>
    <cellStyle name="Normal 5 8 2 3 2 2" xfId="47895" xr:uid="{00000000-0005-0000-0000-000012B10000}"/>
    <cellStyle name="Normal 5 8 2 3 3" xfId="38197" xr:uid="{00000000-0005-0000-0000-000013B10000}"/>
    <cellStyle name="Normal 5 8 2 4" xfId="24246" xr:uid="{00000000-0005-0000-0000-000014B10000}"/>
    <cellStyle name="Normal 5 8 2 4 2" xfId="43440" xr:uid="{00000000-0005-0000-0000-000015B10000}"/>
    <cellStyle name="Normal 5 8 2 5" xfId="33742" xr:uid="{00000000-0005-0000-0000-000016B10000}"/>
    <cellStyle name="Normal 5 8 2 6" xfId="53102" xr:uid="{00000000-0005-0000-0000-000017B10000}"/>
    <cellStyle name="Normal 5 8 2 7" xfId="13838" xr:uid="{00000000-0005-0000-0000-000018B10000}"/>
    <cellStyle name="Normal 5 8 3" xfId="14417" xr:uid="{00000000-0005-0000-0000-000019B10000}"/>
    <cellStyle name="Normal 5 8 3 2" xfId="15546" xr:uid="{00000000-0005-0000-0000-00001AB10000}"/>
    <cellStyle name="Normal 5 8 3 2 2" xfId="20010" xr:uid="{00000000-0005-0000-0000-00001BB10000}"/>
    <cellStyle name="Normal 5 8 3 2 2 2" xfId="30378" xr:uid="{00000000-0005-0000-0000-00001CB10000}"/>
    <cellStyle name="Normal 5 8 3 2 2 2 2" xfId="49567" xr:uid="{00000000-0005-0000-0000-00001DB10000}"/>
    <cellStyle name="Normal 5 8 3 2 2 3" xfId="39869" xr:uid="{00000000-0005-0000-0000-00001EB10000}"/>
    <cellStyle name="Normal 5 8 3 2 3" xfId="25923" xr:uid="{00000000-0005-0000-0000-00001FB10000}"/>
    <cellStyle name="Normal 5 8 3 2 3 2" xfId="45112" xr:uid="{00000000-0005-0000-0000-000020B10000}"/>
    <cellStyle name="Normal 5 8 3 2 4" xfId="35414" xr:uid="{00000000-0005-0000-0000-000021B10000}"/>
    <cellStyle name="Normal 5 8 3 3" xfId="18895" xr:uid="{00000000-0005-0000-0000-000022B10000}"/>
    <cellStyle name="Normal 5 8 3 3 2" xfId="29263" xr:uid="{00000000-0005-0000-0000-000023B10000}"/>
    <cellStyle name="Normal 5 8 3 3 2 2" xfId="48452" xr:uid="{00000000-0005-0000-0000-000024B10000}"/>
    <cellStyle name="Normal 5 8 3 3 3" xfId="38754" xr:uid="{00000000-0005-0000-0000-000025B10000}"/>
    <cellStyle name="Normal 5 8 3 4" xfId="24808" xr:uid="{00000000-0005-0000-0000-000026B10000}"/>
    <cellStyle name="Normal 5 8 3 4 2" xfId="43997" xr:uid="{00000000-0005-0000-0000-000027B10000}"/>
    <cellStyle name="Normal 5 8 3 5" xfId="34299" xr:uid="{00000000-0005-0000-0000-000028B10000}"/>
    <cellStyle name="Normal 5 8 3 6" xfId="53559" xr:uid="{00000000-0005-0000-0000-000029B10000}"/>
    <cellStyle name="Normal 5 8 4" xfId="14989" xr:uid="{00000000-0005-0000-0000-00002AB10000}"/>
    <cellStyle name="Normal 5 8 4 2" xfId="19453" xr:uid="{00000000-0005-0000-0000-00002BB10000}"/>
    <cellStyle name="Normal 5 8 4 2 2" xfId="29821" xr:uid="{00000000-0005-0000-0000-00002CB10000}"/>
    <cellStyle name="Normal 5 8 4 2 2 2" xfId="49010" xr:uid="{00000000-0005-0000-0000-00002DB10000}"/>
    <cellStyle name="Normal 5 8 4 2 3" xfId="39312" xr:uid="{00000000-0005-0000-0000-00002EB10000}"/>
    <cellStyle name="Normal 5 8 4 3" xfId="25366" xr:uid="{00000000-0005-0000-0000-00002FB10000}"/>
    <cellStyle name="Normal 5 8 4 3 2" xfId="44555" xr:uid="{00000000-0005-0000-0000-000030B10000}"/>
    <cellStyle name="Normal 5 8 4 4" xfId="34857" xr:uid="{00000000-0005-0000-0000-000031B10000}"/>
    <cellStyle name="Normal 5 8 5" xfId="16659" xr:uid="{00000000-0005-0000-0000-000032B10000}"/>
    <cellStyle name="Normal 5 8 5 2" xfId="21123" xr:uid="{00000000-0005-0000-0000-000033B10000}"/>
    <cellStyle name="Normal 5 8 5 2 2" xfId="31491" xr:uid="{00000000-0005-0000-0000-000034B10000}"/>
    <cellStyle name="Normal 5 8 5 2 2 2" xfId="50680" xr:uid="{00000000-0005-0000-0000-000035B10000}"/>
    <cellStyle name="Normal 5 8 5 2 3" xfId="40982" xr:uid="{00000000-0005-0000-0000-000036B10000}"/>
    <cellStyle name="Normal 5 8 5 3" xfId="27036" xr:uid="{00000000-0005-0000-0000-000037B10000}"/>
    <cellStyle name="Normal 5 8 5 3 2" xfId="46225" xr:uid="{00000000-0005-0000-0000-000038B10000}"/>
    <cellStyle name="Normal 5 8 5 4" xfId="36527" xr:uid="{00000000-0005-0000-0000-000039B10000}"/>
    <cellStyle name="Normal 5 8 6" xfId="17225" xr:uid="{00000000-0005-0000-0000-00003AB10000}"/>
    <cellStyle name="Normal 5 8 6 2" xfId="21680" xr:uid="{00000000-0005-0000-0000-00003BB10000}"/>
    <cellStyle name="Normal 5 8 6 2 2" xfId="32048" xr:uid="{00000000-0005-0000-0000-00003CB10000}"/>
    <cellStyle name="Normal 5 8 6 2 2 2" xfId="51237" xr:uid="{00000000-0005-0000-0000-00003DB10000}"/>
    <cellStyle name="Normal 5 8 6 2 3" xfId="41539" xr:uid="{00000000-0005-0000-0000-00003EB10000}"/>
    <cellStyle name="Normal 5 8 6 3" xfId="27593" xr:uid="{00000000-0005-0000-0000-00003FB10000}"/>
    <cellStyle name="Normal 5 8 6 3 2" xfId="46782" xr:uid="{00000000-0005-0000-0000-000040B10000}"/>
    <cellStyle name="Normal 5 8 6 4" xfId="37084" xr:uid="{00000000-0005-0000-0000-000041B10000}"/>
    <cellStyle name="Normal 5 8 7" xfId="17782" xr:uid="{00000000-0005-0000-0000-000042B10000}"/>
    <cellStyle name="Normal 5 8 7 2" xfId="28150" xr:uid="{00000000-0005-0000-0000-000043B10000}"/>
    <cellStyle name="Normal 5 8 7 2 2" xfId="47339" xr:uid="{00000000-0005-0000-0000-000044B10000}"/>
    <cellStyle name="Normal 5 8 7 3" xfId="37641" xr:uid="{00000000-0005-0000-0000-000045B10000}"/>
    <cellStyle name="Normal 5 8 8" xfId="23641" xr:uid="{00000000-0005-0000-0000-000046B10000}"/>
    <cellStyle name="Normal 5 8 8 2" xfId="42884" xr:uid="{00000000-0005-0000-0000-000047B10000}"/>
    <cellStyle name="Normal 5 8 9" xfId="33186" xr:uid="{00000000-0005-0000-0000-000048B10000}"/>
    <cellStyle name="Normal 5 80" xfId="4922" xr:uid="{00000000-0005-0000-0000-000049B10000}"/>
    <cellStyle name="Normal 5 81" xfId="4923" xr:uid="{00000000-0005-0000-0000-00004AB10000}"/>
    <cellStyle name="Normal 5 82" xfId="4924" xr:uid="{00000000-0005-0000-0000-00004BB10000}"/>
    <cellStyle name="Normal 5 83" xfId="4925" xr:uid="{00000000-0005-0000-0000-00004CB10000}"/>
    <cellStyle name="Normal 5 84" xfId="4926" xr:uid="{00000000-0005-0000-0000-00004DB10000}"/>
    <cellStyle name="Normal 5 85" xfId="4927" xr:uid="{00000000-0005-0000-0000-00004EB10000}"/>
    <cellStyle name="Normal 5 86" xfId="4928" xr:uid="{00000000-0005-0000-0000-00004FB10000}"/>
    <cellStyle name="Normal 5 87" xfId="4929" xr:uid="{00000000-0005-0000-0000-000050B10000}"/>
    <cellStyle name="Normal 5 88" xfId="4930" xr:uid="{00000000-0005-0000-0000-000051B10000}"/>
    <cellStyle name="Normal 5 89" xfId="4931" xr:uid="{00000000-0005-0000-0000-000052B10000}"/>
    <cellStyle name="Normal 5 9" xfId="4932" xr:uid="{00000000-0005-0000-0000-000053B10000}"/>
    <cellStyle name="Normal 5 9 10" xfId="52874" xr:uid="{00000000-0005-0000-0000-000054B10000}"/>
    <cellStyle name="Normal 5 9 11" xfId="13419" xr:uid="{00000000-0005-0000-0000-000055B10000}"/>
    <cellStyle name="Normal 5 9 2" xfId="4933" xr:uid="{00000000-0005-0000-0000-000056B10000}"/>
    <cellStyle name="Normal 5 9 2 2" xfId="16561" xr:uid="{00000000-0005-0000-0000-000057B10000}"/>
    <cellStyle name="Normal 5 9 2 2 2" xfId="21025" xr:uid="{00000000-0005-0000-0000-000058B10000}"/>
    <cellStyle name="Normal 5 9 2 2 2 2" xfId="31393" xr:uid="{00000000-0005-0000-0000-000059B10000}"/>
    <cellStyle name="Normal 5 9 2 2 2 2 2" xfId="50582" xr:uid="{00000000-0005-0000-0000-00005AB10000}"/>
    <cellStyle name="Normal 5 9 2 2 2 3" xfId="40884" xr:uid="{00000000-0005-0000-0000-00005BB10000}"/>
    <cellStyle name="Normal 5 9 2 2 3" xfId="26938" xr:uid="{00000000-0005-0000-0000-00005CB10000}"/>
    <cellStyle name="Normal 5 9 2 2 3 2" xfId="46127" xr:uid="{00000000-0005-0000-0000-00005DB10000}"/>
    <cellStyle name="Normal 5 9 2 2 4" xfId="36429" xr:uid="{00000000-0005-0000-0000-00005EB10000}"/>
    <cellStyle name="Normal 5 9 2 3" xfId="18797" xr:uid="{00000000-0005-0000-0000-00005FB10000}"/>
    <cellStyle name="Normal 5 9 2 3 2" xfId="29165" xr:uid="{00000000-0005-0000-0000-000060B10000}"/>
    <cellStyle name="Normal 5 9 2 3 2 2" xfId="48354" xr:uid="{00000000-0005-0000-0000-000061B10000}"/>
    <cellStyle name="Normal 5 9 2 3 3" xfId="38656" xr:uid="{00000000-0005-0000-0000-000062B10000}"/>
    <cellStyle name="Normal 5 9 2 4" xfId="24705" xr:uid="{00000000-0005-0000-0000-000063B10000}"/>
    <cellStyle name="Normal 5 9 2 4 2" xfId="43899" xr:uid="{00000000-0005-0000-0000-000064B10000}"/>
    <cellStyle name="Normal 5 9 2 5" xfId="34201" xr:uid="{00000000-0005-0000-0000-000065B10000}"/>
    <cellStyle name="Normal 5 9 2 6" xfId="53758" xr:uid="{00000000-0005-0000-0000-000066B10000}"/>
    <cellStyle name="Normal 5 9 2 7" xfId="14298" xr:uid="{00000000-0005-0000-0000-000067B10000}"/>
    <cellStyle name="Normal 5 9 3" xfId="14877" xr:uid="{00000000-0005-0000-0000-000068B10000}"/>
    <cellStyle name="Normal 5 9 3 2" xfId="16005" xr:uid="{00000000-0005-0000-0000-000069B10000}"/>
    <cellStyle name="Normal 5 9 3 2 2" xfId="20469" xr:uid="{00000000-0005-0000-0000-00006AB10000}"/>
    <cellStyle name="Normal 5 9 3 2 2 2" xfId="30837" xr:uid="{00000000-0005-0000-0000-00006BB10000}"/>
    <cellStyle name="Normal 5 9 3 2 2 2 2" xfId="50026" xr:uid="{00000000-0005-0000-0000-00006CB10000}"/>
    <cellStyle name="Normal 5 9 3 2 2 3" xfId="40328" xr:uid="{00000000-0005-0000-0000-00006DB10000}"/>
    <cellStyle name="Normal 5 9 3 2 3" xfId="26382" xr:uid="{00000000-0005-0000-0000-00006EB10000}"/>
    <cellStyle name="Normal 5 9 3 2 3 2" xfId="45571" xr:uid="{00000000-0005-0000-0000-00006FB10000}"/>
    <cellStyle name="Normal 5 9 3 2 4" xfId="35873" xr:uid="{00000000-0005-0000-0000-000070B10000}"/>
    <cellStyle name="Normal 5 9 3 3" xfId="19354" xr:uid="{00000000-0005-0000-0000-000071B10000}"/>
    <cellStyle name="Normal 5 9 3 3 2" xfId="29722" xr:uid="{00000000-0005-0000-0000-000072B10000}"/>
    <cellStyle name="Normal 5 9 3 3 2 2" xfId="48911" xr:uid="{00000000-0005-0000-0000-000073B10000}"/>
    <cellStyle name="Normal 5 9 3 3 3" xfId="39213" xr:uid="{00000000-0005-0000-0000-000074B10000}"/>
    <cellStyle name="Normal 5 9 3 4" xfId="25267" xr:uid="{00000000-0005-0000-0000-000075B10000}"/>
    <cellStyle name="Normal 5 9 3 4 2" xfId="44456" xr:uid="{00000000-0005-0000-0000-000076B10000}"/>
    <cellStyle name="Normal 5 9 3 5" xfId="34758" xr:uid="{00000000-0005-0000-0000-000077B10000}"/>
    <cellStyle name="Normal 5 9 4" xfId="15448" xr:uid="{00000000-0005-0000-0000-000078B10000}"/>
    <cellStyle name="Normal 5 9 4 2" xfId="19912" xr:uid="{00000000-0005-0000-0000-000079B10000}"/>
    <cellStyle name="Normal 5 9 4 2 2" xfId="30280" xr:uid="{00000000-0005-0000-0000-00007AB10000}"/>
    <cellStyle name="Normal 5 9 4 2 2 2" xfId="49469" xr:uid="{00000000-0005-0000-0000-00007BB10000}"/>
    <cellStyle name="Normal 5 9 4 2 3" xfId="39771" xr:uid="{00000000-0005-0000-0000-00007CB10000}"/>
    <cellStyle name="Normal 5 9 4 3" xfId="25825" xr:uid="{00000000-0005-0000-0000-00007DB10000}"/>
    <cellStyle name="Normal 5 9 4 3 2" xfId="45014" xr:uid="{00000000-0005-0000-0000-00007EB10000}"/>
    <cellStyle name="Normal 5 9 4 4" xfId="35316" xr:uid="{00000000-0005-0000-0000-00007FB10000}"/>
    <cellStyle name="Normal 5 9 5" xfId="17118" xr:uid="{00000000-0005-0000-0000-000080B10000}"/>
    <cellStyle name="Normal 5 9 5 2" xfId="21582" xr:uid="{00000000-0005-0000-0000-000081B10000}"/>
    <cellStyle name="Normal 5 9 5 2 2" xfId="31950" xr:uid="{00000000-0005-0000-0000-000082B10000}"/>
    <cellStyle name="Normal 5 9 5 2 2 2" xfId="51139" xr:uid="{00000000-0005-0000-0000-000083B10000}"/>
    <cellStyle name="Normal 5 9 5 2 3" xfId="41441" xr:uid="{00000000-0005-0000-0000-000084B10000}"/>
    <cellStyle name="Normal 5 9 5 3" xfId="27495" xr:uid="{00000000-0005-0000-0000-000085B10000}"/>
    <cellStyle name="Normal 5 9 5 3 2" xfId="46684" xr:uid="{00000000-0005-0000-0000-000086B10000}"/>
    <cellStyle name="Normal 5 9 5 4" xfId="36986" xr:uid="{00000000-0005-0000-0000-000087B10000}"/>
    <cellStyle name="Normal 5 9 6" xfId="17684" xr:uid="{00000000-0005-0000-0000-000088B10000}"/>
    <cellStyle name="Normal 5 9 6 2" xfId="22139" xr:uid="{00000000-0005-0000-0000-000089B10000}"/>
    <cellStyle name="Normal 5 9 6 2 2" xfId="32507" xr:uid="{00000000-0005-0000-0000-00008AB10000}"/>
    <cellStyle name="Normal 5 9 6 2 2 2" xfId="51696" xr:uid="{00000000-0005-0000-0000-00008BB10000}"/>
    <cellStyle name="Normal 5 9 6 2 3" xfId="41998" xr:uid="{00000000-0005-0000-0000-00008CB10000}"/>
    <cellStyle name="Normal 5 9 6 3" xfId="28052" xr:uid="{00000000-0005-0000-0000-00008DB10000}"/>
    <cellStyle name="Normal 5 9 6 3 2" xfId="47241" xr:uid="{00000000-0005-0000-0000-00008EB10000}"/>
    <cellStyle name="Normal 5 9 6 4" xfId="37543" xr:uid="{00000000-0005-0000-0000-00008FB10000}"/>
    <cellStyle name="Normal 5 9 7" xfId="18241" xr:uid="{00000000-0005-0000-0000-000090B10000}"/>
    <cellStyle name="Normal 5 9 7 2" xfId="28609" xr:uid="{00000000-0005-0000-0000-000091B10000}"/>
    <cellStyle name="Normal 5 9 7 2 2" xfId="47798" xr:uid="{00000000-0005-0000-0000-000092B10000}"/>
    <cellStyle name="Normal 5 9 7 3" xfId="38100" xr:uid="{00000000-0005-0000-0000-000093B10000}"/>
    <cellStyle name="Normal 5 9 8" xfId="24111" xr:uid="{00000000-0005-0000-0000-000094B10000}"/>
    <cellStyle name="Normal 5 9 8 2" xfId="43343" xr:uid="{00000000-0005-0000-0000-000095B10000}"/>
    <cellStyle name="Normal 5 9 9" xfId="33645" xr:uid="{00000000-0005-0000-0000-000096B10000}"/>
    <cellStyle name="Normal 5 90" xfId="4934" xr:uid="{00000000-0005-0000-0000-000097B10000}"/>
    <cellStyle name="Normal 5 91" xfId="4935" xr:uid="{00000000-0005-0000-0000-000098B10000}"/>
    <cellStyle name="Normal 5 92" xfId="4936" xr:uid="{00000000-0005-0000-0000-000099B10000}"/>
    <cellStyle name="Normal 5 93" xfId="4937" xr:uid="{00000000-0005-0000-0000-00009AB10000}"/>
    <cellStyle name="Normal 5 94" xfId="4938" xr:uid="{00000000-0005-0000-0000-00009BB10000}"/>
    <cellStyle name="Normal 5 95" xfId="4939" xr:uid="{00000000-0005-0000-0000-00009CB10000}"/>
    <cellStyle name="Normal 5 96" xfId="4940" xr:uid="{00000000-0005-0000-0000-00009DB10000}"/>
    <cellStyle name="Normal 5 97" xfId="4941" xr:uid="{00000000-0005-0000-0000-00009EB10000}"/>
    <cellStyle name="Normal 5 98" xfId="4942" xr:uid="{00000000-0005-0000-0000-00009FB10000}"/>
    <cellStyle name="Normal 5 99" xfId="4943" xr:uid="{00000000-0005-0000-0000-0000A0B10000}"/>
    <cellStyle name="Normal 50" xfId="1215" xr:uid="{00000000-0005-0000-0000-0000A1B10000}"/>
    <cellStyle name="Normal 50 10" xfId="7567" xr:uid="{00000000-0005-0000-0000-0000A2B10000}"/>
    <cellStyle name="Normal 50 11" xfId="13491" xr:uid="{00000000-0005-0000-0000-0000A3B10000}"/>
    <cellStyle name="Normal 50 2" xfId="4945" xr:uid="{00000000-0005-0000-0000-0000A4B10000}"/>
    <cellStyle name="Normal 50 2 2" xfId="32885" xr:uid="{00000000-0005-0000-0000-0000A5B10000}"/>
    <cellStyle name="Normal 50 2 2 2" xfId="52071" xr:uid="{00000000-0005-0000-0000-0000A6B10000}"/>
    <cellStyle name="Normal 50 2 3" xfId="42373" xr:uid="{00000000-0005-0000-0000-0000A7B10000}"/>
    <cellStyle name="Normal 50 2 4" xfId="22801" xr:uid="{00000000-0005-0000-0000-0000A8B10000}"/>
    <cellStyle name="Normal 50 3" xfId="4946" xr:uid="{00000000-0005-0000-0000-0000A9B10000}"/>
    <cellStyle name="Normal 50 3 2" xfId="24173" xr:uid="{00000000-0005-0000-0000-0000AAB10000}"/>
    <cellStyle name="Normal 50 4" xfId="4947" xr:uid="{00000000-0005-0000-0000-0000ABB10000}"/>
    <cellStyle name="Normal 50 4 2" xfId="42726" xr:uid="{00000000-0005-0000-0000-0000ACB10000}"/>
    <cellStyle name="Normal 50 4 3" xfId="23158" xr:uid="{00000000-0005-0000-0000-0000ADB10000}"/>
    <cellStyle name="Normal 50 5" xfId="4948" xr:uid="{00000000-0005-0000-0000-0000AEB10000}"/>
    <cellStyle name="Normal 50 6" xfId="4949" xr:uid="{00000000-0005-0000-0000-0000AFB10000}"/>
    <cellStyle name="Normal 50 7" xfId="4950" xr:uid="{00000000-0005-0000-0000-0000B0B10000}"/>
    <cellStyle name="Normal 50 8" xfId="4951" xr:uid="{00000000-0005-0000-0000-0000B1B10000}"/>
    <cellStyle name="Normal 50 9" xfId="4944" xr:uid="{00000000-0005-0000-0000-0000B2B10000}"/>
    <cellStyle name="Normal 51" xfId="1216" xr:uid="{00000000-0005-0000-0000-0000B3B10000}"/>
    <cellStyle name="Normal 51 10" xfId="7565" xr:uid="{00000000-0005-0000-0000-0000B4B10000}"/>
    <cellStyle name="Normal 51 2" xfId="4953" xr:uid="{00000000-0005-0000-0000-0000B5B10000}"/>
    <cellStyle name="Normal 51 2 2" xfId="4954" xr:uid="{00000000-0005-0000-0000-0000B6B10000}"/>
    <cellStyle name="Normal 51 2 2 2" xfId="4955" xr:uid="{00000000-0005-0000-0000-0000B7B10000}"/>
    <cellStyle name="Normal 51 2 2 2 2" xfId="4956" xr:uid="{00000000-0005-0000-0000-0000B8B10000}"/>
    <cellStyle name="Normal 51 2 2 2 3" xfId="52045" xr:uid="{00000000-0005-0000-0000-0000B9B10000}"/>
    <cellStyle name="Normal 51 2 2 3" xfId="4957" xr:uid="{00000000-0005-0000-0000-0000BAB10000}"/>
    <cellStyle name="Normal 51 2 2 4" xfId="32859" xr:uid="{00000000-0005-0000-0000-0000BBB10000}"/>
    <cellStyle name="Normal 51 2 3" xfId="4958" xr:uid="{00000000-0005-0000-0000-0000BCB10000}"/>
    <cellStyle name="Normal 51 2 3 2" xfId="4959" xr:uid="{00000000-0005-0000-0000-0000BDB10000}"/>
    <cellStyle name="Normal 51 2 3 3" xfId="42347" xr:uid="{00000000-0005-0000-0000-0000BEB10000}"/>
    <cellStyle name="Normal 51 2 4" xfId="4960" xr:uid="{00000000-0005-0000-0000-0000BFB10000}"/>
    <cellStyle name="Normal 51 2 5" xfId="22775" xr:uid="{00000000-0005-0000-0000-0000C0B10000}"/>
    <cellStyle name="Normal 51 3" xfId="4961" xr:uid="{00000000-0005-0000-0000-0000C1B10000}"/>
    <cellStyle name="Normal 51 3 2" xfId="4962" xr:uid="{00000000-0005-0000-0000-0000C2B10000}"/>
    <cellStyle name="Normal 51 3 2 2" xfId="4963" xr:uid="{00000000-0005-0000-0000-0000C3B10000}"/>
    <cellStyle name="Normal 51 3 3" xfId="4964" xr:uid="{00000000-0005-0000-0000-0000C4B10000}"/>
    <cellStyle name="Normal 51 3 4" xfId="24174" xr:uid="{00000000-0005-0000-0000-0000C5B10000}"/>
    <cellStyle name="Normal 51 4" xfId="4965" xr:uid="{00000000-0005-0000-0000-0000C6B10000}"/>
    <cellStyle name="Normal 51 4 2" xfId="4966" xr:uid="{00000000-0005-0000-0000-0000C7B10000}"/>
    <cellStyle name="Normal 51 4 2 2" xfId="42700" xr:uid="{00000000-0005-0000-0000-0000C8B10000}"/>
    <cellStyle name="Normal 51 4 3" xfId="23132" xr:uid="{00000000-0005-0000-0000-0000C9B10000}"/>
    <cellStyle name="Normal 51 5" xfId="4967" xr:uid="{00000000-0005-0000-0000-0000CAB10000}"/>
    <cellStyle name="Normal 51 6" xfId="4968" xr:uid="{00000000-0005-0000-0000-0000CBB10000}"/>
    <cellStyle name="Normal 51 7" xfId="4969" xr:uid="{00000000-0005-0000-0000-0000CCB10000}"/>
    <cellStyle name="Normal 51 8" xfId="4970" xr:uid="{00000000-0005-0000-0000-0000CDB10000}"/>
    <cellStyle name="Normal 51 9" xfId="4952" xr:uid="{00000000-0005-0000-0000-0000CEB10000}"/>
    <cellStyle name="Normal 52" xfId="1217" xr:uid="{00000000-0005-0000-0000-0000CFB10000}"/>
    <cellStyle name="Normal 52 10" xfId="6778" xr:uid="{00000000-0005-0000-0000-0000D0B10000}"/>
    <cellStyle name="Normal 52 2" xfId="4972" xr:uid="{00000000-0005-0000-0000-0000D1B10000}"/>
    <cellStyle name="Normal 52 2 2" xfId="4973" xr:uid="{00000000-0005-0000-0000-0000D2B10000}"/>
    <cellStyle name="Normal 52 2 2 2" xfId="52049" xr:uid="{00000000-0005-0000-0000-0000D3B10000}"/>
    <cellStyle name="Normal 52 2 2 3" xfId="32863" xr:uid="{00000000-0005-0000-0000-0000D4B10000}"/>
    <cellStyle name="Normal 52 2 3" xfId="42351" xr:uid="{00000000-0005-0000-0000-0000D5B10000}"/>
    <cellStyle name="Normal 52 2 4" xfId="22779" xr:uid="{00000000-0005-0000-0000-0000D6B10000}"/>
    <cellStyle name="Normal 52 3" xfId="4974" xr:uid="{00000000-0005-0000-0000-0000D7B10000}"/>
    <cellStyle name="Normal 52 3 2" xfId="24177" xr:uid="{00000000-0005-0000-0000-0000D8B10000}"/>
    <cellStyle name="Normal 52 4" xfId="4975" xr:uid="{00000000-0005-0000-0000-0000D9B10000}"/>
    <cellStyle name="Normal 52 4 2" xfId="42704" xr:uid="{00000000-0005-0000-0000-0000DAB10000}"/>
    <cellStyle name="Normal 52 4 3" xfId="23136" xr:uid="{00000000-0005-0000-0000-0000DBB10000}"/>
    <cellStyle name="Normal 52 5" xfId="4976" xr:uid="{00000000-0005-0000-0000-0000DCB10000}"/>
    <cellStyle name="Normal 52 6" xfId="4977" xr:uid="{00000000-0005-0000-0000-0000DDB10000}"/>
    <cellStyle name="Normal 52 7" xfId="4978" xr:uid="{00000000-0005-0000-0000-0000DEB10000}"/>
    <cellStyle name="Normal 52 8" xfId="4979" xr:uid="{00000000-0005-0000-0000-0000DFB10000}"/>
    <cellStyle name="Normal 52 9" xfId="4971" xr:uid="{00000000-0005-0000-0000-0000E0B10000}"/>
    <cellStyle name="Normal 53" xfId="1218" xr:uid="{00000000-0005-0000-0000-0000E1B10000}"/>
    <cellStyle name="Normal 53 10" xfId="7570" xr:uid="{00000000-0005-0000-0000-0000E2B10000}"/>
    <cellStyle name="Normal 53 2" xfId="4981" xr:uid="{00000000-0005-0000-0000-0000E3B10000}"/>
    <cellStyle name="Normal 53 2 2" xfId="4982" xr:uid="{00000000-0005-0000-0000-0000E4B10000}"/>
    <cellStyle name="Normal 53 2 2 2" xfId="4983" xr:uid="{00000000-0005-0000-0000-0000E5B10000}"/>
    <cellStyle name="Normal 53 2 2 2 2" xfId="52050" xr:uid="{00000000-0005-0000-0000-0000E6B10000}"/>
    <cellStyle name="Normal 53 2 2 3" xfId="32864" xr:uid="{00000000-0005-0000-0000-0000E7B10000}"/>
    <cellStyle name="Normal 53 2 3" xfId="4984" xr:uid="{00000000-0005-0000-0000-0000E8B10000}"/>
    <cellStyle name="Normal 53 2 3 2" xfId="42352" xr:uid="{00000000-0005-0000-0000-0000E9B10000}"/>
    <cellStyle name="Normal 53 2 4" xfId="22780" xr:uid="{00000000-0005-0000-0000-0000EAB10000}"/>
    <cellStyle name="Normal 53 3" xfId="4985" xr:uid="{00000000-0005-0000-0000-0000EBB10000}"/>
    <cellStyle name="Normal 53 3 2" xfId="4986" xr:uid="{00000000-0005-0000-0000-0000ECB10000}"/>
    <cellStyle name="Normal 53 3 3" xfId="24172" xr:uid="{00000000-0005-0000-0000-0000EDB10000}"/>
    <cellStyle name="Normal 53 4" xfId="4987" xr:uid="{00000000-0005-0000-0000-0000EEB10000}"/>
    <cellStyle name="Normal 53 4 2" xfId="42705" xr:uid="{00000000-0005-0000-0000-0000EFB10000}"/>
    <cellStyle name="Normal 53 4 3" xfId="23137" xr:uid="{00000000-0005-0000-0000-0000F0B10000}"/>
    <cellStyle name="Normal 53 5" xfId="4988" xr:uid="{00000000-0005-0000-0000-0000F1B10000}"/>
    <cellStyle name="Normal 53 6" xfId="4989" xr:uid="{00000000-0005-0000-0000-0000F2B10000}"/>
    <cellStyle name="Normal 53 7" xfId="4990" xr:uid="{00000000-0005-0000-0000-0000F3B10000}"/>
    <cellStyle name="Normal 53 8" xfId="4991" xr:uid="{00000000-0005-0000-0000-0000F4B10000}"/>
    <cellStyle name="Normal 53 9" xfId="4980" xr:uid="{00000000-0005-0000-0000-0000F5B10000}"/>
    <cellStyle name="Normal 54" xfId="1219" xr:uid="{00000000-0005-0000-0000-0000F6B10000}"/>
    <cellStyle name="Normal 54 2" xfId="4993" xr:uid="{00000000-0005-0000-0000-0000F7B10000}"/>
    <cellStyle name="Normal 54 2 2" xfId="32881" xr:uid="{00000000-0005-0000-0000-0000F8B10000}"/>
    <cellStyle name="Normal 54 2 2 2" xfId="52067" xr:uid="{00000000-0005-0000-0000-0000F9B10000}"/>
    <cellStyle name="Normal 54 2 3" xfId="42369" xr:uid="{00000000-0005-0000-0000-0000FAB10000}"/>
    <cellStyle name="Normal 54 2 4" xfId="22797" xr:uid="{00000000-0005-0000-0000-0000FBB10000}"/>
    <cellStyle name="Normal 54 3" xfId="4994" xr:uid="{00000000-0005-0000-0000-0000FCB10000}"/>
    <cellStyle name="Normal 54 3 2" xfId="24178" xr:uid="{00000000-0005-0000-0000-0000FDB10000}"/>
    <cellStyle name="Normal 54 4" xfId="4995" xr:uid="{00000000-0005-0000-0000-0000FEB10000}"/>
    <cellStyle name="Normal 54 4 2" xfId="42722" xr:uid="{00000000-0005-0000-0000-0000FFB10000}"/>
    <cellStyle name="Normal 54 4 3" xfId="23154" xr:uid="{00000000-0005-0000-0000-000000B20000}"/>
    <cellStyle name="Normal 54 5" xfId="4996" xr:uid="{00000000-0005-0000-0000-000001B20000}"/>
    <cellStyle name="Normal 54 6" xfId="4997" xr:uid="{00000000-0005-0000-0000-000002B20000}"/>
    <cellStyle name="Normal 54 7" xfId="4998" xr:uid="{00000000-0005-0000-0000-000003B20000}"/>
    <cellStyle name="Normal 54 8" xfId="4999" xr:uid="{00000000-0005-0000-0000-000004B20000}"/>
    <cellStyle name="Normal 54 9" xfId="6813" xr:uid="{00000000-0005-0000-0000-000005B20000}"/>
    <cellStyle name="Normal 55" xfId="1220" xr:uid="{00000000-0005-0000-0000-000006B20000}"/>
    <cellStyle name="Normal 55 10" xfId="6923" xr:uid="{00000000-0005-0000-0000-000007B20000}"/>
    <cellStyle name="Normal 55 2" xfId="5001" xr:uid="{00000000-0005-0000-0000-000008B20000}"/>
    <cellStyle name="Normal 55 2 2" xfId="32896" xr:uid="{00000000-0005-0000-0000-000009B20000}"/>
    <cellStyle name="Normal 55 2 2 2" xfId="52082" xr:uid="{00000000-0005-0000-0000-00000AB20000}"/>
    <cellStyle name="Normal 55 2 3" xfId="42384" xr:uid="{00000000-0005-0000-0000-00000BB20000}"/>
    <cellStyle name="Normal 55 2 4" xfId="22812" xr:uid="{00000000-0005-0000-0000-00000CB20000}"/>
    <cellStyle name="Normal 55 3" xfId="5002" xr:uid="{00000000-0005-0000-0000-00000DB20000}"/>
    <cellStyle name="Normal 55 3 2" xfId="24176" xr:uid="{00000000-0005-0000-0000-00000EB20000}"/>
    <cellStyle name="Normal 55 4" xfId="5003" xr:uid="{00000000-0005-0000-0000-00000FB20000}"/>
    <cellStyle name="Normal 55 4 2" xfId="42737" xr:uid="{00000000-0005-0000-0000-000010B20000}"/>
    <cellStyle name="Normal 55 4 3" xfId="23169" xr:uid="{00000000-0005-0000-0000-000011B20000}"/>
    <cellStyle name="Normal 55 5" xfId="5004" xr:uid="{00000000-0005-0000-0000-000012B20000}"/>
    <cellStyle name="Normal 55 6" xfId="5005" xr:uid="{00000000-0005-0000-0000-000013B20000}"/>
    <cellStyle name="Normal 55 7" xfId="5006" xr:uid="{00000000-0005-0000-0000-000014B20000}"/>
    <cellStyle name="Normal 55 8" xfId="5007" xr:uid="{00000000-0005-0000-0000-000015B20000}"/>
    <cellStyle name="Normal 55 9" xfId="5000" xr:uid="{00000000-0005-0000-0000-000016B20000}"/>
    <cellStyle name="Normal 56" xfId="1221" xr:uid="{00000000-0005-0000-0000-000017B20000}"/>
    <cellStyle name="Normal 56 10" xfId="7569" xr:uid="{00000000-0005-0000-0000-000018B20000}"/>
    <cellStyle name="Normal 56 2" xfId="5009" xr:uid="{00000000-0005-0000-0000-000019B20000}"/>
    <cellStyle name="Normal 56 2 2" xfId="32903" xr:uid="{00000000-0005-0000-0000-00001AB20000}"/>
    <cellStyle name="Normal 56 2 2 2" xfId="52089" xr:uid="{00000000-0005-0000-0000-00001BB20000}"/>
    <cellStyle name="Normal 56 2 3" xfId="42391" xr:uid="{00000000-0005-0000-0000-00001CB20000}"/>
    <cellStyle name="Normal 56 2 4" xfId="53738" xr:uid="{00000000-0005-0000-0000-00001DB20000}"/>
    <cellStyle name="Normal 56 2 5" xfId="22819" xr:uid="{00000000-0005-0000-0000-00001EB20000}"/>
    <cellStyle name="Normal 56 3" xfId="5010" xr:uid="{00000000-0005-0000-0000-00001FB20000}"/>
    <cellStyle name="Normal 56 3 2" xfId="24166" xr:uid="{00000000-0005-0000-0000-000020B20000}"/>
    <cellStyle name="Normal 56 4" xfId="5011" xr:uid="{00000000-0005-0000-0000-000021B20000}"/>
    <cellStyle name="Normal 56 4 2" xfId="42744" xr:uid="{00000000-0005-0000-0000-000022B20000}"/>
    <cellStyle name="Normal 56 4 3" xfId="23176" xr:uid="{00000000-0005-0000-0000-000023B20000}"/>
    <cellStyle name="Normal 56 5" xfId="5012" xr:uid="{00000000-0005-0000-0000-000024B20000}"/>
    <cellStyle name="Normal 56 5 2" xfId="52853" xr:uid="{00000000-0005-0000-0000-000025B20000}"/>
    <cellStyle name="Normal 56 6" xfId="5013" xr:uid="{00000000-0005-0000-0000-000026B20000}"/>
    <cellStyle name="Normal 56 7" xfId="5014" xr:uid="{00000000-0005-0000-0000-000027B20000}"/>
    <cellStyle name="Normal 56 8" xfId="5015" xr:uid="{00000000-0005-0000-0000-000028B20000}"/>
    <cellStyle name="Normal 56 9" xfId="5008" xr:uid="{00000000-0005-0000-0000-000029B20000}"/>
    <cellStyle name="Normal 57" xfId="1222" xr:uid="{00000000-0005-0000-0000-00002AB20000}"/>
    <cellStyle name="Normal 57 10" xfId="6783" xr:uid="{00000000-0005-0000-0000-00002BB20000}"/>
    <cellStyle name="Normal 57 2" xfId="5017" xr:uid="{00000000-0005-0000-0000-00002CB20000}"/>
    <cellStyle name="Normal 57 2 2" xfId="32898" xr:uid="{00000000-0005-0000-0000-00002DB20000}"/>
    <cellStyle name="Normal 57 2 2 2" xfId="52084" xr:uid="{00000000-0005-0000-0000-00002EB20000}"/>
    <cellStyle name="Normal 57 2 3" xfId="42386" xr:uid="{00000000-0005-0000-0000-00002FB20000}"/>
    <cellStyle name="Normal 57 2 4" xfId="54134" xr:uid="{00000000-0005-0000-0000-000030B20000}"/>
    <cellStyle name="Normal 57 2 5" xfId="22814" xr:uid="{00000000-0005-0000-0000-000031B20000}"/>
    <cellStyle name="Normal 57 3" xfId="5018" xr:uid="{00000000-0005-0000-0000-000032B20000}"/>
    <cellStyle name="Normal 57 3 2" xfId="24175" xr:uid="{00000000-0005-0000-0000-000033B20000}"/>
    <cellStyle name="Normal 57 4" xfId="5019" xr:uid="{00000000-0005-0000-0000-000034B20000}"/>
    <cellStyle name="Normal 57 4 2" xfId="42739" xr:uid="{00000000-0005-0000-0000-000035B20000}"/>
    <cellStyle name="Normal 57 4 3" xfId="23171" xr:uid="{00000000-0005-0000-0000-000036B20000}"/>
    <cellStyle name="Normal 57 5" xfId="5020" xr:uid="{00000000-0005-0000-0000-000037B20000}"/>
    <cellStyle name="Normal 57 5 2" xfId="53282" xr:uid="{00000000-0005-0000-0000-000038B20000}"/>
    <cellStyle name="Normal 57 6" xfId="5021" xr:uid="{00000000-0005-0000-0000-000039B20000}"/>
    <cellStyle name="Normal 57 7" xfId="5022" xr:uid="{00000000-0005-0000-0000-00003AB20000}"/>
    <cellStyle name="Normal 57 8" xfId="5023" xr:uid="{00000000-0005-0000-0000-00003BB20000}"/>
    <cellStyle name="Normal 57 9" xfId="5016" xr:uid="{00000000-0005-0000-0000-00003CB20000}"/>
    <cellStyle name="Normal 58" xfId="1500" xr:uid="{00000000-0005-0000-0000-00003DB20000}"/>
    <cellStyle name="Normal 58 10" xfId="6055" xr:uid="{00000000-0005-0000-0000-00003EB20000}"/>
    <cellStyle name="Normal 58 2" xfId="5025" xr:uid="{00000000-0005-0000-0000-00003FB20000}"/>
    <cellStyle name="Normal 58 2 2" xfId="32899" xr:uid="{00000000-0005-0000-0000-000040B20000}"/>
    <cellStyle name="Normal 58 2 2 2" xfId="52085" xr:uid="{00000000-0005-0000-0000-000041B20000}"/>
    <cellStyle name="Normal 58 2 3" xfId="42387" xr:uid="{00000000-0005-0000-0000-000042B20000}"/>
    <cellStyle name="Normal 58 2 4" xfId="54165" xr:uid="{00000000-0005-0000-0000-000043B20000}"/>
    <cellStyle name="Normal 58 2 5" xfId="22815" xr:uid="{00000000-0005-0000-0000-000044B20000}"/>
    <cellStyle name="Normal 58 3" xfId="5026" xr:uid="{00000000-0005-0000-0000-000045B20000}"/>
    <cellStyle name="Normal 58 3 2" xfId="24179" xr:uid="{00000000-0005-0000-0000-000046B20000}"/>
    <cellStyle name="Normal 58 4" xfId="5027" xr:uid="{00000000-0005-0000-0000-000047B20000}"/>
    <cellStyle name="Normal 58 4 2" xfId="42740" xr:uid="{00000000-0005-0000-0000-000048B20000}"/>
    <cellStyle name="Normal 58 4 3" xfId="23172" xr:uid="{00000000-0005-0000-0000-000049B20000}"/>
    <cellStyle name="Normal 58 5" xfId="5028" xr:uid="{00000000-0005-0000-0000-00004AB20000}"/>
    <cellStyle name="Normal 58 5 2" xfId="53313" xr:uid="{00000000-0005-0000-0000-00004BB20000}"/>
    <cellStyle name="Normal 58 6" xfId="5029" xr:uid="{00000000-0005-0000-0000-00004CB20000}"/>
    <cellStyle name="Normal 58 7" xfId="5030" xr:uid="{00000000-0005-0000-0000-00004DB20000}"/>
    <cellStyle name="Normal 58 8" xfId="5031" xr:uid="{00000000-0005-0000-0000-00004EB20000}"/>
    <cellStyle name="Normal 58 9" xfId="5024" xr:uid="{00000000-0005-0000-0000-00004FB20000}"/>
    <cellStyle name="Normal 59" xfId="1509" xr:uid="{00000000-0005-0000-0000-000050B20000}"/>
    <cellStyle name="Normal 59 10" xfId="7572" xr:uid="{00000000-0005-0000-0000-000051B20000}"/>
    <cellStyle name="Normal 59 2" xfId="5033" xr:uid="{00000000-0005-0000-0000-000052B20000}"/>
    <cellStyle name="Normal 59 2 2" xfId="32905" xr:uid="{00000000-0005-0000-0000-000053B20000}"/>
    <cellStyle name="Normal 59 2 2 2" xfId="52091" xr:uid="{00000000-0005-0000-0000-000054B20000}"/>
    <cellStyle name="Normal 59 2 3" xfId="42393" xr:uid="{00000000-0005-0000-0000-000055B20000}"/>
    <cellStyle name="Normal 59 2 4" xfId="54169" xr:uid="{00000000-0005-0000-0000-000056B20000}"/>
    <cellStyle name="Normal 59 2 5" xfId="22821" xr:uid="{00000000-0005-0000-0000-000057B20000}"/>
    <cellStyle name="Normal 59 3" xfId="5034" xr:uid="{00000000-0005-0000-0000-000058B20000}"/>
    <cellStyle name="Normal 59 3 2" xfId="24115" xr:uid="{00000000-0005-0000-0000-000059B20000}"/>
    <cellStyle name="Normal 59 4" xfId="5035" xr:uid="{00000000-0005-0000-0000-00005AB20000}"/>
    <cellStyle name="Normal 59 4 2" xfId="42746" xr:uid="{00000000-0005-0000-0000-00005BB20000}"/>
    <cellStyle name="Normal 59 4 3" xfId="23178" xr:uid="{00000000-0005-0000-0000-00005CB20000}"/>
    <cellStyle name="Normal 59 5" xfId="5036" xr:uid="{00000000-0005-0000-0000-00005DB20000}"/>
    <cellStyle name="Normal 59 5 2" xfId="53317" xr:uid="{00000000-0005-0000-0000-00005EB20000}"/>
    <cellStyle name="Normal 59 6" xfId="5037" xr:uid="{00000000-0005-0000-0000-00005FB20000}"/>
    <cellStyle name="Normal 59 7" xfId="5038" xr:uid="{00000000-0005-0000-0000-000060B20000}"/>
    <cellStyle name="Normal 59 8" xfId="5039" xr:uid="{00000000-0005-0000-0000-000061B20000}"/>
    <cellStyle name="Normal 59 9" xfId="5032" xr:uid="{00000000-0005-0000-0000-000062B20000}"/>
    <cellStyle name="Normal 6" xfId="1223" xr:uid="{00000000-0005-0000-0000-000063B20000}"/>
    <cellStyle name="Normal-- 6" xfId="5041" xr:uid="{00000000-0005-0000-0000-000064B20000}"/>
    <cellStyle name="Normal 6 10" xfId="5042" xr:uid="{00000000-0005-0000-0000-000065B20000}"/>
    <cellStyle name="Normal 6 10 2" xfId="5043" xr:uid="{00000000-0005-0000-0000-000066B20000}"/>
    <cellStyle name="Normal 6 10 2 2" xfId="54191" xr:uid="{00000000-0005-0000-0000-000067B20000}"/>
    <cellStyle name="Normal 6 10 2 3" xfId="42834" xr:uid="{00000000-0005-0000-0000-000068B20000}"/>
    <cellStyle name="Normal 6 10 3" xfId="53339" xr:uid="{00000000-0005-0000-0000-000069B20000}"/>
    <cellStyle name="Normal 6 10 4" xfId="23268" xr:uid="{00000000-0005-0000-0000-00006AB20000}"/>
    <cellStyle name="Normal 6 100" xfId="5044" xr:uid="{00000000-0005-0000-0000-00006BB20000}"/>
    <cellStyle name="Normal 6 101" xfId="5045" xr:uid="{00000000-0005-0000-0000-00006CB20000}"/>
    <cellStyle name="Normal 6 102" xfId="5046" xr:uid="{00000000-0005-0000-0000-00006DB20000}"/>
    <cellStyle name="Normal 6 103" xfId="5047" xr:uid="{00000000-0005-0000-0000-00006EB20000}"/>
    <cellStyle name="Normal 6 104" xfId="5048" xr:uid="{00000000-0005-0000-0000-00006FB20000}"/>
    <cellStyle name="Normal 6 105" xfId="5049" xr:uid="{00000000-0005-0000-0000-000070B20000}"/>
    <cellStyle name="Normal 6 106" xfId="5050" xr:uid="{00000000-0005-0000-0000-000071B20000}"/>
    <cellStyle name="Normal 6 107" xfId="5051" xr:uid="{00000000-0005-0000-0000-000072B20000}"/>
    <cellStyle name="Normal 6 108" xfId="5052" xr:uid="{00000000-0005-0000-0000-000073B20000}"/>
    <cellStyle name="Normal 6 109" xfId="5053" xr:uid="{00000000-0005-0000-0000-000074B20000}"/>
    <cellStyle name="Normal 6 11" xfId="5054" xr:uid="{00000000-0005-0000-0000-000075B20000}"/>
    <cellStyle name="Normal 6 11 2" xfId="5055" xr:uid="{00000000-0005-0000-0000-000076B20000}"/>
    <cellStyle name="Normal 6 11 2 2" xfId="53366" xr:uid="{00000000-0005-0000-0000-000077B20000}"/>
    <cellStyle name="Normal 6 11 3" xfId="33065" xr:uid="{00000000-0005-0000-0000-000078B20000}"/>
    <cellStyle name="Normal 6 110" xfId="5056" xr:uid="{00000000-0005-0000-0000-000079B20000}"/>
    <cellStyle name="Normal 6 111" xfId="5057" xr:uid="{00000000-0005-0000-0000-00007AB20000}"/>
    <cellStyle name="Normal 6 112" xfId="5058" xr:uid="{00000000-0005-0000-0000-00007BB20000}"/>
    <cellStyle name="Normal 6 113" xfId="5059" xr:uid="{00000000-0005-0000-0000-00007CB20000}"/>
    <cellStyle name="Normal 6 114" xfId="5060" xr:uid="{00000000-0005-0000-0000-00007DB20000}"/>
    <cellStyle name="Normal 6 115" xfId="5061" xr:uid="{00000000-0005-0000-0000-00007EB20000}"/>
    <cellStyle name="Normal 6 116" xfId="5062" xr:uid="{00000000-0005-0000-0000-00007FB20000}"/>
    <cellStyle name="Normal 6 117" xfId="5063" xr:uid="{00000000-0005-0000-0000-000080B20000}"/>
    <cellStyle name="Normal 6 118" xfId="5040" xr:uid="{00000000-0005-0000-0000-000081B20000}"/>
    <cellStyle name="Normal 6 119" xfId="6014" xr:uid="{00000000-0005-0000-0000-000082B20000}"/>
    <cellStyle name="Normal 6 12" xfId="5064" xr:uid="{00000000-0005-0000-0000-000083B20000}"/>
    <cellStyle name="Normal 6 12 2" xfId="5065" xr:uid="{00000000-0005-0000-0000-000084B20000}"/>
    <cellStyle name="Normal 6 12 3" xfId="12118" xr:uid="{00000000-0005-0000-0000-000085B20000}"/>
    <cellStyle name="Normal 6 120" xfId="5998" xr:uid="{00000000-0005-0000-0000-000086B20000}"/>
    <cellStyle name="Normal 6 121" xfId="11975" xr:uid="{00000000-0005-0000-0000-000087B20000}"/>
    <cellStyle name="Normal 6 13" xfId="5066" xr:uid="{00000000-0005-0000-0000-000088B20000}"/>
    <cellStyle name="Normal 6 13 2" xfId="5067" xr:uid="{00000000-0005-0000-0000-000089B20000}"/>
    <cellStyle name="Normal 6 13 3" xfId="52464" xr:uid="{00000000-0005-0000-0000-00008AB20000}"/>
    <cellStyle name="Normal 6 14" xfId="5068" xr:uid="{00000000-0005-0000-0000-00008BB20000}"/>
    <cellStyle name="Normal 6 14 2" xfId="5069" xr:uid="{00000000-0005-0000-0000-00008CB20000}"/>
    <cellStyle name="Normal 6 15" xfId="5070" xr:uid="{00000000-0005-0000-0000-00008DB20000}"/>
    <cellStyle name="Normal 6 15 2" xfId="5071" xr:uid="{00000000-0005-0000-0000-00008EB20000}"/>
    <cellStyle name="Normal 6 16" xfId="5072" xr:uid="{00000000-0005-0000-0000-00008FB20000}"/>
    <cellStyle name="Normal 6 16 2" xfId="5073" xr:uid="{00000000-0005-0000-0000-000090B20000}"/>
    <cellStyle name="Normal 6 17" xfId="5074" xr:uid="{00000000-0005-0000-0000-000091B20000}"/>
    <cellStyle name="Normal 6 17 2" xfId="5075" xr:uid="{00000000-0005-0000-0000-000092B20000}"/>
    <cellStyle name="Normal 6 18" xfId="5076" xr:uid="{00000000-0005-0000-0000-000093B20000}"/>
    <cellStyle name="Normal 6 18 2" xfId="5077" xr:uid="{00000000-0005-0000-0000-000094B20000}"/>
    <cellStyle name="Normal 6 19" xfId="5078" xr:uid="{00000000-0005-0000-0000-000095B20000}"/>
    <cellStyle name="Normal 6 19 2" xfId="5079" xr:uid="{00000000-0005-0000-0000-000096B20000}"/>
    <cellStyle name="Normal 6 2" xfId="1224" xr:uid="{00000000-0005-0000-0000-000097B20000}"/>
    <cellStyle name="Normal 6 2 2" xfId="5081" xr:uid="{00000000-0005-0000-0000-000098B20000}"/>
    <cellStyle name="Normal 6 2 2 10" xfId="52710" xr:uid="{00000000-0005-0000-0000-000099B20000}"/>
    <cellStyle name="Normal 6 2 2 11" xfId="13470" xr:uid="{00000000-0005-0000-0000-00009AB20000}"/>
    <cellStyle name="Normal 6 2 2 2" xfId="8339" xr:uid="{00000000-0005-0000-0000-00009BB20000}"/>
    <cellStyle name="Normal 6 2 2 2 2" xfId="11236" xr:uid="{00000000-0005-0000-0000-00009CB20000}"/>
    <cellStyle name="Normal 6 2 2 2 2 2" xfId="21054" xr:uid="{00000000-0005-0000-0000-00009DB20000}"/>
    <cellStyle name="Normal 6 2 2 2 2 2 2" xfId="31422" xr:uid="{00000000-0005-0000-0000-00009EB20000}"/>
    <cellStyle name="Normal 6 2 2 2 2 2 2 2" xfId="50611" xr:uid="{00000000-0005-0000-0000-00009FB20000}"/>
    <cellStyle name="Normal 6 2 2 2 2 2 3" xfId="40913" xr:uid="{00000000-0005-0000-0000-0000A0B20000}"/>
    <cellStyle name="Normal 6 2 2 2 2 3" xfId="26967" xr:uid="{00000000-0005-0000-0000-0000A1B20000}"/>
    <cellStyle name="Normal 6 2 2 2 2 3 2" xfId="46156" xr:uid="{00000000-0005-0000-0000-0000A2B20000}"/>
    <cellStyle name="Normal 6 2 2 2 2 4" xfId="36458" xr:uid="{00000000-0005-0000-0000-0000A3B20000}"/>
    <cellStyle name="Normal 6 2 2 2 2 5" xfId="53991" xr:uid="{00000000-0005-0000-0000-0000A4B20000}"/>
    <cellStyle name="Normal 6 2 2 2 2 6" xfId="16590" xr:uid="{00000000-0005-0000-0000-0000A5B20000}"/>
    <cellStyle name="Normal 6 2 2 2 3" xfId="18826" xr:uid="{00000000-0005-0000-0000-0000A6B20000}"/>
    <cellStyle name="Normal 6 2 2 2 3 2" xfId="29194" xr:uid="{00000000-0005-0000-0000-0000A7B20000}"/>
    <cellStyle name="Normal 6 2 2 2 3 2 2" xfId="48383" xr:uid="{00000000-0005-0000-0000-0000A8B20000}"/>
    <cellStyle name="Normal 6 2 2 2 3 3" xfId="38685" xr:uid="{00000000-0005-0000-0000-0000A9B20000}"/>
    <cellStyle name="Normal 6 2 2 2 4" xfId="24734" xr:uid="{00000000-0005-0000-0000-0000AAB20000}"/>
    <cellStyle name="Normal 6 2 2 2 4 2" xfId="43928" xr:uid="{00000000-0005-0000-0000-0000ABB20000}"/>
    <cellStyle name="Normal 6 2 2 2 5" xfId="34230" xr:uid="{00000000-0005-0000-0000-0000ACB20000}"/>
    <cellStyle name="Normal 6 2 2 2 6" xfId="53138" xr:uid="{00000000-0005-0000-0000-0000ADB20000}"/>
    <cellStyle name="Normal 6 2 2 2 7" xfId="14327" xr:uid="{00000000-0005-0000-0000-0000AEB20000}"/>
    <cellStyle name="Normal 6 2 2 3" xfId="9796" xr:uid="{00000000-0005-0000-0000-0000AFB20000}"/>
    <cellStyle name="Normal 6 2 2 3 2" xfId="16034" xr:uid="{00000000-0005-0000-0000-0000B0B20000}"/>
    <cellStyle name="Normal 6 2 2 3 2 2" xfId="20498" xr:uid="{00000000-0005-0000-0000-0000B1B20000}"/>
    <cellStyle name="Normal 6 2 2 3 2 2 2" xfId="30866" xr:uid="{00000000-0005-0000-0000-0000B2B20000}"/>
    <cellStyle name="Normal 6 2 2 3 2 2 2 2" xfId="50055" xr:uid="{00000000-0005-0000-0000-0000B3B20000}"/>
    <cellStyle name="Normal 6 2 2 3 2 2 3" xfId="40357" xr:uid="{00000000-0005-0000-0000-0000B4B20000}"/>
    <cellStyle name="Normal 6 2 2 3 2 3" xfId="26411" xr:uid="{00000000-0005-0000-0000-0000B5B20000}"/>
    <cellStyle name="Normal 6 2 2 3 2 3 2" xfId="45600" xr:uid="{00000000-0005-0000-0000-0000B6B20000}"/>
    <cellStyle name="Normal 6 2 2 3 2 4" xfId="35902" xr:uid="{00000000-0005-0000-0000-0000B7B20000}"/>
    <cellStyle name="Normal 6 2 2 3 3" xfId="19383" xr:uid="{00000000-0005-0000-0000-0000B8B20000}"/>
    <cellStyle name="Normal 6 2 2 3 3 2" xfId="29751" xr:uid="{00000000-0005-0000-0000-0000B9B20000}"/>
    <cellStyle name="Normal 6 2 2 3 3 2 2" xfId="48940" xr:uid="{00000000-0005-0000-0000-0000BAB20000}"/>
    <cellStyle name="Normal 6 2 2 3 3 3" xfId="39242" xr:uid="{00000000-0005-0000-0000-0000BBB20000}"/>
    <cellStyle name="Normal 6 2 2 3 4" xfId="25296" xr:uid="{00000000-0005-0000-0000-0000BCB20000}"/>
    <cellStyle name="Normal 6 2 2 3 4 2" xfId="44485" xr:uid="{00000000-0005-0000-0000-0000BDB20000}"/>
    <cellStyle name="Normal 6 2 2 3 5" xfId="34787" xr:uid="{00000000-0005-0000-0000-0000BEB20000}"/>
    <cellStyle name="Normal 6 2 2 3 6" xfId="53595" xr:uid="{00000000-0005-0000-0000-0000BFB20000}"/>
    <cellStyle name="Normal 6 2 2 3 7" xfId="14906" xr:uid="{00000000-0005-0000-0000-0000C0B20000}"/>
    <cellStyle name="Normal 6 2 2 4" xfId="6860" xr:uid="{00000000-0005-0000-0000-0000C1B20000}"/>
    <cellStyle name="Normal 6 2 2 4 2" xfId="19941" xr:uid="{00000000-0005-0000-0000-0000C2B20000}"/>
    <cellStyle name="Normal 6 2 2 4 2 2" xfId="30309" xr:uid="{00000000-0005-0000-0000-0000C3B20000}"/>
    <cellStyle name="Normal 6 2 2 4 2 2 2" xfId="49498" xr:uid="{00000000-0005-0000-0000-0000C4B20000}"/>
    <cellStyle name="Normal 6 2 2 4 2 3" xfId="39800" xr:uid="{00000000-0005-0000-0000-0000C5B20000}"/>
    <cellStyle name="Normal 6 2 2 4 3" xfId="25854" xr:uid="{00000000-0005-0000-0000-0000C6B20000}"/>
    <cellStyle name="Normal 6 2 2 4 3 2" xfId="45043" xr:uid="{00000000-0005-0000-0000-0000C7B20000}"/>
    <cellStyle name="Normal 6 2 2 4 4" xfId="35345" xr:uid="{00000000-0005-0000-0000-0000C8B20000}"/>
    <cellStyle name="Normal 6 2 2 4 5" xfId="15477" xr:uid="{00000000-0005-0000-0000-0000C9B20000}"/>
    <cellStyle name="Normal 6 2 2 5" xfId="17147" xr:uid="{00000000-0005-0000-0000-0000CAB20000}"/>
    <cellStyle name="Normal 6 2 2 5 2" xfId="21611" xr:uid="{00000000-0005-0000-0000-0000CBB20000}"/>
    <cellStyle name="Normal 6 2 2 5 2 2" xfId="31979" xr:uid="{00000000-0005-0000-0000-0000CCB20000}"/>
    <cellStyle name="Normal 6 2 2 5 2 2 2" xfId="51168" xr:uid="{00000000-0005-0000-0000-0000CDB20000}"/>
    <cellStyle name="Normal 6 2 2 5 2 3" xfId="41470" xr:uid="{00000000-0005-0000-0000-0000CEB20000}"/>
    <cellStyle name="Normal 6 2 2 5 3" xfId="27524" xr:uid="{00000000-0005-0000-0000-0000CFB20000}"/>
    <cellStyle name="Normal 6 2 2 5 3 2" xfId="46713" xr:uid="{00000000-0005-0000-0000-0000D0B20000}"/>
    <cellStyle name="Normal 6 2 2 5 4" xfId="37015" xr:uid="{00000000-0005-0000-0000-0000D1B20000}"/>
    <cellStyle name="Normal 6 2 2 6" xfId="17713" xr:uid="{00000000-0005-0000-0000-0000D2B20000}"/>
    <cellStyle name="Normal 6 2 2 6 2" xfId="22168" xr:uid="{00000000-0005-0000-0000-0000D3B20000}"/>
    <cellStyle name="Normal 6 2 2 6 2 2" xfId="32536" xr:uid="{00000000-0005-0000-0000-0000D4B20000}"/>
    <cellStyle name="Normal 6 2 2 6 2 2 2" xfId="51725" xr:uid="{00000000-0005-0000-0000-0000D5B20000}"/>
    <cellStyle name="Normal 6 2 2 6 2 3" xfId="42027" xr:uid="{00000000-0005-0000-0000-0000D6B20000}"/>
    <cellStyle name="Normal 6 2 2 6 3" xfId="28081" xr:uid="{00000000-0005-0000-0000-0000D7B20000}"/>
    <cellStyle name="Normal 6 2 2 6 3 2" xfId="47270" xr:uid="{00000000-0005-0000-0000-0000D8B20000}"/>
    <cellStyle name="Normal 6 2 2 6 4" xfId="37572" xr:uid="{00000000-0005-0000-0000-0000D9B20000}"/>
    <cellStyle name="Normal 6 2 2 7" xfId="18270" xr:uid="{00000000-0005-0000-0000-0000DAB20000}"/>
    <cellStyle name="Normal 6 2 2 7 2" xfId="28638" xr:uid="{00000000-0005-0000-0000-0000DBB20000}"/>
    <cellStyle name="Normal 6 2 2 7 2 2" xfId="47827" xr:uid="{00000000-0005-0000-0000-0000DCB20000}"/>
    <cellStyle name="Normal 6 2 2 7 3" xfId="38129" xr:uid="{00000000-0005-0000-0000-0000DDB20000}"/>
    <cellStyle name="Normal 6 2 2 8" xfId="24152" xr:uid="{00000000-0005-0000-0000-0000DEB20000}"/>
    <cellStyle name="Normal 6 2 2 8 2" xfId="43372" xr:uid="{00000000-0005-0000-0000-0000DFB20000}"/>
    <cellStyle name="Normal 6 2 2 9" xfId="33674" xr:uid="{00000000-0005-0000-0000-0000E0B20000}"/>
    <cellStyle name="Normal 6 2 3" xfId="5082" xr:uid="{00000000-0005-0000-0000-0000E1B20000}"/>
    <cellStyle name="Normal 6 2 3 2" xfId="10578" xr:uid="{00000000-0005-0000-0000-0000E2B20000}"/>
    <cellStyle name="Normal 6 2 3 2 2" xfId="51881" xr:uid="{00000000-0005-0000-0000-0000E3B20000}"/>
    <cellStyle name="Normal 6 2 3 2 3" xfId="53795" xr:uid="{00000000-0005-0000-0000-0000E4B20000}"/>
    <cellStyle name="Normal 6 2 3 2 4" xfId="32694" xr:uid="{00000000-0005-0000-0000-0000E5B20000}"/>
    <cellStyle name="Normal 6 2 3 3" xfId="7678" xr:uid="{00000000-0005-0000-0000-0000E6B20000}"/>
    <cellStyle name="Normal 6 2 3 3 2" xfId="42183" xr:uid="{00000000-0005-0000-0000-0000E7B20000}"/>
    <cellStyle name="Normal 6 2 3 4" xfId="52920" xr:uid="{00000000-0005-0000-0000-0000E8B20000}"/>
    <cellStyle name="Normal 6 2 3 5" xfId="22599" xr:uid="{00000000-0005-0000-0000-0000E9B20000}"/>
    <cellStyle name="Normal 6 2 4" xfId="5083" xr:uid="{00000000-0005-0000-0000-0000EAB20000}"/>
    <cellStyle name="Normal 6 2 4 2" xfId="9138" xr:uid="{00000000-0005-0000-0000-0000EBB20000}"/>
    <cellStyle name="Normal 6 2 4 2 2" xfId="53399" xr:uid="{00000000-0005-0000-0000-0000ECB20000}"/>
    <cellStyle name="Normal 6 2 4 3" xfId="23458" xr:uid="{00000000-0005-0000-0000-0000EDB20000}"/>
    <cellStyle name="Normal 6 2 5" xfId="5084" xr:uid="{00000000-0005-0000-0000-0000EEB20000}"/>
    <cellStyle name="Normal 6 2 5 2" xfId="42536" xr:uid="{00000000-0005-0000-0000-0000EFB20000}"/>
    <cellStyle name="Normal 6 2 5 3" xfId="22967" xr:uid="{00000000-0005-0000-0000-0000F0B20000}"/>
    <cellStyle name="Normal 6 2 6" xfId="5080" xr:uid="{00000000-0005-0000-0000-0000F1B20000}"/>
    <cellStyle name="Normal 6 2 6 2" xfId="12522" xr:uid="{00000000-0005-0000-0000-0000F2B20000}"/>
    <cellStyle name="Normal 6 2 7" xfId="6152" xr:uid="{00000000-0005-0000-0000-0000F3B20000}"/>
    <cellStyle name="Normal 6 2 7 2" xfId="52506" xr:uid="{00000000-0005-0000-0000-0000F4B20000}"/>
    <cellStyle name="Normal 6 2 8" xfId="12070" xr:uid="{00000000-0005-0000-0000-0000F5B20000}"/>
    <cellStyle name="Normal 6 20" xfId="5085" xr:uid="{00000000-0005-0000-0000-0000F6B20000}"/>
    <cellStyle name="Normal 6 20 2" xfId="5086" xr:uid="{00000000-0005-0000-0000-0000F7B20000}"/>
    <cellStyle name="Normal 6 21" xfId="5087" xr:uid="{00000000-0005-0000-0000-0000F8B20000}"/>
    <cellStyle name="Normal 6 21 2" xfId="5088" xr:uid="{00000000-0005-0000-0000-0000F9B20000}"/>
    <cellStyle name="Normal 6 21 2 2" xfId="5089" xr:uid="{00000000-0005-0000-0000-0000FAB20000}"/>
    <cellStyle name="Normal 6 21 3" xfId="5090" xr:uid="{00000000-0005-0000-0000-0000FBB20000}"/>
    <cellStyle name="Normal 6 21 4" xfId="5091" xr:uid="{00000000-0005-0000-0000-0000FCB20000}"/>
    <cellStyle name="Normal 6 22" xfId="5092" xr:uid="{00000000-0005-0000-0000-0000FDB20000}"/>
    <cellStyle name="Normal 6 22 2" xfId="5093" xr:uid="{00000000-0005-0000-0000-0000FEB20000}"/>
    <cellStyle name="Normal 6 22 2 2" xfId="5094" xr:uid="{00000000-0005-0000-0000-0000FFB20000}"/>
    <cellStyle name="Normal 6 22 3" xfId="5095" xr:uid="{00000000-0005-0000-0000-000000B30000}"/>
    <cellStyle name="Normal 6 22 4" xfId="5096" xr:uid="{00000000-0005-0000-0000-000001B30000}"/>
    <cellStyle name="Normal 6 23" xfId="5097" xr:uid="{00000000-0005-0000-0000-000002B30000}"/>
    <cellStyle name="Normal 6 23 2" xfId="5098" xr:uid="{00000000-0005-0000-0000-000003B30000}"/>
    <cellStyle name="Normal 6 24" xfId="5099" xr:uid="{00000000-0005-0000-0000-000004B30000}"/>
    <cellStyle name="Normal 6 24 2" xfId="5100" xr:uid="{00000000-0005-0000-0000-000005B30000}"/>
    <cellStyle name="Normal 6 25" xfId="5101" xr:uid="{00000000-0005-0000-0000-000006B30000}"/>
    <cellStyle name="Normal 6 25 2" xfId="5102" xr:uid="{00000000-0005-0000-0000-000007B30000}"/>
    <cellStyle name="Normal 6 26" xfId="5103" xr:uid="{00000000-0005-0000-0000-000008B30000}"/>
    <cellStyle name="Normal 6 26 2" xfId="5104" xr:uid="{00000000-0005-0000-0000-000009B30000}"/>
    <cellStyle name="Normal 6 27" xfId="5105" xr:uid="{00000000-0005-0000-0000-00000AB30000}"/>
    <cellStyle name="Normal 6 27 2" xfId="5106" xr:uid="{00000000-0005-0000-0000-00000BB30000}"/>
    <cellStyle name="Normal 6 28" xfId="5107" xr:uid="{00000000-0005-0000-0000-00000CB30000}"/>
    <cellStyle name="Normal 6 28 2" xfId="5108" xr:uid="{00000000-0005-0000-0000-00000DB30000}"/>
    <cellStyle name="Normal 6 29" xfId="5109" xr:uid="{00000000-0005-0000-0000-00000EB30000}"/>
    <cellStyle name="Normal 6 29 2" xfId="5110" xr:uid="{00000000-0005-0000-0000-00000FB30000}"/>
    <cellStyle name="Normal 6 3" xfId="1225" xr:uid="{00000000-0005-0000-0000-000010B30000}"/>
    <cellStyle name="Normal 6 3 2" xfId="5112" xr:uid="{00000000-0005-0000-0000-000011B30000}"/>
    <cellStyle name="Normal 6 3 2 2" xfId="53176" xr:uid="{00000000-0005-0000-0000-000012B30000}"/>
    <cellStyle name="Normal 6 3 2 2 2" xfId="54029" xr:uid="{00000000-0005-0000-0000-000013B30000}"/>
    <cellStyle name="Normal 6 3 2 3" xfId="53633" xr:uid="{00000000-0005-0000-0000-000014B30000}"/>
    <cellStyle name="Normal 6 3 2 4" xfId="52748" xr:uid="{00000000-0005-0000-0000-000015B30000}"/>
    <cellStyle name="Normal 6 3 2 5" xfId="13725" xr:uid="{00000000-0005-0000-0000-000016B30000}"/>
    <cellStyle name="Normal 6 3 3" xfId="5113" xr:uid="{00000000-0005-0000-0000-000017B30000}"/>
    <cellStyle name="Normal 6 3 3 2" xfId="32966" xr:uid="{00000000-0005-0000-0000-000018B30000}"/>
    <cellStyle name="Normal 6 3 3 2 2" xfId="52152" xr:uid="{00000000-0005-0000-0000-000019B30000}"/>
    <cellStyle name="Normal 6 3 3 2 3" xfId="53833" xr:uid="{00000000-0005-0000-0000-00001AB30000}"/>
    <cellStyle name="Normal 6 3 3 3" xfId="42454" xr:uid="{00000000-0005-0000-0000-00001BB30000}"/>
    <cellStyle name="Normal 6 3 3 4" xfId="52958" xr:uid="{00000000-0005-0000-0000-00001CB30000}"/>
    <cellStyle name="Normal 6 3 3 5" xfId="22882" xr:uid="{00000000-0005-0000-0000-00001DB30000}"/>
    <cellStyle name="Normal 6 3 4" xfId="5114" xr:uid="{00000000-0005-0000-0000-00001EB30000}"/>
    <cellStyle name="Normal 6 3 4 2" xfId="53437" xr:uid="{00000000-0005-0000-0000-00001FB30000}"/>
    <cellStyle name="Normal 6 3 4 3" xfId="23459" xr:uid="{00000000-0005-0000-0000-000020B30000}"/>
    <cellStyle name="Normal 6 3 5" xfId="5111" xr:uid="{00000000-0005-0000-0000-000021B30000}"/>
    <cellStyle name="Normal 6 3 5 2" xfId="42807" xr:uid="{00000000-0005-0000-0000-000022B30000}"/>
    <cellStyle name="Normal 6 3 5 3" xfId="23239" xr:uid="{00000000-0005-0000-0000-000023B30000}"/>
    <cellStyle name="Normal 6 3 6" xfId="12523" xr:uid="{00000000-0005-0000-0000-000024B30000}"/>
    <cellStyle name="Normal 6 3 7" xfId="52547" xr:uid="{00000000-0005-0000-0000-000025B30000}"/>
    <cellStyle name="Normal 6 3 8" xfId="12071" xr:uid="{00000000-0005-0000-0000-000026B30000}"/>
    <cellStyle name="Normal 6 30" xfId="5115" xr:uid="{00000000-0005-0000-0000-000027B30000}"/>
    <cellStyle name="Normal 6 31" xfId="5116" xr:uid="{00000000-0005-0000-0000-000028B30000}"/>
    <cellStyle name="Normal 6 32" xfId="5117" xr:uid="{00000000-0005-0000-0000-000029B30000}"/>
    <cellStyle name="Normal 6 33" xfId="5118" xr:uid="{00000000-0005-0000-0000-00002AB30000}"/>
    <cellStyle name="Normal 6 34" xfId="5119" xr:uid="{00000000-0005-0000-0000-00002BB30000}"/>
    <cellStyle name="Normal 6 35" xfId="5120" xr:uid="{00000000-0005-0000-0000-00002CB30000}"/>
    <cellStyle name="Normal 6 36" xfId="5121" xr:uid="{00000000-0005-0000-0000-00002DB30000}"/>
    <cellStyle name="Normal 6 37" xfId="5122" xr:uid="{00000000-0005-0000-0000-00002EB30000}"/>
    <cellStyle name="Normal 6 38" xfId="5123" xr:uid="{00000000-0005-0000-0000-00002FB30000}"/>
    <cellStyle name="Normal 6 39" xfId="5124" xr:uid="{00000000-0005-0000-0000-000030B30000}"/>
    <cellStyle name="Normal 6 4" xfId="1511" xr:uid="{00000000-0005-0000-0000-000031B30000}"/>
    <cellStyle name="Normal 6 4 10" xfId="12874" xr:uid="{00000000-0005-0000-0000-000032B30000}"/>
    <cellStyle name="Normal 6 4 11" xfId="52579" xr:uid="{00000000-0005-0000-0000-000033B30000}"/>
    <cellStyle name="Normal 6 4 12" xfId="12072" xr:uid="{00000000-0005-0000-0000-000034B30000}"/>
    <cellStyle name="Normal 6 4 2" xfId="5126" xr:uid="{00000000-0005-0000-0000-000035B30000}"/>
    <cellStyle name="Normal 6 4 2 2" xfId="16103" xr:uid="{00000000-0005-0000-0000-000036B30000}"/>
    <cellStyle name="Normal 6 4 2 2 2" xfId="20567" xr:uid="{00000000-0005-0000-0000-000037B30000}"/>
    <cellStyle name="Normal 6 4 2 2 2 2" xfId="30935" xr:uid="{00000000-0005-0000-0000-000038B30000}"/>
    <cellStyle name="Normal 6 4 2 2 2 2 2" xfId="50124" xr:uid="{00000000-0005-0000-0000-000039B30000}"/>
    <cellStyle name="Normal 6 4 2 2 2 3" xfId="40426" xr:uid="{00000000-0005-0000-0000-00003AB30000}"/>
    <cellStyle name="Normal 6 4 2 2 2 4" xfId="54060" xr:uid="{00000000-0005-0000-0000-00003BB30000}"/>
    <cellStyle name="Normal 6 4 2 2 3" xfId="26480" xr:uid="{00000000-0005-0000-0000-00003CB30000}"/>
    <cellStyle name="Normal 6 4 2 2 3 2" xfId="45669" xr:uid="{00000000-0005-0000-0000-00003DB30000}"/>
    <cellStyle name="Normal 6 4 2 2 4" xfId="35971" xr:uid="{00000000-0005-0000-0000-00003EB30000}"/>
    <cellStyle name="Normal 6 4 2 2 5" xfId="53207" xr:uid="{00000000-0005-0000-0000-00003FB30000}"/>
    <cellStyle name="Normal 6 4 2 3" xfId="18339" xr:uid="{00000000-0005-0000-0000-000040B30000}"/>
    <cellStyle name="Normal 6 4 2 3 2" xfId="28707" xr:uid="{00000000-0005-0000-0000-000041B30000}"/>
    <cellStyle name="Normal 6 4 2 3 2 2" xfId="47896" xr:uid="{00000000-0005-0000-0000-000042B30000}"/>
    <cellStyle name="Normal 6 4 2 3 3" xfId="38198" xr:uid="{00000000-0005-0000-0000-000043B30000}"/>
    <cellStyle name="Normal 6 4 2 3 4" xfId="53664" xr:uid="{00000000-0005-0000-0000-000044B30000}"/>
    <cellStyle name="Normal 6 4 2 4" xfId="24247" xr:uid="{00000000-0005-0000-0000-000045B30000}"/>
    <cellStyle name="Normal 6 4 2 4 2" xfId="43441" xr:uid="{00000000-0005-0000-0000-000046B30000}"/>
    <cellStyle name="Normal 6 4 2 5" xfId="33743" xr:uid="{00000000-0005-0000-0000-000047B30000}"/>
    <cellStyle name="Normal 6 4 2 6" xfId="52779" xr:uid="{00000000-0005-0000-0000-000048B30000}"/>
    <cellStyle name="Normal 6 4 2 7" xfId="13839" xr:uid="{00000000-0005-0000-0000-000049B30000}"/>
    <cellStyle name="Normal 6 4 3" xfId="5125" xr:uid="{00000000-0005-0000-0000-00004AB30000}"/>
    <cellStyle name="Normal 6 4 3 2" xfId="15547" xr:uid="{00000000-0005-0000-0000-00004BB30000}"/>
    <cellStyle name="Normal 6 4 3 2 2" xfId="20011" xr:uid="{00000000-0005-0000-0000-00004CB30000}"/>
    <cellStyle name="Normal 6 4 3 2 2 2" xfId="30379" xr:uid="{00000000-0005-0000-0000-00004DB30000}"/>
    <cellStyle name="Normal 6 4 3 2 2 2 2" xfId="49568" xr:uid="{00000000-0005-0000-0000-00004EB30000}"/>
    <cellStyle name="Normal 6 4 3 2 2 3" xfId="39870" xr:uid="{00000000-0005-0000-0000-00004FB30000}"/>
    <cellStyle name="Normal 6 4 3 2 3" xfId="25924" xr:uid="{00000000-0005-0000-0000-000050B30000}"/>
    <cellStyle name="Normal 6 4 3 2 3 2" xfId="45113" xr:uid="{00000000-0005-0000-0000-000051B30000}"/>
    <cellStyle name="Normal 6 4 3 2 4" xfId="35415" xr:uid="{00000000-0005-0000-0000-000052B30000}"/>
    <cellStyle name="Normal 6 4 3 2 5" xfId="53864" xr:uid="{00000000-0005-0000-0000-000053B30000}"/>
    <cellStyle name="Normal 6 4 3 3" xfId="18896" xr:uid="{00000000-0005-0000-0000-000054B30000}"/>
    <cellStyle name="Normal 6 4 3 3 2" xfId="29264" xr:uid="{00000000-0005-0000-0000-000055B30000}"/>
    <cellStyle name="Normal 6 4 3 3 2 2" xfId="48453" xr:uid="{00000000-0005-0000-0000-000056B30000}"/>
    <cellStyle name="Normal 6 4 3 3 3" xfId="38755" xr:uid="{00000000-0005-0000-0000-000057B30000}"/>
    <cellStyle name="Normal 6 4 3 4" xfId="24809" xr:uid="{00000000-0005-0000-0000-000058B30000}"/>
    <cellStyle name="Normal 6 4 3 4 2" xfId="43998" xr:uid="{00000000-0005-0000-0000-000059B30000}"/>
    <cellStyle name="Normal 6 4 3 5" xfId="34300" xr:uid="{00000000-0005-0000-0000-00005AB30000}"/>
    <cellStyle name="Normal 6 4 3 6" xfId="52989" xr:uid="{00000000-0005-0000-0000-00005BB30000}"/>
    <cellStyle name="Normal 6 4 3 7" xfId="14418" xr:uid="{00000000-0005-0000-0000-00005CB30000}"/>
    <cellStyle name="Normal 6 4 4" xfId="14990" xr:uid="{00000000-0005-0000-0000-00005DB30000}"/>
    <cellStyle name="Normal 6 4 4 2" xfId="19454" xr:uid="{00000000-0005-0000-0000-00005EB30000}"/>
    <cellStyle name="Normal 6 4 4 2 2" xfId="29822" xr:uid="{00000000-0005-0000-0000-00005FB30000}"/>
    <cellStyle name="Normal 6 4 4 2 2 2" xfId="49011" xr:uid="{00000000-0005-0000-0000-000060B30000}"/>
    <cellStyle name="Normal 6 4 4 2 3" xfId="39313" xr:uid="{00000000-0005-0000-0000-000061B30000}"/>
    <cellStyle name="Normal 6 4 4 3" xfId="25367" xr:uid="{00000000-0005-0000-0000-000062B30000}"/>
    <cellStyle name="Normal 6 4 4 3 2" xfId="44556" xr:uid="{00000000-0005-0000-0000-000063B30000}"/>
    <cellStyle name="Normal 6 4 4 4" xfId="34858" xr:uid="{00000000-0005-0000-0000-000064B30000}"/>
    <cellStyle name="Normal 6 4 4 5" xfId="53468" xr:uid="{00000000-0005-0000-0000-000065B30000}"/>
    <cellStyle name="Normal 6 4 5" xfId="16660" xr:uid="{00000000-0005-0000-0000-000066B30000}"/>
    <cellStyle name="Normal 6 4 5 2" xfId="21124" xr:uid="{00000000-0005-0000-0000-000067B30000}"/>
    <cellStyle name="Normal 6 4 5 2 2" xfId="31492" xr:uid="{00000000-0005-0000-0000-000068B30000}"/>
    <cellStyle name="Normal 6 4 5 2 2 2" xfId="50681" xr:uid="{00000000-0005-0000-0000-000069B30000}"/>
    <cellStyle name="Normal 6 4 5 2 3" xfId="40983" xr:uid="{00000000-0005-0000-0000-00006AB30000}"/>
    <cellStyle name="Normal 6 4 5 3" xfId="27037" xr:uid="{00000000-0005-0000-0000-00006BB30000}"/>
    <cellStyle name="Normal 6 4 5 3 2" xfId="46226" xr:uid="{00000000-0005-0000-0000-00006CB30000}"/>
    <cellStyle name="Normal 6 4 5 4" xfId="36528" xr:uid="{00000000-0005-0000-0000-00006DB30000}"/>
    <cellStyle name="Normal 6 4 6" xfId="17226" xr:uid="{00000000-0005-0000-0000-00006EB30000}"/>
    <cellStyle name="Normal 6 4 6 2" xfId="21681" xr:uid="{00000000-0005-0000-0000-00006FB30000}"/>
    <cellStyle name="Normal 6 4 6 2 2" xfId="32049" xr:uid="{00000000-0005-0000-0000-000070B30000}"/>
    <cellStyle name="Normal 6 4 6 2 2 2" xfId="51238" xr:uid="{00000000-0005-0000-0000-000071B30000}"/>
    <cellStyle name="Normal 6 4 6 2 3" xfId="41540" xr:uid="{00000000-0005-0000-0000-000072B30000}"/>
    <cellStyle name="Normal 6 4 6 3" xfId="27594" xr:uid="{00000000-0005-0000-0000-000073B30000}"/>
    <cellStyle name="Normal 6 4 6 3 2" xfId="46783" xr:uid="{00000000-0005-0000-0000-000074B30000}"/>
    <cellStyle name="Normal 6 4 6 4" xfId="37085" xr:uid="{00000000-0005-0000-0000-000075B30000}"/>
    <cellStyle name="Normal 6 4 7" xfId="17783" xr:uid="{00000000-0005-0000-0000-000076B30000}"/>
    <cellStyle name="Normal 6 4 7 2" xfId="28151" xr:uid="{00000000-0005-0000-0000-000077B30000}"/>
    <cellStyle name="Normal 6 4 7 2 2" xfId="47340" xr:uid="{00000000-0005-0000-0000-000078B30000}"/>
    <cellStyle name="Normal 6 4 7 3" xfId="37642" xr:uid="{00000000-0005-0000-0000-000079B30000}"/>
    <cellStyle name="Normal 6 4 8" xfId="23642" xr:uid="{00000000-0005-0000-0000-00007AB30000}"/>
    <cellStyle name="Normal 6 4 8 2" xfId="42885" xr:uid="{00000000-0005-0000-0000-00007BB30000}"/>
    <cellStyle name="Normal 6 4 9" xfId="33187" xr:uid="{00000000-0005-0000-0000-00007CB30000}"/>
    <cellStyle name="Normal 6 40" xfId="5127" xr:uid="{00000000-0005-0000-0000-00007DB30000}"/>
    <cellStyle name="Normal 6 41" xfId="5128" xr:uid="{00000000-0005-0000-0000-00007EB30000}"/>
    <cellStyle name="Normal 6 42" xfId="5129" xr:uid="{00000000-0005-0000-0000-00007FB30000}"/>
    <cellStyle name="Normal 6 43" xfId="5130" xr:uid="{00000000-0005-0000-0000-000080B30000}"/>
    <cellStyle name="Normal 6 44" xfId="5131" xr:uid="{00000000-0005-0000-0000-000081B30000}"/>
    <cellStyle name="Normal 6 45" xfId="5132" xr:uid="{00000000-0005-0000-0000-000082B30000}"/>
    <cellStyle name="Normal 6 46" xfId="5133" xr:uid="{00000000-0005-0000-0000-000083B30000}"/>
    <cellStyle name="Normal 6 47" xfId="5134" xr:uid="{00000000-0005-0000-0000-000084B30000}"/>
    <cellStyle name="Normal 6 48" xfId="5135" xr:uid="{00000000-0005-0000-0000-000085B30000}"/>
    <cellStyle name="Normal 6 49" xfId="5136" xr:uid="{00000000-0005-0000-0000-000086B30000}"/>
    <cellStyle name="Normal 6 5" xfId="5137" xr:uid="{00000000-0005-0000-0000-000087B30000}"/>
    <cellStyle name="Normal 6 5 10" xfId="13420" xr:uid="{00000000-0005-0000-0000-000088B30000}"/>
    <cellStyle name="Normal 6 5 11" xfId="52613" xr:uid="{00000000-0005-0000-0000-000089B30000}"/>
    <cellStyle name="Normal 6 5 12" xfId="12069" xr:uid="{00000000-0005-0000-0000-00008AB30000}"/>
    <cellStyle name="Normal 6 5 2" xfId="5138" xr:uid="{00000000-0005-0000-0000-00008BB30000}"/>
    <cellStyle name="Normal 6 5 2 2" xfId="16562" xr:uid="{00000000-0005-0000-0000-00008CB30000}"/>
    <cellStyle name="Normal 6 5 2 2 2" xfId="21026" xr:uid="{00000000-0005-0000-0000-00008DB30000}"/>
    <cellStyle name="Normal 6 5 2 2 2 2" xfId="31394" xr:uid="{00000000-0005-0000-0000-00008EB30000}"/>
    <cellStyle name="Normal 6 5 2 2 2 2 2" xfId="50583" xr:uid="{00000000-0005-0000-0000-00008FB30000}"/>
    <cellStyle name="Normal 6 5 2 2 2 3" xfId="40885" xr:uid="{00000000-0005-0000-0000-000090B30000}"/>
    <cellStyle name="Normal 6 5 2 2 2 4" xfId="54094" xr:uid="{00000000-0005-0000-0000-000091B30000}"/>
    <cellStyle name="Normal 6 5 2 2 3" xfId="26939" xr:uid="{00000000-0005-0000-0000-000092B30000}"/>
    <cellStyle name="Normal 6 5 2 2 3 2" xfId="46128" xr:uid="{00000000-0005-0000-0000-000093B30000}"/>
    <cellStyle name="Normal 6 5 2 2 4" xfId="36430" xr:uid="{00000000-0005-0000-0000-000094B30000}"/>
    <cellStyle name="Normal 6 5 2 2 5" xfId="53241" xr:uid="{00000000-0005-0000-0000-000095B30000}"/>
    <cellStyle name="Normal 6 5 2 3" xfId="18798" xr:uid="{00000000-0005-0000-0000-000096B30000}"/>
    <cellStyle name="Normal 6 5 2 3 2" xfId="29166" xr:uid="{00000000-0005-0000-0000-000097B30000}"/>
    <cellStyle name="Normal 6 5 2 3 2 2" xfId="48355" xr:uid="{00000000-0005-0000-0000-000098B30000}"/>
    <cellStyle name="Normal 6 5 2 3 3" xfId="38657" xr:uid="{00000000-0005-0000-0000-000099B30000}"/>
    <cellStyle name="Normal 6 5 2 3 4" xfId="53698" xr:uid="{00000000-0005-0000-0000-00009AB30000}"/>
    <cellStyle name="Normal 6 5 2 4" xfId="24706" xr:uid="{00000000-0005-0000-0000-00009BB30000}"/>
    <cellStyle name="Normal 6 5 2 4 2" xfId="43900" xr:uid="{00000000-0005-0000-0000-00009CB30000}"/>
    <cellStyle name="Normal 6 5 2 5" xfId="34202" xr:uid="{00000000-0005-0000-0000-00009DB30000}"/>
    <cellStyle name="Normal 6 5 2 6" xfId="52813" xr:uid="{00000000-0005-0000-0000-00009EB30000}"/>
    <cellStyle name="Normal 6 5 2 7" xfId="14299" xr:uid="{00000000-0005-0000-0000-00009FB30000}"/>
    <cellStyle name="Normal 6 5 3" xfId="14878" xr:uid="{00000000-0005-0000-0000-0000A0B30000}"/>
    <cellStyle name="Normal 6 5 3 2" xfId="16006" xr:uid="{00000000-0005-0000-0000-0000A1B30000}"/>
    <cellStyle name="Normal 6 5 3 2 2" xfId="20470" xr:uid="{00000000-0005-0000-0000-0000A2B30000}"/>
    <cellStyle name="Normal 6 5 3 2 2 2" xfId="30838" xr:uid="{00000000-0005-0000-0000-0000A3B30000}"/>
    <cellStyle name="Normal 6 5 3 2 2 2 2" xfId="50027" xr:uid="{00000000-0005-0000-0000-0000A4B30000}"/>
    <cellStyle name="Normal 6 5 3 2 2 3" xfId="40329" xr:uid="{00000000-0005-0000-0000-0000A5B30000}"/>
    <cellStyle name="Normal 6 5 3 2 3" xfId="26383" xr:uid="{00000000-0005-0000-0000-0000A6B30000}"/>
    <cellStyle name="Normal 6 5 3 2 3 2" xfId="45572" xr:uid="{00000000-0005-0000-0000-0000A7B30000}"/>
    <cellStyle name="Normal 6 5 3 2 4" xfId="35874" xr:uid="{00000000-0005-0000-0000-0000A8B30000}"/>
    <cellStyle name="Normal 6 5 3 2 5" xfId="53898" xr:uid="{00000000-0005-0000-0000-0000A9B30000}"/>
    <cellStyle name="Normal 6 5 3 3" xfId="19355" xr:uid="{00000000-0005-0000-0000-0000AAB30000}"/>
    <cellStyle name="Normal 6 5 3 3 2" xfId="29723" xr:uid="{00000000-0005-0000-0000-0000ABB30000}"/>
    <cellStyle name="Normal 6 5 3 3 2 2" xfId="48912" xr:uid="{00000000-0005-0000-0000-0000ACB30000}"/>
    <cellStyle name="Normal 6 5 3 3 3" xfId="39214" xr:uid="{00000000-0005-0000-0000-0000ADB30000}"/>
    <cellStyle name="Normal 6 5 3 4" xfId="25268" xr:uid="{00000000-0005-0000-0000-0000AEB30000}"/>
    <cellStyle name="Normal 6 5 3 4 2" xfId="44457" xr:uid="{00000000-0005-0000-0000-0000AFB30000}"/>
    <cellStyle name="Normal 6 5 3 5" xfId="34759" xr:uid="{00000000-0005-0000-0000-0000B0B30000}"/>
    <cellStyle name="Normal 6 5 3 6" xfId="53023" xr:uid="{00000000-0005-0000-0000-0000B1B30000}"/>
    <cellStyle name="Normal 6 5 4" xfId="15449" xr:uid="{00000000-0005-0000-0000-0000B2B30000}"/>
    <cellStyle name="Normal 6 5 4 2" xfId="19913" xr:uid="{00000000-0005-0000-0000-0000B3B30000}"/>
    <cellStyle name="Normal 6 5 4 2 2" xfId="30281" xr:uid="{00000000-0005-0000-0000-0000B4B30000}"/>
    <cellStyle name="Normal 6 5 4 2 2 2" xfId="49470" xr:uid="{00000000-0005-0000-0000-0000B5B30000}"/>
    <cellStyle name="Normal 6 5 4 2 3" xfId="39772" xr:uid="{00000000-0005-0000-0000-0000B6B30000}"/>
    <cellStyle name="Normal 6 5 4 3" xfId="25826" xr:uid="{00000000-0005-0000-0000-0000B7B30000}"/>
    <cellStyle name="Normal 6 5 4 3 2" xfId="45015" xr:uid="{00000000-0005-0000-0000-0000B8B30000}"/>
    <cellStyle name="Normal 6 5 4 4" xfId="35317" xr:uid="{00000000-0005-0000-0000-0000B9B30000}"/>
    <cellStyle name="Normal 6 5 4 5" xfId="53502" xr:uid="{00000000-0005-0000-0000-0000BAB30000}"/>
    <cellStyle name="Normal 6 5 5" xfId="17119" xr:uid="{00000000-0005-0000-0000-0000BBB30000}"/>
    <cellStyle name="Normal 6 5 5 2" xfId="21583" xr:uid="{00000000-0005-0000-0000-0000BCB30000}"/>
    <cellStyle name="Normal 6 5 5 2 2" xfId="31951" xr:uid="{00000000-0005-0000-0000-0000BDB30000}"/>
    <cellStyle name="Normal 6 5 5 2 2 2" xfId="51140" xr:uid="{00000000-0005-0000-0000-0000BEB30000}"/>
    <cellStyle name="Normal 6 5 5 2 3" xfId="41442" xr:uid="{00000000-0005-0000-0000-0000BFB30000}"/>
    <cellStyle name="Normal 6 5 5 3" xfId="27496" xr:uid="{00000000-0005-0000-0000-0000C0B30000}"/>
    <cellStyle name="Normal 6 5 5 3 2" xfId="46685" xr:uid="{00000000-0005-0000-0000-0000C1B30000}"/>
    <cellStyle name="Normal 6 5 5 4" xfId="36987" xr:uid="{00000000-0005-0000-0000-0000C2B30000}"/>
    <cellStyle name="Normal 6 5 6" xfId="17685" xr:uid="{00000000-0005-0000-0000-0000C3B30000}"/>
    <cellStyle name="Normal 6 5 6 2" xfId="22140" xr:uid="{00000000-0005-0000-0000-0000C4B30000}"/>
    <cellStyle name="Normal 6 5 6 2 2" xfId="32508" xr:uid="{00000000-0005-0000-0000-0000C5B30000}"/>
    <cellStyle name="Normal 6 5 6 2 2 2" xfId="51697" xr:uid="{00000000-0005-0000-0000-0000C6B30000}"/>
    <cellStyle name="Normal 6 5 6 2 3" xfId="41999" xr:uid="{00000000-0005-0000-0000-0000C7B30000}"/>
    <cellStyle name="Normal 6 5 6 3" xfId="28053" xr:uid="{00000000-0005-0000-0000-0000C8B30000}"/>
    <cellStyle name="Normal 6 5 6 3 2" xfId="47242" xr:uid="{00000000-0005-0000-0000-0000C9B30000}"/>
    <cellStyle name="Normal 6 5 6 4" xfId="37544" xr:uid="{00000000-0005-0000-0000-0000CAB30000}"/>
    <cellStyle name="Normal 6 5 7" xfId="18242" xr:uid="{00000000-0005-0000-0000-0000CBB30000}"/>
    <cellStyle name="Normal 6 5 7 2" xfId="28610" xr:uid="{00000000-0005-0000-0000-0000CCB30000}"/>
    <cellStyle name="Normal 6 5 7 2 2" xfId="47799" xr:uid="{00000000-0005-0000-0000-0000CDB30000}"/>
    <cellStyle name="Normal 6 5 7 3" xfId="38101" xr:uid="{00000000-0005-0000-0000-0000CEB30000}"/>
    <cellStyle name="Normal 6 5 8" xfId="24112" xr:uid="{00000000-0005-0000-0000-0000CFB30000}"/>
    <cellStyle name="Normal 6 5 8 2" xfId="43344" xr:uid="{00000000-0005-0000-0000-0000D0B30000}"/>
    <cellStyle name="Normal 6 5 9" xfId="33646" xr:uid="{00000000-0005-0000-0000-0000D1B30000}"/>
    <cellStyle name="Normal 6 50" xfId="5139" xr:uid="{00000000-0005-0000-0000-0000D2B30000}"/>
    <cellStyle name="Normal 6 51" xfId="5140" xr:uid="{00000000-0005-0000-0000-0000D3B30000}"/>
    <cellStyle name="Normal 6 52" xfId="5141" xr:uid="{00000000-0005-0000-0000-0000D4B30000}"/>
    <cellStyle name="Normal 6 53" xfId="5142" xr:uid="{00000000-0005-0000-0000-0000D5B30000}"/>
    <cellStyle name="Normal 6 54" xfId="5143" xr:uid="{00000000-0005-0000-0000-0000D6B30000}"/>
    <cellStyle name="Normal 6 55" xfId="5144" xr:uid="{00000000-0005-0000-0000-0000D7B30000}"/>
    <cellStyle name="Normal 6 56" xfId="5145" xr:uid="{00000000-0005-0000-0000-0000D8B30000}"/>
    <cellStyle name="Normal 6 57" xfId="5146" xr:uid="{00000000-0005-0000-0000-0000D9B30000}"/>
    <cellStyle name="Normal 6 58" xfId="5147" xr:uid="{00000000-0005-0000-0000-0000DAB30000}"/>
    <cellStyle name="Normal 6 59" xfId="5148" xr:uid="{00000000-0005-0000-0000-0000DBB30000}"/>
    <cellStyle name="Normal 6 6" xfId="5149" xr:uid="{00000000-0005-0000-0000-0000DCB30000}"/>
    <cellStyle name="Normal 6 6 2" xfId="5150" xr:uid="{00000000-0005-0000-0000-0000DDB30000}"/>
    <cellStyle name="Normal 6 6 2 2" xfId="51772" xr:uid="{00000000-0005-0000-0000-0000DEB30000}"/>
    <cellStyle name="Normal 6 6 2 2 2" xfId="54127" xr:uid="{00000000-0005-0000-0000-0000DFB30000}"/>
    <cellStyle name="Normal 6 6 2 2 3" xfId="53274" xr:uid="{00000000-0005-0000-0000-0000E0B30000}"/>
    <cellStyle name="Normal 6 6 2 3" xfId="53731" xr:uid="{00000000-0005-0000-0000-0000E1B30000}"/>
    <cellStyle name="Normal 6 6 2 4" xfId="52846" xr:uid="{00000000-0005-0000-0000-0000E2B30000}"/>
    <cellStyle name="Normal 6 6 2 5" xfId="32584" xr:uid="{00000000-0005-0000-0000-0000E3B30000}"/>
    <cellStyle name="Normal 6 6 3" xfId="42074" xr:uid="{00000000-0005-0000-0000-0000E4B30000}"/>
    <cellStyle name="Normal 6 6 3 2" xfId="53931" xr:uid="{00000000-0005-0000-0000-0000E5B30000}"/>
    <cellStyle name="Normal 6 6 3 3" xfId="53056" xr:uid="{00000000-0005-0000-0000-0000E6B30000}"/>
    <cellStyle name="Normal 6 6 4" xfId="53535" xr:uid="{00000000-0005-0000-0000-0000E7B30000}"/>
    <cellStyle name="Normal 6 6 5" xfId="52650" xr:uid="{00000000-0005-0000-0000-0000E8B30000}"/>
    <cellStyle name="Normal 6 6 6" xfId="22225" xr:uid="{00000000-0005-0000-0000-0000E9B30000}"/>
    <cellStyle name="Normal 6 60" xfId="5151" xr:uid="{00000000-0005-0000-0000-0000EAB30000}"/>
    <cellStyle name="Normal 6 61" xfId="5152" xr:uid="{00000000-0005-0000-0000-0000EBB30000}"/>
    <cellStyle name="Normal 6 62" xfId="5153" xr:uid="{00000000-0005-0000-0000-0000ECB30000}"/>
    <cellStyle name="Normal 6 63" xfId="5154" xr:uid="{00000000-0005-0000-0000-0000EDB30000}"/>
    <cellStyle name="Normal 6 64" xfId="5155" xr:uid="{00000000-0005-0000-0000-0000EEB30000}"/>
    <cellStyle name="Normal 6 65" xfId="5156" xr:uid="{00000000-0005-0000-0000-0000EFB30000}"/>
    <cellStyle name="Normal 6 66" xfId="5157" xr:uid="{00000000-0005-0000-0000-0000F0B30000}"/>
    <cellStyle name="Normal 6 67" xfId="5158" xr:uid="{00000000-0005-0000-0000-0000F1B30000}"/>
    <cellStyle name="Normal 6 68" xfId="5159" xr:uid="{00000000-0005-0000-0000-0000F2B30000}"/>
    <cellStyle name="Normal 6 69" xfId="5160" xr:uid="{00000000-0005-0000-0000-0000F3B30000}"/>
    <cellStyle name="Normal 6 7" xfId="5161" xr:uid="{00000000-0005-0000-0000-0000F4B30000}"/>
    <cellStyle name="Normal 6 7 2" xfId="5162" xr:uid="{00000000-0005-0000-0000-0000F5B30000}"/>
    <cellStyle name="Normal 6 7 2 2" xfId="51799" xr:uid="{00000000-0005-0000-0000-0000F6B30000}"/>
    <cellStyle name="Normal 6 7 2 2 2" xfId="53958" xr:uid="{00000000-0005-0000-0000-0000F7B30000}"/>
    <cellStyle name="Normal 6 7 2 3" xfId="53105" xr:uid="{00000000-0005-0000-0000-0000F8B30000}"/>
    <cellStyle name="Normal 6 7 2 4" xfId="32611" xr:uid="{00000000-0005-0000-0000-0000F9B30000}"/>
    <cellStyle name="Normal 6 7 3" xfId="42101" xr:uid="{00000000-0005-0000-0000-0000FAB30000}"/>
    <cellStyle name="Normal 6 7 3 2" xfId="53562" xr:uid="{00000000-0005-0000-0000-0000FBB30000}"/>
    <cellStyle name="Normal 6 7 4" xfId="52677" xr:uid="{00000000-0005-0000-0000-0000FCB30000}"/>
    <cellStyle name="Normal 6 7 5" xfId="22254" xr:uid="{00000000-0005-0000-0000-0000FDB30000}"/>
    <cellStyle name="Normal 6 70" xfId="5163" xr:uid="{00000000-0005-0000-0000-0000FEB30000}"/>
    <cellStyle name="Normal 6 71" xfId="5164" xr:uid="{00000000-0005-0000-0000-0000FFB30000}"/>
    <cellStyle name="Normal 6 72" xfId="5165" xr:uid="{00000000-0005-0000-0000-000000B40000}"/>
    <cellStyle name="Normal 6 73" xfId="5166" xr:uid="{00000000-0005-0000-0000-000001B40000}"/>
    <cellStyle name="Normal 6 74" xfId="5167" xr:uid="{00000000-0005-0000-0000-000002B40000}"/>
    <cellStyle name="Normal 6 75" xfId="5168" xr:uid="{00000000-0005-0000-0000-000003B40000}"/>
    <cellStyle name="Normal 6 76" xfId="5169" xr:uid="{00000000-0005-0000-0000-000004B40000}"/>
    <cellStyle name="Normal 6 77" xfId="5170" xr:uid="{00000000-0005-0000-0000-000005B40000}"/>
    <cellStyle name="Normal 6 78" xfId="5171" xr:uid="{00000000-0005-0000-0000-000006B40000}"/>
    <cellStyle name="Normal 6 79" xfId="5172" xr:uid="{00000000-0005-0000-0000-000007B40000}"/>
    <cellStyle name="Normal 6 8" xfId="5173" xr:uid="{00000000-0005-0000-0000-000008B40000}"/>
    <cellStyle name="Normal 6 8 2" xfId="5174" xr:uid="{00000000-0005-0000-0000-000009B40000}"/>
    <cellStyle name="Normal 6 8 2 2" xfId="53761" xr:uid="{00000000-0005-0000-0000-00000AB40000}"/>
    <cellStyle name="Normal 6 8 3" xfId="52877" xr:uid="{00000000-0005-0000-0000-00000BB40000}"/>
    <cellStyle name="Normal 6 8 4" xfId="12521" xr:uid="{00000000-0005-0000-0000-00000CB40000}"/>
    <cellStyle name="Normal 6 80" xfId="5175" xr:uid="{00000000-0005-0000-0000-00000DB40000}"/>
    <cellStyle name="Normal 6 81" xfId="5176" xr:uid="{00000000-0005-0000-0000-00000EB40000}"/>
    <cellStyle name="Normal 6 82" xfId="5177" xr:uid="{00000000-0005-0000-0000-00000FB40000}"/>
    <cellStyle name="Normal 6 83" xfId="5178" xr:uid="{00000000-0005-0000-0000-000010B40000}"/>
    <cellStyle name="Normal 6 84" xfId="5179" xr:uid="{00000000-0005-0000-0000-000011B40000}"/>
    <cellStyle name="Normal 6 85" xfId="5180" xr:uid="{00000000-0005-0000-0000-000012B40000}"/>
    <cellStyle name="Normal 6 86" xfId="5181" xr:uid="{00000000-0005-0000-0000-000013B40000}"/>
    <cellStyle name="Normal 6 87" xfId="5182" xr:uid="{00000000-0005-0000-0000-000014B40000}"/>
    <cellStyle name="Normal 6 88" xfId="5183" xr:uid="{00000000-0005-0000-0000-000015B40000}"/>
    <cellStyle name="Normal 6 89" xfId="5184" xr:uid="{00000000-0005-0000-0000-000016B40000}"/>
    <cellStyle name="Normal 6 9" xfId="5185" xr:uid="{00000000-0005-0000-0000-000017B40000}"/>
    <cellStyle name="Normal 6 9 2" xfId="5186" xr:uid="{00000000-0005-0000-0000-000018B40000}"/>
    <cellStyle name="Normal 6 9 2 2" xfId="54158" xr:uid="{00000000-0005-0000-0000-000019B40000}"/>
    <cellStyle name="Normal 6 9 3" xfId="53306" xr:uid="{00000000-0005-0000-0000-00001AB40000}"/>
    <cellStyle name="Normal 6 9 4" xfId="22459" xr:uid="{00000000-0005-0000-0000-00001BB40000}"/>
    <cellStyle name="Normal 6 90" xfId="5187" xr:uid="{00000000-0005-0000-0000-00001CB40000}"/>
    <cellStyle name="Normal 6 91" xfId="5188" xr:uid="{00000000-0005-0000-0000-00001DB40000}"/>
    <cellStyle name="Normal 6 92" xfId="5189" xr:uid="{00000000-0005-0000-0000-00001EB40000}"/>
    <cellStyle name="Normal 6 93" xfId="5190" xr:uid="{00000000-0005-0000-0000-00001FB40000}"/>
    <cellStyle name="Normal 6 94" xfId="5191" xr:uid="{00000000-0005-0000-0000-000020B40000}"/>
    <cellStyle name="Normal 6 95" xfId="5192" xr:uid="{00000000-0005-0000-0000-000021B40000}"/>
    <cellStyle name="Normal 6 96" xfId="5193" xr:uid="{00000000-0005-0000-0000-000022B40000}"/>
    <cellStyle name="Normal 6 97" xfId="5194" xr:uid="{00000000-0005-0000-0000-000023B40000}"/>
    <cellStyle name="Normal 6 98" xfId="5195" xr:uid="{00000000-0005-0000-0000-000024B40000}"/>
    <cellStyle name="Normal 6 99" xfId="5196" xr:uid="{00000000-0005-0000-0000-000025B40000}"/>
    <cellStyle name="Normal 60" xfId="1517" xr:uid="{00000000-0005-0000-0000-000026B40000}"/>
    <cellStyle name="Normal 60 2" xfId="5197" xr:uid="{00000000-0005-0000-0000-000027B40000}"/>
    <cellStyle name="Normal 60 2 2" xfId="32906" xr:uid="{00000000-0005-0000-0000-000028B40000}"/>
    <cellStyle name="Normal 60 2 2 2" xfId="52092" xr:uid="{00000000-0005-0000-0000-000029B40000}"/>
    <cellStyle name="Normal 60 2 3" xfId="42394" xr:uid="{00000000-0005-0000-0000-00002AB40000}"/>
    <cellStyle name="Normal 60 2 4" xfId="22822" xr:uid="{00000000-0005-0000-0000-00002BB40000}"/>
    <cellStyle name="Normal 60 3" xfId="5198" xr:uid="{00000000-0005-0000-0000-00002CB40000}"/>
    <cellStyle name="Normal 60 3 2" xfId="24180" xr:uid="{00000000-0005-0000-0000-00002DB40000}"/>
    <cellStyle name="Normal 60 4" xfId="5199" xr:uid="{00000000-0005-0000-0000-00002EB40000}"/>
    <cellStyle name="Normal 60 4 2" xfId="42747" xr:uid="{00000000-0005-0000-0000-00002FB40000}"/>
    <cellStyle name="Normal 60 4 3" xfId="23179" xr:uid="{00000000-0005-0000-0000-000030B40000}"/>
    <cellStyle name="Normal 60 5" xfId="5200" xr:uid="{00000000-0005-0000-0000-000031B40000}"/>
    <cellStyle name="Normal 60 6" xfId="5201" xr:uid="{00000000-0005-0000-0000-000032B40000}"/>
    <cellStyle name="Normal 60 7" xfId="5202" xr:uid="{00000000-0005-0000-0000-000033B40000}"/>
    <cellStyle name="Normal 60 8" xfId="5203" xr:uid="{00000000-0005-0000-0000-000034B40000}"/>
    <cellStyle name="Normal 60 9" xfId="7575" xr:uid="{00000000-0005-0000-0000-000035B40000}"/>
    <cellStyle name="Normal 61" xfId="1518" xr:uid="{00000000-0005-0000-0000-000036B40000}"/>
    <cellStyle name="Normal 61 2" xfId="5204" xr:uid="{00000000-0005-0000-0000-000037B40000}"/>
    <cellStyle name="Normal 61 2 2" xfId="14297" xr:uid="{00000000-0005-0000-0000-000038B40000}"/>
    <cellStyle name="Normal 61 3" xfId="5205" xr:uid="{00000000-0005-0000-0000-000039B40000}"/>
    <cellStyle name="Normal 61 3 2" xfId="14876" xr:uid="{00000000-0005-0000-0000-00003AB40000}"/>
    <cellStyle name="Normal 61 4" xfId="5206" xr:uid="{00000000-0005-0000-0000-00003BB40000}"/>
    <cellStyle name="Normal 61 4 2" xfId="32894" xr:uid="{00000000-0005-0000-0000-00003CB40000}"/>
    <cellStyle name="Normal 61 4 2 2" xfId="52080" xr:uid="{00000000-0005-0000-0000-00003DB40000}"/>
    <cellStyle name="Normal 61 4 3" xfId="42382" xr:uid="{00000000-0005-0000-0000-00003EB40000}"/>
    <cellStyle name="Normal 61 4 4" xfId="22810" xr:uid="{00000000-0005-0000-0000-00003FB40000}"/>
    <cellStyle name="Normal 61 5" xfId="5207" xr:uid="{00000000-0005-0000-0000-000040B40000}"/>
    <cellStyle name="Normal 61 5 2" xfId="24110" xr:uid="{00000000-0005-0000-0000-000041B40000}"/>
    <cellStyle name="Normal 61 6" xfId="5208" xr:uid="{00000000-0005-0000-0000-000042B40000}"/>
    <cellStyle name="Normal 61 6 2" xfId="42735" xr:uid="{00000000-0005-0000-0000-000043B40000}"/>
    <cellStyle name="Normal 61 6 3" xfId="23167" xr:uid="{00000000-0005-0000-0000-000044B40000}"/>
    <cellStyle name="Normal 61 7" xfId="5209" xr:uid="{00000000-0005-0000-0000-000045B40000}"/>
    <cellStyle name="Normal 61 8" xfId="5210" xr:uid="{00000000-0005-0000-0000-000046B40000}"/>
    <cellStyle name="Normal 61 9" xfId="7573" xr:uid="{00000000-0005-0000-0000-000047B40000}"/>
    <cellStyle name="Normal 62" xfId="1519" xr:uid="{00000000-0005-0000-0000-000048B40000}"/>
    <cellStyle name="Normal 62 2" xfId="5211" xr:uid="{00000000-0005-0000-0000-000049B40000}"/>
    <cellStyle name="Normal 62 2 2" xfId="11933" xr:uid="{00000000-0005-0000-0000-00004AB40000}"/>
    <cellStyle name="Normal 62 2 3" xfId="9036" xr:uid="{00000000-0005-0000-0000-00004BB40000}"/>
    <cellStyle name="Normal 62 2 4" xfId="14352" xr:uid="{00000000-0005-0000-0000-00004CB40000}"/>
    <cellStyle name="Normal 62 3" xfId="5212" xr:uid="{00000000-0005-0000-0000-00004DB40000}"/>
    <cellStyle name="Normal 62 3 2" xfId="10493" xr:uid="{00000000-0005-0000-0000-00004EB40000}"/>
    <cellStyle name="Normal 62 3 3" xfId="14931" xr:uid="{00000000-0005-0000-0000-00004FB40000}"/>
    <cellStyle name="Normal 62 4" xfId="5213" xr:uid="{00000000-0005-0000-0000-000050B40000}"/>
    <cellStyle name="Normal 62 4 2" xfId="32897" xr:uid="{00000000-0005-0000-0000-000051B40000}"/>
    <cellStyle name="Normal 62 4 2 2" xfId="52083" xr:uid="{00000000-0005-0000-0000-000052B40000}"/>
    <cellStyle name="Normal 62 4 3" xfId="42385" xr:uid="{00000000-0005-0000-0000-000053B40000}"/>
    <cellStyle name="Normal 62 4 4" xfId="22813" xr:uid="{00000000-0005-0000-0000-000054B40000}"/>
    <cellStyle name="Normal 62 5" xfId="5214" xr:uid="{00000000-0005-0000-0000-000055B40000}"/>
    <cellStyle name="Normal 62 5 2" xfId="24199" xr:uid="{00000000-0005-0000-0000-000056B40000}"/>
    <cellStyle name="Normal 62 6" xfId="5215" xr:uid="{00000000-0005-0000-0000-000057B40000}"/>
    <cellStyle name="Normal 62 6 2" xfId="42738" xr:uid="{00000000-0005-0000-0000-000058B40000}"/>
    <cellStyle name="Normal 62 6 3" xfId="23170" xr:uid="{00000000-0005-0000-0000-000059B40000}"/>
    <cellStyle name="Normal 62 7" xfId="5216" xr:uid="{00000000-0005-0000-0000-00005AB40000}"/>
    <cellStyle name="Normal 62 8" xfId="5217" xr:uid="{00000000-0005-0000-0000-00005BB40000}"/>
    <cellStyle name="Normal 62 9" xfId="7578" xr:uid="{00000000-0005-0000-0000-00005CB40000}"/>
    <cellStyle name="Normal 63" xfId="1512" xr:uid="{00000000-0005-0000-0000-00005DB40000}"/>
    <cellStyle name="Normal 63 2" xfId="5218" xr:uid="{00000000-0005-0000-0000-00005EB40000}"/>
    <cellStyle name="Normal 63 2 2" xfId="14354" xr:uid="{00000000-0005-0000-0000-00005FB40000}"/>
    <cellStyle name="Normal 63 3" xfId="5219" xr:uid="{00000000-0005-0000-0000-000060B40000}"/>
    <cellStyle name="Normal 63 3 2" xfId="14933" xr:uid="{00000000-0005-0000-0000-000061B40000}"/>
    <cellStyle name="Normal 63 4" xfId="5220" xr:uid="{00000000-0005-0000-0000-000062B40000}"/>
    <cellStyle name="Normal 63 4 2" xfId="32901" xr:uid="{00000000-0005-0000-0000-000063B40000}"/>
    <cellStyle name="Normal 63 4 2 2" xfId="52087" xr:uid="{00000000-0005-0000-0000-000064B40000}"/>
    <cellStyle name="Normal 63 4 3" xfId="42389" xr:uid="{00000000-0005-0000-0000-000065B40000}"/>
    <cellStyle name="Normal 63 4 4" xfId="22817" xr:uid="{00000000-0005-0000-0000-000066B40000}"/>
    <cellStyle name="Normal 63 5" xfId="5221" xr:uid="{00000000-0005-0000-0000-000067B40000}"/>
    <cellStyle name="Normal 63 5 2" xfId="24201" xr:uid="{00000000-0005-0000-0000-000068B40000}"/>
    <cellStyle name="Normal 63 6" xfId="5222" xr:uid="{00000000-0005-0000-0000-000069B40000}"/>
    <cellStyle name="Normal 63 6 2" xfId="42742" xr:uid="{00000000-0005-0000-0000-00006AB40000}"/>
    <cellStyle name="Normal 63 6 3" xfId="23174" xr:uid="{00000000-0005-0000-0000-00006BB40000}"/>
    <cellStyle name="Normal 63 7" xfId="5223" xr:uid="{00000000-0005-0000-0000-00006CB40000}"/>
    <cellStyle name="Normal 63 8" xfId="5224" xr:uid="{00000000-0005-0000-0000-00006DB40000}"/>
    <cellStyle name="Normal 64" xfId="1526" xr:uid="{00000000-0005-0000-0000-00006EB40000}"/>
    <cellStyle name="Normal 64 2" xfId="5225" xr:uid="{00000000-0005-0000-0000-00006FB40000}"/>
    <cellStyle name="Normal 64 2 2" xfId="14353" xr:uid="{00000000-0005-0000-0000-000070B40000}"/>
    <cellStyle name="Normal 64 3" xfId="5226" xr:uid="{00000000-0005-0000-0000-000071B40000}"/>
    <cellStyle name="Normal 64 3 2" xfId="14932" xr:uid="{00000000-0005-0000-0000-000072B40000}"/>
    <cellStyle name="Normal 64 4" xfId="5227" xr:uid="{00000000-0005-0000-0000-000073B40000}"/>
    <cellStyle name="Normal 64 4 2" xfId="32904" xr:uid="{00000000-0005-0000-0000-000074B40000}"/>
    <cellStyle name="Normal 64 4 2 2" xfId="52090" xr:uid="{00000000-0005-0000-0000-000075B40000}"/>
    <cellStyle name="Normal 64 4 3" xfId="42392" xr:uid="{00000000-0005-0000-0000-000076B40000}"/>
    <cellStyle name="Normal 64 4 4" xfId="22820" xr:uid="{00000000-0005-0000-0000-000077B40000}"/>
    <cellStyle name="Normal 64 5" xfId="5228" xr:uid="{00000000-0005-0000-0000-000078B40000}"/>
    <cellStyle name="Normal 64 5 2" xfId="24200" xr:uid="{00000000-0005-0000-0000-000079B40000}"/>
    <cellStyle name="Normal 64 6" xfId="5229" xr:uid="{00000000-0005-0000-0000-00007AB40000}"/>
    <cellStyle name="Normal 64 6 2" xfId="42745" xr:uid="{00000000-0005-0000-0000-00007BB40000}"/>
    <cellStyle name="Normal 64 6 3" xfId="23177" xr:uid="{00000000-0005-0000-0000-00007CB40000}"/>
    <cellStyle name="Normal 64 7" xfId="5230" xr:uid="{00000000-0005-0000-0000-00007DB40000}"/>
    <cellStyle name="Normal 64 8" xfId="5231" xr:uid="{00000000-0005-0000-0000-00007EB40000}"/>
    <cellStyle name="Normal 64 9" xfId="7583" xr:uid="{00000000-0005-0000-0000-00007FB40000}"/>
    <cellStyle name="Normal 65" xfId="5232" xr:uid="{00000000-0005-0000-0000-000080B40000}"/>
    <cellStyle name="Normal 65 2" xfId="5233" xr:uid="{00000000-0005-0000-0000-000081B40000}"/>
    <cellStyle name="Normal 65 3" xfId="5234" xr:uid="{00000000-0005-0000-0000-000082B40000}"/>
    <cellStyle name="Normal 65 4" xfId="5235" xr:uid="{00000000-0005-0000-0000-000083B40000}"/>
    <cellStyle name="Normal 65 4 2" xfId="32900" xr:uid="{00000000-0005-0000-0000-000084B40000}"/>
    <cellStyle name="Normal 65 4 2 2" xfId="52086" xr:uid="{00000000-0005-0000-0000-000085B40000}"/>
    <cellStyle name="Normal 65 4 3" xfId="42388" xr:uid="{00000000-0005-0000-0000-000086B40000}"/>
    <cellStyle name="Normal 65 4 4" xfId="22816" xr:uid="{00000000-0005-0000-0000-000087B40000}"/>
    <cellStyle name="Normal 65 5" xfId="5236" xr:uid="{00000000-0005-0000-0000-000088B40000}"/>
    <cellStyle name="Normal 65 6" xfId="5237" xr:uid="{00000000-0005-0000-0000-000089B40000}"/>
    <cellStyle name="Normal 65 6 2" xfId="42741" xr:uid="{00000000-0005-0000-0000-00008AB40000}"/>
    <cellStyle name="Normal 65 6 3" xfId="23173" xr:uid="{00000000-0005-0000-0000-00008BB40000}"/>
    <cellStyle name="Normal 65 7" xfId="5238" xr:uid="{00000000-0005-0000-0000-00008CB40000}"/>
    <cellStyle name="Normal 65 8" xfId="5239" xr:uid="{00000000-0005-0000-0000-00008DB40000}"/>
    <cellStyle name="Normal 66" xfId="5504" xr:uid="{00000000-0005-0000-0000-00008EB40000}"/>
    <cellStyle name="Normal 66 2" xfId="7584" xr:uid="{00000000-0005-0000-0000-00008FB40000}"/>
    <cellStyle name="Normal 66 3" xfId="14934" xr:uid="{00000000-0005-0000-0000-000090B40000}"/>
    <cellStyle name="Normal 66 4" xfId="22830" xr:uid="{00000000-0005-0000-0000-000091B40000}"/>
    <cellStyle name="Normal 66 4 2" xfId="32914" xr:uid="{00000000-0005-0000-0000-000092B40000}"/>
    <cellStyle name="Normal 66 4 2 2" xfId="52100" xr:uid="{00000000-0005-0000-0000-000093B40000}"/>
    <cellStyle name="Normal 66 4 3" xfId="42402" xr:uid="{00000000-0005-0000-0000-000094B40000}"/>
    <cellStyle name="Normal 66 5" xfId="24202" xr:uid="{00000000-0005-0000-0000-000095B40000}"/>
    <cellStyle name="Normal 66 6" xfId="23187" xr:uid="{00000000-0005-0000-0000-000096B40000}"/>
    <cellStyle name="Normal 66 6 2" xfId="42755" xr:uid="{00000000-0005-0000-0000-000097B40000}"/>
    <cellStyle name="Normal 67" xfId="6025" xr:uid="{00000000-0005-0000-0000-000098B40000}"/>
    <cellStyle name="Normal 67 2" xfId="5240" xr:uid="{00000000-0005-0000-0000-000099B40000}"/>
    <cellStyle name="Normal 67 2 2" xfId="14937" xr:uid="{00000000-0005-0000-0000-00009AB40000}"/>
    <cellStyle name="Normal 67 3" xfId="5241" xr:uid="{00000000-0005-0000-0000-00009BB40000}"/>
    <cellStyle name="Normal 67 3 2" xfId="17172" xr:uid="{00000000-0005-0000-0000-00009CB40000}"/>
    <cellStyle name="Normal 67 4" xfId="5242" xr:uid="{00000000-0005-0000-0000-00009DB40000}"/>
    <cellStyle name="Normal 67 4 2" xfId="32917" xr:uid="{00000000-0005-0000-0000-00009EB40000}"/>
    <cellStyle name="Normal 67 4 2 2" xfId="52103" xr:uid="{00000000-0005-0000-0000-00009FB40000}"/>
    <cellStyle name="Normal 67 4 3" xfId="42405" xr:uid="{00000000-0005-0000-0000-0000A0B40000}"/>
    <cellStyle name="Normal 67 4 4" xfId="22833" xr:uid="{00000000-0005-0000-0000-0000A1B40000}"/>
    <cellStyle name="Normal 67 5" xfId="5243" xr:uid="{00000000-0005-0000-0000-0000A2B40000}"/>
    <cellStyle name="Normal 67 5 2" xfId="24759" xr:uid="{00000000-0005-0000-0000-0000A3B40000}"/>
    <cellStyle name="Normal 67 6" xfId="5244" xr:uid="{00000000-0005-0000-0000-0000A4B40000}"/>
    <cellStyle name="Normal 67 6 2" xfId="42758" xr:uid="{00000000-0005-0000-0000-0000A5B40000}"/>
    <cellStyle name="Normal 67 6 3" xfId="23190" xr:uid="{00000000-0005-0000-0000-0000A6B40000}"/>
    <cellStyle name="Normal 67 7" xfId="5245" xr:uid="{00000000-0005-0000-0000-0000A7B40000}"/>
    <cellStyle name="Normal 67 8" xfId="5246" xr:uid="{00000000-0005-0000-0000-0000A8B40000}"/>
    <cellStyle name="Normal 67 9" xfId="7605" xr:uid="{00000000-0005-0000-0000-0000A9B40000}"/>
    <cellStyle name="Normal 68" xfId="6028" xr:uid="{00000000-0005-0000-0000-0000AAB40000}"/>
    <cellStyle name="Normal 68 2" xfId="14945" xr:uid="{00000000-0005-0000-0000-0000ABB40000}"/>
    <cellStyle name="Normal 68 3" xfId="17181" xr:uid="{00000000-0005-0000-0000-0000ACB40000}"/>
    <cellStyle name="Normal 68 4" xfId="22832" xr:uid="{00000000-0005-0000-0000-0000ADB40000}"/>
    <cellStyle name="Normal 68 4 2" xfId="32916" xr:uid="{00000000-0005-0000-0000-0000AEB40000}"/>
    <cellStyle name="Normal 68 4 2 2" xfId="52102" xr:uid="{00000000-0005-0000-0000-0000AFB40000}"/>
    <cellStyle name="Normal 68 4 3" xfId="42404" xr:uid="{00000000-0005-0000-0000-0000B0B40000}"/>
    <cellStyle name="Normal 68 5" xfId="24764" xr:uid="{00000000-0005-0000-0000-0000B1B40000}"/>
    <cellStyle name="Normal 68 6" xfId="23189" xr:uid="{00000000-0005-0000-0000-0000B2B40000}"/>
    <cellStyle name="Normal 68 6 2" xfId="42757" xr:uid="{00000000-0005-0000-0000-0000B3B40000}"/>
    <cellStyle name="Normal 69" xfId="6029" xr:uid="{00000000-0005-0000-0000-0000B4B40000}"/>
    <cellStyle name="Normal 69 2" xfId="5247" xr:uid="{00000000-0005-0000-0000-0000B5B40000}"/>
    <cellStyle name="Normal 69 2 2" xfId="32931" xr:uid="{00000000-0005-0000-0000-0000B6B40000}"/>
    <cellStyle name="Normal 69 2 2 2" xfId="52117" xr:uid="{00000000-0005-0000-0000-0000B7B40000}"/>
    <cellStyle name="Normal 69 2 3" xfId="42419" xr:uid="{00000000-0005-0000-0000-0000B8B40000}"/>
    <cellStyle name="Normal 69 2 4" xfId="22847" xr:uid="{00000000-0005-0000-0000-0000B9B40000}"/>
    <cellStyle name="Normal 69 3" xfId="5248" xr:uid="{00000000-0005-0000-0000-0000BAB40000}"/>
    <cellStyle name="Normal 69 3 2" xfId="32563" xr:uid="{00000000-0005-0000-0000-0000BBB40000}"/>
    <cellStyle name="Normal 69 4" xfId="5249" xr:uid="{00000000-0005-0000-0000-0000BCB40000}"/>
    <cellStyle name="Normal 69 4 2" xfId="42772" xr:uid="{00000000-0005-0000-0000-0000BDB40000}"/>
    <cellStyle name="Normal 69 4 3" xfId="23204" xr:uid="{00000000-0005-0000-0000-0000BEB40000}"/>
    <cellStyle name="Normal 69 5" xfId="5250" xr:uid="{00000000-0005-0000-0000-0000BFB40000}"/>
    <cellStyle name="Normal 69 6" xfId="5251" xr:uid="{00000000-0005-0000-0000-0000C0B40000}"/>
    <cellStyle name="Normal 69 7" xfId="5252" xr:uid="{00000000-0005-0000-0000-0000C1B40000}"/>
    <cellStyle name="Normal 69 8" xfId="5253" xr:uid="{00000000-0005-0000-0000-0000C2B40000}"/>
    <cellStyle name="Normal 7" xfId="1226" xr:uid="{00000000-0005-0000-0000-0000C3B40000}"/>
    <cellStyle name="Normal-- 7" xfId="5255" xr:uid="{00000000-0005-0000-0000-0000C4B40000}"/>
    <cellStyle name="Normal 7 10" xfId="5256" xr:uid="{00000000-0005-0000-0000-0000C5B40000}"/>
    <cellStyle name="Normal 7 11" xfId="5257" xr:uid="{00000000-0005-0000-0000-0000C6B40000}"/>
    <cellStyle name="Normal 7 12" xfId="5258" xr:uid="{00000000-0005-0000-0000-0000C7B40000}"/>
    <cellStyle name="Normal 7 13" xfId="5259" xr:uid="{00000000-0005-0000-0000-0000C8B40000}"/>
    <cellStyle name="Normal 7 14" xfId="5260" xr:uid="{00000000-0005-0000-0000-0000C9B40000}"/>
    <cellStyle name="Normal 7 15" xfId="5261" xr:uid="{00000000-0005-0000-0000-0000CAB40000}"/>
    <cellStyle name="Normal 7 16" xfId="5262" xr:uid="{00000000-0005-0000-0000-0000CBB40000}"/>
    <cellStyle name="Normal 7 17" xfId="5263" xr:uid="{00000000-0005-0000-0000-0000CCB40000}"/>
    <cellStyle name="Normal 7 18" xfId="5264" xr:uid="{00000000-0005-0000-0000-0000CDB40000}"/>
    <cellStyle name="Normal 7 19" xfId="5265" xr:uid="{00000000-0005-0000-0000-0000CEB40000}"/>
    <cellStyle name="Normal 7 2" xfId="5266" xr:uid="{00000000-0005-0000-0000-0000CFB40000}"/>
    <cellStyle name="Normal 7 2 2" xfId="5267" xr:uid="{00000000-0005-0000-0000-0000D0B40000}"/>
    <cellStyle name="Normal 7 2 2 10" xfId="13464" xr:uid="{00000000-0005-0000-0000-0000D1B40000}"/>
    <cellStyle name="Normal 7 2 2 2" xfId="14321" xr:uid="{00000000-0005-0000-0000-0000D2B40000}"/>
    <cellStyle name="Normal 7 2 2 2 2" xfId="16584" xr:uid="{00000000-0005-0000-0000-0000D3B40000}"/>
    <cellStyle name="Normal 7 2 2 2 2 2" xfId="21048" xr:uid="{00000000-0005-0000-0000-0000D4B40000}"/>
    <cellStyle name="Normal 7 2 2 2 2 2 2" xfId="31416" xr:uid="{00000000-0005-0000-0000-0000D5B40000}"/>
    <cellStyle name="Normal 7 2 2 2 2 2 2 2" xfId="50605" xr:uid="{00000000-0005-0000-0000-0000D6B40000}"/>
    <cellStyle name="Normal 7 2 2 2 2 2 3" xfId="40907" xr:uid="{00000000-0005-0000-0000-0000D7B40000}"/>
    <cellStyle name="Normal 7 2 2 2 2 3" xfId="26961" xr:uid="{00000000-0005-0000-0000-0000D8B40000}"/>
    <cellStyle name="Normal 7 2 2 2 2 3 2" xfId="46150" xr:uid="{00000000-0005-0000-0000-0000D9B40000}"/>
    <cellStyle name="Normal 7 2 2 2 2 4" xfId="36452" xr:uid="{00000000-0005-0000-0000-0000DAB40000}"/>
    <cellStyle name="Normal 7 2 2 2 3" xfId="18820" xr:uid="{00000000-0005-0000-0000-0000DBB40000}"/>
    <cellStyle name="Normal 7 2 2 2 3 2" xfId="29188" xr:uid="{00000000-0005-0000-0000-0000DCB40000}"/>
    <cellStyle name="Normal 7 2 2 2 3 2 2" xfId="48377" xr:uid="{00000000-0005-0000-0000-0000DDB40000}"/>
    <cellStyle name="Normal 7 2 2 2 3 3" xfId="38679" xr:uid="{00000000-0005-0000-0000-0000DEB40000}"/>
    <cellStyle name="Normal 7 2 2 2 4" xfId="24728" xr:uid="{00000000-0005-0000-0000-0000DFB40000}"/>
    <cellStyle name="Normal 7 2 2 2 4 2" xfId="43922" xr:uid="{00000000-0005-0000-0000-0000E0B40000}"/>
    <cellStyle name="Normal 7 2 2 2 5" xfId="34224" xr:uid="{00000000-0005-0000-0000-0000E1B40000}"/>
    <cellStyle name="Normal 7 2 2 3" xfId="14900" xr:uid="{00000000-0005-0000-0000-0000E2B40000}"/>
    <cellStyle name="Normal 7 2 2 3 2" xfId="16028" xr:uid="{00000000-0005-0000-0000-0000E3B40000}"/>
    <cellStyle name="Normal 7 2 2 3 2 2" xfId="20492" xr:uid="{00000000-0005-0000-0000-0000E4B40000}"/>
    <cellStyle name="Normal 7 2 2 3 2 2 2" xfId="30860" xr:uid="{00000000-0005-0000-0000-0000E5B40000}"/>
    <cellStyle name="Normal 7 2 2 3 2 2 2 2" xfId="50049" xr:uid="{00000000-0005-0000-0000-0000E6B40000}"/>
    <cellStyle name="Normal 7 2 2 3 2 2 3" xfId="40351" xr:uid="{00000000-0005-0000-0000-0000E7B40000}"/>
    <cellStyle name="Normal 7 2 2 3 2 3" xfId="26405" xr:uid="{00000000-0005-0000-0000-0000E8B40000}"/>
    <cellStyle name="Normal 7 2 2 3 2 3 2" xfId="45594" xr:uid="{00000000-0005-0000-0000-0000E9B40000}"/>
    <cellStyle name="Normal 7 2 2 3 2 4" xfId="35896" xr:uid="{00000000-0005-0000-0000-0000EAB40000}"/>
    <cellStyle name="Normal 7 2 2 3 3" xfId="19377" xr:uid="{00000000-0005-0000-0000-0000EBB40000}"/>
    <cellStyle name="Normal 7 2 2 3 3 2" xfId="29745" xr:uid="{00000000-0005-0000-0000-0000ECB40000}"/>
    <cellStyle name="Normal 7 2 2 3 3 2 2" xfId="48934" xr:uid="{00000000-0005-0000-0000-0000EDB40000}"/>
    <cellStyle name="Normal 7 2 2 3 3 3" xfId="39236" xr:uid="{00000000-0005-0000-0000-0000EEB40000}"/>
    <cellStyle name="Normal 7 2 2 3 4" xfId="25290" xr:uid="{00000000-0005-0000-0000-0000EFB40000}"/>
    <cellStyle name="Normal 7 2 2 3 4 2" xfId="44479" xr:uid="{00000000-0005-0000-0000-0000F0B40000}"/>
    <cellStyle name="Normal 7 2 2 3 5" xfId="34781" xr:uid="{00000000-0005-0000-0000-0000F1B40000}"/>
    <cellStyle name="Normal 7 2 2 4" xfId="15471" xr:uid="{00000000-0005-0000-0000-0000F2B40000}"/>
    <cellStyle name="Normal 7 2 2 4 2" xfId="19935" xr:uid="{00000000-0005-0000-0000-0000F3B40000}"/>
    <cellStyle name="Normal 7 2 2 4 2 2" xfId="30303" xr:uid="{00000000-0005-0000-0000-0000F4B40000}"/>
    <cellStyle name="Normal 7 2 2 4 2 2 2" xfId="49492" xr:uid="{00000000-0005-0000-0000-0000F5B40000}"/>
    <cellStyle name="Normal 7 2 2 4 2 3" xfId="39794" xr:uid="{00000000-0005-0000-0000-0000F6B40000}"/>
    <cellStyle name="Normal 7 2 2 4 3" xfId="25848" xr:uid="{00000000-0005-0000-0000-0000F7B40000}"/>
    <cellStyle name="Normal 7 2 2 4 3 2" xfId="45037" xr:uid="{00000000-0005-0000-0000-0000F8B40000}"/>
    <cellStyle name="Normal 7 2 2 4 4" xfId="35339" xr:uid="{00000000-0005-0000-0000-0000F9B40000}"/>
    <cellStyle name="Normal 7 2 2 5" xfId="17141" xr:uid="{00000000-0005-0000-0000-0000FAB40000}"/>
    <cellStyle name="Normal 7 2 2 5 2" xfId="21605" xr:uid="{00000000-0005-0000-0000-0000FBB40000}"/>
    <cellStyle name="Normal 7 2 2 5 2 2" xfId="31973" xr:uid="{00000000-0005-0000-0000-0000FCB40000}"/>
    <cellStyle name="Normal 7 2 2 5 2 2 2" xfId="51162" xr:uid="{00000000-0005-0000-0000-0000FDB40000}"/>
    <cellStyle name="Normal 7 2 2 5 2 3" xfId="41464" xr:uid="{00000000-0005-0000-0000-0000FEB40000}"/>
    <cellStyle name="Normal 7 2 2 5 3" xfId="27518" xr:uid="{00000000-0005-0000-0000-0000FFB40000}"/>
    <cellStyle name="Normal 7 2 2 5 3 2" xfId="46707" xr:uid="{00000000-0005-0000-0000-000000B50000}"/>
    <cellStyle name="Normal 7 2 2 5 4" xfId="37009" xr:uid="{00000000-0005-0000-0000-000001B50000}"/>
    <cellStyle name="Normal 7 2 2 6" xfId="17707" xr:uid="{00000000-0005-0000-0000-000002B50000}"/>
    <cellStyle name="Normal 7 2 2 6 2" xfId="22162" xr:uid="{00000000-0005-0000-0000-000003B50000}"/>
    <cellStyle name="Normal 7 2 2 6 2 2" xfId="32530" xr:uid="{00000000-0005-0000-0000-000004B50000}"/>
    <cellStyle name="Normal 7 2 2 6 2 2 2" xfId="51719" xr:uid="{00000000-0005-0000-0000-000005B50000}"/>
    <cellStyle name="Normal 7 2 2 6 2 3" xfId="42021" xr:uid="{00000000-0005-0000-0000-000006B50000}"/>
    <cellStyle name="Normal 7 2 2 6 3" xfId="28075" xr:uid="{00000000-0005-0000-0000-000007B50000}"/>
    <cellStyle name="Normal 7 2 2 6 3 2" xfId="47264" xr:uid="{00000000-0005-0000-0000-000008B50000}"/>
    <cellStyle name="Normal 7 2 2 6 4" xfId="37566" xr:uid="{00000000-0005-0000-0000-000009B50000}"/>
    <cellStyle name="Normal 7 2 2 7" xfId="18264" xr:uid="{00000000-0005-0000-0000-00000AB50000}"/>
    <cellStyle name="Normal 7 2 2 7 2" xfId="28632" xr:uid="{00000000-0005-0000-0000-00000BB50000}"/>
    <cellStyle name="Normal 7 2 2 7 2 2" xfId="47821" xr:uid="{00000000-0005-0000-0000-00000CB50000}"/>
    <cellStyle name="Normal 7 2 2 7 3" xfId="38123" xr:uid="{00000000-0005-0000-0000-00000DB50000}"/>
    <cellStyle name="Normal 7 2 2 8" xfId="24146" xr:uid="{00000000-0005-0000-0000-00000EB50000}"/>
    <cellStyle name="Normal 7 2 2 8 2" xfId="43366" xr:uid="{00000000-0005-0000-0000-00000FB50000}"/>
    <cellStyle name="Normal 7 2 2 9" xfId="33668" xr:uid="{00000000-0005-0000-0000-000010B50000}"/>
    <cellStyle name="Normal 7 2 3" xfId="5268" xr:uid="{00000000-0005-0000-0000-000011B50000}"/>
    <cellStyle name="Normal 7 2 4" xfId="5269" xr:uid="{00000000-0005-0000-0000-000012B50000}"/>
    <cellStyle name="Normal 7 20" xfId="5270" xr:uid="{00000000-0005-0000-0000-000013B50000}"/>
    <cellStyle name="Normal 7 21" xfId="5271" xr:uid="{00000000-0005-0000-0000-000014B50000}"/>
    <cellStyle name="Normal 7 22" xfId="5272" xr:uid="{00000000-0005-0000-0000-000015B50000}"/>
    <cellStyle name="Normal 7 23" xfId="5273" xr:uid="{00000000-0005-0000-0000-000016B50000}"/>
    <cellStyle name="Normal 7 24" xfId="5274" xr:uid="{00000000-0005-0000-0000-000017B50000}"/>
    <cellStyle name="Normal 7 25" xfId="5275" xr:uid="{00000000-0005-0000-0000-000018B50000}"/>
    <cellStyle name="Normal 7 26" xfId="5276" xr:uid="{00000000-0005-0000-0000-000019B50000}"/>
    <cellStyle name="Normal 7 27" xfId="5277" xr:uid="{00000000-0005-0000-0000-00001AB50000}"/>
    <cellStyle name="Normal 7 28" xfId="5278" xr:uid="{00000000-0005-0000-0000-00001BB50000}"/>
    <cellStyle name="Normal 7 29" xfId="5279" xr:uid="{00000000-0005-0000-0000-00001CB50000}"/>
    <cellStyle name="Normal 7 3" xfId="5280" xr:uid="{00000000-0005-0000-0000-00001DB50000}"/>
    <cellStyle name="Normal 7 3 10" xfId="12875" xr:uid="{00000000-0005-0000-0000-00001EB50000}"/>
    <cellStyle name="Normal 7 3 2" xfId="13840" xr:uid="{00000000-0005-0000-0000-00001FB50000}"/>
    <cellStyle name="Normal 7 3 2 2" xfId="16104" xr:uid="{00000000-0005-0000-0000-000020B50000}"/>
    <cellStyle name="Normal 7 3 2 2 2" xfId="20568" xr:uid="{00000000-0005-0000-0000-000021B50000}"/>
    <cellStyle name="Normal 7 3 2 2 2 2" xfId="30936" xr:uid="{00000000-0005-0000-0000-000022B50000}"/>
    <cellStyle name="Normal 7 3 2 2 2 2 2" xfId="50125" xr:uid="{00000000-0005-0000-0000-000023B50000}"/>
    <cellStyle name="Normal 7 3 2 2 2 3" xfId="40427" xr:uid="{00000000-0005-0000-0000-000024B50000}"/>
    <cellStyle name="Normal 7 3 2 2 3" xfId="26481" xr:uid="{00000000-0005-0000-0000-000025B50000}"/>
    <cellStyle name="Normal 7 3 2 2 3 2" xfId="45670" xr:uid="{00000000-0005-0000-0000-000026B50000}"/>
    <cellStyle name="Normal 7 3 2 2 4" xfId="35972" xr:uid="{00000000-0005-0000-0000-000027B50000}"/>
    <cellStyle name="Normal 7 3 2 3" xfId="18340" xr:uid="{00000000-0005-0000-0000-000028B50000}"/>
    <cellStyle name="Normal 7 3 2 3 2" xfId="28708" xr:uid="{00000000-0005-0000-0000-000029B50000}"/>
    <cellStyle name="Normal 7 3 2 3 2 2" xfId="47897" xr:uid="{00000000-0005-0000-0000-00002AB50000}"/>
    <cellStyle name="Normal 7 3 2 3 3" xfId="38199" xr:uid="{00000000-0005-0000-0000-00002BB50000}"/>
    <cellStyle name="Normal 7 3 2 4" xfId="24248" xr:uid="{00000000-0005-0000-0000-00002CB50000}"/>
    <cellStyle name="Normal 7 3 2 4 2" xfId="43442" xr:uid="{00000000-0005-0000-0000-00002DB50000}"/>
    <cellStyle name="Normal 7 3 2 5" xfId="33744" xr:uid="{00000000-0005-0000-0000-00002EB50000}"/>
    <cellStyle name="Normal 7 3 3" xfId="14419" xr:uid="{00000000-0005-0000-0000-00002FB50000}"/>
    <cellStyle name="Normal 7 3 3 2" xfId="15548" xr:uid="{00000000-0005-0000-0000-000030B50000}"/>
    <cellStyle name="Normal 7 3 3 2 2" xfId="20012" xr:uid="{00000000-0005-0000-0000-000031B50000}"/>
    <cellStyle name="Normal 7 3 3 2 2 2" xfId="30380" xr:uid="{00000000-0005-0000-0000-000032B50000}"/>
    <cellStyle name="Normal 7 3 3 2 2 2 2" xfId="49569" xr:uid="{00000000-0005-0000-0000-000033B50000}"/>
    <cellStyle name="Normal 7 3 3 2 2 3" xfId="39871" xr:uid="{00000000-0005-0000-0000-000034B50000}"/>
    <cellStyle name="Normal 7 3 3 2 3" xfId="25925" xr:uid="{00000000-0005-0000-0000-000035B50000}"/>
    <cellStyle name="Normal 7 3 3 2 3 2" xfId="45114" xr:uid="{00000000-0005-0000-0000-000036B50000}"/>
    <cellStyle name="Normal 7 3 3 2 4" xfId="35416" xr:uid="{00000000-0005-0000-0000-000037B50000}"/>
    <cellStyle name="Normal 7 3 3 3" xfId="18897" xr:uid="{00000000-0005-0000-0000-000038B50000}"/>
    <cellStyle name="Normal 7 3 3 3 2" xfId="29265" xr:uid="{00000000-0005-0000-0000-000039B50000}"/>
    <cellStyle name="Normal 7 3 3 3 2 2" xfId="48454" xr:uid="{00000000-0005-0000-0000-00003AB50000}"/>
    <cellStyle name="Normal 7 3 3 3 3" xfId="38756" xr:uid="{00000000-0005-0000-0000-00003BB50000}"/>
    <cellStyle name="Normal 7 3 3 4" xfId="24810" xr:uid="{00000000-0005-0000-0000-00003CB50000}"/>
    <cellStyle name="Normal 7 3 3 4 2" xfId="43999" xr:uid="{00000000-0005-0000-0000-00003DB50000}"/>
    <cellStyle name="Normal 7 3 3 5" xfId="34301" xr:uid="{00000000-0005-0000-0000-00003EB50000}"/>
    <cellStyle name="Normal 7 3 4" xfId="14991" xr:uid="{00000000-0005-0000-0000-00003FB50000}"/>
    <cellStyle name="Normal 7 3 4 2" xfId="19455" xr:uid="{00000000-0005-0000-0000-000040B50000}"/>
    <cellStyle name="Normal 7 3 4 2 2" xfId="29823" xr:uid="{00000000-0005-0000-0000-000041B50000}"/>
    <cellStyle name="Normal 7 3 4 2 2 2" xfId="49012" xr:uid="{00000000-0005-0000-0000-000042B50000}"/>
    <cellStyle name="Normal 7 3 4 2 3" xfId="39314" xr:uid="{00000000-0005-0000-0000-000043B50000}"/>
    <cellStyle name="Normal 7 3 4 3" xfId="25368" xr:uid="{00000000-0005-0000-0000-000044B50000}"/>
    <cellStyle name="Normal 7 3 4 3 2" xfId="44557" xr:uid="{00000000-0005-0000-0000-000045B50000}"/>
    <cellStyle name="Normal 7 3 4 4" xfId="34859" xr:uid="{00000000-0005-0000-0000-000046B50000}"/>
    <cellStyle name="Normal 7 3 5" xfId="16661" xr:uid="{00000000-0005-0000-0000-000047B50000}"/>
    <cellStyle name="Normal 7 3 5 2" xfId="21125" xr:uid="{00000000-0005-0000-0000-000048B50000}"/>
    <cellStyle name="Normal 7 3 5 2 2" xfId="31493" xr:uid="{00000000-0005-0000-0000-000049B50000}"/>
    <cellStyle name="Normal 7 3 5 2 2 2" xfId="50682" xr:uid="{00000000-0005-0000-0000-00004AB50000}"/>
    <cellStyle name="Normal 7 3 5 2 3" xfId="40984" xr:uid="{00000000-0005-0000-0000-00004BB50000}"/>
    <cellStyle name="Normal 7 3 5 3" xfId="27038" xr:uid="{00000000-0005-0000-0000-00004CB50000}"/>
    <cellStyle name="Normal 7 3 5 3 2" xfId="46227" xr:uid="{00000000-0005-0000-0000-00004DB50000}"/>
    <cellStyle name="Normal 7 3 5 4" xfId="36529" xr:uid="{00000000-0005-0000-0000-00004EB50000}"/>
    <cellStyle name="Normal 7 3 6" xfId="17227" xr:uid="{00000000-0005-0000-0000-00004FB50000}"/>
    <cellStyle name="Normal 7 3 6 2" xfId="21682" xr:uid="{00000000-0005-0000-0000-000050B50000}"/>
    <cellStyle name="Normal 7 3 6 2 2" xfId="32050" xr:uid="{00000000-0005-0000-0000-000051B50000}"/>
    <cellStyle name="Normal 7 3 6 2 2 2" xfId="51239" xr:uid="{00000000-0005-0000-0000-000052B50000}"/>
    <cellStyle name="Normal 7 3 6 2 3" xfId="41541" xr:uid="{00000000-0005-0000-0000-000053B50000}"/>
    <cellStyle name="Normal 7 3 6 3" xfId="27595" xr:uid="{00000000-0005-0000-0000-000054B50000}"/>
    <cellStyle name="Normal 7 3 6 3 2" xfId="46784" xr:uid="{00000000-0005-0000-0000-000055B50000}"/>
    <cellStyle name="Normal 7 3 6 4" xfId="37086" xr:uid="{00000000-0005-0000-0000-000056B50000}"/>
    <cellStyle name="Normal 7 3 7" xfId="17784" xr:uid="{00000000-0005-0000-0000-000057B50000}"/>
    <cellStyle name="Normal 7 3 7 2" xfId="28152" xr:uid="{00000000-0005-0000-0000-000058B50000}"/>
    <cellStyle name="Normal 7 3 7 2 2" xfId="47341" xr:uid="{00000000-0005-0000-0000-000059B50000}"/>
    <cellStyle name="Normal 7 3 7 3" xfId="37643" xr:uid="{00000000-0005-0000-0000-00005AB50000}"/>
    <cellStyle name="Normal 7 3 8" xfId="23643" xr:uid="{00000000-0005-0000-0000-00005BB50000}"/>
    <cellStyle name="Normal 7 3 8 2" xfId="42886" xr:uid="{00000000-0005-0000-0000-00005CB50000}"/>
    <cellStyle name="Normal 7 3 9" xfId="33188" xr:uid="{00000000-0005-0000-0000-00005DB50000}"/>
    <cellStyle name="Normal 7 30" xfId="5281" xr:uid="{00000000-0005-0000-0000-00005EB50000}"/>
    <cellStyle name="Normal 7 31" xfId="5282" xr:uid="{00000000-0005-0000-0000-00005FB50000}"/>
    <cellStyle name="Normal 7 32" xfId="5283" xr:uid="{00000000-0005-0000-0000-000060B50000}"/>
    <cellStyle name="Normal 7 33" xfId="5284" xr:uid="{00000000-0005-0000-0000-000061B50000}"/>
    <cellStyle name="Normal 7 34" xfId="5285" xr:uid="{00000000-0005-0000-0000-000062B50000}"/>
    <cellStyle name="Normal 7 35" xfId="5286" xr:uid="{00000000-0005-0000-0000-000063B50000}"/>
    <cellStyle name="Normal 7 36" xfId="5287" xr:uid="{00000000-0005-0000-0000-000064B50000}"/>
    <cellStyle name="Normal 7 37" xfId="5288" xr:uid="{00000000-0005-0000-0000-000065B50000}"/>
    <cellStyle name="Normal 7 38" xfId="5289" xr:uid="{00000000-0005-0000-0000-000066B50000}"/>
    <cellStyle name="Normal 7 39" xfId="5254" xr:uid="{00000000-0005-0000-0000-000067B50000}"/>
    <cellStyle name="Normal 7 4" xfId="5290" xr:uid="{00000000-0005-0000-0000-000068B50000}"/>
    <cellStyle name="Normal 7 4 2" xfId="12524" xr:uid="{00000000-0005-0000-0000-000069B50000}"/>
    <cellStyle name="Normal 7 40" xfId="6015" xr:uid="{00000000-0005-0000-0000-00006AB50000}"/>
    <cellStyle name="Normal 7 41" xfId="5997" xr:uid="{00000000-0005-0000-0000-00006BB50000}"/>
    <cellStyle name="Normal 7 42" xfId="12073" xr:uid="{00000000-0005-0000-0000-00006CB50000}"/>
    <cellStyle name="Normal 7 5" xfId="5291" xr:uid="{00000000-0005-0000-0000-00006DB50000}"/>
    <cellStyle name="Normal 7 5 2" xfId="22460" xr:uid="{00000000-0005-0000-0000-00006EB50000}"/>
    <cellStyle name="Normal 7 6" xfId="5292" xr:uid="{00000000-0005-0000-0000-00006FB50000}"/>
    <cellStyle name="Normal 7 6 2" xfId="23276" xr:uid="{00000000-0005-0000-0000-000070B50000}"/>
    <cellStyle name="Normal 7 7" xfId="5293" xr:uid="{00000000-0005-0000-0000-000071B50000}"/>
    <cellStyle name="Normal 7 8" xfId="5294" xr:uid="{00000000-0005-0000-0000-000072B50000}"/>
    <cellStyle name="Normal 7 9" xfId="5295" xr:uid="{00000000-0005-0000-0000-000073B50000}"/>
    <cellStyle name="Normal 70" xfId="6031" xr:uid="{00000000-0005-0000-0000-000074B50000}"/>
    <cellStyle name="Normal 70 2" xfId="5296" xr:uid="{00000000-0005-0000-0000-000075B50000}"/>
    <cellStyle name="Normal 70 3" xfId="5297" xr:uid="{00000000-0005-0000-0000-000076B50000}"/>
    <cellStyle name="Normal 70 4" xfId="5298" xr:uid="{00000000-0005-0000-0000-000077B50000}"/>
    <cellStyle name="Normal 70 5" xfId="5299" xr:uid="{00000000-0005-0000-0000-000078B50000}"/>
    <cellStyle name="Normal 70 6" xfId="5300" xr:uid="{00000000-0005-0000-0000-000079B50000}"/>
    <cellStyle name="Normal 70 7" xfId="5301" xr:uid="{00000000-0005-0000-0000-00007AB50000}"/>
    <cellStyle name="Normal 70 8" xfId="5302" xr:uid="{00000000-0005-0000-0000-00007BB50000}"/>
    <cellStyle name="Normal 71" xfId="6034" xr:uid="{00000000-0005-0000-0000-00007CB50000}"/>
    <cellStyle name="Normal 71 2" xfId="5303" xr:uid="{00000000-0005-0000-0000-00007DB50000}"/>
    <cellStyle name="Normal 71 3" xfId="5304" xr:uid="{00000000-0005-0000-0000-00007EB50000}"/>
    <cellStyle name="Normal 71 4" xfId="5305" xr:uid="{00000000-0005-0000-0000-00007FB50000}"/>
    <cellStyle name="Normal 71 5" xfId="5306" xr:uid="{00000000-0005-0000-0000-000080B50000}"/>
    <cellStyle name="Normal 71 6" xfId="5307" xr:uid="{00000000-0005-0000-0000-000081B50000}"/>
    <cellStyle name="Normal 71 7" xfId="5308" xr:uid="{00000000-0005-0000-0000-000082B50000}"/>
    <cellStyle name="Normal 71 8" xfId="5309" xr:uid="{00000000-0005-0000-0000-000083B50000}"/>
    <cellStyle name="Normal 72" xfId="6035" xr:uid="{00000000-0005-0000-0000-000084B50000}"/>
    <cellStyle name="Normal 72 2" xfId="5310" xr:uid="{00000000-0005-0000-0000-000085B50000}"/>
    <cellStyle name="Normal 72 3" xfId="5311" xr:uid="{00000000-0005-0000-0000-000086B50000}"/>
    <cellStyle name="Normal 72 4" xfId="5312" xr:uid="{00000000-0005-0000-0000-000087B50000}"/>
    <cellStyle name="Normal 72 5" xfId="5313" xr:uid="{00000000-0005-0000-0000-000088B50000}"/>
    <cellStyle name="Normal 72 6" xfId="5314" xr:uid="{00000000-0005-0000-0000-000089B50000}"/>
    <cellStyle name="Normal 72 7" xfId="5315" xr:uid="{00000000-0005-0000-0000-00008AB50000}"/>
    <cellStyle name="Normal 72 8" xfId="5316" xr:uid="{00000000-0005-0000-0000-00008BB50000}"/>
    <cellStyle name="Normal 73" xfId="7915" xr:uid="{00000000-0005-0000-0000-00008CB50000}"/>
    <cellStyle name="Normal 73 2" xfId="5317" xr:uid="{00000000-0005-0000-0000-00008DB50000}"/>
    <cellStyle name="Normal 73 3" xfId="5318" xr:uid="{00000000-0005-0000-0000-00008EB50000}"/>
    <cellStyle name="Normal 73 4" xfId="5319" xr:uid="{00000000-0005-0000-0000-00008FB50000}"/>
    <cellStyle name="Normal 73 5" xfId="5320" xr:uid="{00000000-0005-0000-0000-000090B50000}"/>
    <cellStyle name="Normal 73 6" xfId="5321" xr:uid="{00000000-0005-0000-0000-000091B50000}"/>
    <cellStyle name="Normal 73 7" xfId="5322" xr:uid="{00000000-0005-0000-0000-000092B50000}"/>
    <cellStyle name="Normal 73 8" xfId="5323" xr:uid="{00000000-0005-0000-0000-000093B50000}"/>
    <cellStyle name="Normal 74" xfId="7596" xr:uid="{00000000-0005-0000-0000-000094B50000}"/>
    <cellStyle name="Normal 74 2" xfId="5324" xr:uid="{00000000-0005-0000-0000-000095B50000}"/>
    <cellStyle name="Normal 74 3" xfId="5325" xr:uid="{00000000-0005-0000-0000-000096B50000}"/>
    <cellStyle name="Normal 74 4" xfId="5326" xr:uid="{00000000-0005-0000-0000-000097B50000}"/>
    <cellStyle name="Normal 74 5" xfId="5327" xr:uid="{00000000-0005-0000-0000-000098B50000}"/>
    <cellStyle name="Normal 74 6" xfId="5328" xr:uid="{00000000-0005-0000-0000-000099B50000}"/>
    <cellStyle name="Normal 74 7" xfId="5329" xr:uid="{00000000-0005-0000-0000-00009AB50000}"/>
    <cellStyle name="Normal 74 8" xfId="5330" xr:uid="{00000000-0005-0000-0000-00009BB50000}"/>
    <cellStyle name="Normal 75" xfId="7598" xr:uid="{00000000-0005-0000-0000-00009CB50000}"/>
    <cellStyle name="Normal 75 2" xfId="5331" xr:uid="{00000000-0005-0000-0000-00009DB50000}"/>
    <cellStyle name="Normal 75 3" xfId="5332" xr:uid="{00000000-0005-0000-0000-00009EB50000}"/>
    <cellStyle name="Normal 75 4" xfId="5333" xr:uid="{00000000-0005-0000-0000-00009FB50000}"/>
    <cellStyle name="Normal 75 5" xfId="5334" xr:uid="{00000000-0005-0000-0000-0000A0B50000}"/>
    <cellStyle name="Normal 75 6" xfId="5335" xr:uid="{00000000-0005-0000-0000-0000A1B50000}"/>
    <cellStyle name="Normal 75 7" xfId="5336" xr:uid="{00000000-0005-0000-0000-0000A2B50000}"/>
    <cellStyle name="Normal 75 8" xfId="5337" xr:uid="{00000000-0005-0000-0000-0000A3B50000}"/>
    <cellStyle name="Normal 76" xfId="5338" xr:uid="{00000000-0005-0000-0000-0000A4B50000}"/>
    <cellStyle name="Normal 77" xfId="5339" xr:uid="{00000000-0005-0000-0000-0000A5B50000}"/>
    <cellStyle name="Normal 77 2" xfId="7593" xr:uid="{00000000-0005-0000-0000-0000A6B50000}"/>
    <cellStyle name="Normal 78" xfId="7600" xr:uid="{00000000-0005-0000-0000-0000A7B50000}"/>
    <cellStyle name="Normal 79" xfId="7599" xr:uid="{00000000-0005-0000-0000-0000A8B50000}"/>
    <cellStyle name="Normal 79 2" xfId="22267" xr:uid="{00000000-0005-0000-0000-0000A9B50000}"/>
    <cellStyle name="Normal 8" xfId="1227" xr:uid="{00000000-0005-0000-0000-0000AAB50000}"/>
    <cellStyle name="Normal-- 8" xfId="5341" xr:uid="{00000000-0005-0000-0000-0000ABB50000}"/>
    <cellStyle name="Normal 8 10" xfId="5342" xr:uid="{00000000-0005-0000-0000-0000ACB50000}"/>
    <cellStyle name="Normal 8 11" xfId="5343" xr:uid="{00000000-0005-0000-0000-0000ADB50000}"/>
    <cellStyle name="Normal 8 12" xfId="5344" xr:uid="{00000000-0005-0000-0000-0000AEB50000}"/>
    <cellStyle name="Normal 8 13" xfId="5345" xr:uid="{00000000-0005-0000-0000-0000AFB50000}"/>
    <cellStyle name="Normal 8 14" xfId="5346" xr:uid="{00000000-0005-0000-0000-0000B0B50000}"/>
    <cellStyle name="Normal 8 15" xfId="5347" xr:uid="{00000000-0005-0000-0000-0000B1B50000}"/>
    <cellStyle name="Normal 8 16" xfId="5348" xr:uid="{00000000-0005-0000-0000-0000B2B50000}"/>
    <cellStyle name="Normal 8 17" xfId="5349" xr:uid="{00000000-0005-0000-0000-0000B3B50000}"/>
    <cellStyle name="Normal 8 18" xfId="5350" xr:uid="{00000000-0005-0000-0000-0000B4B50000}"/>
    <cellStyle name="Normal 8 19" xfId="5351" xr:uid="{00000000-0005-0000-0000-0000B5B50000}"/>
    <cellStyle name="Normal 8 2" xfId="5352" xr:uid="{00000000-0005-0000-0000-0000B6B50000}"/>
    <cellStyle name="Normal 8 2 2" xfId="5353" xr:uid="{00000000-0005-0000-0000-0000B7B50000}"/>
    <cellStyle name="Normal 8 2 2 10" xfId="13454" xr:uid="{00000000-0005-0000-0000-0000B8B50000}"/>
    <cellStyle name="Normal 8 2 2 2" xfId="14311" xr:uid="{00000000-0005-0000-0000-0000B9B50000}"/>
    <cellStyle name="Normal 8 2 2 2 2" xfId="16574" xr:uid="{00000000-0005-0000-0000-0000BAB50000}"/>
    <cellStyle name="Normal 8 2 2 2 2 2" xfId="21038" xr:uid="{00000000-0005-0000-0000-0000BBB50000}"/>
    <cellStyle name="Normal 8 2 2 2 2 2 2" xfId="31406" xr:uid="{00000000-0005-0000-0000-0000BCB50000}"/>
    <cellStyle name="Normal 8 2 2 2 2 2 2 2" xfId="50595" xr:uid="{00000000-0005-0000-0000-0000BDB50000}"/>
    <cellStyle name="Normal 8 2 2 2 2 2 3" xfId="40897" xr:uid="{00000000-0005-0000-0000-0000BEB50000}"/>
    <cellStyle name="Normal 8 2 2 2 2 3" xfId="26951" xr:uid="{00000000-0005-0000-0000-0000BFB50000}"/>
    <cellStyle name="Normal 8 2 2 2 2 3 2" xfId="46140" xr:uid="{00000000-0005-0000-0000-0000C0B50000}"/>
    <cellStyle name="Normal 8 2 2 2 2 4" xfId="36442" xr:uid="{00000000-0005-0000-0000-0000C1B50000}"/>
    <cellStyle name="Normal 8 2 2 2 3" xfId="18810" xr:uid="{00000000-0005-0000-0000-0000C2B50000}"/>
    <cellStyle name="Normal 8 2 2 2 3 2" xfId="29178" xr:uid="{00000000-0005-0000-0000-0000C3B50000}"/>
    <cellStyle name="Normal 8 2 2 2 3 2 2" xfId="48367" xr:uid="{00000000-0005-0000-0000-0000C4B50000}"/>
    <cellStyle name="Normal 8 2 2 2 3 3" xfId="38669" xr:uid="{00000000-0005-0000-0000-0000C5B50000}"/>
    <cellStyle name="Normal 8 2 2 2 4" xfId="24718" xr:uid="{00000000-0005-0000-0000-0000C6B50000}"/>
    <cellStyle name="Normal 8 2 2 2 4 2" xfId="43912" xr:uid="{00000000-0005-0000-0000-0000C7B50000}"/>
    <cellStyle name="Normal 8 2 2 2 5" xfId="34214" xr:uid="{00000000-0005-0000-0000-0000C8B50000}"/>
    <cellStyle name="Normal 8 2 2 3" xfId="14890" xr:uid="{00000000-0005-0000-0000-0000C9B50000}"/>
    <cellStyle name="Normal 8 2 2 3 2" xfId="16018" xr:uid="{00000000-0005-0000-0000-0000CAB50000}"/>
    <cellStyle name="Normal 8 2 2 3 2 2" xfId="20482" xr:uid="{00000000-0005-0000-0000-0000CBB50000}"/>
    <cellStyle name="Normal 8 2 2 3 2 2 2" xfId="30850" xr:uid="{00000000-0005-0000-0000-0000CCB50000}"/>
    <cellStyle name="Normal 8 2 2 3 2 2 2 2" xfId="50039" xr:uid="{00000000-0005-0000-0000-0000CDB50000}"/>
    <cellStyle name="Normal 8 2 2 3 2 2 3" xfId="40341" xr:uid="{00000000-0005-0000-0000-0000CEB50000}"/>
    <cellStyle name="Normal 8 2 2 3 2 3" xfId="26395" xr:uid="{00000000-0005-0000-0000-0000CFB50000}"/>
    <cellStyle name="Normal 8 2 2 3 2 3 2" xfId="45584" xr:uid="{00000000-0005-0000-0000-0000D0B50000}"/>
    <cellStyle name="Normal 8 2 2 3 2 4" xfId="35886" xr:uid="{00000000-0005-0000-0000-0000D1B50000}"/>
    <cellStyle name="Normal 8 2 2 3 3" xfId="19367" xr:uid="{00000000-0005-0000-0000-0000D2B50000}"/>
    <cellStyle name="Normal 8 2 2 3 3 2" xfId="29735" xr:uid="{00000000-0005-0000-0000-0000D3B50000}"/>
    <cellStyle name="Normal 8 2 2 3 3 2 2" xfId="48924" xr:uid="{00000000-0005-0000-0000-0000D4B50000}"/>
    <cellStyle name="Normal 8 2 2 3 3 3" xfId="39226" xr:uid="{00000000-0005-0000-0000-0000D5B50000}"/>
    <cellStyle name="Normal 8 2 2 3 4" xfId="25280" xr:uid="{00000000-0005-0000-0000-0000D6B50000}"/>
    <cellStyle name="Normal 8 2 2 3 4 2" xfId="44469" xr:uid="{00000000-0005-0000-0000-0000D7B50000}"/>
    <cellStyle name="Normal 8 2 2 3 5" xfId="34771" xr:uid="{00000000-0005-0000-0000-0000D8B50000}"/>
    <cellStyle name="Normal 8 2 2 4" xfId="15461" xr:uid="{00000000-0005-0000-0000-0000D9B50000}"/>
    <cellStyle name="Normal 8 2 2 4 2" xfId="19925" xr:uid="{00000000-0005-0000-0000-0000DAB50000}"/>
    <cellStyle name="Normal 8 2 2 4 2 2" xfId="30293" xr:uid="{00000000-0005-0000-0000-0000DBB50000}"/>
    <cellStyle name="Normal 8 2 2 4 2 2 2" xfId="49482" xr:uid="{00000000-0005-0000-0000-0000DCB50000}"/>
    <cellStyle name="Normal 8 2 2 4 2 3" xfId="39784" xr:uid="{00000000-0005-0000-0000-0000DDB50000}"/>
    <cellStyle name="Normal 8 2 2 4 3" xfId="25838" xr:uid="{00000000-0005-0000-0000-0000DEB50000}"/>
    <cellStyle name="Normal 8 2 2 4 3 2" xfId="45027" xr:uid="{00000000-0005-0000-0000-0000DFB50000}"/>
    <cellStyle name="Normal 8 2 2 4 4" xfId="35329" xr:uid="{00000000-0005-0000-0000-0000E0B50000}"/>
    <cellStyle name="Normal 8 2 2 5" xfId="17131" xr:uid="{00000000-0005-0000-0000-0000E1B50000}"/>
    <cellStyle name="Normal 8 2 2 5 2" xfId="21595" xr:uid="{00000000-0005-0000-0000-0000E2B50000}"/>
    <cellStyle name="Normal 8 2 2 5 2 2" xfId="31963" xr:uid="{00000000-0005-0000-0000-0000E3B50000}"/>
    <cellStyle name="Normal 8 2 2 5 2 2 2" xfId="51152" xr:uid="{00000000-0005-0000-0000-0000E4B50000}"/>
    <cellStyle name="Normal 8 2 2 5 2 3" xfId="41454" xr:uid="{00000000-0005-0000-0000-0000E5B50000}"/>
    <cellStyle name="Normal 8 2 2 5 3" xfId="27508" xr:uid="{00000000-0005-0000-0000-0000E6B50000}"/>
    <cellStyle name="Normal 8 2 2 5 3 2" xfId="46697" xr:uid="{00000000-0005-0000-0000-0000E7B50000}"/>
    <cellStyle name="Normal 8 2 2 5 4" xfId="36999" xr:uid="{00000000-0005-0000-0000-0000E8B50000}"/>
    <cellStyle name="Normal 8 2 2 6" xfId="17697" xr:uid="{00000000-0005-0000-0000-0000E9B50000}"/>
    <cellStyle name="Normal 8 2 2 6 2" xfId="22152" xr:uid="{00000000-0005-0000-0000-0000EAB50000}"/>
    <cellStyle name="Normal 8 2 2 6 2 2" xfId="32520" xr:uid="{00000000-0005-0000-0000-0000EBB50000}"/>
    <cellStyle name="Normal 8 2 2 6 2 2 2" xfId="51709" xr:uid="{00000000-0005-0000-0000-0000ECB50000}"/>
    <cellStyle name="Normal 8 2 2 6 2 3" xfId="42011" xr:uid="{00000000-0005-0000-0000-0000EDB50000}"/>
    <cellStyle name="Normal 8 2 2 6 3" xfId="28065" xr:uid="{00000000-0005-0000-0000-0000EEB50000}"/>
    <cellStyle name="Normal 8 2 2 6 3 2" xfId="47254" xr:uid="{00000000-0005-0000-0000-0000EFB50000}"/>
    <cellStyle name="Normal 8 2 2 6 4" xfId="37556" xr:uid="{00000000-0005-0000-0000-0000F0B50000}"/>
    <cellStyle name="Normal 8 2 2 7" xfId="18254" xr:uid="{00000000-0005-0000-0000-0000F1B50000}"/>
    <cellStyle name="Normal 8 2 2 7 2" xfId="28622" xr:uid="{00000000-0005-0000-0000-0000F2B50000}"/>
    <cellStyle name="Normal 8 2 2 7 2 2" xfId="47811" xr:uid="{00000000-0005-0000-0000-0000F3B50000}"/>
    <cellStyle name="Normal 8 2 2 7 3" xfId="38113" xr:uid="{00000000-0005-0000-0000-0000F4B50000}"/>
    <cellStyle name="Normal 8 2 2 8" xfId="24136" xr:uid="{00000000-0005-0000-0000-0000F5B50000}"/>
    <cellStyle name="Normal 8 2 2 8 2" xfId="43356" xr:uid="{00000000-0005-0000-0000-0000F6B50000}"/>
    <cellStyle name="Normal 8 2 2 9" xfId="33658" xr:uid="{00000000-0005-0000-0000-0000F7B50000}"/>
    <cellStyle name="Normal 8 2 3" xfId="13722" xr:uid="{00000000-0005-0000-0000-0000F8B50000}"/>
    <cellStyle name="Normal 8 2 4" xfId="12526" xr:uid="{00000000-0005-0000-0000-0000F9B50000}"/>
    <cellStyle name="Normal 8 20" xfId="5354" xr:uid="{00000000-0005-0000-0000-0000FAB50000}"/>
    <cellStyle name="Normal 8 21" xfId="5355" xr:uid="{00000000-0005-0000-0000-0000FBB50000}"/>
    <cellStyle name="Normal 8 21 2" xfId="5356" xr:uid="{00000000-0005-0000-0000-0000FCB50000}"/>
    <cellStyle name="Normal 8 21 2 2" xfId="5357" xr:uid="{00000000-0005-0000-0000-0000FDB50000}"/>
    <cellStyle name="Normal 8 21 2 2 2" xfId="5358" xr:uid="{00000000-0005-0000-0000-0000FEB50000}"/>
    <cellStyle name="Normal 8 21 2 3" xfId="5359" xr:uid="{00000000-0005-0000-0000-0000FFB50000}"/>
    <cellStyle name="Normal 8 21 3" xfId="5360" xr:uid="{00000000-0005-0000-0000-000000B60000}"/>
    <cellStyle name="Normal 8 21 3 2" xfId="5361" xr:uid="{00000000-0005-0000-0000-000001B60000}"/>
    <cellStyle name="Normal 8 21 4" xfId="5362" xr:uid="{00000000-0005-0000-0000-000002B60000}"/>
    <cellStyle name="Normal 8 22" xfId="5363" xr:uid="{00000000-0005-0000-0000-000003B60000}"/>
    <cellStyle name="Normal 8 22 2" xfId="5364" xr:uid="{00000000-0005-0000-0000-000004B60000}"/>
    <cellStyle name="Normal 8 22 2 2" xfId="5365" xr:uid="{00000000-0005-0000-0000-000005B60000}"/>
    <cellStyle name="Normal 8 22 2 2 2" xfId="5366" xr:uid="{00000000-0005-0000-0000-000006B60000}"/>
    <cellStyle name="Normal 8 22 2 3" xfId="5367" xr:uid="{00000000-0005-0000-0000-000007B60000}"/>
    <cellStyle name="Normal 8 22 3" xfId="5368" xr:uid="{00000000-0005-0000-0000-000008B60000}"/>
    <cellStyle name="Normal 8 22 3 2" xfId="5369" xr:uid="{00000000-0005-0000-0000-000009B60000}"/>
    <cellStyle name="Normal 8 22 4" xfId="5370" xr:uid="{00000000-0005-0000-0000-00000AB60000}"/>
    <cellStyle name="Normal 8 23" xfId="5371" xr:uid="{00000000-0005-0000-0000-00000BB60000}"/>
    <cellStyle name="Normal 8 23 2" xfId="5372" xr:uid="{00000000-0005-0000-0000-00000CB60000}"/>
    <cellStyle name="Normal 8 23 2 2" xfId="5373" xr:uid="{00000000-0005-0000-0000-00000DB60000}"/>
    <cellStyle name="Normal 8 23 3" xfId="5374" xr:uid="{00000000-0005-0000-0000-00000EB60000}"/>
    <cellStyle name="Normal 8 24" xfId="5375" xr:uid="{00000000-0005-0000-0000-00000FB60000}"/>
    <cellStyle name="Normal 8 24 2" xfId="5376" xr:uid="{00000000-0005-0000-0000-000010B60000}"/>
    <cellStyle name="Normal 8 25" xfId="5377" xr:uid="{00000000-0005-0000-0000-000011B60000}"/>
    <cellStyle name="Normal 8 26" xfId="5378" xr:uid="{00000000-0005-0000-0000-000012B60000}"/>
    <cellStyle name="Normal 8 27" xfId="5379" xr:uid="{00000000-0005-0000-0000-000013B60000}"/>
    <cellStyle name="Normal 8 28" xfId="5380" xr:uid="{00000000-0005-0000-0000-000014B60000}"/>
    <cellStyle name="Normal 8 29" xfId="5381" xr:uid="{00000000-0005-0000-0000-000015B60000}"/>
    <cellStyle name="Normal 8 3" xfId="5382" xr:uid="{00000000-0005-0000-0000-000016B60000}"/>
    <cellStyle name="Normal 8 3 10" xfId="12876" xr:uid="{00000000-0005-0000-0000-000017B60000}"/>
    <cellStyle name="Normal 8 3 2" xfId="5383" xr:uid="{00000000-0005-0000-0000-000018B60000}"/>
    <cellStyle name="Normal 8 3 2 2" xfId="16105" xr:uid="{00000000-0005-0000-0000-000019B60000}"/>
    <cellStyle name="Normal 8 3 2 2 2" xfId="20569" xr:uid="{00000000-0005-0000-0000-00001AB60000}"/>
    <cellStyle name="Normal 8 3 2 2 2 2" xfId="30937" xr:uid="{00000000-0005-0000-0000-00001BB60000}"/>
    <cellStyle name="Normal 8 3 2 2 2 2 2" xfId="50126" xr:uid="{00000000-0005-0000-0000-00001CB60000}"/>
    <cellStyle name="Normal 8 3 2 2 2 3" xfId="40428" xr:uid="{00000000-0005-0000-0000-00001DB60000}"/>
    <cellStyle name="Normal 8 3 2 2 3" xfId="26482" xr:uid="{00000000-0005-0000-0000-00001EB60000}"/>
    <cellStyle name="Normal 8 3 2 2 3 2" xfId="45671" xr:uid="{00000000-0005-0000-0000-00001FB60000}"/>
    <cellStyle name="Normal 8 3 2 2 4" xfId="35973" xr:uid="{00000000-0005-0000-0000-000020B60000}"/>
    <cellStyle name="Normal 8 3 2 3" xfId="18341" xr:uid="{00000000-0005-0000-0000-000021B60000}"/>
    <cellStyle name="Normal 8 3 2 3 2" xfId="28709" xr:uid="{00000000-0005-0000-0000-000022B60000}"/>
    <cellStyle name="Normal 8 3 2 3 2 2" xfId="47898" xr:uid="{00000000-0005-0000-0000-000023B60000}"/>
    <cellStyle name="Normal 8 3 2 3 3" xfId="38200" xr:uid="{00000000-0005-0000-0000-000024B60000}"/>
    <cellStyle name="Normal 8 3 2 4" xfId="24249" xr:uid="{00000000-0005-0000-0000-000025B60000}"/>
    <cellStyle name="Normal 8 3 2 4 2" xfId="43443" xr:uid="{00000000-0005-0000-0000-000026B60000}"/>
    <cellStyle name="Normal 8 3 2 5" xfId="33745" xr:uid="{00000000-0005-0000-0000-000027B60000}"/>
    <cellStyle name="Normal 8 3 2 6" xfId="13841" xr:uid="{00000000-0005-0000-0000-000028B60000}"/>
    <cellStyle name="Normal 8 3 3" xfId="14420" xr:uid="{00000000-0005-0000-0000-000029B60000}"/>
    <cellStyle name="Normal 8 3 3 2" xfId="15549" xr:uid="{00000000-0005-0000-0000-00002AB60000}"/>
    <cellStyle name="Normal 8 3 3 2 2" xfId="20013" xr:uid="{00000000-0005-0000-0000-00002BB60000}"/>
    <cellStyle name="Normal 8 3 3 2 2 2" xfId="30381" xr:uid="{00000000-0005-0000-0000-00002CB60000}"/>
    <cellStyle name="Normal 8 3 3 2 2 2 2" xfId="49570" xr:uid="{00000000-0005-0000-0000-00002DB60000}"/>
    <cellStyle name="Normal 8 3 3 2 2 3" xfId="39872" xr:uid="{00000000-0005-0000-0000-00002EB60000}"/>
    <cellStyle name="Normal 8 3 3 2 3" xfId="25926" xr:uid="{00000000-0005-0000-0000-00002FB60000}"/>
    <cellStyle name="Normal 8 3 3 2 3 2" xfId="45115" xr:uid="{00000000-0005-0000-0000-000030B60000}"/>
    <cellStyle name="Normal 8 3 3 2 4" xfId="35417" xr:uid="{00000000-0005-0000-0000-000031B60000}"/>
    <cellStyle name="Normal 8 3 3 3" xfId="18898" xr:uid="{00000000-0005-0000-0000-000032B60000}"/>
    <cellStyle name="Normal 8 3 3 3 2" xfId="29266" xr:uid="{00000000-0005-0000-0000-000033B60000}"/>
    <cellStyle name="Normal 8 3 3 3 2 2" xfId="48455" xr:uid="{00000000-0005-0000-0000-000034B60000}"/>
    <cellStyle name="Normal 8 3 3 3 3" xfId="38757" xr:uid="{00000000-0005-0000-0000-000035B60000}"/>
    <cellStyle name="Normal 8 3 3 4" xfId="24811" xr:uid="{00000000-0005-0000-0000-000036B60000}"/>
    <cellStyle name="Normal 8 3 3 4 2" xfId="44000" xr:uid="{00000000-0005-0000-0000-000037B60000}"/>
    <cellStyle name="Normal 8 3 3 5" xfId="34302" xr:uid="{00000000-0005-0000-0000-000038B60000}"/>
    <cellStyle name="Normal 8 3 4" xfId="14992" xr:uid="{00000000-0005-0000-0000-000039B60000}"/>
    <cellStyle name="Normal 8 3 4 2" xfId="19456" xr:uid="{00000000-0005-0000-0000-00003AB60000}"/>
    <cellStyle name="Normal 8 3 4 2 2" xfId="29824" xr:uid="{00000000-0005-0000-0000-00003BB60000}"/>
    <cellStyle name="Normal 8 3 4 2 2 2" xfId="49013" xr:uid="{00000000-0005-0000-0000-00003CB60000}"/>
    <cellStyle name="Normal 8 3 4 2 3" xfId="39315" xr:uid="{00000000-0005-0000-0000-00003DB60000}"/>
    <cellStyle name="Normal 8 3 4 3" xfId="25369" xr:uid="{00000000-0005-0000-0000-00003EB60000}"/>
    <cellStyle name="Normal 8 3 4 3 2" xfId="44558" xr:uid="{00000000-0005-0000-0000-00003FB60000}"/>
    <cellStyle name="Normal 8 3 4 4" xfId="34860" xr:uid="{00000000-0005-0000-0000-000040B60000}"/>
    <cellStyle name="Normal 8 3 5" xfId="16662" xr:uid="{00000000-0005-0000-0000-000041B60000}"/>
    <cellStyle name="Normal 8 3 5 2" xfId="21126" xr:uid="{00000000-0005-0000-0000-000042B60000}"/>
    <cellStyle name="Normal 8 3 5 2 2" xfId="31494" xr:uid="{00000000-0005-0000-0000-000043B60000}"/>
    <cellStyle name="Normal 8 3 5 2 2 2" xfId="50683" xr:uid="{00000000-0005-0000-0000-000044B60000}"/>
    <cellStyle name="Normal 8 3 5 2 3" xfId="40985" xr:uid="{00000000-0005-0000-0000-000045B60000}"/>
    <cellStyle name="Normal 8 3 5 3" xfId="27039" xr:uid="{00000000-0005-0000-0000-000046B60000}"/>
    <cellStyle name="Normal 8 3 5 3 2" xfId="46228" xr:uid="{00000000-0005-0000-0000-000047B60000}"/>
    <cellStyle name="Normal 8 3 5 4" xfId="36530" xr:uid="{00000000-0005-0000-0000-000048B60000}"/>
    <cellStyle name="Normal 8 3 6" xfId="17228" xr:uid="{00000000-0005-0000-0000-000049B60000}"/>
    <cellStyle name="Normal 8 3 6 2" xfId="21683" xr:uid="{00000000-0005-0000-0000-00004AB60000}"/>
    <cellStyle name="Normal 8 3 6 2 2" xfId="32051" xr:uid="{00000000-0005-0000-0000-00004BB60000}"/>
    <cellStyle name="Normal 8 3 6 2 2 2" xfId="51240" xr:uid="{00000000-0005-0000-0000-00004CB60000}"/>
    <cellStyle name="Normal 8 3 6 2 3" xfId="41542" xr:uid="{00000000-0005-0000-0000-00004DB60000}"/>
    <cellStyle name="Normal 8 3 6 3" xfId="27596" xr:uid="{00000000-0005-0000-0000-00004EB60000}"/>
    <cellStyle name="Normal 8 3 6 3 2" xfId="46785" xr:uid="{00000000-0005-0000-0000-00004FB60000}"/>
    <cellStyle name="Normal 8 3 6 4" xfId="37087" xr:uid="{00000000-0005-0000-0000-000050B60000}"/>
    <cellStyle name="Normal 8 3 7" xfId="17785" xr:uid="{00000000-0005-0000-0000-000051B60000}"/>
    <cellStyle name="Normal 8 3 7 2" xfId="28153" xr:uid="{00000000-0005-0000-0000-000052B60000}"/>
    <cellStyle name="Normal 8 3 7 2 2" xfId="47342" xr:uid="{00000000-0005-0000-0000-000053B60000}"/>
    <cellStyle name="Normal 8 3 7 3" xfId="37644" xr:uid="{00000000-0005-0000-0000-000054B60000}"/>
    <cellStyle name="Normal 8 3 8" xfId="23644" xr:uid="{00000000-0005-0000-0000-000055B60000}"/>
    <cellStyle name="Normal 8 3 8 2" xfId="42887" xr:uid="{00000000-0005-0000-0000-000056B60000}"/>
    <cellStyle name="Normal 8 3 9" xfId="33189" xr:uid="{00000000-0005-0000-0000-000057B60000}"/>
    <cellStyle name="Normal 8 30" xfId="5384" xr:uid="{00000000-0005-0000-0000-000058B60000}"/>
    <cellStyle name="Normal 8 31" xfId="5385" xr:uid="{00000000-0005-0000-0000-000059B60000}"/>
    <cellStyle name="Normal 8 32" xfId="5386" xr:uid="{00000000-0005-0000-0000-00005AB60000}"/>
    <cellStyle name="Normal 8 33" xfId="5387" xr:uid="{00000000-0005-0000-0000-00005BB60000}"/>
    <cellStyle name="Normal 8 34" xfId="5388" xr:uid="{00000000-0005-0000-0000-00005CB60000}"/>
    <cellStyle name="Normal 8 35" xfId="5389" xr:uid="{00000000-0005-0000-0000-00005DB60000}"/>
    <cellStyle name="Normal 8 36" xfId="5390" xr:uid="{00000000-0005-0000-0000-00005EB60000}"/>
    <cellStyle name="Normal 8 37" xfId="5391" xr:uid="{00000000-0005-0000-0000-00005FB60000}"/>
    <cellStyle name="Normal 8 38" xfId="5392" xr:uid="{00000000-0005-0000-0000-000060B60000}"/>
    <cellStyle name="Normal 8 39" xfId="5393" xr:uid="{00000000-0005-0000-0000-000061B60000}"/>
    <cellStyle name="Normal 8 4" xfId="5394" xr:uid="{00000000-0005-0000-0000-000062B60000}"/>
    <cellStyle name="Normal 8 4 10" xfId="13421" xr:uid="{00000000-0005-0000-0000-000063B60000}"/>
    <cellStyle name="Normal 8 4 2" xfId="14300" xr:uid="{00000000-0005-0000-0000-000064B60000}"/>
    <cellStyle name="Normal 8 4 2 2" xfId="16563" xr:uid="{00000000-0005-0000-0000-000065B60000}"/>
    <cellStyle name="Normal 8 4 2 2 2" xfId="21027" xr:uid="{00000000-0005-0000-0000-000066B60000}"/>
    <cellStyle name="Normal 8 4 2 2 2 2" xfId="31395" xr:uid="{00000000-0005-0000-0000-000067B60000}"/>
    <cellStyle name="Normal 8 4 2 2 2 2 2" xfId="50584" xr:uid="{00000000-0005-0000-0000-000068B60000}"/>
    <cellStyle name="Normal 8 4 2 2 2 3" xfId="40886" xr:uid="{00000000-0005-0000-0000-000069B60000}"/>
    <cellStyle name="Normal 8 4 2 2 3" xfId="26940" xr:uid="{00000000-0005-0000-0000-00006AB60000}"/>
    <cellStyle name="Normal 8 4 2 2 3 2" xfId="46129" xr:uid="{00000000-0005-0000-0000-00006BB60000}"/>
    <cellStyle name="Normal 8 4 2 2 4" xfId="36431" xr:uid="{00000000-0005-0000-0000-00006CB60000}"/>
    <cellStyle name="Normal 8 4 2 3" xfId="18799" xr:uid="{00000000-0005-0000-0000-00006DB60000}"/>
    <cellStyle name="Normal 8 4 2 3 2" xfId="29167" xr:uid="{00000000-0005-0000-0000-00006EB60000}"/>
    <cellStyle name="Normal 8 4 2 3 2 2" xfId="48356" xr:uid="{00000000-0005-0000-0000-00006FB60000}"/>
    <cellStyle name="Normal 8 4 2 3 3" xfId="38658" xr:uid="{00000000-0005-0000-0000-000070B60000}"/>
    <cellStyle name="Normal 8 4 2 4" xfId="24707" xr:uid="{00000000-0005-0000-0000-000071B60000}"/>
    <cellStyle name="Normal 8 4 2 4 2" xfId="43901" xr:uid="{00000000-0005-0000-0000-000072B60000}"/>
    <cellStyle name="Normal 8 4 2 5" xfId="34203" xr:uid="{00000000-0005-0000-0000-000073B60000}"/>
    <cellStyle name="Normal 8 4 3" xfId="14879" xr:uid="{00000000-0005-0000-0000-000074B60000}"/>
    <cellStyle name="Normal 8 4 3 2" xfId="16007" xr:uid="{00000000-0005-0000-0000-000075B60000}"/>
    <cellStyle name="Normal 8 4 3 2 2" xfId="20471" xr:uid="{00000000-0005-0000-0000-000076B60000}"/>
    <cellStyle name="Normal 8 4 3 2 2 2" xfId="30839" xr:uid="{00000000-0005-0000-0000-000077B60000}"/>
    <cellStyle name="Normal 8 4 3 2 2 2 2" xfId="50028" xr:uid="{00000000-0005-0000-0000-000078B60000}"/>
    <cellStyle name="Normal 8 4 3 2 2 3" xfId="40330" xr:uid="{00000000-0005-0000-0000-000079B60000}"/>
    <cellStyle name="Normal 8 4 3 2 3" xfId="26384" xr:uid="{00000000-0005-0000-0000-00007AB60000}"/>
    <cellStyle name="Normal 8 4 3 2 3 2" xfId="45573" xr:uid="{00000000-0005-0000-0000-00007BB60000}"/>
    <cellStyle name="Normal 8 4 3 2 4" xfId="35875" xr:uid="{00000000-0005-0000-0000-00007CB60000}"/>
    <cellStyle name="Normal 8 4 3 3" xfId="19356" xr:uid="{00000000-0005-0000-0000-00007DB60000}"/>
    <cellStyle name="Normal 8 4 3 3 2" xfId="29724" xr:uid="{00000000-0005-0000-0000-00007EB60000}"/>
    <cellStyle name="Normal 8 4 3 3 2 2" xfId="48913" xr:uid="{00000000-0005-0000-0000-00007FB60000}"/>
    <cellStyle name="Normal 8 4 3 3 3" xfId="39215" xr:uid="{00000000-0005-0000-0000-000080B60000}"/>
    <cellStyle name="Normal 8 4 3 4" xfId="25269" xr:uid="{00000000-0005-0000-0000-000081B60000}"/>
    <cellStyle name="Normal 8 4 3 4 2" xfId="44458" xr:uid="{00000000-0005-0000-0000-000082B60000}"/>
    <cellStyle name="Normal 8 4 3 5" xfId="34760" xr:uid="{00000000-0005-0000-0000-000083B60000}"/>
    <cellStyle name="Normal 8 4 4" xfId="15450" xr:uid="{00000000-0005-0000-0000-000084B60000}"/>
    <cellStyle name="Normal 8 4 4 2" xfId="19914" xr:uid="{00000000-0005-0000-0000-000085B60000}"/>
    <cellStyle name="Normal 8 4 4 2 2" xfId="30282" xr:uid="{00000000-0005-0000-0000-000086B60000}"/>
    <cellStyle name="Normal 8 4 4 2 2 2" xfId="49471" xr:uid="{00000000-0005-0000-0000-000087B60000}"/>
    <cellStyle name="Normal 8 4 4 2 3" xfId="39773" xr:uid="{00000000-0005-0000-0000-000088B60000}"/>
    <cellStyle name="Normal 8 4 4 3" xfId="25827" xr:uid="{00000000-0005-0000-0000-000089B60000}"/>
    <cellStyle name="Normal 8 4 4 3 2" xfId="45016" xr:uid="{00000000-0005-0000-0000-00008AB60000}"/>
    <cellStyle name="Normal 8 4 4 4" xfId="35318" xr:uid="{00000000-0005-0000-0000-00008BB60000}"/>
    <cellStyle name="Normal 8 4 5" xfId="17120" xr:uid="{00000000-0005-0000-0000-00008CB60000}"/>
    <cellStyle name="Normal 8 4 5 2" xfId="21584" xr:uid="{00000000-0005-0000-0000-00008DB60000}"/>
    <cellStyle name="Normal 8 4 5 2 2" xfId="31952" xr:uid="{00000000-0005-0000-0000-00008EB60000}"/>
    <cellStyle name="Normal 8 4 5 2 2 2" xfId="51141" xr:uid="{00000000-0005-0000-0000-00008FB60000}"/>
    <cellStyle name="Normal 8 4 5 2 3" xfId="41443" xr:uid="{00000000-0005-0000-0000-000090B60000}"/>
    <cellStyle name="Normal 8 4 5 3" xfId="27497" xr:uid="{00000000-0005-0000-0000-000091B60000}"/>
    <cellStyle name="Normal 8 4 5 3 2" xfId="46686" xr:uid="{00000000-0005-0000-0000-000092B60000}"/>
    <cellStyle name="Normal 8 4 5 4" xfId="36988" xr:uid="{00000000-0005-0000-0000-000093B60000}"/>
    <cellStyle name="Normal 8 4 6" xfId="17686" xr:uid="{00000000-0005-0000-0000-000094B60000}"/>
    <cellStyle name="Normal 8 4 6 2" xfId="22141" xr:uid="{00000000-0005-0000-0000-000095B60000}"/>
    <cellStyle name="Normal 8 4 6 2 2" xfId="32509" xr:uid="{00000000-0005-0000-0000-000096B60000}"/>
    <cellStyle name="Normal 8 4 6 2 2 2" xfId="51698" xr:uid="{00000000-0005-0000-0000-000097B60000}"/>
    <cellStyle name="Normal 8 4 6 2 3" xfId="42000" xr:uid="{00000000-0005-0000-0000-000098B60000}"/>
    <cellStyle name="Normal 8 4 6 3" xfId="28054" xr:uid="{00000000-0005-0000-0000-000099B60000}"/>
    <cellStyle name="Normal 8 4 6 3 2" xfId="47243" xr:uid="{00000000-0005-0000-0000-00009AB60000}"/>
    <cellStyle name="Normal 8 4 6 4" xfId="37545" xr:uid="{00000000-0005-0000-0000-00009BB60000}"/>
    <cellStyle name="Normal 8 4 7" xfId="18243" xr:uid="{00000000-0005-0000-0000-00009CB60000}"/>
    <cellStyle name="Normal 8 4 7 2" xfId="28611" xr:uid="{00000000-0005-0000-0000-00009DB60000}"/>
    <cellStyle name="Normal 8 4 7 2 2" xfId="47800" xr:uid="{00000000-0005-0000-0000-00009EB60000}"/>
    <cellStyle name="Normal 8 4 7 3" xfId="38102" xr:uid="{00000000-0005-0000-0000-00009FB60000}"/>
    <cellStyle name="Normal 8 4 8" xfId="24113" xr:uid="{00000000-0005-0000-0000-0000A0B60000}"/>
    <cellStyle name="Normal 8 4 8 2" xfId="43345" xr:uid="{00000000-0005-0000-0000-0000A1B60000}"/>
    <cellStyle name="Normal 8 4 9" xfId="33647" xr:uid="{00000000-0005-0000-0000-0000A2B60000}"/>
    <cellStyle name="Normal 8 40" xfId="5395" xr:uid="{00000000-0005-0000-0000-0000A3B60000}"/>
    <cellStyle name="Normal 8 41" xfId="5396" xr:uid="{00000000-0005-0000-0000-0000A4B60000}"/>
    <cellStyle name="Normal 8 42" xfId="5397" xr:uid="{00000000-0005-0000-0000-0000A5B60000}"/>
    <cellStyle name="Normal 8 43" xfId="5340" xr:uid="{00000000-0005-0000-0000-0000A6B60000}"/>
    <cellStyle name="Normal 8 44" xfId="6019" xr:uid="{00000000-0005-0000-0000-0000A7B60000}"/>
    <cellStyle name="Normal 8 45" xfId="5995" xr:uid="{00000000-0005-0000-0000-0000A8B60000}"/>
    <cellStyle name="Normal 8 46" xfId="12074" xr:uid="{00000000-0005-0000-0000-0000A9B60000}"/>
    <cellStyle name="Normal 8 5" xfId="5398" xr:uid="{00000000-0005-0000-0000-0000AAB60000}"/>
    <cellStyle name="Normal 8 5 2" xfId="12525" xr:uid="{00000000-0005-0000-0000-0000ABB60000}"/>
    <cellStyle name="Normal 8 6" xfId="5399" xr:uid="{00000000-0005-0000-0000-0000ACB60000}"/>
    <cellStyle name="Normal 8 6 2" xfId="22461" xr:uid="{00000000-0005-0000-0000-0000ADB60000}"/>
    <cellStyle name="Normal 8 7" xfId="5400" xr:uid="{00000000-0005-0000-0000-0000AEB60000}"/>
    <cellStyle name="Normal 8 7 2" xfId="23337" xr:uid="{00000000-0005-0000-0000-0000AFB60000}"/>
    <cellStyle name="Normal 8 8" xfId="5401" xr:uid="{00000000-0005-0000-0000-0000B0B60000}"/>
    <cellStyle name="Normal 8 9" xfId="5402" xr:uid="{00000000-0005-0000-0000-0000B1B60000}"/>
    <cellStyle name="Normal 80" xfId="7594" xr:uid="{00000000-0005-0000-0000-0000B2B60000}"/>
    <cellStyle name="Normal 81" xfId="9042" xr:uid="{00000000-0005-0000-0000-0000B3B60000}"/>
    <cellStyle name="Normal 81 2" xfId="53080" xr:uid="{00000000-0005-0000-0000-0000B4B60000}"/>
    <cellStyle name="Normal 81 3" xfId="22889" xr:uid="{00000000-0005-0000-0000-0000B5B60000}"/>
    <cellStyle name="Normal 82" xfId="9050" xr:uid="{00000000-0005-0000-0000-0000B6B60000}"/>
    <cellStyle name="Normal 82 2" xfId="22893" xr:uid="{00000000-0005-0000-0000-0000B7B60000}"/>
    <cellStyle name="Normal 83" xfId="7740" xr:uid="{00000000-0005-0000-0000-0000B8B60000}"/>
    <cellStyle name="Normal 83 2" xfId="52159" xr:uid="{00000000-0005-0000-0000-0000B9B60000}"/>
    <cellStyle name="Normal 83 3" xfId="32973" xr:uid="{00000000-0005-0000-0000-0000BAB60000}"/>
    <cellStyle name="Normal 84" xfId="9041" xr:uid="{00000000-0005-0000-0000-0000BBB60000}"/>
    <cellStyle name="Normal 84 2" xfId="52176" xr:uid="{00000000-0005-0000-0000-0000BCB60000}"/>
    <cellStyle name="Normal 84 3" xfId="32990" xr:uid="{00000000-0005-0000-0000-0000BDB60000}"/>
    <cellStyle name="Normal 85" xfId="9047" xr:uid="{00000000-0005-0000-0000-0000BEB60000}"/>
    <cellStyle name="Normal 85 2" xfId="52218" xr:uid="{00000000-0005-0000-0000-0000BFB60000}"/>
    <cellStyle name="Normal 85 3" xfId="33036" xr:uid="{00000000-0005-0000-0000-0000C0B60000}"/>
    <cellStyle name="Normal 86" xfId="9049" xr:uid="{00000000-0005-0000-0000-0000C1B60000}"/>
    <cellStyle name="Normal 86 2" xfId="52222" xr:uid="{00000000-0005-0000-0000-0000C2B60000}"/>
    <cellStyle name="Normal 86 3" xfId="33040" xr:uid="{00000000-0005-0000-0000-0000C3B60000}"/>
    <cellStyle name="Normal 87" xfId="9043" xr:uid="{00000000-0005-0000-0000-0000C4B60000}"/>
    <cellStyle name="Normal 87 2" xfId="52223" xr:uid="{00000000-0005-0000-0000-0000C5B60000}"/>
    <cellStyle name="Normal 87 3" xfId="33041" xr:uid="{00000000-0005-0000-0000-0000C6B60000}"/>
    <cellStyle name="Normal 88" xfId="9046" xr:uid="{00000000-0005-0000-0000-0000C7B60000}"/>
    <cellStyle name="Normal 88 2" xfId="52224" xr:uid="{00000000-0005-0000-0000-0000C8B60000}"/>
    <cellStyle name="Normal 88 3" xfId="33042" xr:uid="{00000000-0005-0000-0000-0000C9B60000}"/>
    <cellStyle name="Normal 89" xfId="7585" xr:uid="{00000000-0005-0000-0000-0000CAB60000}"/>
    <cellStyle name="Normal 89 2" xfId="52225" xr:uid="{00000000-0005-0000-0000-0000CBB60000}"/>
    <cellStyle name="Normal 89 3" xfId="33043" xr:uid="{00000000-0005-0000-0000-0000CCB60000}"/>
    <cellStyle name="Normal 9" xfId="1228" xr:uid="{00000000-0005-0000-0000-0000CDB60000}"/>
    <cellStyle name="Normal 9 2" xfId="5404" xr:uid="{00000000-0005-0000-0000-0000CEB60000}"/>
    <cellStyle name="Normal 9 2 10" xfId="33190" xr:uid="{00000000-0005-0000-0000-0000CFB60000}"/>
    <cellStyle name="Normal 9 2 11" xfId="52684" xr:uid="{00000000-0005-0000-0000-0000D0B60000}"/>
    <cellStyle name="Normal 9 2 12" xfId="12877" xr:uid="{00000000-0005-0000-0000-0000D1B60000}"/>
    <cellStyle name="Normal 9 2 2" xfId="5405" xr:uid="{00000000-0005-0000-0000-0000D2B60000}"/>
    <cellStyle name="Normal 9 2 2 10" xfId="53112" xr:uid="{00000000-0005-0000-0000-0000D3B60000}"/>
    <cellStyle name="Normal 9 2 2 11" xfId="13467" xr:uid="{00000000-0005-0000-0000-0000D4B60000}"/>
    <cellStyle name="Normal 9 2 2 2" xfId="14324" xr:uid="{00000000-0005-0000-0000-0000D5B60000}"/>
    <cellStyle name="Normal 9 2 2 2 2" xfId="16587" xr:uid="{00000000-0005-0000-0000-0000D6B60000}"/>
    <cellStyle name="Normal 9 2 2 2 2 2" xfId="21051" xr:uid="{00000000-0005-0000-0000-0000D7B60000}"/>
    <cellStyle name="Normal 9 2 2 2 2 2 2" xfId="31419" xr:uid="{00000000-0005-0000-0000-0000D8B60000}"/>
    <cellStyle name="Normal 9 2 2 2 2 2 2 2" xfId="50608" xr:uid="{00000000-0005-0000-0000-0000D9B60000}"/>
    <cellStyle name="Normal 9 2 2 2 2 2 3" xfId="40910" xr:uid="{00000000-0005-0000-0000-0000DAB60000}"/>
    <cellStyle name="Normal 9 2 2 2 2 3" xfId="26964" xr:uid="{00000000-0005-0000-0000-0000DBB60000}"/>
    <cellStyle name="Normal 9 2 2 2 2 3 2" xfId="46153" xr:uid="{00000000-0005-0000-0000-0000DCB60000}"/>
    <cellStyle name="Normal 9 2 2 2 2 4" xfId="36455" xr:uid="{00000000-0005-0000-0000-0000DDB60000}"/>
    <cellStyle name="Normal 9 2 2 2 3" xfId="18823" xr:uid="{00000000-0005-0000-0000-0000DEB60000}"/>
    <cellStyle name="Normal 9 2 2 2 3 2" xfId="29191" xr:uid="{00000000-0005-0000-0000-0000DFB60000}"/>
    <cellStyle name="Normal 9 2 2 2 3 2 2" xfId="48380" xr:uid="{00000000-0005-0000-0000-0000E0B60000}"/>
    <cellStyle name="Normal 9 2 2 2 3 3" xfId="38682" xr:uid="{00000000-0005-0000-0000-0000E1B60000}"/>
    <cellStyle name="Normal 9 2 2 2 4" xfId="24731" xr:uid="{00000000-0005-0000-0000-0000E2B60000}"/>
    <cellStyle name="Normal 9 2 2 2 4 2" xfId="43925" xr:uid="{00000000-0005-0000-0000-0000E3B60000}"/>
    <cellStyle name="Normal 9 2 2 2 5" xfId="34227" xr:uid="{00000000-0005-0000-0000-0000E4B60000}"/>
    <cellStyle name="Normal 9 2 2 2 6" xfId="53965" xr:uid="{00000000-0005-0000-0000-0000E5B60000}"/>
    <cellStyle name="Normal 9 2 2 3" xfId="14903" xr:uid="{00000000-0005-0000-0000-0000E6B60000}"/>
    <cellStyle name="Normal 9 2 2 3 2" xfId="16031" xr:uid="{00000000-0005-0000-0000-0000E7B60000}"/>
    <cellStyle name="Normal 9 2 2 3 2 2" xfId="20495" xr:uid="{00000000-0005-0000-0000-0000E8B60000}"/>
    <cellStyle name="Normal 9 2 2 3 2 2 2" xfId="30863" xr:uid="{00000000-0005-0000-0000-0000E9B60000}"/>
    <cellStyle name="Normal 9 2 2 3 2 2 2 2" xfId="50052" xr:uid="{00000000-0005-0000-0000-0000EAB60000}"/>
    <cellStyle name="Normal 9 2 2 3 2 2 3" xfId="40354" xr:uid="{00000000-0005-0000-0000-0000EBB60000}"/>
    <cellStyle name="Normal 9 2 2 3 2 3" xfId="26408" xr:uid="{00000000-0005-0000-0000-0000ECB60000}"/>
    <cellStyle name="Normal 9 2 2 3 2 3 2" xfId="45597" xr:uid="{00000000-0005-0000-0000-0000EDB60000}"/>
    <cellStyle name="Normal 9 2 2 3 2 4" xfId="35899" xr:uid="{00000000-0005-0000-0000-0000EEB60000}"/>
    <cellStyle name="Normal 9 2 2 3 3" xfId="19380" xr:uid="{00000000-0005-0000-0000-0000EFB60000}"/>
    <cellStyle name="Normal 9 2 2 3 3 2" xfId="29748" xr:uid="{00000000-0005-0000-0000-0000F0B60000}"/>
    <cellStyle name="Normal 9 2 2 3 3 2 2" xfId="48937" xr:uid="{00000000-0005-0000-0000-0000F1B60000}"/>
    <cellStyle name="Normal 9 2 2 3 3 3" xfId="39239" xr:uid="{00000000-0005-0000-0000-0000F2B60000}"/>
    <cellStyle name="Normal 9 2 2 3 4" xfId="25293" xr:uid="{00000000-0005-0000-0000-0000F3B60000}"/>
    <cellStyle name="Normal 9 2 2 3 4 2" xfId="44482" xr:uid="{00000000-0005-0000-0000-0000F4B60000}"/>
    <cellStyle name="Normal 9 2 2 3 5" xfId="34784" xr:uid="{00000000-0005-0000-0000-0000F5B60000}"/>
    <cellStyle name="Normal 9 2 2 4" xfId="15474" xr:uid="{00000000-0005-0000-0000-0000F6B60000}"/>
    <cellStyle name="Normal 9 2 2 4 2" xfId="19938" xr:uid="{00000000-0005-0000-0000-0000F7B60000}"/>
    <cellStyle name="Normal 9 2 2 4 2 2" xfId="30306" xr:uid="{00000000-0005-0000-0000-0000F8B60000}"/>
    <cellStyle name="Normal 9 2 2 4 2 2 2" xfId="49495" xr:uid="{00000000-0005-0000-0000-0000F9B60000}"/>
    <cellStyle name="Normal 9 2 2 4 2 3" xfId="39797" xr:uid="{00000000-0005-0000-0000-0000FAB60000}"/>
    <cellStyle name="Normal 9 2 2 4 3" xfId="25851" xr:uid="{00000000-0005-0000-0000-0000FBB60000}"/>
    <cellStyle name="Normal 9 2 2 4 3 2" xfId="45040" xr:uid="{00000000-0005-0000-0000-0000FCB60000}"/>
    <cellStyle name="Normal 9 2 2 4 4" xfId="35342" xr:uid="{00000000-0005-0000-0000-0000FDB60000}"/>
    <cellStyle name="Normal 9 2 2 5" xfId="17144" xr:uid="{00000000-0005-0000-0000-0000FEB60000}"/>
    <cellStyle name="Normal 9 2 2 5 2" xfId="21608" xr:uid="{00000000-0005-0000-0000-0000FFB60000}"/>
    <cellStyle name="Normal 9 2 2 5 2 2" xfId="31976" xr:uid="{00000000-0005-0000-0000-000000B70000}"/>
    <cellStyle name="Normal 9 2 2 5 2 2 2" xfId="51165" xr:uid="{00000000-0005-0000-0000-000001B70000}"/>
    <cellStyle name="Normal 9 2 2 5 2 3" xfId="41467" xr:uid="{00000000-0005-0000-0000-000002B70000}"/>
    <cellStyle name="Normal 9 2 2 5 3" xfId="27521" xr:uid="{00000000-0005-0000-0000-000003B70000}"/>
    <cellStyle name="Normal 9 2 2 5 3 2" xfId="46710" xr:uid="{00000000-0005-0000-0000-000004B70000}"/>
    <cellStyle name="Normal 9 2 2 5 4" xfId="37012" xr:uid="{00000000-0005-0000-0000-000005B70000}"/>
    <cellStyle name="Normal 9 2 2 6" xfId="17710" xr:uid="{00000000-0005-0000-0000-000006B70000}"/>
    <cellStyle name="Normal 9 2 2 6 2" xfId="22165" xr:uid="{00000000-0005-0000-0000-000007B70000}"/>
    <cellStyle name="Normal 9 2 2 6 2 2" xfId="32533" xr:uid="{00000000-0005-0000-0000-000008B70000}"/>
    <cellStyle name="Normal 9 2 2 6 2 2 2" xfId="51722" xr:uid="{00000000-0005-0000-0000-000009B70000}"/>
    <cellStyle name="Normal 9 2 2 6 2 3" xfId="42024" xr:uid="{00000000-0005-0000-0000-00000AB70000}"/>
    <cellStyle name="Normal 9 2 2 6 3" xfId="28078" xr:uid="{00000000-0005-0000-0000-00000BB70000}"/>
    <cellStyle name="Normal 9 2 2 6 3 2" xfId="47267" xr:uid="{00000000-0005-0000-0000-00000CB70000}"/>
    <cellStyle name="Normal 9 2 2 6 4" xfId="37569" xr:uid="{00000000-0005-0000-0000-00000DB70000}"/>
    <cellStyle name="Normal 9 2 2 7" xfId="18267" xr:uid="{00000000-0005-0000-0000-00000EB70000}"/>
    <cellStyle name="Normal 9 2 2 7 2" xfId="28635" xr:uid="{00000000-0005-0000-0000-00000FB70000}"/>
    <cellStyle name="Normal 9 2 2 7 2 2" xfId="47824" xr:uid="{00000000-0005-0000-0000-000010B70000}"/>
    <cellStyle name="Normal 9 2 2 7 3" xfId="38126" xr:uid="{00000000-0005-0000-0000-000011B70000}"/>
    <cellStyle name="Normal 9 2 2 8" xfId="24149" xr:uid="{00000000-0005-0000-0000-000012B70000}"/>
    <cellStyle name="Normal 9 2 2 8 2" xfId="43369" xr:uid="{00000000-0005-0000-0000-000013B70000}"/>
    <cellStyle name="Normal 9 2 2 9" xfId="33671" xr:uid="{00000000-0005-0000-0000-000014B70000}"/>
    <cellStyle name="Normal 9 2 3" xfId="13842" xr:uid="{00000000-0005-0000-0000-000015B70000}"/>
    <cellStyle name="Normal 9 2 3 2" xfId="16106" xr:uid="{00000000-0005-0000-0000-000016B70000}"/>
    <cellStyle name="Normal 9 2 3 2 2" xfId="20570" xr:uid="{00000000-0005-0000-0000-000017B70000}"/>
    <cellStyle name="Normal 9 2 3 2 2 2" xfId="30938" xr:uid="{00000000-0005-0000-0000-000018B70000}"/>
    <cellStyle name="Normal 9 2 3 2 2 2 2" xfId="50127" xr:uid="{00000000-0005-0000-0000-000019B70000}"/>
    <cellStyle name="Normal 9 2 3 2 2 3" xfId="40429" xr:uid="{00000000-0005-0000-0000-00001AB70000}"/>
    <cellStyle name="Normal 9 2 3 2 3" xfId="26483" xr:uid="{00000000-0005-0000-0000-00001BB70000}"/>
    <cellStyle name="Normal 9 2 3 2 3 2" xfId="45672" xr:uid="{00000000-0005-0000-0000-00001CB70000}"/>
    <cellStyle name="Normal 9 2 3 2 4" xfId="35974" xr:uid="{00000000-0005-0000-0000-00001DB70000}"/>
    <cellStyle name="Normal 9 2 3 3" xfId="18342" xr:uid="{00000000-0005-0000-0000-00001EB70000}"/>
    <cellStyle name="Normal 9 2 3 3 2" xfId="28710" xr:uid="{00000000-0005-0000-0000-00001FB70000}"/>
    <cellStyle name="Normal 9 2 3 3 2 2" xfId="47899" xr:uid="{00000000-0005-0000-0000-000020B70000}"/>
    <cellStyle name="Normal 9 2 3 3 3" xfId="38201" xr:uid="{00000000-0005-0000-0000-000021B70000}"/>
    <cellStyle name="Normal 9 2 3 4" xfId="24250" xr:uid="{00000000-0005-0000-0000-000022B70000}"/>
    <cellStyle name="Normal 9 2 3 4 2" xfId="43444" xr:uid="{00000000-0005-0000-0000-000023B70000}"/>
    <cellStyle name="Normal 9 2 3 5" xfId="33746" xr:uid="{00000000-0005-0000-0000-000024B70000}"/>
    <cellStyle name="Normal 9 2 3 6" xfId="53569" xr:uid="{00000000-0005-0000-0000-000025B70000}"/>
    <cellStyle name="Normal 9 2 4" xfId="14421" xr:uid="{00000000-0005-0000-0000-000026B70000}"/>
    <cellStyle name="Normal 9 2 4 2" xfId="15550" xr:uid="{00000000-0005-0000-0000-000027B70000}"/>
    <cellStyle name="Normal 9 2 4 2 2" xfId="20014" xr:uid="{00000000-0005-0000-0000-000028B70000}"/>
    <cellStyle name="Normal 9 2 4 2 2 2" xfId="30382" xr:uid="{00000000-0005-0000-0000-000029B70000}"/>
    <cellStyle name="Normal 9 2 4 2 2 2 2" xfId="49571" xr:uid="{00000000-0005-0000-0000-00002AB70000}"/>
    <cellStyle name="Normal 9 2 4 2 2 3" xfId="39873" xr:uid="{00000000-0005-0000-0000-00002BB70000}"/>
    <cellStyle name="Normal 9 2 4 2 3" xfId="25927" xr:uid="{00000000-0005-0000-0000-00002CB70000}"/>
    <cellStyle name="Normal 9 2 4 2 3 2" xfId="45116" xr:uid="{00000000-0005-0000-0000-00002DB70000}"/>
    <cellStyle name="Normal 9 2 4 2 4" xfId="35418" xr:uid="{00000000-0005-0000-0000-00002EB70000}"/>
    <cellStyle name="Normal 9 2 4 3" xfId="18899" xr:uid="{00000000-0005-0000-0000-00002FB70000}"/>
    <cellStyle name="Normal 9 2 4 3 2" xfId="29267" xr:uid="{00000000-0005-0000-0000-000030B70000}"/>
    <cellStyle name="Normal 9 2 4 3 2 2" xfId="48456" xr:uid="{00000000-0005-0000-0000-000031B70000}"/>
    <cellStyle name="Normal 9 2 4 3 3" xfId="38758" xr:uid="{00000000-0005-0000-0000-000032B70000}"/>
    <cellStyle name="Normal 9 2 4 4" xfId="24812" xr:uid="{00000000-0005-0000-0000-000033B70000}"/>
    <cellStyle name="Normal 9 2 4 4 2" xfId="44001" xr:uid="{00000000-0005-0000-0000-000034B70000}"/>
    <cellStyle name="Normal 9 2 4 5" xfId="34303" xr:uid="{00000000-0005-0000-0000-000035B70000}"/>
    <cellStyle name="Normal 9 2 5" xfId="14993" xr:uid="{00000000-0005-0000-0000-000036B70000}"/>
    <cellStyle name="Normal 9 2 5 2" xfId="19457" xr:uid="{00000000-0005-0000-0000-000037B70000}"/>
    <cellStyle name="Normal 9 2 5 2 2" xfId="29825" xr:uid="{00000000-0005-0000-0000-000038B70000}"/>
    <cellStyle name="Normal 9 2 5 2 2 2" xfId="49014" xr:uid="{00000000-0005-0000-0000-000039B70000}"/>
    <cellStyle name="Normal 9 2 5 2 3" xfId="39316" xr:uid="{00000000-0005-0000-0000-00003AB70000}"/>
    <cellStyle name="Normal 9 2 5 3" xfId="25370" xr:uid="{00000000-0005-0000-0000-00003BB70000}"/>
    <cellStyle name="Normal 9 2 5 3 2" xfId="44559" xr:uid="{00000000-0005-0000-0000-00003CB70000}"/>
    <cellStyle name="Normal 9 2 5 4" xfId="34861" xr:uid="{00000000-0005-0000-0000-00003DB70000}"/>
    <cellStyle name="Normal 9 2 6" xfId="16663" xr:uid="{00000000-0005-0000-0000-00003EB70000}"/>
    <cellStyle name="Normal 9 2 6 2" xfId="21127" xr:uid="{00000000-0005-0000-0000-00003FB70000}"/>
    <cellStyle name="Normal 9 2 6 2 2" xfId="31495" xr:uid="{00000000-0005-0000-0000-000040B70000}"/>
    <cellStyle name="Normal 9 2 6 2 2 2" xfId="50684" xr:uid="{00000000-0005-0000-0000-000041B70000}"/>
    <cellStyle name="Normal 9 2 6 2 3" xfId="40986" xr:uid="{00000000-0005-0000-0000-000042B70000}"/>
    <cellStyle name="Normal 9 2 6 3" xfId="27040" xr:uid="{00000000-0005-0000-0000-000043B70000}"/>
    <cellStyle name="Normal 9 2 6 3 2" xfId="46229" xr:uid="{00000000-0005-0000-0000-000044B70000}"/>
    <cellStyle name="Normal 9 2 6 4" xfId="36531" xr:uid="{00000000-0005-0000-0000-000045B70000}"/>
    <cellStyle name="Normal 9 2 7" xfId="17229" xr:uid="{00000000-0005-0000-0000-000046B70000}"/>
    <cellStyle name="Normal 9 2 7 2" xfId="21684" xr:uid="{00000000-0005-0000-0000-000047B70000}"/>
    <cellStyle name="Normal 9 2 7 2 2" xfId="32052" xr:uid="{00000000-0005-0000-0000-000048B70000}"/>
    <cellStyle name="Normal 9 2 7 2 2 2" xfId="51241" xr:uid="{00000000-0005-0000-0000-000049B70000}"/>
    <cellStyle name="Normal 9 2 7 2 3" xfId="41543" xr:uid="{00000000-0005-0000-0000-00004AB70000}"/>
    <cellStyle name="Normal 9 2 7 3" xfId="27597" xr:uid="{00000000-0005-0000-0000-00004BB70000}"/>
    <cellStyle name="Normal 9 2 7 3 2" xfId="46786" xr:uid="{00000000-0005-0000-0000-00004CB70000}"/>
    <cellStyle name="Normal 9 2 7 4" xfId="37088" xr:uid="{00000000-0005-0000-0000-00004DB70000}"/>
    <cellStyle name="Normal 9 2 8" xfId="17786" xr:uid="{00000000-0005-0000-0000-00004EB70000}"/>
    <cellStyle name="Normal 9 2 8 2" xfId="28154" xr:uid="{00000000-0005-0000-0000-00004FB70000}"/>
    <cellStyle name="Normal 9 2 8 2 2" xfId="47343" xr:uid="{00000000-0005-0000-0000-000050B70000}"/>
    <cellStyle name="Normal 9 2 8 3" xfId="37645" xr:uid="{00000000-0005-0000-0000-000051B70000}"/>
    <cellStyle name="Normal 9 2 9" xfId="23645" xr:uid="{00000000-0005-0000-0000-000052B70000}"/>
    <cellStyle name="Normal 9 2 9 2" xfId="42888" xr:uid="{00000000-0005-0000-0000-000053B70000}"/>
    <cellStyle name="Normal 9 3" xfId="5406" xr:uid="{00000000-0005-0000-0000-000054B70000}"/>
    <cellStyle name="Normal 9 3 10" xfId="52891" xr:uid="{00000000-0005-0000-0000-000055B70000}"/>
    <cellStyle name="Normal 9 3 11" xfId="13422" xr:uid="{00000000-0005-0000-0000-000056B70000}"/>
    <cellStyle name="Normal 9 3 2" xfId="14301" xr:uid="{00000000-0005-0000-0000-000057B70000}"/>
    <cellStyle name="Normal 9 3 2 2" xfId="16564" xr:uid="{00000000-0005-0000-0000-000058B70000}"/>
    <cellStyle name="Normal 9 3 2 2 2" xfId="21028" xr:uid="{00000000-0005-0000-0000-000059B70000}"/>
    <cellStyle name="Normal 9 3 2 2 2 2" xfId="31396" xr:uid="{00000000-0005-0000-0000-00005AB70000}"/>
    <cellStyle name="Normal 9 3 2 2 2 2 2" xfId="50585" xr:uid="{00000000-0005-0000-0000-00005BB70000}"/>
    <cellStyle name="Normal 9 3 2 2 2 3" xfId="40887" xr:uid="{00000000-0005-0000-0000-00005CB70000}"/>
    <cellStyle name="Normal 9 3 2 2 3" xfId="26941" xr:uid="{00000000-0005-0000-0000-00005DB70000}"/>
    <cellStyle name="Normal 9 3 2 2 3 2" xfId="46130" xr:uid="{00000000-0005-0000-0000-00005EB70000}"/>
    <cellStyle name="Normal 9 3 2 2 4" xfId="36432" xr:uid="{00000000-0005-0000-0000-00005FB70000}"/>
    <cellStyle name="Normal 9 3 2 3" xfId="18800" xr:uid="{00000000-0005-0000-0000-000060B70000}"/>
    <cellStyle name="Normal 9 3 2 3 2" xfId="29168" xr:uid="{00000000-0005-0000-0000-000061B70000}"/>
    <cellStyle name="Normal 9 3 2 3 2 2" xfId="48357" xr:uid="{00000000-0005-0000-0000-000062B70000}"/>
    <cellStyle name="Normal 9 3 2 3 3" xfId="38659" xr:uid="{00000000-0005-0000-0000-000063B70000}"/>
    <cellStyle name="Normal 9 3 2 4" xfId="24708" xr:uid="{00000000-0005-0000-0000-000064B70000}"/>
    <cellStyle name="Normal 9 3 2 4 2" xfId="43902" xr:uid="{00000000-0005-0000-0000-000065B70000}"/>
    <cellStyle name="Normal 9 3 2 5" xfId="34204" xr:uid="{00000000-0005-0000-0000-000066B70000}"/>
    <cellStyle name="Normal 9 3 2 6" xfId="53769" xr:uid="{00000000-0005-0000-0000-000067B70000}"/>
    <cellStyle name="Normal 9 3 3" xfId="14880" xr:uid="{00000000-0005-0000-0000-000068B70000}"/>
    <cellStyle name="Normal 9 3 3 2" xfId="16008" xr:uid="{00000000-0005-0000-0000-000069B70000}"/>
    <cellStyle name="Normal 9 3 3 2 2" xfId="20472" xr:uid="{00000000-0005-0000-0000-00006AB70000}"/>
    <cellStyle name="Normal 9 3 3 2 2 2" xfId="30840" xr:uid="{00000000-0005-0000-0000-00006BB70000}"/>
    <cellStyle name="Normal 9 3 3 2 2 2 2" xfId="50029" xr:uid="{00000000-0005-0000-0000-00006CB70000}"/>
    <cellStyle name="Normal 9 3 3 2 2 3" xfId="40331" xr:uid="{00000000-0005-0000-0000-00006DB70000}"/>
    <cellStyle name="Normal 9 3 3 2 3" xfId="26385" xr:uid="{00000000-0005-0000-0000-00006EB70000}"/>
    <cellStyle name="Normal 9 3 3 2 3 2" xfId="45574" xr:uid="{00000000-0005-0000-0000-00006FB70000}"/>
    <cellStyle name="Normal 9 3 3 2 4" xfId="35876" xr:uid="{00000000-0005-0000-0000-000070B70000}"/>
    <cellStyle name="Normal 9 3 3 3" xfId="19357" xr:uid="{00000000-0005-0000-0000-000071B70000}"/>
    <cellStyle name="Normal 9 3 3 3 2" xfId="29725" xr:uid="{00000000-0005-0000-0000-000072B70000}"/>
    <cellStyle name="Normal 9 3 3 3 2 2" xfId="48914" xr:uid="{00000000-0005-0000-0000-000073B70000}"/>
    <cellStyle name="Normal 9 3 3 3 3" xfId="39216" xr:uid="{00000000-0005-0000-0000-000074B70000}"/>
    <cellStyle name="Normal 9 3 3 4" xfId="25270" xr:uid="{00000000-0005-0000-0000-000075B70000}"/>
    <cellStyle name="Normal 9 3 3 4 2" xfId="44459" xr:uid="{00000000-0005-0000-0000-000076B70000}"/>
    <cellStyle name="Normal 9 3 3 5" xfId="34761" xr:uid="{00000000-0005-0000-0000-000077B70000}"/>
    <cellStyle name="Normal 9 3 4" xfId="15451" xr:uid="{00000000-0005-0000-0000-000078B70000}"/>
    <cellStyle name="Normal 9 3 4 2" xfId="19915" xr:uid="{00000000-0005-0000-0000-000079B70000}"/>
    <cellStyle name="Normal 9 3 4 2 2" xfId="30283" xr:uid="{00000000-0005-0000-0000-00007AB70000}"/>
    <cellStyle name="Normal 9 3 4 2 2 2" xfId="49472" xr:uid="{00000000-0005-0000-0000-00007BB70000}"/>
    <cellStyle name="Normal 9 3 4 2 3" xfId="39774" xr:uid="{00000000-0005-0000-0000-00007CB70000}"/>
    <cellStyle name="Normal 9 3 4 3" xfId="25828" xr:uid="{00000000-0005-0000-0000-00007DB70000}"/>
    <cellStyle name="Normal 9 3 4 3 2" xfId="45017" xr:uid="{00000000-0005-0000-0000-00007EB70000}"/>
    <cellStyle name="Normal 9 3 4 4" xfId="35319" xr:uid="{00000000-0005-0000-0000-00007FB70000}"/>
    <cellStyle name="Normal 9 3 5" xfId="17121" xr:uid="{00000000-0005-0000-0000-000080B70000}"/>
    <cellStyle name="Normal 9 3 5 2" xfId="21585" xr:uid="{00000000-0005-0000-0000-000081B70000}"/>
    <cellStyle name="Normal 9 3 5 2 2" xfId="31953" xr:uid="{00000000-0005-0000-0000-000082B70000}"/>
    <cellStyle name="Normal 9 3 5 2 2 2" xfId="51142" xr:uid="{00000000-0005-0000-0000-000083B70000}"/>
    <cellStyle name="Normal 9 3 5 2 3" xfId="41444" xr:uid="{00000000-0005-0000-0000-000084B70000}"/>
    <cellStyle name="Normal 9 3 5 3" xfId="27498" xr:uid="{00000000-0005-0000-0000-000085B70000}"/>
    <cellStyle name="Normal 9 3 5 3 2" xfId="46687" xr:uid="{00000000-0005-0000-0000-000086B70000}"/>
    <cellStyle name="Normal 9 3 5 4" xfId="36989" xr:uid="{00000000-0005-0000-0000-000087B70000}"/>
    <cellStyle name="Normal 9 3 6" xfId="17687" xr:uid="{00000000-0005-0000-0000-000088B70000}"/>
    <cellStyle name="Normal 9 3 6 2" xfId="22142" xr:uid="{00000000-0005-0000-0000-000089B70000}"/>
    <cellStyle name="Normal 9 3 6 2 2" xfId="32510" xr:uid="{00000000-0005-0000-0000-00008AB70000}"/>
    <cellStyle name="Normal 9 3 6 2 2 2" xfId="51699" xr:uid="{00000000-0005-0000-0000-00008BB70000}"/>
    <cellStyle name="Normal 9 3 6 2 3" xfId="42001" xr:uid="{00000000-0005-0000-0000-00008CB70000}"/>
    <cellStyle name="Normal 9 3 6 3" xfId="28055" xr:uid="{00000000-0005-0000-0000-00008DB70000}"/>
    <cellStyle name="Normal 9 3 6 3 2" xfId="47244" xr:uid="{00000000-0005-0000-0000-00008EB70000}"/>
    <cellStyle name="Normal 9 3 6 4" xfId="37546" xr:uid="{00000000-0005-0000-0000-00008FB70000}"/>
    <cellStyle name="Normal 9 3 7" xfId="18244" xr:uid="{00000000-0005-0000-0000-000090B70000}"/>
    <cellStyle name="Normal 9 3 7 2" xfId="28612" xr:uid="{00000000-0005-0000-0000-000091B70000}"/>
    <cellStyle name="Normal 9 3 7 2 2" xfId="47801" xr:uid="{00000000-0005-0000-0000-000092B70000}"/>
    <cellStyle name="Normal 9 3 7 3" xfId="38103" xr:uid="{00000000-0005-0000-0000-000093B70000}"/>
    <cellStyle name="Normal 9 3 8" xfId="24114" xr:uid="{00000000-0005-0000-0000-000094B70000}"/>
    <cellStyle name="Normal 9 3 8 2" xfId="43346" xr:uid="{00000000-0005-0000-0000-000095B70000}"/>
    <cellStyle name="Normal 9 3 9" xfId="33648" xr:uid="{00000000-0005-0000-0000-000096B70000}"/>
    <cellStyle name="Normal 9 4" xfId="5407" xr:uid="{00000000-0005-0000-0000-000097B70000}"/>
    <cellStyle name="Normal 9 4 2" xfId="53373" xr:uid="{00000000-0005-0000-0000-000098B70000}"/>
    <cellStyle name="Normal 9 4 3" xfId="22462" xr:uid="{00000000-0005-0000-0000-000099B70000}"/>
    <cellStyle name="Normal 9 5" xfId="5408" xr:uid="{00000000-0005-0000-0000-00009AB70000}"/>
    <cellStyle name="Normal 9 5 2" xfId="23460" xr:uid="{00000000-0005-0000-0000-00009BB70000}"/>
    <cellStyle name="Normal 9 6" xfId="5409" xr:uid="{00000000-0005-0000-0000-00009CB70000}"/>
    <cellStyle name="Normal 9 6 2" xfId="12527" xr:uid="{00000000-0005-0000-0000-00009DB70000}"/>
    <cellStyle name="Normal 9 7" xfId="5403" xr:uid="{00000000-0005-0000-0000-00009EB70000}"/>
    <cellStyle name="Normal 9 7 2" xfId="52471" xr:uid="{00000000-0005-0000-0000-00009FB70000}"/>
    <cellStyle name="Normal 90" xfId="9044" xr:uid="{00000000-0005-0000-0000-0000A0B70000}"/>
    <cellStyle name="Normal 90 2" xfId="52226" xr:uid="{00000000-0005-0000-0000-0000A1B70000}"/>
    <cellStyle name="Normal 90 3" xfId="33044" xr:uid="{00000000-0005-0000-0000-0000A2B70000}"/>
    <cellStyle name="Normal 91" xfId="7592" xr:uid="{00000000-0005-0000-0000-0000A3B70000}"/>
    <cellStyle name="Normal 91 2" xfId="52228" xr:uid="{00000000-0005-0000-0000-0000A4B70000}"/>
    <cellStyle name="Normal 91 3" xfId="33046" xr:uid="{00000000-0005-0000-0000-0000A5B70000}"/>
    <cellStyle name="Normal 92" xfId="7597" xr:uid="{00000000-0005-0000-0000-0000A6B70000}"/>
    <cellStyle name="Normal 92 2" xfId="52229" xr:uid="{00000000-0005-0000-0000-0000A7B70000}"/>
    <cellStyle name="Normal 92 3" xfId="33047" xr:uid="{00000000-0005-0000-0000-0000A8B70000}"/>
    <cellStyle name="Normal 93" xfId="7797" xr:uid="{00000000-0005-0000-0000-0000A9B70000}"/>
    <cellStyle name="Normal 93 2" xfId="52230" xr:uid="{00000000-0005-0000-0000-0000AAB70000}"/>
    <cellStyle name="Normal 93 3" xfId="33048" xr:uid="{00000000-0005-0000-0000-0000ABB70000}"/>
    <cellStyle name="Normal 94" xfId="9048" xr:uid="{00000000-0005-0000-0000-0000ACB70000}"/>
    <cellStyle name="Normal 94 2" xfId="52231" xr:uid="{00000000-0005-0000-0000-0000ADB70000}"/>
    <cellStyle name="Normal 94 3" xfId="33049" xr:uid="{00000000-0005-0000-0000-0000AEB70000}"/>
    <cellStyle name="Normal 95" xfId="7601" xr:uid="{00000000-0005-0000-0000-0000AFB70000}"/>
    <cellStyle name="Normal 95 2" xfId="52209" xr:uid="{00000000-0005-0000-0000-0000B0B70000}"/>
    <cellStyle name="Normal 95 3" xfId="33026" xr:uid="{00000000-0005-0000-0000-0000B1B70000}"/>
    <cellStyle name="Normal 96" xfId="9045" xr:uid="{00000000-0005-0000-0000-0000B2B70000}"/>
    <cellStyle name="Normal 96 2" xfId="52190" xr:uid="{00000000-0005-0000-0000-0000B3B70000}"/>
    <cellStyle name="Normal 96 3" xfId="33004" xr:uid="{00000000-0005-0000-0000-0000B4B70000}"/>
    <cellStyle name="Normal 97" xfId="7602" xr:uid="{00000000-0005-0000-0000-0000B5B70000}"/>
    <cellStyle name="Normal 97 2" xfId="52211" xr:uid="{00000000-0005-0000-0000-0000B6B70000}"/>
    <cellStyle name="Normal 97 3" xfId="33029" xr:uid="{00000000-0005-0000-0000-0000B7B70000}"/>
    <cellStyle name="Normal 98" xfId="7595" xr:uid="{00000000-0005-0000-0000-0000B8B70000}"/>
    <cellStyle name="Normal 98 2" xfId="52206" xr:uid="{00000000-0005-0000-0000-0000B9B70000}"/>
    <cellStyle name="Normal 98 3" xfId="33021" xr:uid="{00000000-0005-0000-0000-0000BAB70000}"/>
    <cellStyle name="Normal 99" xfId="9055" xr:uid="{00000000-0005-0000-0000-0000BBB70000}"/>
    <cellStyle name="Normal 99 2" xfId="52205" xr:uid="{00000000-0005-0000-0000-0000BCB70000}"/>
    <cellStyle name="Normal 99 3" xfId="33020" xr:uid="{00000000-0005-0000-0000-0000BDB70000}"/>
    <cellStyle name="Normal2" xfId="5410" xr:uid="{00000000-0005-0000-0000-0000BEB70000}"/>
    <cellStyle name="Normale_97.98.us" xfId="5411" xr:uid="{00000000-0005-0000-0000-0000BFB70000}"/>
    <cellStyle name="NormalGB" xfId="5412" xr:uid="{00000000-0005-0000-0000-0000C0B70000}"/>
    <cellStyle name="Normalx" xfId="5413" xr:uid="{00000000-0005-0000-0000-0000C1B70000}"/>
    <cellStyle name="Note 10" xfId="1229" xr:uid="{00000000-0005-0000-0000-0000C2B70000}"/>
    <cellStyle name="Note 10 2" xfId="13370" xr:uid="{00000000-0005-0000-0000-0000C3B70000}"/>
    <cellStyle name="Note 11" xfId="1230" xr:uid="{00000000-0005-0000-0000-0000C4B70000}"/>
    <cellStyle name="Note 11 2" xfId="13371" xr:uid="{00000000-0005-0000-0000-0000C5B70000}"/>
    <cellStyle name="Note 12" xfId="1231" xr:uid="{00000000-0005-0000-0000-0000C6B70000}"/>
    <cellStyle name="Note 12 2" xfId="13372" xr:uid="{00000000-0005-0000-0000-0000C7B70000}"/>
    <cellStyle name="Note 13" xfId="1232" xr:uid="{00000000-0005-0000-0000-0000C8B70000}"/>
    <cellStyle name="Note 13 2" xfId="13373" xr:uid="{00000000-0005-0000-0000-0000C9B70000}"/>
    <cellStyle name="Note 14" xfId="1233" xr:uid="{00000000-0005-0000-0000-0000CAB70000}"/>
    <cellStyle name="Note 14 2" xfId="13374" xr:uid="{00000000-0005-0000-0000-0000CBB70000}"/>
    <cellStyle name="Note 15" xfId="1234" xr:uid="{00000000-0005-0000-0000-0000CCB70000}"/>
    <cellStyle name="Note 15 2" xfId="13375" xr:uid="{00000000-0005-0000-0000-0000CDB70000}"/>
    <cellStyle name="Note 16" xfId="1235" xr:uid="{00000000-0005-0000-0000-0000CEB70000}"/>
    <cellStyle name="Note 16 2" xfId="6161" xr:uid="{00000000-0005-0000-0000-0000CFB70000}"/>
    <cellStyle name="Note 16 3" xfId="22608" xr:uid="{00000000-0005-0000-0000-0000D0B70000}"/>
    <cellStyle name="Note 17" xfId="22746" xr:uid="{00000000-0005-0000-0000-0000D1B70000}"/>
    <cellStyle name="Note 17 2" xfId="32830" xr:uid="{00000000-0005-0000-0000-0000D2B70000}"/>
    <cellStyle name="Note 17 2 2" xfId="52016" xr:uid="{00000000-0005-0000-0000-0000D3B70000}"/>
    <cellStyle name="Note 17 3" xfId="23103" xr:uid="{00000000-0005-0000-0000-0000D4B70000}"/>
    <cellStyle name="Note 17 3 2" xfId="42671" xr:uid="{00000000-0005-0000-0000-0000D5B70000}"/>
    <cellStyle name="Note 17 4" xfId="42318" xr:uid="{00000000-0005-0000-0000-0000D6B70000}"/>
    <cellStyle name="Note 18" xfId="22759" xr:uid="{00000000-0005-0000-0000-0000D7B70000}"/>
    <cellStyle name="Note 18 2" xfId="32843" xr:uid="{00000000-0005-0000-0000-0000D8B70000}"/>
    <cellStyle name="Note 18 2 2" xfId="52029" xr:uid="{00000000-0005-0000-0000-0000D9B70000}"/>
    <cellStyle name="Note 18 3" xfId="23116" xr:uid="{00000000-0005-0000-0000-0000DAB70000}"/>
    <cellStyle name="Note 18 3 2" xfId="42684" xr:uid="{00000000-0005-0000-0000-0000DBB70000}"/>
    <cellStyle name="Note 18 4" xfId="42331" xr:uid="{00000000-0005-0000-0000-0000DCB70000}"/>
    <cellStyle name="Note 19" xfId="22782" xr:uid="{00000000-0005-0000-0000-0000DDB70000}"/>
    <cellStyle name="Note 19 2" xfId="32866" xr:uid="{00000000-0005-0000-0000-0000DEB70000}"/>
    <cellStyle name="Note 19 2 2" xfId="52052" xr:uid="{00000000-0005-0000-0000-0000DFB70000}"/>
    <cellStyle name="Note 19 3" xfId="23139" xr:uid="{00000000-0005-0000-0000-0000E0B70000}"/>
    <cellStyle name="Note 19 3 2" xfId="42707" xr:uid="{00000000-0005-0000-0000-0000E1B70000}"/>
    <cellStyle name="Note 19 4" xfId="42354" xr:uid="{00000000-0005-0000-0000-0000E2B70000}"/>
    <cellStyle name="Note 2" xfId="1236" xr:uid="{00000000-0005-0000-0000-0000E3B70000}"/>
    <cellStyle name="Note 2 10" xfId="5415" xr:uid="{00000000-0005-0000-0000-0000E4B70000}"/>
    <cellStyle name="Note 2 10 10" xfId="53319" xr:uid="{00000000-0005-0000-0000-0000E5B70000}"/>
    <cellStyle name="Note 2 10 11" xfId="13376" xr:uid="{00000000-0005-0000-0000-0000E6B70000}"/>
    <cellStyle name="Note 2 10 2" xfId="14270" xr:uid="{00000000-0005-0000-0000-0000E7B70000}"/>
    <cellStyle name="Note 2 10 2 2" xfId="16534" xr:uid="{00000000-0005-0000-0000-0000E8B70000}"/>
    <cellStyle name="Note 2 10 2 2 2" xfId="20998" xr:uid="{00000000-0005-0000-0000-0000E9B70000}"/>
    <cellStyle name="Note 2 10 2 2 2 2" xfId="31366" xr:uid="{00000000-0005-0000-0000-0000EAB70000}"/>
    <cellStyle name="Note 2 10 2 2 2 2 2" xfId="50555" xr:uid="{00000000-0005-0000-0000-0000EBB70000}"/>
    <cellStyle name="Note 2 10 2 2 2 3" xfId="40857" xr:uid="{00000000-0005-0000-0000-0000ECB70000}"/>
    <cellStyle name="Note 2 10 2 2 3" xfId="26911" xr:uid="{00000000-0005-0000-0000-0000EDB70000}"/>
    <cellStyle name="Note 2 10 2 2 3 2" xfId="46100" xr:uid="{00000000-0005-0000-0000-0000EEB70000}"/>
    <cellStyle name="Note 2 10 2 2 4" xfId="36402" xr:uid="{00000000-0005-0000-0000-0000EFB70000}"/>
    <cellStyle name="Note 2 10 2 3" xfId="18770" xr:uid="{00000000-0005-0000-0000-0000F0B70000}"/>
    <cellStyle name="Note 2 10 2 3 2" xfId="29138" xr:uid="{00000000-0005-0000-0000-0000F1B70000}"/>
    <cellStyle name="Note 2 10 2 3 2 2" xfId="48327" xr:uid="{00000000-0005-0000-0000-0000F2B70000}"/>
    <cellStyle name="Note 2 10 2 3 3" xfId="38629" xr:uid="{00000000-0005-0000-0000-0000F3B70000}"/>
    <cellStyle name="Note 2 10 2 4" xfId="24678" xr:uid="{00000000-0005-0000-0000-0000F4B70000}"/>
    <cellStyle name="Note 2 10 2 4 2" xfId="43872" xr:uid="{00000000-0005-0000-0000-0000F5B70000}"/>
    <cellStyle name="Note 2 10 2 5" xfId="34174" xr:uid="{00000000-0005-0000-0000-0000F6B70000}"/>
    <cellStyle name="Note 2 10 2 6" xfId="54171" xr:uid="{00000000-0005-0000-0000-0000F7B70000}"/>
    <cellStyle name="Note 2 10 3" xfId="14849" xr:uid="{00000000-0005-0000-0000-0000F8B70000}"/>
    <cellStyle name="Note 2 10 3 2" xfId="15978" xr:uid="{00000000-0005-0000-0000-0000F9B70000}"/>
    <cellStyle name="Note 2 10 3 2 2" xfId="20442" xr:uid="{00000000-0005-0000-0000-0000FAB70000}"/>
    <cellStyle name="Note 2 10 3 2 2 2" xfId="30810" xr:uid="{00000000-0005-0000-0000-0000FBB70000}"/>
    <cellStyle name="Note 2 10 3 2 2 2 2" xfId="49999" xr:uid="{00000000-0005-0000-0000-0000FCB70000}"/>
    <cellStyle name="Note 2 10 3 2 2 3" xfId="40301" xr:uid="{00000000-0005-0000-0000-0000FDB70000}"/>
    <cellStyle name="Note 2 10 3 2 3" xfId="26355" xr:uid="{00000000-0005-0000-0000-0000FEB70000}"/>
    <cellStyle name="Note 2 10 3 2 3 2" xfId="45544" xr:uid="{00000000-0005-0000-0000-0000FFB70000}"/>
    <cellStyle name="Note 2 10 3 2 4" xfId="35846" xr:uid="{00000000-0005-0000-0000-000000B80000}"/>
    <cellStyle name="Note 2 10 3 3" xfId="19327" xr:uid="{00000000-0005-0000-0000-000001B80000}"/>
    <cellStyle name="Note 2 10 3 3 2" xfId="29695" xr:uid="{00000000-0005-0000-0000-000002B80000}"/>
    <cellStyle name="Note 2 10 3 3 2 2" xfId="48884" xr:uid="{00000000-0005-0000-0000-000003B80000}"/>
    <cellStyle name="Note 2 10 3 3 3" xfId="39186" xr:uid="{00000000-0005-0000-0000-000004B80000}"/>
    <cellStyle name="Note 2 10 3 4" xfId="25240" xr:uid="{00000000-0005-0000-0000-000005B80000}"/>
    <cellStyle name="Note 2 10 3 4 2" xfId="44429" xr:uid="{00000000-0005-0000-0000-000006B80000}"/>
    <cellStyle name="Note 2 10 3 5" xfId="34731" xr:uid="{00000000-0005-0000-0000-000007B80000}"/>
    <cellStyle name="Note 2 10 4" xfId="15421" xr:uid="{00000000-0005-0000-0000-000008B80000}"/>
    <cellStyle name="Note 2 10 4 2" xfId="19885" xr:uid="{00000000-0005-0000-0000-000009B80000}"/>
    <cellStyle name="Note 2 10 4 2 2" xfId="30253" xr:uid="{00000000-0005-0000-0000-00000AB80000}"/>
    <cellStyle name="Note 2 10 4 2 2 2" xfId="49442" xr:uid="{00000000-0005-0000-0000-00000BB80000}"/>
    <cellStyle name="Note 2 10 4 2 3" xfId="39744" xr:uid="{00000000-0005-0000-0000-00000CB80000}"/>
    <cellStyle name="Note 2 10 4 3" xfId="25798" xr:uid="{00000000-0005-0000-0000-00000DB80000}"/>
    <cellStyle name="Note 2 10 4 3 2" xfId="44987" xr:uid="{00000000-0005-0000-0000-00000EB80000}"/>
    <cellStyle name="Note 2 10 4 4" xfId="35289" xr:uid="{00000000-0005-0000-0000-00000FB80000}"/>
    <cellStyle name="Note 2 10 5" xfId="17091" xr:uid="{00000000-0005-0000-0000-000010B80000}"/>
    <cellStyle name="Note 2 10 5 2" xfId="21555" xr:uid="{00000000-0005-0000-0000-000011B80000}"/>
    <cellStyle name="Note 2 10 5 2 2" xfId="31923" xr:uid="{00000000-0005-0000-0000-000012B80000}"/>
    <cellStyle name="Note 2 10 5 2 2 2" xfId="51112" xr:uid="{00000000-0005-0000-0000-000013B80000}"/>
    <cellStyle name="Note 2 10 5 2 3" xfId="41414" xr:uid="{00000000-0005-0000-0000-000014B80000}"/>
    <cellStyle name="Note 2 10 5 3" xfId="27468" xr:uid="{00000000-0005-0000-0000-000015B80000}"/>
    <cellStyle name="Note 2 10 5 3 2" xfId="46657" xr:uid="{00000000-0005-0000-0000-000016B80000}"/>
    <cellStyle name="Note 2 10 5 4" xfId="36959" xr:uid="{00000000-0005-0000-0000-000017B80000}"/>
    <cellStyle name="Note 2 10 6" xfId="17657" xr:uid="{00000000-0005-0000-0000-000018B80000}"/>
    <cellStyle name="Note 2 10 6 2" xfId="22112" xr:uid="{00000000-0005-0000-0000-000019B80000}"/>
    <cellStyle name="Note 2 10 6 2 2" xfId="32480" xr:uid="{00000000-0005-0000-0000-00001AB80000}"/>
    <cellStyle name="Note 2 10 6 2 2 2" xfId="51669" xr:uid="{00000000-0005-0000-0000-00001BB80000}"/>
    <cellStyle name="Note 2 10 6 2 3" xfId="41971" xr:uid="{00000000-0005-0000-0000-00001CB80000}"/>
    <cellStyle name="Note 2 10 6 3" xfId="28025" xr:uid="{00000000-0005-0000-0000-00001DB80000}"/>
    <cellStyle name="Note 2 10 6 3 2" xfId="47214" xr:uid="{00000000-0005-0000-0000-00001EB80000}"/>
    <cellStyle name="Note 2 10 6 4" xfId="37516" xr:uid="{00000000-0005-0000-0000-00001FB80000}"/>
    <cellStyle name="Note 2 10 7" xfId="18214" xr:uid="{00000000-0005-0000-0000-000020B80000}"/>
    <cellStyle name="Note 2 10 7 2" xfId="28582" xr:uid="{00000000-0005-0000-0000-000021B80000}"/>
    <cellStyle name="Note 2 10 7 2 2" xfId="47771" xr:uid="{00000000-0005-0000-0000-000022B80000}"/>
    <cellStyle name="Note 2 10 7 3" xfId="38073" xr:uid="{00000000-0005-0000-0000-000023B80000}"/>
    <cellStyle name="Note 2 10 8" xfId="24082" xr:uid="{00000000-0005-0000-0000-000024B80000}"/>
    <cellStyle name="Note 2 10 8 2" xfId="43316" xr:uid="{00000000-0005-0000-0000-000025B80000}"/>
    <cellStyle name="Note 2 10 9" xfId="33618" xr:uid="{00000000-0005-0000-0000-000026B80000}"/>
    <cellStyle name="Note 2 11" xfId="5416" xr:uid="{00000000-0005-0000-0000-000027B80000}"/>
    <cellStyle name="Note 2 11 2" xfId="53347" xr:uid="{00000000-0005-0000-0000-000028B80000}"/>
    <cellStyle name="Note 2 11 3" xfId="13518" xr:uid="{00000000-0005-0000-0000-000029B80000}"/>
    <cellStyle name="Note 2 12" xfId="5414" xr:uid="{00000000-0005-0000-0000-00002AB80000}"/>
    <cellStyle name="Note 2 12 2" xfId="32566" xr:uid="{00000000-0005-0000-0000-00002BB80000}"/>
    <cellStyle name="Note 2 12 2 2" xfId="51754" xr:uid="{00000000-0005-0000-0000-00002CB80000}"/>
    <cellStyle name="Note 2 12 3" xfId="42056" xr:uid="{00000000-0005-0000-0000-00002DB80000}"/>
    <cellStyle name="Note 2 12 4" xfId="22207" xr:uid="{00000000-0005-0000-0000-00002EB80000}"/>
    <cellStyle name="Note 2 13" xfId="5994" xr:uid="{00000000-0005-0000-0000-00002FB80000}"/>
    <cellStyle name="Note 2 13 2" xfId="32592" xr:uid="{00000000-0005-0000-0000-000030B80000}"/>
    <cellStyle name="Note 2 13 2 2" xfId="51780" xr:uid="{00000000-0005-0000-0000-000031B80000}"/>
    <cellStyle name="Note 2 13 3" xfId="42082" xr:uid="{00000000-0005-0000-0000-000032B80000}"/>
    <cellStyle name="Note 2 13 4" xfId="22235" xr:uid="{00000000-0005-0000-0000-000033B80000}"/>
    <cellStyle name="Note 2 14" xfId="12528" xr:uid="{00000000-0005-0000-0000-000034B80000}"/>
    <cellStyle name="Note 2 15" xfId="23249" xr:uid="{00000000-0005-0000-0000-000035B80000}"/>
    <cellStyle name="Note 2 15 2" xfId="42815" xr:uid="{00000000-0005-0000-0000-000036B80000}"/>
    <cellStyle name="Note 2 16" xfId="33012" xr:uid="{00000000-0005-0000-0000-000037B80000}"/>
    <cellStyle name="Note 2 16 2" xfId="52198" xr:uid="{00000000-0005-0000-0000-000038B80000}"/>
    <cellStyle name="Note 2 17" xfId="33109" xr:uid="{00000000-0005-0000-0000-000039B80000}"/>
    <cellStyle name="Note 2 18" xfId="52293" xr:uid="{00000000-0005-0000-0000-00003AB80000}"/>
    <cellStyle name="Note 2 19" xfId="52348" xr:uid="{00000000-0005-0000-0000-00003BB80000}"/>
    <cellStyle name="Note 2 2" xfId="1237" xr:uid="{00000000-0005-0000-0000-00003CB80000}"/>
    <cellStyle name="Note 2 2 2" xfId="5418" xr:uid="{00000000-0005-0000-0000-00003DB80000}"/>
    <cellStyle name="Note 2 2 2 2" xfId="5419" xr:uid="{00000000-0005-0000-0000-00003EB80000}"/>
    <cellStyle name="Note 2 2 2 2 2" xfId="11218" xr:uid="{00000000-0005-0000-0000-00003FB80000}"/>
    <cellStyle name="Note 2 2 2 2 2 2" xfId="53971" xr:uid="{00000000-0005-0000-0000-000040B80000}"/>
    <cellStyle name="Note 2 2 2 2 3" xfId="8321" xr:uid="{00000000-0005-0000-0000-000041B80000}"/>
    <cellStyle name="Note 2 2 2 2 4" xfId="53118" xr:uid="{00000000-0005-0000-0000-000042B80000}"/>
    <cellStyle name="Note 2 2 2 3" xfId="5420" xr:uid="{00000000-0005-0000-0000-000043B80000}"/>
    <cellStyle name="Note 2 2 2 3 2" xfId="9778" xr:uid="{00000000-0005-0000-0000-000044B80000}"/>
    <cellStyle name="Note 2 2 2 3 3" xfId="53575" xr:uid="{00000000-0005-0000-0000-000045B80000}"/>
    <cellStyle name="Note 2 2 2 4" xfId="6841" xr:uid="{00000000-0005-0000-0000-000046B80000}"/>
    <cellStyle name="Note 2 2 2 4 2" xfId="52690" xr:uid="{00000000-0005-0000-0000-000047B80000}"/>
    <cellStyle name="Note 2 2 2 5" xfId="12759" xr:uid="{00000000-0005-0000-0000-000048B80000}"/>
    <cellStyle name="Note 2 2 3" xfId="5421" xr:uid="{00000000-0005-0000-0000-000049B80000}"/>
    <cellStyle name="Note 2 2 3 2" xfId="10560" xr:uid="{00000000-0005-0000-0000-00004AB80000}"/>
    <cellStyle name="Note 2 2 3 2 2" xfId="53775" xr:uid="{00000000-0005-0000-0000-00004BB80000}"/>
    <cellStyle name="Note 2 2 3 3" xfId="7660" xr:uid="{00000000-0005-0000-0000-00004CB80000}"/>
    <cellStyle name="Note 2 2 3 3 2" xfId="52900" xr:uid="{00000000-0005-0000-0000-00004DB80000}"/>
    <cellStyle name="Note 2 2 3 4" xfId="12529" xr:uid="{00000000-0005-0000-0000-00004EB80000}"/>
    <cellStyle name="Note 2 2 4" xfId="5422" xr:uid="{00000000-0005-0000-0000-00004FB80000}"/>
    <cellStyle name="Note 2 2 4 2" xfId="9120" xr:uid="{00000000-0005-0000-0000-000050B80000}"/>
    <cellStyle name="Note 2 2 4 2 2" xfId="51863" xr:uid="{00000000-0005-0000-0000-000051B80000}"/>
    <cellStyle name="Note 2 2 4 2 3" xfId="32676" xr:uid="{00000000-0005-0000-0000-000052B80000}"/>
    <cellStyle name="Note 2 2 4 3" xfId="42165" xr:uid="{00000000-0005-0000-0000-000053B80000}"/>
    <cellStyle name="Note 2 2 4 4" xfId="53379" xr:uid="{00000000-0005-0000-0000-000054B80000}"/>
    <cellStyle name="Note 2 2 4 5" xfId="22567" xr:uid="{00000000-0005-0000-0000-000055B80000}"/>
    <cellStyle name="Note 2 2 5" xfId="5417" xr:uid="{00000000-0005-0000-0000-000056B80000}"/>
    <cellStyle name="Note 2 2 5 2" xfId="23332" xr:uid="{00000000-0005-0000-0000-000057B80000}"/>
    <cellStyle name="Note 2 2 6" xfId="5993" xr:uid="{00000000-0005-0000-0000-000058B80000}"/>
    <cellStyle name="Note 2 2 6 2" xfId="42518" xr:uid="{00000000-0005-0000-0000-000059B80000}"/>
    <cellStyle name="Note 2 2 6 3" xfId="22949" xr:uid="{00000000-0005-0000-0000-00005AB80000}"/>
    <cellStyle name="Note 2 2 7" xfId="6134" xr:uid="{00000000-0005-0000-0000-00005BB80000}"/>
    <cellStyle name="Note 2 2 7 2" xfId="12207" xr:uid="{00000000-0005-0000-0000-00005CB80000}"/>
    <cellStyle name="Note 2 2 8" xfId="52486" xr:uid="{00000000-0005-0000-0000-00005DB80000}"/>
    <cellStyle name="Note 2 2 9" xfId="12077" xr:uid="{00000000-0005-0000-0000-00005EB80000}"/>
    <cellStyle name="Note 2 20" xfId="52395" xr:uid="{00000000-0005-0000-0000-00005FB80000}"/>
    <cellStyle name="Note 2 21" xfId="12099" xr:uid="{00000000-0005-0000-0000-000060B80000}"/>
    <cellStyle name="Note 2 22" xfId="52436" xr:uid="{00000000-0005-0000-0000-000061B80000}"/>
    <cellStyle name="Note 2 23" xfId="52445" xr:uid="{00000000-0005-0000-0000-000062B80000}"/>
    <cellStyle name="Note 2 24" xfId="11956" xr:uid="{00000000-0005-0000-0000-000063B80000}"/>
    <cellStyle name="Note 2 3" xfId="1238" xr:uid="{00000000-0005-0000-0000-000064B80000}"/>
    <cellStyle name="Note 2 3 10" xfId="52526" xr:uid="{00000000-0005-0000-0000-000065B80000}"/>
    <cellStyle name="Note 2 3 11" xfId="12078" xr:uid="{00000000-0005-0000-0000-000066B80000}"/>
    <cellStyle name="Note 2 3 2" xfId="5424" xr:uid="{00000000-0005-0000-0000-000067B80000}"/>
    <cellStyle name="Note 2 3 2 10" xfId="18215" xr:uid="{00000000-0005-0000-0000-000068B80000}"/>
    <cellStyle name="Note 2 3 2 10 2" xfId="28583" xr:uid="{00000000-0005-0000-0000-000069B80000}"/>
    <cellStyle name="Note 2 3 2 10 2 2" xfId="47772" xr:uid="{00000000-0005-0000-0000-00006AB80000}"/>
    <cellStyle name="Note 2 3 2 10 3" xfId="38074" xr:uid="{00000000-0005-0000-0000-00006BB80000}"/>
    <cellStyle name="Note 2 3 2 11" xfId="24083" xr:uid="{00000000-0005-0000-0000-00006CB80000}"/>
    <cellStyle name="Note 2 3 2 11 2" xfId="43317" xr:uid="{00000000-0005-0000-0000-00006DB80000}"/>
    <cellStyle name="Note 2 3 2 12" xfId="33619" xr:uid="{00000000-0005-0000-0000-00006EB80000}"/>
    <cellStyle name="Note 2 3 2 13" xfId="52728" xr:uid="{00000000-0005-0000-0000-00006FB80000}"/>
    <cellStyle name="Note 2 3 2 14" xfId="13377" xr:uid="{00000000-0005-0000-0000-000070B80000}"/>
    <cellStyle name="Note 2 3 2 2" xfId="13378" xr:uid="{00000000-0005-0000-0000-000071B80000}"/>
    <cellStyle name="Note 2 3 2 2 10" xfId="24084" xr:uid="{00000000-0005-0000-0000-000072B80000}"/>
    <cellStyle name="Note 2 3 2 2 10 2" xfId="43318" xr:uid="{00000000-0005-0000-0000-000073B80000}"/>
    <cellStyle name="Note 2 3 2 2 11" xfId="33620" xr:uid="{00000000-0005-0000-0000-000074B80000}"/>
    <cellStyle name="Note 2 3 2 2 12" xfId="53156" xr:uid="{00000000-0005-0000-0000-000075B80000}"/>
    <cellStyle name="Note 2 3 2 2 2" xfId="13379" xr:uid="{00000000-0005-0000-0000-000076B80000}"/>
    <cellStyle name="Note 2 3 2 2 2 10" xfId="54009" xr:uid="{00000000-0005-0000-0000-000077B80000}"/>
    <cellStyle name="Note 2 3 2 2 2 2" xfId="14273" xr:uid="{00000000-0005-0000-0000-000078B80000}"/>
    <cellStyle name="Note 2 3 2 2 2 2 2" xfId="16537" xr:uid="{00000000-0005-0000-0000-000079B80000}"/>
    <cellStyle name="Note 2 3 2 2 2 2 2 2" xfId="21001" xr:uid="{00000000-0005-0000-0000-00007AB80000}"/>
    <cellStyle name="Note 2 3 2 2 2 2 2 2 2" xfId="31369" xr:uid="{00000000-0005-0000-0000-00007BB80000}"/>
    <cellStyle name="Note 2 3 2 2 2 2 2 2 2 2" xfId="50558" xr:uid="{00000000-0005-0000-0000-00007CB80000}"/>
    <cellStyle name="Note 2 3 2 2 2 2 2 2 3" xfId="40860" xr:uid="{00000000-0005-0000-0000-00007DB80000}"/>
    <cellStyle name="Note 2 3 2 2 2 2 2 3" xfId="26914" xr:uid="{00000000-0005-0000-0000-00007EB80000}"/>
    <cellStyle name="Note 2 3 2 2 2 2 2 3 2" xfId="46103" xr:uid="{00000000-0005-0000-0000-00007FB80000}"/>
    <cellStyle name="Note 2 3 2 2 2 2 2 4" xfId="36405" xr:uid="{00000000-0005-0000-0000-000080B80000}"/>
    <cellStyle name="Note 2 3 2 2 2 2 3" xfId="18773" xr:uid="{00000000-0005-0000-0000-000081B80000}"/>
    <cellStyle name="Note 2 3 2 2 2 2 3 2" xfId="29141" xr:uid="{00000000-0005-0000-0000-000082B80000}"/>
    <cellStyle name="Note 2 3 2 2 2 2 3 2 2" xfId="48330" xr:uid="{00000000-0005-0000-0000-000083B80000}"/>
    <cellStyle name="Note 2 3 2 2 2 2 3 3" xfId="38632" xr:uid="{00000000-0005-0000-0000-000084B80000}"/>
    <cellStyle name="Note 2 3 2 2 2 2 4" xfId="24681" xr:uid="{00000000-0005-0000-0000-000085B80000}"/>
    <cellStyle name="Note 2 3 2 2 2 2 4 2" xfId="43875" xr:uid="{00000000-0005-0000-0000-000086B80000}"/>
    <cellStyle name="Note 2 3 2 2 2 2 5" xfId="34177" xr:uid="{00000000-0005-0000-0000-000087B80000}"/>
    <cellStyle name="Note 2 3 2 2 2 3" xfId="14852" xr:uid="{00000000-0005-0000-0000-000088B80000}"/>
    <cellStyle name="Note 2 3 2 2 2 3 2" xfId="15981" xr:uid="{00000000-0005-0000-0000-000089B80000}"/>
    <cellStyle name="Note 2 3 2 2 2 3 2 2" xfId="20445" xr:uid="{00000000-0005-0000-0000-00008AB80000}"/>
    <cellStyle name="Note 2 3 2 2 2 3 2 2 2" xfId="30813" xr:uid="{00000000-0005-0000-0000-00008BB80000}"/>
    <cellStyle name="Note 2 3 2 2 2 3 2 2 2 2" xfId="50002" xr:uid="{00000000-0005-0000-0000-00008CB80000}"/>
    <cellStyle name="Note 2 3 2 2 2 3 2 2 3" xfId="40304" xr:uid="{00000000-0005-0000-0000-00008DB80000}"/>
    <cellStyle name="Note 2 3 2 2 2 3 2 3" xfId="26358" xr:uid="{00000000-0005-0000-0000-00008EB80000}"/>
    <cellStyle name="Note 2 3 2 2 2 3 2 3 2" xfId="45547" xr:uid="{00000000-0005-0000-0000-00008FB80000}"/>
    <cellStyle name="Note 2 3 2 2 2 3 2 4" xfId="35849" xr:uid="{00000000-0005-0000-0000-000090B80000}"/>
    <cellStyle name="Note 2 3 2 2 2 3 3" xfId="19330" xr:uid="{00000000-0005-0000-0000-000091B80000}"/>
    <cellStyle name="Note 2 3 2 2 2 3 3 2" xfId="29698" xr:uid="{00000000-0005-0000-0000-000092B80000}"/>
    <cellStyle name="Note 2 3 2 2 2 3 3 2 2" xfId="48887" xr:uid="{00000000-0005-0000-0000-000093B80000}"/>
    <cellStyle name="Note 2 3 2 2 2 3 3 3" xfId="39189" xr:uid="{00000000-0005-0000-0000-000094B80000}"/>
    <cellStyle name="Note 2 3 2 2 2 3 4" xfId="25243" xr:uid="{00000000-0005-0000-0000-000095B80000}"/>
    <cellStyle name="Note 2 3 2 2 2 3 4 2" xfId="44432" xr:uid="{00000000-0005-0000-0000-000096B80000}"/>
    <cellStyle name="Note 2 3 2 2 2 3 5" xfId="34734" xr:uid="{00000000-0005-0000-0000-000097B80000}"/>
    <cellStyle name="Note 2 3 2 2 2 4" xfId="15424" xr:uid="{00000000-0005-0000-0000-000098B80000}"/>
    <cellStyle name="Note 2 3 2 2 2 4 2" xfId="19888" xr:uid="{00000000-0005-0000-0000-000099B80000}"/>
    <cellStyle name="Note 2 3 2 2 2 4 2 2" xfId="30256" xr:uid="{00000000-0005-0000-0000-00009AB80000}"/>
    <cellStyle name="Note 2 3 2 2 2 4 2 2 2" xfId="49445" xr:uid="{00000000-0005-0000-0000-00009BB80000}"/>
    <cellStyle name="Note 2 3 2 2 2 4 2 3" xfId="39747" xr:uid="{00000000-0005-0000-0000-00009CB80000}"/>
    <cellStyle name="Note 2 3 2 2 2 4 3" xfId="25801" xr:uid="{00000000-0005-0000-0000-00009DB80000}"/>
    <cellStyle name="Note 2 3 2 2 2 4 3 2" xfId="44990" xr:uid="{00000000-0005-0000-0000-00009EB80000}"/>
    <cellStyle name="Note 2 3 2 2 2 4 4" xfId="35292" xr:uid="{00000000-0005-0000-0000-00009FB80000}"/>
    <cellStyle name="Note 2 3 2 2 2 5" xfId="17094" xr:uid="{00000000-0005-0000-0000-0000A0B80000}"/>
    <cellStyle name="Note 2 3 2 2 2 5 2" xfId="21558" xr:uid="{00000000-0005-0000-0000-0000A1B80000}"/>
    <cellStyle name="Note 2 3 2 2 2 5 2 2" xfId="31926" xr:uid="{00000000-0005-0000-0000-0000A2B80000}"/>
    <cellStyle name="Note 2 3 2 2 2 5 2 2 2" xfId="51115" xr:uid="{00000000-0005-0000-0000-0000A3B80000}"/>
    <cellStyle name="Note 2 3 2 2 2 5 2 3" xfId="41417" xr:uid="{00000000-0005-0000-0000-0000A4B80000}"/>
    <cellStyle name="Note 2 3 2 2 2 5 3" xfId="27471" xr:uid="{00000000-0005-0000-0000-0000A5B80000}"/>
    <cellStyle name="Note 2 3 2 2 2 5 3 2" xfId="46660" xr:uid="{00000000-0005-0000-0000-0000A6B80000}"/>
    <cellStyle name="Note 2 3 2 2 2 5 4" xfId="36962" xr:uid="{00000000-0005-0000-0000-0000A7B80000}"/>
    <cellStyle name="Note 2 3 2 2 2 6" xfId="17660" xr:uid="{00000000-0005-0000-0000-0000A8B80000}"/>
    <cellStyle name="Note 2 3 2 2 2 6 2" xfId="22115" xr:uid="{00000000-0005-0000-0000-0000A9B80000}"/>
    <cellStyle name="Note 2 3 2 2 2 6 2 2" xfId="32483" xr:uid="{00000000-0005-0000-0000-0000AAB80000}"/>
    <cellStyle name="Note 2 3 2 2 2 6 2 2 2" xfId="51672" xr:uid="{00000000-0005-0000-0000-0000ABB80000}"/>
    <cellStyle name="Note 2 3 2 2 2 6 2 3" xfId="41974" xr:uid="{00000000-0005-0000-0000-0000ACB80000}"/>
    <cellStyle name="Note 2 3 2 2 2 6 3" xfId="28028" xr:uid="{00000000-0005-0000-0000-0000ADB80000}"/>
    <cellStyle name="Note 2 3 2 2 2 6 3 2" xfId="47217" xr:uid="{00000000-0005-0000-0000-0000AEB80000}"/>
    <cellStyle name="Note 2 3 2 2 2 6 4" xfId="37519" xr:uid="{00000000-0005-0000-0000-0000AFB80000}"/>
    <cellStyle name="Note 2 3 2 2 2 7" xfId="18217" xr:uid="{00000000-0005-0000-0000-0000B0B80000}"/>
    <cellStyle name="Note 2 3 2 2 2 7 2" xfId="28585" xr:uid="{00000000-0005-0000-0000-0000B1B80000}"/>
    <cellStyle name="Note 2 3 2 2 2 7 2 2" xfId="47774" xr:uid="{00000000-0005-0000-0000-0000B2B80000}"/>
    <cellStyle name="Note 2 3 2 2 2 7 3" xfId="38076" xr:uid="{00000000-0005-0000-0000-0000B3B80000}"/>
    <cellStyle name="Note 2 3 2 2 2 8" xfId="24085" xr:uid="{00000000-0005-0000-0000-0000B4B80000}"/>
    <cellStyle name="Note 2 3 2 2 2 8 2" xfId="43319" xr:uid="{00000000-0005-0000-0000-0000B5B80000}"/>
    <cellStyle name="Note 2 3 2 2 2 9" xfId="33621" xr:uid="{00000000-0005-0000-0000-0000B6B80000}"/>
    <cellStyle name="Note 2 3 2 2 3" xfId="13380" xr:uid="{00000000-0005-0000-0000-0000B7B80000}"/>
    <cellStyle name="Note 2 3 2 2 3 2" xfId="14274" xr:uid="{00000000-0005-0000-0000-0000B8B80000}"/>
    <cellStyle name="Note 2 3 2 2 3 2 2" xfId="16538" xr:uid="{00000000-0005-0000-0000-0000B9B80000}"/>
    <cellStyle name="Note 2 3 2 2 3 2 2 2" xfId="21002" xr:uid="{00000000-0005-0000-0000-0000BAB80000}"/>
    <cellStyle name="Note 2 3 2 2 3 2 2 2 2" xfId="31370" xr:uid="{00000000-0005-0000-0000-0000BBB80000}"/>
    <cellStyle name="Note 2 3 2 2 3 2 2 2 2 2" xfId="50559" xr:uid="{00000000-0005-0000-0000-0000BCB80000}"/>
    <cellStyle name="Note 2 3 2 2 3 2 2 2 3" xfId="40861" xr:uid="{00000000-0005-0000-0000-0000BDB80000}"/>
    <cellStyle name="Note 2 3 2 2 3 2 2 3" xfId="26915" xr:uid="{00000000-0005-0000-0000-0000BEB80000}"/>
    <cellStyle name="Note 2 3 2 2 3 2 2 3 2" xfId="46104" xr:uid="{00000000-0005-0000-0000-0000BFB80000}"/>
    <cellStyle name="Note 2 3 2 2 3 2 2 4" xfId="36406" xr:uid="{00000000-0005-0000-0000-0000C0B80000}"/>
    <cellStyle name="Note 2 3 2 2 3 2 3" xfId="18774" xr:uid="{00000000-0005-0000-0000-0000C1B80000}"/>
    <cellStyle name="Note 2 3 2 2 3 2 3 2" xfId="29142" xr:uid="{00000000-0005-0000-0000-0000C2B80000}"/>
    <cellStyle name="Note 2 3 2 2 3 2 3 2 2" xfId="48331" xr:uid="{00000000-0005-0000-0000-0000C3B80000}"/>
    <cellStyle name="Note 2 3 2 2 3 2 3 3" xfId="38633" xr:uid="{00000000-0005-0000-0000-0000C4B80000}"/>
    <cellStyle name="Note 2 3 2 2 3 2 4" xfId="24682" xr:uid="{00000000-0005-0000-0000-0000C5B80000}"/>
    <cellStyle name="Note 2 3 2 2 3 2 4 2" xfId="43876" xr:uid="{00000000-0005-0000-0000-0000C6B80000}"/>
    <cellStyle name="Note 2 3 2 2 3 2 5" xfId="34178" xr:uid="{00000000-0005-0000-0000-0000C7B80000}"/>
    <cellStyle name="Note 2 3 2 2 3 3" xfId="14853" xr:uid="{00000000-0005-0000-0000-0000C8B80000}"/>
    <cellStyle name="Note 2 3 2 2 3 3 2" xfId="15982" xr:uid="{00000000-0005-0000-0000-0000C9B80000}"/>
    <cellStyle name="Note 2 3 2 2 3 3 2 2" xfId="20446" xr:uid="{00000000-0005-0000-0000-0000CAB80000}"/>
    <cellStyle name="Note 2 3 2 2 3 3 2 2 2" xfId="30814" xr:uid="{00000000-0005-0000-0000-0000CBB80000}"/>
    <cellStyle name="Note 2 3 2 2 3 3 2 2 2 2" xfId="50003" xr:uid="{00000000-0005-0000-0000-0000CCB80000}"/>
    <cellStyle name="Note 2 3 2 2 3 3 2 2 3" xfId="40305" xr:uid="{00000000-0005-0000-0000-0000CDB80000}"/>
    <cellStyle name="Note 2 3 2 2 3 3 2 3" xfId="26359" xr:uid="{00000000-0005-0000-0000-0000CEB80000}"/>
    <cellStyle name="Note 2 3 2 2 3 3 2 3 2" xfId="45548" xr:uid="{00000000-0005-0000-0000-0000CFB80000}"/>
    <cellStyle name="Note 2 3 2 2 3 3 2 4" xfId="35850" xr:uid="{00000000-0005-0000-0000-0000D0B80000}"/>
    <cellStyle name="Note 2 3 2 2 3 3 3" xfId="19331" xr:uid="{00000000-0005-0000-0000-0000D1B80000}"/>
    <cellStyle name="Note 2 3 2 2 3 3 3 2" xfId="29699" xr:uid="{00000000-0005-0000-0000-0000D2B80000}"/>
    <cellStyle name="Note 2 3 2 2 3 3 3 2 2" xfId="48888" xr:uid="{00000000-0005-0000-0000-0000D3B80000}"/>
    <cellStyle name="Note 2 3 2 2 3 3 3 3" xfId="39190" xr:uid="{00000000-0005-0000-0000-0000D4B80000}"/>
    <cellStyle name="Note 2 3 2 2 3 3 4" xfId="25244" xr:uid="{00000000-0005-0000-0000-0000D5B80000}"/>
    <cellStyle name="Note 2 3 2 2 3 3 4 2" xfId="44433" xr:uid="{00000000-0005-0000-0000-0000D6B80000}"/>
    <cellStyle name="Note 2 3 2 2 3 3 5" xfId="34735" xr:uid="{00000000-0005-0000-0000-0000D7B80000}"/>
    <cellStyle name="Note 2 3 2 2 3 4" xfId="15425" xr:uid="{00000000-0005-0000-0000-0000D8B80000}"/>
    <cellStyle name="Note 2 3 2 2 3 4 2" xfId="19889" xr:uid="{00000000-0005-0000-0000-0000D9B80000}"/>
    <cellStyle name="Note 2 3 2 2 3 4 2 2" xfId="30257" xr:uid="{00000000-0005-0000-0000-0000DAB80000}"/>
    <cellStyle name="Note 2 3 2 2 3 4 2 2 2" xfId="49446" xr:uid="{00000000-0005-0000-0000-0000DBB80000}"/>
    <cellStyle name="Note 2 3 2 2 3 4 2 3" xfId="39748" xr:uid="{00000000-0005-0000-0000-0000DCB80000}"/>
    <cellStyle name="Note 2 3 2 2 3 4 3" xfId="25802" xr:uid="{00000000-0005-0000-0000-0000DDB80000}"/>
    <cellStyle name="Note 2 3 2 2 3 4 3 2" xfId="44991" xr:uid="{00000000-0005-0000-0000-0000DEB80000}"/>
    <cellStyle name="Note 2 3 2 2 3 4 4" xfId="35293" xr:uid="{00000000-0005-0000-0000-0000DFB80000}"/>
    <cellStyle name="Note 2 3 2 2 3 5" xfId="17095" xr:uid="{00000000-0005-0000-0000-0000E0B80000}"/>
    <cellStyle name="Note 2 3 2 2 3 5 2" xfId="21559" xr:uid="{00000000-0005-0000-0000-0000E1B80000}"/>
    <cellStyle name="Note 2 3 2 2 3 5 2 2" xfId="31927" xr:uid="{00000000-0005-0000-0000-0000E2B80000}"/>
    <cellStyle name="Note 2 3 2 2 3 5 2 2 2" xfId="51116" xr:uid="{00000000-0005-0000-0000-0000E3B80000}"/>
    <cellStyle name="Note 2 3 2 2 3 5 2 3" xfId="41418" xr:uid="{00000000-0005-0000-0000-0000E4B80000}"/>
    <cellStyle name="Note 2 3 2 2 3 5 3" xfId="27472" xr:uid="{00000000-0005-0000-0000-0000E5B80000}"/>
    <cellStyle name="Note 2 3 2 2 3 5 3 2" xfId="46661" xr:uid="{00000000-0005-0000-0000-0000E6B80000}"/>
    <cellStyle name="Note 2 3 2 2 3 5 4" xfId="36963" xr:uid="{00000000-0005-0000-0000-0000E7B80000}"/>
    <cellStyle name="Note 2 3 2 2 3 6" xfId="17661" xr:uid="{00000000-0005-0000-0000-0000E8B80000}"/>
    <cellStyle name="Note 2 3 2 2 3 6 2" xfId="22116" xr:uid="{00000000-0005-0000-0000-0000E9B80000}"/>
    <cellStyle name="Note 2 3 2 2 3 6 2 2" xfId="32484" xr:uid="{00000000-0005-0000-0000-0000EAB80000}"/>
    <cellStyle name="Note 2 3 2 2 3 6 2 2 2" xfId="51673" xr:uid="{00000000-0005-0000-0000-0000EBB80000}"/>
    <cellStyle name="Note 2 3 2 2 3 6 2 3" xfId="41975" xr:uid="{00000000-0005-0000-0000-0000ECB80000}"/>
    <cellStyle name="Note 2 3 2 2 3 6 3" xfId="28029" xr:uid="{00000000-0005-0000-0000-0000EDB80000}"/>
    <cellStyle name="Note 2 3 2 2 3 6 3 2" xfId="47218" xr:uid="{00000000-0005-0000-0000-0000EEB80000}"/>
    <cellStyle name="Note 2 3 2 2 3 6 4" xfId="37520" xr:uid="{00000000-0005-0000-0000-0000EFB80000}"/>
    <cellStyle name="Note 2 3 2 2 3 7" xfId="18218" xr:uid="{00000000-0005-0000-0000-0000F0B80000}"/>
    <cellStyle name="Note 2 3 2 2 3 7 2" xfId="28586" xr:uid="{00000000-0005-0000-0000-0000F1B80000}"/>
    <cellStyle name="Note 2 3 2 2 3 7 2 2" xfId="47775" xr:uid="{00000000-0005-0000-0000-0000F2B80000}"/>
    <cellStyle name="Note 2 3 2 2 3 7 3" xfId="38077" xr:uid="{00000000-0005-0000-0000-0000F3B80000}"/>
    <cellStyle name="Note 2 3 2 2 3 8" xfId="24086" xr:uid="{00000000-0005-0000-0000-0000F4B80000}"/>
    <cellStyle name="Note 2 3 2 2 3 8 2" xfId="43320" xr:uid="{00000000-0005-0000-0000-0000F5B80000}"/>
    <cellStyle name="Note 2 3 2 2 3 9" xfId="33622" xr:uid="{00000000-0005-0000-0000-0000F6B80000}"/>
    <cellStyle name="Note 2 3 2 2 4" xfId="14272" xr:uid="{00000000-0005-0000-0000-0000F7B80000}"/>
    <cellStyle name="Note 2 3 2 2 4 2" xfId="16536" xr:uid="{00000000-0005-0000-0000-0000F8B80000}"/>
    <cellStyle name="Note 2 3 2 2 4 2 2" xfId="21000" xr:uid="{00000000-0005-0000-0000-0000F9B80000}"/>
    <cellStyle name="Note 2 3 2 2 4 2 2 2" xfId="31368" xr:uid="{00000000-0005-0000-0000-0000FAB80000}"/>
    <cellStyle name="Note 2 3 2 2 4 2 2 2 2" xfId="50557" xr:uid="{00000000-0005-0000-0000-0000FBB80000}"/>
    <cellStyle name="Note 2 3 2 2 4 2 2 3" xfId="40859" xr:uid="{00000000-0005-0000-0000-0000FCB80000}"/>
    <cellStyle name="Note 2 3 2 2 4 2 3" xfId="26913" xr:uid="{00000000-0005-0000-0000-0000FDB80000}"/>
    <cellStyle name="Note 2 3 2 2 4 2 3 2" xfId="46102" xr:uid="{00000000-0005-0000-0000-0000FEB80000}"/>
    <cellStyle name="Note 2 3 2 2 4 2 4" xfId="36404" xr:uid="{00000000-0005-0000-0000-0000FFB80000}"/>
    <cellStyle name="Note 2 3 2 2 4 3" xfId="18772" xr:uid="{00000000-0005-0000-0000-000000B90000}"/>
    <cellStyle name="Note 2 3 2 2 4 3 2" xfId="29140" xr:uid="{00000000-0005-0000-0000-000001B90000}"/>
    <cellStyle name="Note 2 3 2 2 4 3 2 2" xfId="48329" xr:uid="{00000000-0005-0000-0000-000002B90000}"/>
    <cellStyle name="Note 2 3 2 2 4 3 3" xfId="38631" xr:uid="{00000000-0005-0000-0000-000003B90000}"/>
    <cellStyle name="Note 2 3 2 2 4 4" xfId="24680" xr:uid="{00000000-0005-0000-0000-000004B90000}"/>
    <cellStyle name="Note 2 3 2 2 4 4 2" xfId="43874" xr:uid="{00000000-0005-0000-0000-000005B90000}"/>
    <cellStyle name="Note 2 3 2 2 4 5" xfId="34176" xr:uid="{00000000-0005-0000-0000-000006B90000}"/>
    <cellStyle name="Note 2 3 2 2 5" xfId="14851" xr:uid="{00000000-0005-0000-0000-000007B90000}"/>
    <cellStyle name="Note 2 3 2 2 5 2" xfId="15980" xr:uid="{00000000-0005-0000-0000-000008B90000}"/>
    <cellStyle name="Note 2 3 2 2 5 2 2" xfId="20444" xr:uid="{00000000-0005-0000-0000-000009B90000}"/>
    <cellStyle name="Note 2 3 2 2 5 2 2 2" xfId="30812" xr:uid="{00000000-0005-0000-0000-00000AB90000}"/>
    <cellStyle name="Note 2 3 2 2 5 2 2 2 2" xfId="50001" xr:uid="{00000000-0005-0000-0000-00000BB90000}"/>
    <cellStyle name="Note 2 3 2 2 5 2 2 3" xfId="40303" xr:uid="{00000000-0005-0000-0000-00000CB90000}"/>
    <cellStyle name="Note 2 3 2 2 5 2 3" xfId="26357" xr:uid="{00000000-0005-0000-0000-00000DB90000}"/>
    <cellStyle name="Note 2 3 2 2 5 2 3 2" xfId="45546" xr:uid="{00000000-0005-0000-0000-00000EB90000}"/>
    <cellStyle name="Note 2 3 2 2 5 2 4" xfId="35848" xr:uid="{00000000-0005-0000-0000-00000FB90000}"/>
    <cellStyle name="Note 2 3 2 2 5 3" xfId="19329" xr:uid="{00000000-0005-0000-0000-000010B90000}"/>
    <cellStyle name="Note 2 3 2 2 5 3 2" xfId="29697" xr:uid="{00000000-0005-0000-0000-000011B90000}"/>
    <cellStyle name="Note 2 3 2 2 5 3 2 2" xfId="48886" xr:uid="{00000000-0005-0000-0000-000012B90000}"/>
    <cellStyle name="Note 2 3 2 2 5 3 3" xfId="39188" xr:uid="{00000000-0005-0000-0000-000013B90000}"/>
    <cellStyle name="Note 2 3 2 2 5 4" xfId="25242" xr:uid="{00000000-0005-0000-0000-000014B90000}"/>
    <cellStyle name="Note 2 3 2 2 5 4 2" xfId="44431" xr:uid="{00000000-0005-0000-0000-000015B90000}"/>
    <cellStyle name="Note 2 3 2 2 5 5" xfId="34733" xr:uid="{00000000-0005-0000-0000-000016B90000}"/>
    <cellStyle name="Note 2 3 2 2 6" xfId="15423" xr:uid="{00000000-0005-0000-0000-000017B90000}"/>
    <cellStyle name="Note 2 3 2 2 6 2" xfId="19887" xr:uid="{00000000-0005-0000-0000-000018B90000}"/>
    <cellStyle name="Note 2 3 2 2 6 2 2" xfId="30255" xr:uid="{00000000-0005-0000-0000-000019B90000}"/>
    <cellStyle name="Note 2 3 2 2 6 2 2 2" xfId="49444" xr:uid="{00000000-0005-0000-0000-00001AB90000}"/>
    <cellStyle name="Note 2 3 2 2 6 2 3" xfId="39746" xr:uid="{00000000-0005-0000-0000-00001BB90000}"/>
    <cellStyle name="Note 2 3 2 2 6 3" xfId="25800" xr:uid="{00000000-0005-0000-0000-00001CB90000}"/>
    <cellStyle name="Note 2 3 2 2 6 3 2" xfId="44989" xr:uid="{00000000-0005-0000-0000-00001DB90000}"/>
    <cellStyle name="Note 2 3 2 2 6 4" xfId="35291" xr:uid="{00000000-0005-0000-0000-00001EB90000}"/>
    <cellStyle name="Note 2 3 2 2 7" xfId="17093" xr:uid="{00000000-0005-0000-0000-00001FB90000}"/>
    <cellStyle name="Note 2 3 2 2 7 2" xfId="21557" xr:uid="{00000000-0005-0000-0000-000020B90000}"/>
    <cellStyle name="Note 2 3 2 2 7 2 2" xfId="31925" xr:uid="{00000000-0005-0000-0000-000021B90000}"/>
    <cellStyle name="Note 2 3 2 2 7 2 2 2" xfId="51114" xr:uid="{00000000-0005-0000-0000-000022B90000}"/>
    <cellStyle name="Note 2 3 2 2 7 2 3" xfId="41416" xr:uid="{00000000-0005-0000-0000-000023B90000}"/>
    <cellStyle name="Note 2 3 2 2 7 3" xfId="27470" xr:uid="{00000000-0005-0000-0000-000024B90000}"/>
    <cellStyle name="Note 2 3 2 2 7 3 2" xfId="46659" xr:uid="{00000000-0005-0000-0000-000025B90000}"/>
    <cellStyle name="Note 2 3 2 2 7 4" xfId="36961" xr:uid="{00000000-0005-0000-0000-000026B90000}"/>
    <cellStyle name="Note 2 3 2 2 8" xfId="17659" xr:uid="{00000000-0005-0000-0000-000027B90000}"/>
    <cellStyle name="Note 2 3 2 2 8 2" xfId="22114" xr:uid="{00000000-0005-0000-0000-000028B90000}"/>
    <cellStyle name="Note 2 3 2 2 8 2 2" xfId="32482" xr:uid="{00000000-0005-0000-0000-000029B90000}"/>
    <cellStyle name="Note 2 3 2 2 8 2 2 2" xfId="51671" xr:uid="{00000000-0005-0000-0000-00002AB90000}"/>
    <cellStyle name="Note 2 3 2 2 8 2 3" xfId="41973" xr:uid="{00000000-0005-0000-0000-00002BB90000}"/>
    <cellStyle name="Note 2 3 2 2 8 3" xfId="28027" xr:uid="{00000000-0005-0000-0000-00002CB90000}"/>
    <cellStyle name="Note 2 3 2 2 8 3 2" xfId="47216" xr:uid="{00000000-0005-0000-0000-00002DB90000}"/>
    <cellStyle name="Note 2 3 2 2 8 4" xfId="37518" xr:uid="{00000000-0005-0000-0000-00002EB90000}"/>
    <cellStyle name="Note 2 3 2 2 9" xfId="18216" xr:uid="{00000000-0005-0000-0000-00002FB90000}"/>
    <cellStyle name="Note 2 3 2 2 9 2" xfId="28584" xr:uid="{00000000-0005-0000-0000-000030B90000}"/>
    <cellStyle name="Note 2 3 2 2 9 2 2" xfId="47773" xr:uid="{00000000-0005-0000-0000-000031B90000}"/>
    <cellStyle name="Note 2 3 2 2 9 3" xfId="38075" xr:uid="{00000000-0005-0000-0000-000032B90000}"/>
    <cellStyle name="Note 2 3 2 3" xfId="13381" xr:uid="{00000000-0005-0000-0000-000033B90000}"/>
    <cellStyle name="Note 2 3 2 3 10" xfId="53613" xr:uid="{00000000-0005-0000-0000-000034B90000}"/>
    <cellStyle name="Note 2 3 2 3 2" xfId="14275" xr:uid="{00000000-0005-0000-0000-000035B90000}"/>
    <cellStyle name="Note 2 3 2 3 2 2" xfId="16539" xr:uid="{00000000-0005-0000-0000-000036B90000}"/>
    <cellStyle name="Note 2 3 2 3 2 2 2" xfId="21003" xr:uid="{00000000-0005-0000-0000-000037B90000}"/>
    <cellStyle name="Note 2 3 2 3 2 2 2 2" xfId="31371" xr:uid="{00000000-0005-0000-0000-000038B90000}"/>
    <cellStyle name="Note 2 3 2 3 2 2 2 2 2" xfId="50560" xr:uid="{00000000-0005-0000-0000-000039B90000}"/>
    <cellStyle name="Note 2 3 2 3 2 2 2 3" xfId="40862" xr:uid="{00000000-0005-0000-0000-00003AB90000}"/>
    <cellStyle name="Note 2 3 2 3 2 2 3" xfId="26916" xr:uid="{00000000-0005-0000-0000-00003BB90000}"/>
    <cellStyle name="Note 2 3 2 3 2 2 3 2" xfId="46105" xr:uid="{00000000-0005-0000-0000-00003CB90000}"/>
    <cellStyle name="Note 2 3 2 3 2 2 4" xfId="36407" xr:uid="{00000000-0005-0000-0000-00003DB90000}"/>
    <cellStyle name="Note 2 3 2 3 2 3" xfId="18775" xr:uid="{00000000-0005-0000-0000-00003EB90000}"/>
    <cellStyle name="Note 2 3 2 3 2 3 2" xfId="29143" xr:uid="{00000000-0005-0000-0000-00003FB90000}"/>
    <cellStyle name="Note 2 3 2 3 2 3 2 2" xfId="48332" xr:uid="{00000000-0005-0000-0000-000040B90000}"/>
    <cellStyle name="Note 2 3 2 3 2 3 3" xfId="38634" xr:uid="{00000000-0005-0000-0000-000041B90000}"/>
    <cellStyle name="Note 2 3 2 3 2 4" xfId="24683" xr:uid="{00000000-0005-0000-0000-000042B90000}"/>
    <cellStyle name="Note 2 3 2 3 2 4 2" xfId="43877" xr:uid="{00000000-0005-0000-0000-000043B90000}"/>
    <cellStyle name="Note 2 3 2 3 2 5" xfId="34179" xr:uid="{00000000-0005-0000-0000-000044B90000}"/>
    <cellStyle name="Note 2 3 2 3 3" xfId="14854" xr:uid="{00000000-0005-0000-0000-000045B90000}"/>
    <cellStyle name="Note 2 3 2 3 3 2" xfId="15983" xr:uid="{00000000-0005-0000-0000-000046B90000}"/>
    <cellStyle name="Note 2 3 2 3 3 2 2" xfId="20447" xr:uid="{00000000-0005-0000-0000-000047B90000}"/>
    <cellStyle name="Note 2 3 2 3 3 2 2 2" xfId="30815" xr:uid="{00000000-0005-0000-0000-000048B90000}"/>
    <cellStyle name="Note 2 3 2 3 3 2 2 2 2" xfId="50004" xr:uid="{00000000-0005-0000-0000-000049B90000}"/>
    <cellStyle name="Note 2 3 2 3 3 2 2 3" xfId="40306" xr:uid="{00000000-0005-0000-0000-00004AB90000}"/>
    <cellStyle name="Note 2 3 2 3 3 2 3" xfId="26360" xr:uid="{00000000-0005-0000-0000-00004BB90000}"/>
    <cellStyle name="Note 2 3 2 3 3 2 3 2" xfId="45549" xr:uid="{00000000-0005-0000-0000-00004CB90000}"/>
    <cellStyle name="Note 2 3 2 3 3 2 4" xfId="35851" xr:uid="{00000000-0005-0000-0000-00004DB90000}"/>
    <cellStyle name="Note 2 3 2 3 3 3" xfId="19332" xr:uid="{00000000-0005-0000-0000-00004EB90000}"/>
    <cellStyle name="Note 2 3 2 3 3 3 2" xfId="29700" xr:uid="{00000000-0005-0000-0000-00004FB90000}"/>
    <cellStyle name="Note 2 3 2 3 3 3 2 2" xfId="48889" xr:uid="{00000000-0005-0000-0000-000050B90000}"/>
    <cellStyle name="Note 2 3 2 3 3 3 3" xfId="39191" xr:uid="{00000000-0005-0000-0000-000051B90000}"/>
    <cellStyle name="Note 2 3 2 3 3 4" xfId="25245" xr:uid="{00000000-0005-0000-0000-000052B90000}"/>
    <cellStyle name="Note 2 3 2 3 3 4 2" xfId="44434" xr:uid="{00000000-0005-0000-0000-000053B90000}"/>
    <cellStyle name="Note 2 3 2 3 3 5" xfId="34736" xr:uid="{00000000-0005-0000-0000-000054B90000}"/>
    <cellStyle name="Note 2 3 2 3 4" xfId="15426" xr:uid="{00000000-0005-0000-0000-000055B90000}"/>
    <cellStyle name="Note 2 3 2 3 4 2" xfId="19890" xr:uid="{00000000-0005-0000-0000-000056B90000}"/>
    <cellStyle name="Note 2 3 2 3 4 2 2" xfId="30258" xr:uid="{00000000-0005-0000-0000-000057B90000}"/>
    <cellStyle name="Note 2 3 2 3 4 2 2 2" xfId="49447" xr:uid="{00000000-0005-0000-0000-000058B90000}"/>
    <cellStyle name="Note 2 3 2 3 4 2 3" xfId="39749" xr:uid="{00000000-0005-0000-0000-000059B90000}"/>
    <cellStyle name="Note 2 3 2 3 4 3" xfId="25803" xr:uid="{00000000-0005-0000-0000-00005AB90000}"/>
    <cellStyle name="Note 2 3 2 3 4 3 2" xfId="44992" xr:uid="{00000000-0005-0000-0000-00005BB90000}"/>
    <cellStyle name="Note 2 3 2 3 4 4" xfId="35294" xr:uid="{00000000-0005-0000-0000-00005CB90000}"/>
    <cellStyle name="Note 2 3 2 3 5" xfId="17096" xr:uid="{00000000-0005-0000-0000-00005DB90000}"/>
    <cellStyle name="Note 2 3 2 3 5 2" xfId="21560" xr:uid="{00000000-0005-0000-0000-00005EB90000}"/>
    <cellStyle name="Note 2 3 2 3 5 2 2" xfId="31928" xr:uid="{00000000-0005-0000-0000-00005FB90000}"/>
    <cellStyle name="Note 2 3 2 3 5 2 2 2" xfId="51117" xr:uid="{00000000-0005-0000-0000-000060B90000}"/>
    <cellStyle name="Note 2 3 2 3 5 2 3" xfId="41419" xr:uid="{00000000-0005-0000-0000-000061B90000}"/>
    <cellStyle name="Note 2 3 2 3 5 3" xfId="27473" xr:uid="{00000000-0005-0000-0000-000062B90000}"/>
    <cellStyle name="Note 2 3 2 3 5 3 2" xfId="46662" xr:uid="{00000000-0005-0000-0000-000063B90000}"/>
    <cellStyle name="Note 2 3 2 3 5 4" xfId="36964" xr:uid="{00000000-0005-0000-0000-000064B90000}"/>
    <cellStyle name="Note 2 3 2 3 6" xfId="17662" xr:uid="{00000000-0005-0000-0000-000065B90000}"/>
    <cellStyle name="Note 2 3 2 3 6 2" xfId="22117" xr:uid="{00000000-0005-0000-0000-000066B90000}"/>
    <cellStyle name="Note 2 3 2 3 6 2 2" xfId="32485" xr:uid="{00000000-0005-0000-0000-000067B90000}"/>
    <cellStyle name="Note 2 3 2 3 6 2 2 2" xfId="51674" xr:uid="{00000000-0005-0000-0000-000068B90000}"/>
    <cellStyle name="Note 2 3 2 3 6 2 3" xfId="41976" xr:uid="{00000000-0005-0000-0000-000069B90000}"/>
    <cellStyle name="Note 2 3 2 3 6 3" xfId="28030" xr:uid="{00000000-0005-0000-0000-00006AB90000}"/>
    <cellStyle name="Note 2 3 2 3 6 3 2" xfId="47219" xr:uid="{00000000-0005-0000-0000-00006BB90000}"/>
    <cellStyle name="Note 2 3 2 3 6 4" xfId="37521" xr:uid="{00000000-0005-0000-0000-00006CB90000}"/>
    <cellStyle name="Note 2 3 2 3 7" xfId="18219" xr:uid="{00000000-0005-0000-0000-00006DB90000}"/>
    <cellStyle name="Note 2 3 2 3 7 2" xfId="28587" xr:uid="{00000000-0005-0000-0000-00006EB90000}"/>
    <cellStyle name="Note 2 3 2 3 7 2 2" xfId="47776" xr:uid="{00000000-0005-0000-0000-00006FB90000}"/>
    <cellStyle name="Note 2 3 2 3 7 3" xfId="38078" xr:uid="{00000000-0005-0000-0000-000070B90000}"/>
    <cellStyle name="Note 2 3 2 3 8" xfId="24087" xr:uid="{00000000-0005-0000-0000-000071B90000}"/>
    <cellStyle name="Note 2 3 2 3 8 2" xfId="43321" xr:uid="{00000000-0005-0000-0000-000072B90000}"/>
    <cellStyle name="Note 2 3 2 3 9" xfId="33623" xr:uid="{00000000-0005-0000-0000-000073B90000}"/>
    <cellStyle name="Note 2 3 2 4" xfId="13382" xr:uid="{00000000-0005-0000-0000-000074B90000}"/>
    <cellStyle name="Note 2 3 2 4 2" xfId="14276" xr:uid="{00000000-0005-0000-0000-000075B90000}"/>
    <cellStyle name="Note 2 3 2 4 2 2" xfId="16540" xr:uid="{00000000-0005-0000-0000-000076B90000}"/>
    <cellStyle name="Note 2 3 2 4 2 2 2" xfId="21004" xr:uid="{00000000-0005-0000-0000-000077B90000}"/>
    <cellStyle name="Note 2 3 2 4 2 2 2 2" xfId="31372" xr:uid="{00000000-0005-0000-0000-000078B90000}"/>
    <cellStyle name="Note 2 3 2 4 2 2 2 2 2" xfId="50561" xr:uid="{00000000-0005-0000-0000-000079B90000}"/>
    <cellStyle name="Note 2 3 2 4 2 2 2 3" xfId="40863" xr:uid="{00000000-0005-0000-0000-00007AB90000}"/>
    <cellStyle name="Note 2 3 2 4 2 2 3" xfId="26917" xr:uid="{00000000-0005-0000-0000-00007BB90000}"/>
    <cellStyle name="Note 2 3 2 4 2 2 3 2" xfId="46106" xr:uid="{00000000-0005-0000-0000-00007CB90000}"/>
    <cellStyle name="Note 2 3 2 4 2 2 4" xfId="36408" xr:uid="{00000000-0005-0000-0000-00007DB90000}"/>
    <cellStyle name="Note 2 3 2 4 2 3" xfId="18776" xr:uid="{00000000-0005-0000-0000-00007EB90000}"/>
    <cellStyle name="Note 2 3 2 4 2 3 2" xfId="29144" xr:uid="{00000000-0005-0000-0000-00007FB90000}"/>
    <cellStyle name="Note 2 3 2 4 2 3 2 2" xfId="48333" xr:uid="{00000000-0005-0000-0000-000080B90000}"/>
    <cellStyle name="Note 2 3 2 4 2 3 3" xfId="38635" xr:uid="{00000000-0005-0000-0000-000081B90000}"/>
    <cellStyle name="Note 2 3 2 4 2 4" xfId="24684" xr:uid="{00000000-0005-0000-0000-000082B90000}"/>
    <cellStyle name="Note 2 3 2 4 2 4 2" xfId="43878" xr:uid="{00000000-0005-0000-0000-000083B90000}"/>
    <cellStyle name="Note 2 3 2 4 2 5" xfId="34180" xr:uid="{00000000-0005-0000-0000-000084B90000}"/>
    <cellStyle name="Note 2 3 2 4 3" xfId="14855" xr:uid="{00000000-0005-0000-0000-000085B90000}"/>
    <cellStyle name="Note 2 3 2 4 3 2" xfId="15984" xr:uid="{00000000-0005-0000-0000-000086B90000}"/>
    <cellStyle name="Note 2 3 2 4 3 2 2" xfId="20448" xr:uid="{00000000-0005-0000-0000-000087B90000}"/>
    <cellStyle name="Note 2 3 2 4 3 2 2 2" xfId="30816" xr:uid="{00000000-0005-0000-0000-000088B90000}"/>
    <cellStyle name="Note 2 3 2 4 3 2 2 2 2" xfId="50005" xr:uid="{00000000-0005-0000-0000-000089B90000}"/>
    <cellStyle name="Note 2 3 2 4 3 2 2 3" xfId="40307" xr:uid="{00000000-0005-0000-0000-00008AB90000}"/>
    <cellStyle name="Note 2 3 2 4 3 2 3" xfId="26361" xr:uid="{00000000-0005-0000-0000-00008BB90000}"/>
    <cellStyle name="Note 2 3 2 4 3 2 3 2" xfId="45550" xr:uid="{00000000-0005-0000-0000-00008CB90000}"/>
    <cellStyle name="Note 2 3 2 4 3 2 4" xfId="35852" xr:uid="{00000000-0005-0000-0000-00008DB90000}"/>
    <cellStyle name="Note 2 3 2 4 3 3" xfId="19333" xr:uid="{00000000-0005-0000-0000-00008EB90000}"/>
    <cellStyle name="Note 2 3 2 4 3 3 2" xfId="29701" xr:uid="{00000000-0005-0000-0000-00008FB90000}"/>
    <cellStyle name="Note 2 3 2 4 3 3 2 2" xfId="48890" xr:uid="{00000000-0005-0000-0000-000090B90000}"/>
    <cellStyle name="Note 2 3 2 4 3 3 3" xfId="39192" xr:uid="{00000000-0005-0000-0000-000091B90000}"/>
    <cellStyle name="Note 2 3 2 4 3 4" xfId="25246" xr:uid="{00000000-0005-0000-0000-000092B90000}"/>
    <cellStyle name="Note 2 3 2 4 3 4 2" xfId="44435" xr:uid="{00000000-0005-0000-0000-000093B90000}"/>
    <cellStyle name="Note 2 3 2 4 3 5" xfId="34737" xr:uid="{00000000-0005-0000-0000-000094B90000}"/>
    <cellStyle name="Note 2 3 2 4 4" xfId="15427" xr:uid="{00000000-0005-0000-0000-000095B90000}"/>
    <cellStyle name="Note 2 3 2 4 4 2" xfId="19891" xr:uid="{00000000-0005-0000-0000-000096B90000}"/>
    <cellStyle name="Note 2 3 2 4 4 2 2" xfId="30259" xr:uid="{00000000-0005-0000-0000-000097B90000}"/>
    <cellStyle name="Note 2 3 2 4 4 2 2 2" xfId="49448" xr:uid="{00000000-0005-0000-0000-000098B90000}"/>
    <cellStyle name="Note 2 3 2 4 4 2 3" xfId="39750" xr:uid="{00000000-0005-0000-0000-000099B90000}"/>
    <cellStyle name="Note 2 3 2 4 4 3" xfId="25804" xr:uid="{00000000-0005-0000-0000-00009AB90000}"/>
    <cellStyle name="Note 2 3 2 4 4 3 2" xfId="44993" xr:uid="{00000000-0005-0000-0000-00009BB90000}"/>
    <cellStyle name="Note 2 3 2 4 4 4" xfId="35295" xr:uid="{00000000-0005-0000-0000-00009CB90000}"/>
    <cellStyle name="Note 2 3 2 4 5" xfId="17097" xr:uid="{00000000-0005-0000-0000-00009DB90000}"/>
    <cellStyle name="Note 2 3 2 4 5 2" xfId="21561" xr:uid="{00000000-0005-0000-0000-00009EB90000}"/>
    <cellStyle name="Note 2 3 2 4 5 2 2" xfId="31929" xr:uid="{00000000-0005-0000-0000-00009FB90000}"/>
    <cellStyle name="Note 2 3 2 4 5 2 2 2" xfId="51118" xr:uid="{00000000-0005-0000-0000-0000A0B90000}"/>
    <cellStyle name="Note 2 3 2 4 5 2 3" xfId="41420" xr:uid="{00000000-0005-0000-0000-0000A1B90000}"/>
    <cellStyle name="Note 2 3 2 4 5 3" xfId="27474" xr:uid="{00000000-0005-0000-0000-0000A2B90000}"/>
    <cellStyle name="Note 2 3 2 4 5 3 2" xfId="46663" xr:uid="{00000000-0005-0000-0000-0000A3B90000}"/>
    <cellStyle name="Note 2 3 2 4 5 4" xfId="36965" xr:uid="{00000000-0005-0000-0000-0000A4B90000}"/>
    <cellStyle name="Note 2 3 2 4 6" xfId="17663" xr:uid="{00000000-0005-0000-0000-0000A5B90000}"/>
    <cellStyle name="Note 2 3 2 4 6 2" xfId="22118" xr:uid="{00000000-0005-0000-0000-0000A6B90000}"/>
    <cellStyle name="Note 2 3 2 4 6 2 2" xfId="32486" xr:uid="{00000000-0005-0000-0000-0000A7B90000}"/>
    <cellStyle name="Note 2 3 2 4 6 2 2 2" xfId="51675" xr:uid="{00000000-0005-0000-0000-0000A8B90000}"/>
    <cellStyle name="Note 2 3 2 4 6 2 3" xfId="41977" xr:uid="{00000000-0005-0000-0000-0000A9B90000}"/>
    <cellStyle name="Note 2 3 2 4 6 3" xfId="28031" xr:uid="{00000000-0005-0000-0000-0000AAB90000}"/>
    <cellStyle name="Note 2 3 2 4 6 3 2" xfId="47220" xr:uid="{00000000-0005-0000-0000-0000ABB90000}"/>
    <cellStyle name="Note 2 3 2 4 6 4" xfId="37522" xr:uid="{00000000-0005-0000-0000-0000ACB90000}"/>
    <cellStyle name="Note 2 3 2 4 7" xfId="18220" xr:uid="{00000000-0005-0000-0000-0000ADB90000}"/>
    <cellStyle name="Note 2 3 2 4 7 2" xfId="28588" xr:uid="{00000000-0005-0000-0000-0000AEB90000}"/>
    <cellStyle name="Note 2 3 2 4 7 2 2" xfId="47777" xr:uid="{00000000-0005-0000-0000-0000AFB90000}"/>
    <cellStyle name="Note 2 3 2 4 7 3" xfId="38079" xr:uid="{00000000-0005-0000-0000-0000B0B90000}"/>
    <cellStyle name="Note 2 3 2 4 8" xfId="24088" xr:uid="{00000000-0005-0000-0000-0000B1B90000}"/>
    <cellStyle name="Note 2 3 2 4 8 2" xfId="43322" xr:uid="{00000000-0005-0000-0000-0000B2B90000}"/>
    <cellStyle name="Note 2 3 2 4 9" xfId="33624" xr:uid="{00000000-0005-0000-0000-0000B3B90000}"/>
    <cellStyle name="Note 2 3 2 5" xfId="14271" xr:uid="{00000000-0005-0000-0000-0000B4B90000}"/>
    <cellStyle name="Note 2 3 2 5 2" xfId="16535" xr:uid="{00000000-0005-0000-0000-0000B5B90000}"/>
    <cellStyle name="Note 2 3 2 5 2 2" xfId="20999" xr:uid="{00000000-0005-0000-0000-0000B6B90000}"/>
    <cellStyle name="Note 2 3 2 5 2 2 2" xfId="31367" xr:uid="{00000000-0005-0000-0000-0000B7B90000}"/>
    <cellStyle name="Note 2 3 2 5 2 2 2 2" xfId="50556" xr:uid="{00000000-0005-0000-0000-0000B8B90000}"/>
    <cellStyle name="Note 2 3 2 5 2 2 3" xfId="40858" xr:uid="{00000000-0005-0000-0000-0000B9B90000}"/>
    <cellStyle name="Note 2 3 2 5 2 3" xfId="26912" xr:uid="{00000000-0005-0000-0000-0000BAB90000}"/>
    <cellStyle name="Note 2 3 2 5 2 3 2" xfId="46101" xr:uid="{00000000-0005-0000-0000-0000BBB90000}"/>
    <cellStyle name="Note 2 3 2 5 2 4" xfId="36403" xr:uid="{00000000-0005-0000-0000-0000BCB90000}"/>
    <cellStyle name="Note 2 3 2 5 3" xfId="18771" xr:uid="{00000000-0005-0000-0000-0000BDB90000}"/>
    <cellStyle name="Note 2 3 2 5 3 2" xfId="29139" xr:uid="{00000000-0005-0000-0000-0000BEB90000}"/>
    <cellStyle name="Note 2 3 2 5 3 2 2" xfId="48328" xr:uid="{00000000-0005-0000-0000-0000BFB90000}"/>
    <cellStyle name="Note 2 3 2 5 3 3" xfId="38630" xr:uid="{00000000-0005-0000-0000-0000C0B90000}"/>
    <cellStyle name="Note 2 3 2 5 4" xfId="24679" xr:uid="{00000000-0005-0000-0000-0000C1B90000}"/>
    <cellStyle name="Note 2 3 2 5 4 2" xfId="43873" xr:uid="{00000000-0005-0000-0000-0000C2B90000}"/>
    <cellStyle name="Note 2 3 2 5 5" xfId="34175" xr:uid="{00000000-0005-0000-0000-0000C3B90000}"/>
    <cellStyle name="Note 2 3 2 6" xfId="14850" xr:uid="{00000000-0005-0000-0000-0000C4B90000}"/>
    <cellStyle name="Note 2 3 2 6 2" xfId="15979" xr:uid="{00000000-0005-0000-0000-0000C5B90000}"/>
    <cellStyle name="Note 2 3 2 6 2 2" xfId="20443" xr:uid="{00000000-0005-0000-0000-0000C6B90000}"/>
    <cellStyle name="Note 2 3 2 6 2 2 2" xfId="30811" xr:uid="{00000000-0005-0000-0000-0000C7B90000}"/>
    <cellStyle name="Note 2 3 2 6 2 2 2 2" xfId="50000" xr:uid="{00000000-0005-0000-0000-0000C8B90000}"/>
    <cellStyle name="Note 2 3 2 6 2 2 3" xfId="40302" xr:uid="{00000000-0005-0000-0000-0000C9B90000}"/>
    <cellStyle name="Note 2 3 2 6 2 3" xfId="26356" xr:uid="{00000000-0005-0000-0000-0000CAB90000}"/>
    <cellStyle name="Note 2 3 2 6 2 3 2" xfId="45545" xr:uid="{00000000-0005-0000-0000-0000CBB90000}"/>
    <cellStyle name="Note 2 3 2 6 2 4" xfId="35847" xr:uid="{00000000-0005-0000-0000-0000CCB90000}"/>
    <cellStyle name="Note 2 3 2 6 3" xfId="19328" xr:uid="{00000000-0005-0000-0000-0000CDB90000}"/>
    <cellStyle name="Note 2 3 2 6 3 2" xfId="29696" xr:uid="{00000000-0005-0000-0000-0000CEB90000}"/>
    <cellStyle name="Note 2 3 2 6 3 2 2" xfId="48885" xr:uid="{00000000-0005-0000-0000-0000CFB90000}"/>
    <cellStyle name="Note 2 3 2 6 3 3" xfId="39187" xr:uid="{00000000-0005-0000-0000-0000D0B90000}"/>
    <cellStyle name="Note 2 3 2 6 4" xfId="25241" xr:uid="{00000000-0005-0000-0000-0000D1B90000}"/>
    <cellStyle name="Note 2 3 2 6 4 2" xfId="44430" xr:uid="{00000000-0005-0000-0000-0000D2B90000}"/>
    <cellStyle name="Note 2 3 2 6 5" xfId="34732" xr:uid="{00000000-0005-0000-0000-0000D3B90000}"/>
    <cellStyle name="Note 2 3 2 7" xfId="15422" xr:uid="{00000000-0005-0000-0000-0000D4B90000}"/>
    <cellStyle name="Note 2 3 2 7 2" xfId="19886" xr:uid="{00000000-0005-0000-0000-0000D5B90000}"/>
    <cellStyle name="Note 2 3 2 7 2 2" xfId="30254" xr:uid="{00000000-0005-0000-0000-0000D6B90000}"/>
    <cellStyle name="Note 2 3 2 7 2 2 2" xfId="49443" xr:uid="{00000000-0005-0000-0000-0000D7B90000}"/>
    <cellStyle name="Note 2 3 2 7 2 3" xfId="39745" xr:uid="{00000000-0005-0000-0000-0000D8B90000}"/>
    <cellStyle name="Note 2 3 2 7 3" xfId="25799" xr:uid="{00000000-0005-0000-0000-0000D9B90000}"/>
    <cellStyle name="Note 2 3 2 7 3 2" xfId="44988" xr:uid="{00000000-0005-0000-0000-0000DAB90000}"/>
    <cellStyle name="Note 2 3 2 7 4" xfId="35290" xr:uid="{00000000-0005-0000-0000-0000DBB90000}"/>
    <cellStyle name="Note 2 3 2 8" xfId="17092" xr:uid="{00000000-0005-0000-0000-0000DCB90000}"/>
    <cellStyle name="Note 2 3 2 8 2" xfId="21556" xr:uid="{00000000-0005-0000-0000-0000DDB90000}"/>
    <cellStyle name="Note 2 3 2 8 2 2" xfId="31924" xr:uid="{00000000-0005-0000-0000-0000DEB90000}"/>
    <cellStyle name="Note 2 3 2 8 2 2 2" xfId="51113" xr:uid="{00000000-0005-0000-0000-0000DFB90000}"/>
    <cellStyle name="Note 2 3 2 8 2 3" xfId="41415" xr:uid="{00000000-0005-0000-0000-0000E0B90000}"/>
    <cellStyle name="Note 2 3 2 8 3" xfId="27469" xr:uid="{00000000-0005-0000-0000-0000E1B90000}"/>
    <cellStyle name="Note 2 3 2 8 3 2" xfId="46658" xr:uid="{00000000-0005-0000-0000-0000E2B90000}"/>
    <cellStyle name="Note 2 3 2 8 4" xfId="36960" xr:uid="{00000000-0005-0000-0000-0000E3B90000}"/>
    <cellStyle name="Note 2 3 2 9" xfId="17658" xr:uid="{00000000-0005-0000-0000-0000E4B90000}"/>
    <cellStyle name="Note 2 3 2 9 2" xfId="22113" xr:uid="{00000000-0005-0000-0000-0000E5B90000}"/>
    <cellStyle name="Note 2 3 2 9 2 2" xfId="32481" xr:uid="{00000000-0005-0000-0000-0000E6B90000}"/>
    <cellStyle name="Note 2 3 2 9 2 2 2" xfId="51670" xr:uid="{00000000-0005-0000-0000-0000E7B90000}"/>
    <cellStyle name="Note 2 3 2 9 2 3" xfId="41972" xr:uid="{00000000-0005-0000-0000-0000E8B90000}"/>
    <cellStyle name="Note 2 3 2 9 3" xfId="28026" xr:uid="{00000000-0005-0000-0000-0000E9B90000}"/>
    <cellStyle name="Note 2 3 2 9 3 2" xfId="47215" xr:uid="{00000000-0005-0000-0000-0000EAB90000}"/>
    <cellStyle name="Note 2 3 2 9 4" xfId="37517" xr:uid="{00000000-0005-0000-0000-0000EBB90000}"/>
    <cellStyle name="Note 2 3 3" xfId="5423" xr:uid="{00000000-0005-0000-0000-0000ECB90000}"/>
    <cellStyle name="Note 2 3 3 10" xfId="24089" xr:uid="{00000000-0005-0000-0000-0000EDB90000}"/>
    <cellStyle name="Note 2 3 3 10 2" xfId="43323" xr:uid="{00000000-0005-0000-0000-0000EEB90000}"/>
    <cellStyle name="Note 2 3 3 11" xfId="33625" xr:uid="{00000000-0005-0000-0000-0000EFB90000}"/>
    <cellStyle name="Note 2 3 3 12" xfId="52938" xr:uid="{00000000-0005-0000-0000-0000F0B90000}"/>
    <cellStyle name="Note 2 3 3 13" xfId="13383" xr:uid="{00000000-0005-0000-0000-0000F1B90000}"/>
    <cellStyle name="Note 2 3 3 2" xfId="13384" xr:uid="{00000000-0005-0000-0000-0000F2B90000}"/>
    <cellStyle name="Note 2 3 3 2 10" xfId="53813" xr:uid="{00000000-0005-0000-0000-0000F3B90000}"/>
    <cellStyle name="Note 2 3 3 2 2" xfId="14278" xr:uid="{00000000-0005-0000-0000-0000F4B90000}"/>
    <cellStyle name="Note 2 3 3 2 2 2" xfId="16542" xr:uid="{00000000-0005-0000-0000-0000F5B90000}"/>
    <cellStyle name="Note 2 3 3 2 2 2 2" xfId="21006" xr:uid="{00000000-0005-0000-0000-0000F6B90000}"/>
    <cellStyle name="Note 2 3 3 2 2 2 2 2" xfId="31374" xr:uid="{00000000-0005-0000-0000-0000F7B90000}"/>
    <cellStyle name="Note 2 3 3 2 2 2 2 2 2" xfId="50563" xr:uid="{00000000-0005-0000-0000-0000F8B90000}"/>
    <cellStyle name="Note 2 3 3 2 2 2 2 3" xfId="40865" xr:uid="{00000000-0005-0000-0000-0000F9B90000}"/>
    <cellStyle name="Note 2 3 3 2 2 2 3" xfId="26919" xr:uid="{00000000-0005-0000-0000-0000FAB90000}"/>
    <cellStyle name="Note 2 3 3 2 2 2 3 2" xfId="46108" xr:uid="{00000000-0005-0000-0000-0000FBB90000}"/>
    <cellStyle name="Note 2 3 3 2 2 2 4" xfId="36410" xr:uid="{00000000-0005-0000-0000-0000FCB90000}"/>
    <cellStyle name="Note 2 3 3 2 2 3" xfId="18778" xr:uid="{00000000-0005-0000-0000-0000FDB90000}"/>
    <cellStyle name="Note 2 3 3 2 2 3 2" xfId="29146" xr:uid="{00000000-0005-0000-0000-0000FEB90000}"/>
    <cellStyle name="Note 2 3 3 2 2 3 2 2" xfId="48335" xr:uid="{00000000-0005-0000-0000-0000FFB90000}"/>
    <cellStyle name="Note 2 3 3 2 2 3 3" xfId="38637" xr:uid="{00000000-0005-0000-0000-000000BA0000}"/>
    <cellStyle name="Note 2 3 3 2 2 4" xfId="24686" xr:uid="{00000000-0005-0000-0000-000001BA0000}"/>
    <cellStyle name="Note 2 3 3 2 2 4 2" xfId="43880" xr:uid="{00000000-0005-0000-0000-000002BA0000}"/>
    <cellStyle name="Note 2 3 3 2 2 5" xfId="34182" xr:uid="{00000000-0005-0000-0000-000003BA0000}"/>
    <cellStyle name="Note 2 3 3 2 3" xfId="14857" xr:uid="{00000000-0005-0000-0000-000004BA0000}"/>
    <cellStyle name="Note 2 3 3 2 3 2" xfId="15986" xr:uid="{00000000-0005-0000-0000-000005BA0000}"/>
    <cellStyle name="Note 2 3 3 2 3 2 2" xfId="20450" xr:uid="{00000000-0005-0000-0000-000006BA0000}"/>
    <cellStyle name="Note 2 3 3 2 3 2 2 2" xfId="30818" xr:uid="{00000000-0005-0000-0000-000007BA0000}"/>
    <cellStyle name="Note 2 3 3 2 3 2 2 2 2" xfId="50007" xr:uid="{00000000-0005-0000-0000-000008BA0000}"/>
    <cellStyle name="Note 2 3 3 2 3 2 2 3" xfId="40309" xr:uid="{00000000-0005-0000-0000-000009BA0000}"/>
    <cellStyle name="Note 2 3 3 2 3 2 3" xfId="26363" xr:uid="{00000000-0005-0000-0000-00000ABA0000}"/>
    <cellStyle name="Note 2 3 3 2 3 2 3 2" xfId="45552" xr:uid="{00000000-0005-0000-0000-00000BBA0000}"/>
    <cellStyle name="Note 2 3 3 2 3 2 4" xfId="35854" xr:uid="{00000000-0005-0000-0000-00000CBA0000}"/>
    <cellStyle name="Note 2 3 3 2 3 3" xfId="19335" xr:uid="{00000000-0005-0000-0000-00000DBA0000}"/>
    <cellStyle name="Note 2 3 3 2 3 3 2" xfId="29703" xr:uid="{00000000-0005-0000-0000-00000EBA0000}"/>
    <cellStyle name="Note 2 3 3 2 3 3 2 2" xfId="48892" xr:uid="{00000000-0005-0000-0000-00000FBA0000}"/>
    <cellStyle name="Note 2 3 3 2 3 3 3" xfId="39194" xr:uid="{00000000-0005-0000-0000-000010BA0000}"/>
    <cellStyle name="Note 2 3 3 2 3 4" xfId="25248" xr:uid="{00000000-0005-0000-0000-000011BA0000}"/>
    <cellStyle name="Note 2 3 3 2 3 4 2" xfId="44437" xr:uid="{00000000-0005-0000-0000-000012BA0000}"/>
    <cellStyle name="Note 2 3 3 2 3 5" xfId="34739" xr:uid="{00000000-0005-0000-0000-000013BA0000}"/>
    <cellStyle name="Note 2 3 3 2 4" xfId="15429" xr:uid="{00000000-0005-0000-0000-000014BA0000}"/>
    <cellStyle name="Note 2 3 3 2 4 2" xfId="19893" xr:uid="{00000000-0005-0000-0000-000015BA0000}"/>
    <cellStyle name="Note 2 3 3 2 4 2 2" xfId="30261" xr:uid="{00000000-0005-0000-0000-000016BA0000}"/>
    <cellStyle name="Note 2 3 3 2 4 2 2 2" xfId="49450" xr:uid="{00000000-0005-0000-0000-000017BA0000}"/>
    <cellStyle name="Note 2 3 3 2 4 2 3" xfId="39752" xr:uid="{00000000-0005-0000-0000-000018BA0000}"/>
    <cellStyle name="Note 2 3 3 2 4 3" xfId="25806" xr:uid="{00000000-0005-0000-0000-000019BA0000}"/>
    <cellStyle name="Note 2 3 3 2 4 3 2" xfId="44995" xr:uid="{00000000-0005-0000-0000-00001ABA0000}"/>
    <cellStyle name="Note 2 3 3 2 4 4" xfId="35297" xr:uid="{00000000-0005-0000-0000-00001BBA0000}"/>
    <cellStyle name="Note 2 3 3 2 5" xfId="17099" xr:uid="{00000000-0005-0000-0000-00001CBA0000}"/>
    <cellStyle name="Note 2 3 3 2 5 2" xfId="21563" xr:uid="{00000000-0005-0000-0000-00001DBA0000}"/>
    <cellStyle name="Note 2 3 3 2 5 2 2" xfId="31931" xr:uid="{00000000-0005-0000-0000-00001EBA0000}"/>
    <cellStyle name="Note 2 3 3 2 5 2 2 2" xfId="51120" xr:uid="{00000000-0005-0000-0000-00001FBA0000}"/>
    <cellStyle name="Note 2 3 3 2 5 2 3" xfId="41422" xr:uid="{00000000-0005-0000-0000-000020BA0000}"/>
    <cellStyle name="Note 2 3 3 2 5 3" xfId="27476" xr:uid="{00000000-0005-0000-0000-000021BA0000}"/>
    <cellStyle name="Note 2 3 3 2 5 3 2" xfId="46665" xr:uid="{00000000-0005-0000-0000-000022BA0000}"/>
    <cellStyle name="Note 2 3 3 2 5 4" xfId="36967" xr:uid="{00000000-0005-0000-0000-000023BA0000}"/>
    <cellStyle name="Note 2 3 3 2 6" xfId="17665" xr:uid="{00000000-0005-0000-0000-000024BA0000}"/>
    <cellStyle name="Note 2 3 3 2 6 2" xfId="22120" xr:uid="{00000000-0005-0000-0000-000025BA0000}"/>
    <cellStyle name="Note 2 3 3 2 6 2 2" xfId="32488" xr:uid="{00000000-0005-0000-0000-000026BA0000}"/>
    <cellStyle name="Note 2 3 3 2 6 2 2 2" xfId="51677" xr:uid="{00000000-0005-0000-0000-000027BA0000}"/>
    <cellStyle name="Note 2 3 3 2 6 2 3" xfId="41979" xr:uid="{00000000-0005-0000-0000-000028BA0000}"/>
    <cellStyle name="Note 2 3 3 2 6 3" xfId="28033" xr:uid="{00000000-0005-0000-0000-000029BA0000}"/>
    <cellStyle name="Note 2 3 3 2 6 3 2" xfId="47222" xr:uid="{00000000-0005-0000-0000-00002ABA0000}"/>
    <cellStyle name="Note 2 3 3 2 6 4" xfId="37524" xr:uid="{00000000-0005-0000-0000-00002BBA0000}"/>
    <cellStyle name="Note 2 3 3 2 7" xfId="18222" xr:uid="{00000000-0005-0000-0000-00002CBA0000}"/>
    <cellStyle name="Note 2 3 3 2 7 2" xfId="28590" xr:uid="{00000000-0005-0000-0000-00002DBA0000}"/>
    <cellStyle name="Note 2 3 3 2 7 2 2" xfId="47779" xr:uid="{00000000-0005-0000-0000-00002EBA0000}"/>
    <cellStyle name="Note 2 3 3 2 7 3" xfId="38081" xr:uid="{00000000-0005-0000-0000-00002FBA0000}"/>
    <cellStyle name="Note 2 3 3 2 8" xfId="24090" xr:uid="{00000000-0005-0000-0000-000030BA0000}"/>
    <cellStyle name="Note 2 3 3 2 8 2" xfId="43324" xr:uid="{00000000-0005-0000-0000-000031BA0000}"/>
    <cellStyle name="Note 2 3 3 2 9" xfId="33626" xr:uid="{00000000-0005-0000-0000-000032BA0000}"/>
    <cellStyle name="Note 2 3 3 3" xfId="13385" xr:uid="{00000000-0005-0000-0000-000033BA0000}"/>
    <cellStyle name="Note 2 3 3 3 2" xfId="14279" xr:uid="{00000000-0005-0000-0000-000034BA0000}"/>
    <cellStyle name="Note 2 3 3 3 2 2" xfId="16543" xr:uid="{00000000-0005-0000-0000-000035BA0000}"/>
    <cellStyle name="Note 2 3 3 3 2 2 2" xfId="21007" xr:uid="{00000000-0005-0000-0000-000036BA0000}"/>
    <cellStyle name="Note 2 3 3 3 2 2 2 2" xfId="31375" xr:uid="{00000000-0005-0000-0000-000037BA0000}"/>
    <cellStyle name="Note 2 3 3 3 2 2 2 2 2" xfId="50564" xr:uid="{00000000-0005-0000-0000-000038BA0000}"/>
    <cellStyle name="Note 2 3 3 3 2 2 2 3" xfId="40866" xr:uid="{00000000-0005-0000-0000-000039BA0000}"/>
    <cellStyle name="Note 2 3 3 3 2 2 3" xfId="26920" xr:uid="{00000000-0005-0000-0000-00003ABA0000}"/>
    <cellStyle name="Note 2 3 3 3 2 2 3 2" xfId="46109" xr:uid="{00000000-0005-0000-0000-00003BBA0000}"/>
    <cellStyle name="Note 2 3 3 3 2 2 4" xfId="36411" xr:uid="{00000000-0005-0000-0000-00003CBA0000}"/>
    <cellStyle name="Note 2 3 3 3 2 3" xfId="18779" xr:uid="{00000000-0005-0000-0000-00003DBA0000}"/>
    <cellStyle name="Note 2 3 3 3 2 3 2" xfId="29147" xr:uid="{00000000-0005-0000-0000-00003EBA0000}"/>
    <cellStyle name="Note 2 3 3 3 2 3 2 2" xfId="48336" xr:uid="{00000000-0005-0000-0000-00003FBA0000}"/>
    <cellStyle name="Note 2 3 3 3 2 3 3" xfId="38638" xr:uid="{00000000-0005-0000-0000-000040BA0000}"/>
    <cellStyle name="Note 2 3 3 3 2 4" xfId="24687" xr:uid="{00000000-0005-0000-0000-000041BA0000}"/>
    <cellStyle name="Note 2 3 3 3 2 4 2" xfId="43881" xr:uid="{00000000-0005-0000-0000-000042BA0000}"/>
    <cellStyle name="Note 2 3 3 3 2 5" xfId="34183" xr:uid="{00000000-0005-0000-0000-000043BA0000}"/>
    <cellStyle name="Note 2 3 3 3 3" xfId="14858" xr:uid="{00000000-0005-0000-0000-000044BA0000}"/>
    <cellStyle name="Note 2 3 3 3 3 2" xfId="15987" xr:uid="{00000000-0005-0000-0000-000045BA0000}"/>
    <cellStyle name="Note 2 3 3 3 3 2 2" xfId="20451" xr:uid="{00000000-0005-0000-0000-000046BA0000}"/>
    <cellStyle name="Note 2 3 3 3 3 2 2 2" xfId="30819" xr:uid="{00000000-0005-0000-0000-000047BA0000}"/>
    <cellStyle name="Note 2 3 3 3 3 2 2 2 2" xfId="50008" xr:uid="{00000000-0005-0000-0000-000048BA0000}"/>
    <cellStyle name="Note 2 3 3 3 3 2 2 3" xfId="40310" xr:uid="{00000000-0005-0000-0000-000049BA0000}"/>
    <cellStyle name="Note 2 3 3 3 3 2 3" xfId="26364" xr:uid="{00000000-0005-0000-0000-00004ABA0000}"/>
    <cellStyle name="Note 2 3 3 3 3 2 3 2" xfId="45553" xr:uid="{00000000-0005-0000-0000-00004BBA0000}"/>
    <cellStyle name="Note 2 3 3 3 3 2 4" xfId="35855" xr:uid="{00000000-0005-0000-0000-00004CBA0000}"/>
    <cellStyle name="Note 2 3 3 3 3 3" xfId="19336" xr:uid="{00000000-0005-0000-0000-00004DBA0000}"/>
    <cellStyle name="Note 2 3 3 3 3 3 2" xfId="29704" xr:uid="{00000000-0005-0000-0000-00004EBA0000}"/>
    <cellStyle name="Note 2 3 3 3 3 3 2 2" xfId="48893" xr:uid="{00000000-0005-0000-0000-00004FBA0000}"/>
    <cellStyle name="Note 2 3 3 3 3 3 3" xfId="39195" xr:uid="{00000000-0005-0000-0000-000050BA0000}"/>
    <cellStyle name="Note 2 3 3 3 3 4" xfId="25249" xr:uid="{00000000-0005-0000-0000-000051BA0000}"/>
    <cellStyle name="Note 2 3 3 3 3 4 2" xfId="44438" xr:uid="{00000000-0005-0000-0000-000052BA0000}"/>
    <cellStyle name="Note 2 3 3 3 3 5" xfId="34740" xr:uid="{00000000-0005-0000-0000-000053BA0000}"/>
    <cellStyle name="Note 2 3 3 3 4" xfId="15430" xr:uid="{00000000-0005-0000-0000-000054BA0000}"/>
    <cellStyle name="Note 2 3 3 3 4 2" xfId="19894" xr:uid="{00000000-0005-0000-0000-000055BA0000}"/>
    <cellStyle name="Note 2 3 3 3 4 2 2" xfId="30262" xr:uid="{00000000-0005-0000-0000-000056BA0000}"/>
    <cellStyle name="Note 2 3 3 3 4 2 2 2" xfId="49451" xr:uid="{00000000-0005-0000-0000-000057BA0000}"/>
    <cellStyle name="Note 2 3 3 3 4 2 3" xfId="39753" xr:uid="{00000000-0005-0000-0000-000058BA0000}"/>
    <cellStyle name="Note 2 3 3 3 4 3" xfId="25807" xr:uid="{00000000-0005-0000-0000-000059BA0000}"/>
    <cellStyle name="Note 2 3 3 3 4 3 2" xfId="44996" xr:uid="{00000000-0005-0000-0000-00005ABA0000}"/>
    <cellStyle name="Note 2 3 3 3 4 4" xfId="35298" xr:uid="{00000000-0005-0000-0000-00005BBA0000}"/>
    <cellStyle name="Note 2 3 3 3 5" xfId="17100" xr:uid="{00000000-0005-0000-0000-00005CBA0000}"/>
    <cellStyle name="Note 2 3 3 3 5 2" xfId="21564" xr:uid="{00000000-0005-0000-0000-00005DBA0000}"/>
    <cellStyle name="Note 2 3 3 3 5 2 2" xfId="31932" xr:uid="{00000000-0005-0000-0000-00005EBA0000}"/>
    <cellStyle name="Note 2 3 3 3 5 2 2 2" xfId="51121" xr:uid="{00000000-0005-0000-0000-00005FBA0000}"/>
    <cellStyle name="Note 2 3 3 3 5 2 3" xfId="41423" xr:uid="{00000000-0005-0000-0000-000060BA0000}"/>
    <cellStyle name="Note 2 3 3 3 5 3" xfId="27477" xr:uid="{00000000-0005-0000-0000-000061BA0000}"/>
    <cellStyle name="Note 2 3 3 3 5 3 2" xfId="46666" xr:uid="{00000000-0005-0000-0000-000062BA0000}"/>
    <cellStyle name="Note 2 3 3 3 5 4" xfId="36968" xr:uid="{00000000-0005-0000-0000-000063BA0000}"/>
    <cellStyle name="Note 2 3 3 3 6" xfId="17666" xr:uid="{00000000-0005-0000-0000-000064BA0000}"/>
    <cellStyle name="Note 2 3 3 3 6 2" xfId="22121" xr:uid="{00000000-0005-0000-0000-000065BA0000}"/>
    <cellStyle name="Note 2 3 3 3 6 2 2" xfId="32489" xr:uid="{00000000-0005-0000-0000-000066BA0000}"/>
    <cellStyle name="Note 2 3 3 3 6 2 2 2" xfId="51678" xr:uid="{00000000-0005-0000-0000-000067BA0000}"/>
    <cellStyle name="Note 2 3 3 3 6 2 3" xfId="41980" xr:uid="{00000000-0005-0000-0000-000068BA0000}"/>
    <cellStyle name="Note 2 3 3 3 6 3" xfId="28034" xr:uid="{00000000-0005-0000-0000-000069BA0000}"/>
    <cellStyle name="Note 2 3 3 3 6 3 2" xfId="47223" xr:uid="{00000000-0005-0000-0000-00006ABA0000}"/>
    <cellStyle name="Note 2 3 3 3 6 4" xfId="37525" xr:uid="{00000000-0005-0000-0000-00006BBA0000}"/>
    <cellStyle name="Note 2 3 3 3 7" xfId="18223" xr:uid="{00000000-0005-0000-0000-00006CBA0000}"/>
    <cellStyle name="Note 2 3 3 3 7 2" xfId="28591" xr:uid="{00000000-0005-0000-0000-00006DBA0000}"/>
    <cellStyle name="Note 2 3 3 3 7 2 2" xfId="47780" xr:uid="{00000000-0005-0000-0000-00006EBA0000}"/>
    <cellStyle name="Note 2 3 3 3 7 3" xfId="38082" xr:uid="{00000000-0005-0000-0000-00006FBA0000}"/>
    <cellStyle name="Note 2 3 3 3 8" xfId="24091" xr:uid="{00000000-0005-0000-0000-000070BA0000}"/>
    <cellStyle name="Note 2 3 3 3 8 2" xfId="43325" xr:uid="{00000000-0005-0000-0000-000071BA0000}"/>
    <cellStyle name="Note 2 3 3 3 9" xfId="33627" xr:uid="{00000000-0005-0000-0000-000072BA0000}"/>
    <cellStyle name="Note 2 3 3 4" xfId="14277" xr:uid="{00000000-0005-0000-0000-000073BA0000}"/>
    <cellStyle name="Note 2 3 3 4 2" xfId="16541" xr:uid="{00000000-0005-0000-0000-000074BA0000}"/>
    <cellStyle name="Note 2 3 3 4 2 2" xfId="21005" xr:uid="{00000000-0005-0000-0000-000075BA0000}"/>
    <cellStyle name="Note 2 3 3 4 2 2 2" xfId="31373" xr:uid="{00000000-0005-0000-0000-000076BA0000}"/>
    <cellStyle name="Note 2 3 3 4 2 2 2 2" xfId="50562" xr:uid="{00000000-0005-0000-0000-000077BA0000}"/>
    <cellStyle name="Note 2 3 3 4 2 2 3" xfId="40864" xr:uid="{00000000-0005-0000-0000-000078BA0000}"/>
    <cellStyle name="Note 2 3 3 4 2 3" xfId="26918" xr:uid="{00000000-0005-0000-0000-000079BA0000}"/>
    <cellStyle name="Note 2 3 3 4 2 3 2" xfId="46107" xr:uid="{00000000-0005-0000-0000-00007ABA0000}"/>
    <cellStyle name="Note 2 3 3 4 2 4" xfId="36409" xr:uid="{00000000-0005-0000-0000-00007BBA0000}"/>
    <cellStyle name="Note 2 3 3 4 3" xfId="18777" xr:uid="{00000000-0005-0000-0000-00007CBA0000}"/>
    <cellStyle name="Note 2 3 3 4 3 2" xfId="29145" xr:uid="{00000000-0005-0000-0000-00007DBA0000}"/>
    <cellStyle name="Note 2 3 3 4 3 2 2" xfId="48334" xr:uid="{00000000-0005-0000-0000-00007EBA0000}"/>
    <cellStyle name="Note 2 3 3 4 3 3" xfId="38636" xr:uid="{00000000-0005-0000-0000-00007FBA0000}"/>
    <cellStyle name="Note 2 3 3 4 4" xfId="24685" xr:uid="{00000000-0005-0000-0000-000080BA0000}"/>
    <cellStyle name="Note 2 3 3 4 4 2" xfId="43879" xr:uid="{00000000-0005-0000-0000-000081BA0000}"/>
    <cellStyle name="Note 2 3 3 4 5" xfId="34181" xr:uid="{00000000-0005-0000-0000-000082BA0000}"/>
    <cellStyle name="Note 2 3 3 5" xfId="14856" xr:uid="{00000000-0005-0000-0000-000083BA0000}"/>
    <cellStyle name="Note 2 3 3 5 2" xfId="15985" xr:uid="{00000000-0005-0000-0000-000084BA0000}"/>
    <cellStyle name="Note 2 3 3 5 2 2" xfId="20449" xr:uid="{00000000-0005-0000-0000-000085BA0000}"/>
    <cellStyle name="Note 2 3 3 5 2 2 2" xfId="30817" xr:uid="{00000000-0005-0000-0000-000086BA0000}"/>
    <cellStyle name="Note 2 3 3 5 2 2 2 2" xfId="50006" xr:uid="{00000000-0005-0000-0000-000087BA0000}"/>
    <cellStyle name="Note 2 3 3 5 2 2 3" xfId="40308" xr:uid="{00000000-0005-0000-0000-000088BA0000}"/>
    <cellStyle name="Note 2 3 3 5 2 3" xfId="26362" xr:uid="{00000000-0005-0000-0000-000089BA0000}"/>
    <cellStyle name="Note 2 3 3 5 2 3 2" xfId="45551" xr:uid="{00000000-0005-0000-0000-00008ABA0000}"/>
    <cellStyle name="Note 2 3 3 5 2 4" xfId="35853" xr:uid="{00000000-0005-0000-0000-00008BBA0000}"/>
    <cellStyle name="Note 2 3 3 5 3" xfId="19334" xr:uid="{00000000-0005-0000-0000-00008CBA0000}"/>
    <cellStyle name="Note 2 3 3 5 3 2" xfId="29702" xr:uid="{00000000-0005-0000-0000-00008DBA0000}"/>
    <cellStyle name="Note 2 3 3 5 3 2 2" xfId="48891" xr:uid="{00000000-0005-0000-0000-00008EBA0000}"/>
    <cellStyle name="Note 2 3 3 5 3 3" xfId="39193" xr:uid="{00000000-0005-0000-0000-00008FBA0000}"/>
    <cellStyle name="Note 2 3 3 5 4" xfId="25247" xr:uid="{00000000-0005-0000-0000-000090BA0000}"/>
    <cellStyle name="Note 2 3 3 5 4 2" xfId="44436" xr:uid="{00000000-0005-0000-0000-000091BA0000}"/>
    <cellStyle name="Note 2 3 3 5 5" xfId="34738" xr:uid="{00000000-0005-0000-0000-000092BA0000}"/>
    <cellStyle name="Note 2 3 3 6" xfId="15428" xr:uid="{00000000-0005-0000-0000-000093BA0000}"/>
    <cellStyle name="Note 2 3 3 6 2" xfId="19892" xr:uid="{00000000-0005-0000-0000-000094BA0000}"/>
    <cellStyle name="Note 2 3 3 6 2 2" xfId="30260" xr:uid="{00000000-0005-0000-0000-000095BA0000}"/>
    <cellStyle name="Note 2 3 3 6 2 2 2" xfId="49449" xr:uid="{00000000-0005-0000-0000-000096BA0000}"/>
    <cellStyle name="Note 2 3 3 6 2 3" xfId="39751" xr:uid="{00000000-0005-0000-0000-000097BA0000}"/>
    <cellStyle name="Note 2 3 3 6 3" xfId="25805" xr:uid="{00000000-0005-0000-0000-000098BA0000}"/>
    <cellStyle name="Note 2 3 3 6 3 2" xfId="44994" xr:uid="{00000000-0005-0000-0000-000099BA0000}"/>
    <cellStyle name="Note 2 3 3 6 4" xfId="35296" xr:uid="{00000000-0005-0000-0000-00009ABA0000}"/>
    <cellStyle name="Note 2 3 3 7" xfId="17098" xr:uid="{00000000-0005-0000-0000-00009BBA0000}"/>
    <cellStyle name="Note 2 3 3 7 2" xfId="21562" xr:uid="{00000000-0005-0000-0000-00009CBA0000}"/>
    <cellStyle name="Note 2 3 3 7 2 2" xfId="31930" xr:uid="{00000000-0005-0000-0000-00009DBA0000}"/>
    <cellStyle name="Note 2 3 3 7 2 2 2" xfId="51119" xr:uid="{00000000-0005-0000-0000-00009EBA0000}"/>
    <cellStyle name="Note 2 3 3 7 2 3" xfId="41421" xr:uid="{00000000-0005-0000-0000-00009FBA0000}"/>
    <cellStyle name="Note 2 3 3 7 3" xfId="27475" xr:uid="{00000000-0005-0000-0000-0000A0BA0000}"/>
    <cellStyle name="Note 2 3 3 7 3 2" xfId="46664" xr:uid="{00000000-0005-0000-0000-0000A1BA0000}"/>
    <cellStyle name="Note 2 3 3 7 4" xfId="36966" xr:uid="{00000000-0005-0000-0000-0000A2BA0000}"/>
    <cellStyle name="Note 2 3 3 8" xfId="17664" xr:uid="{00000000-0005-0000-0000-0000A3BA0000}"/>
    <cellStyle name="Note 2 3 3 8 2" xfId="22119" xr:uid="{00000000-0005-0000-0000-0000A4BA0000}"/>
    <cellStyle name="Note 2 3 3 8 2 2" xfId="32487" xr:uid="{00000000-0005-0000-0000-0000A5BA0000}"/>
    <cellStyle name="Note 2 3 3 8 2 2 2" xfId="51676" xr:uid="{00000000-0005-0000-0000-0000A6BA0000}"/>
    <cellStyle name="Note 2 3 3 8 2 3" xfId="41978" xr:uid="{00000000-0005-0000-0000-0000A7BA0000}"/>
    <cellStyle name="Note 2 3 3 8 3" xfId="28032" xr:uid="{00000000-0005-0000-0000-0000A8BA0000}"/>
    <cellStyle name="Note 2 3 3 8 3 2" xfId="47221" xr:uid="{00000000-0005-0000-0000-0000A9BA0000}"/>
    <cellStyle name="Note 2 3 3 8 4" xfId="37523" xr:uid="{00000000-0005-0000-0000-0000AABA0000}"/>
    <cellStyle name="Note 2 3 3 9" xfId="18221" xr:uid="{00000000-0005-0000-0000-0000ABBA0000}"/>
    <cellStyle name="Note 2 3 3 9 2" xfId="28589" xr:uid="{00000000-0005-0000-0000-0000ACBA0000}"/>
    <cellStyle name="Note 2 3 3 9 2 2" xfId="47778" xr:uid="{00000000-0005-0000-0000-0000ADBA0000}"/>
    <cellStyle name="Note 2 3 3 9 3" xfId="38080" xr:uid="{00000000-0005-0000-0000-0000AEBA0000}"/>
    <cellStyle name="Note 2 3 4" xfId="13386" xr:uid="{00000000-0005-0000-0000-0000AFBA0000}"/>
    <cellStyle name="Note 2 3 4 10" xfId="53417" xr:uid="{00000000-0005-0000-0000-0000B0BA0000}"/>
    <cellStyle name="Note 2 3 4 2" xfId="14280" xr:uid="{00000000-0005-0000-0000-0000B1BA0000}"/>
    <cellStyle name="Note 2 3 4 2 2" xfId="16544" xr:uid="{00000000-0005-0000-0000-0000B2BA0000}"/>
    <cellStyle name="Note 2 3 4 2 2 2" xfId="21008" xr:uid="{00000000-0005-0000-0000-0000B3BA0000}"/>
    <cellStyle name="Note 2 3 4 2 2 2 2" xfId="31376" xr:uid="{00000000-0005-0000-0000-0000B4BA0000}"/>
    <cellStyle name="Note 2 3 4 2 2 2 2 2" xfId="50565" xr:uid="{00000000-0005-0000-0000-0000B5BA0000}"/>
    <cellStyle name="Note 2 3 4 2 2 2 3" xfId="40867" xr:uid="{00000000-0005-0000-0000-0000B6BA0000}"/>
    <cellStyle name="Note 2 3 4 2 2 3" xfId="26921" xr:uid="{00000000-0005-0000-0000-0000B7BA0000}"/>
    <cellStyle name="Note 2 3 4 2 2 3 2" xfId="46110" xr:uid="{00000000-0005-0000-0000-0000B8BA0000}"/>
    <cellStyle name="Note 2 3 4 2 2 4" xfId="36412" xr:uid="{00000000-0005-0000-0000-0000B9BA0000}"/>
    <cellStyle name="Note 2 3 4 2 3" xfId="18780" xr:uid="{00000000-0005-0000-0000-0000BABA0000}"/>
    <cellStyle name="Note 2 3 4 2 3 2" xfId="29148" xr:uid="{00000000-0005-0000-0000-0000BBBA0000}"/>
    <cellStyle name="Note 2 3 4 2 3 2 2" xfId="48337" xr:uid="{00000000-0005-0000-0000-0000BCBA0000}"/>
    <cellStyle name="Note 2 3 4 2 3 3" xfId="38639" xr:uid="{00000000-0005-0000-0000-0000BDBA0000}"/>
    <cellStyle name="Note 2 3 4 2 4" xfId="24688" xr:uid="{00000000-0005-0000-0000-0000BEBA0000}"/>
    <cellStyle name="Note 2 3 4 2 4 2" xfId="43882" xr:uid="{00000000-0005-0000-0000-0000BFBA0000}"/>
    <cellStyle name="Note 2 3 4 2 5" xfId="34184" xr:uid="{00000000-0005-0000-0000-0000C0BA0000}"/>
    <cellStyle name="Note 2 3 4 3" xfId="14859" xr:uid="{00000000-0005-0000-0000-0000C1BA0000}"/>
    <cellStyle name="Note 2 3 4 3 2" xfId="15988" xr:uid="{00000000-0005-0000-0000-0000C2BA0000}"/>
    <cellStyle name="Note 2 3 4 3 2 2" xfId="20452" xr:uid="{00000000-0005-0000-0000-0000C3BA0000}"/>
    <cellStyle name="Note 2 3 4 3 2 2 2" xfId="30820" xr:uid="{00000000-0005-0000-0000-0000C4BA0000}"/>
    <cellStyle name="Note 2 3 4 3 2 2 2 2" xfId="50009" xr:uid="{00000000-0005-0000-0000-0000C5BA0000}"/>
    <cellStyle name="Note 2 3 4 3 2 2 3" xfId="40311" xr:uid="{00000000-0005-0000-0000-0000C6BA0000}"/>
    <cellStyle name="Note 2 3 4 3 2 3" xfId="26365" xr:uid="{00000000-0005-0000-0000-0000C7BA0000}"/>
    <cellStyle name="Note 2 3 4 3 2 3 2" xfId="45554" xr:uid="{00000000-0005-0000-0000-0000C8BA0000}"/>
    <cellStyle name="Note 2 3 4 3 2 4" xfId="35856" xr:uid="{00000000-0005-0000-0000-0000C9BA0000}"/>
    <cellStyle name="Note 2 3 4 3 3" xfId="19337" xr:uid="{00000000-0005-0000-0000-0000CABA0000}"/>
    <cellStyle name="Note 2 3 4 3 3 2" xfId="29705" xr:uid="{00000000-0005-0000-0000-0000CBBA0000}"/>
    <cellStyle name="Note 2 3 4 3 3 2 2" xfId="48894" xr:uid="{00000000-0005-0000-0000-0000CCBA0000}"/>
    <cellStyle name="Note 2 3 4 3 3 3" xfId="39196" xr:uid="{00000000-0005-0000-0000-0000CDBA0000}"/>
    <cellStyle name="Note 2 3 4 3 4" xfId="25250" xr:uid="{00000000-0005-0000-0000-0000CEBA0000}"/>
    <cellStyle name="Note 2 3 4 3 4 2" xfId="44439" xr:uid="{00000000-0005-0000-0000-0000CFBA0000}"/>
    <cellStyle name="Note 2 3 4 3 5" xfId="34741" xr:uid="{00000000-0005-0000-0000-0000D0BA0000}"/>
    <cellStyle name="Note 2 3 4 4" xfId="15431" xr:uid="{00000000-0005-0000-0000-0000D1BA0000}"/>
    <cellStyle name="Note 2 3 4 4 2" xfId="19895" xr:uid="{00000000-0005-0000-0000-0000D2BA0000}"/>
    <cellStyle name="Note 2 3 4 4 2 2" xfId="30263" xr:uid="{00000000-0005-0000-0000-0000D3BA0000}"/>
    <cellStyle name="Note 2 3 4 4 2 2 2" xfId="49452" xr:uid="{00000000-0005-0000-0000-0000D4BA0000}"/>
    <cellStyle name="Note 2 3 4 4 2 3" xfId="39754" xr:uid="{00000000-0005-0000-0000-0000D5BA0000}"/>
    <cellStyle name="Note 2 3 4 4 3" xfId="25808" xr:uid="{00000000-0005-0000-0000-0000D6BA0000}"/>
    <cellStyle name="Note 2 3 4 4 3 2" xfId="44997" xr:uid="{00000000-0005-0000-0000-0000D7BA0000}"/>
    <cellStyle name="Note 2 3 4 4 4" xfId="35299" xr:uid="{00000000-0005-0000-0000-0000D8BA0000}"/>
    <cellStyle name="Note 2 3 4 5" xfId="17101" xr:uid="{00000000-0005-0000-0000-0000D9BA0000}"/>
    <cellStyle name="Note 2 3 4 5 2" xfId="21565" xr:uid="{00000000-0005-0000-0000-0000DABA0000}"/>
    <cellStyle name="Note 2 3 4 5 2 2" xfId="31933" xr:uid="{00000000-0005-0000-0000-0000DBBA0000}"/>
    <cellStyle name="Note 2 3 4 5 2 2 2" xfId="51122" xr:uid="{00000000-0005-0000-0000-0000DCBA0000}"/>
    <cellStyle name="Note 2 3 4 5 2 3" xfId="41424" xr:uid="{00000000-0005-0000-0000-0000DDBA0000}"/>
    <cellStyle name="Note 2 3 4 5 3" xfId="27478" xr:uid="{00000000-0005-0000-0000-0000DEBA0000}"/>
    <cellStyle name="Note 2 3 4 5 3 2" xfId="46667" xr:uid="{00000000-0005-0000-0000-0000DFBA0000}"/>
    <cellStyle name="Note 2 3 4 5 4" xfId="36969" xr:uid="{00000000-0005-0000-0000-0000E0BA0000}"/>
    <cellStyle name="Note 2 3 4 6" xfId="17667" xr:uid="{00000000-0005-0000-0000-0000E1BA0000}"/>
    <cellStyle name="Note 2 3 4 6 2" xfId="22122" xr:uid="{00000000-0005-0000-0000-0000E2BA0000}"/>
    <cellStyle name="Note 2 3 4 6 2 2" xfId="32490" xr:uid="{00000000-0005-0000-0000-0000E3BA0000}"/>
    <cellStyle name="Note 2 3 4 6 2 2 2" xfId="51679" xr:uid="{00000000-0005-0000-0000-0000E4BA0000}"/>
    <cellStyle name="Note 2 3 4 6 2 3" xfId="41981" xr:uid="{00000000-0005-0000-0000-0000E5BA0000}"/>
    <cellStyle name="Note 2 3 4 6 3" xfId="28035" xr:uid="{00000000-0005-0000-0000-0000E6BA0000}"/>
    <cellStyle name="Note 2 3 4 6 3 2" xfId="47224" xr:uid="{00000000-0005-0000-0000-0000E7BA0000}"/>
    <cellStyle name="Note 2 3 4 6 4" xfId="37526" xr:uid="{00000000-0005-0000-0000-0000E8BA0000}"/>
    <cellStyle name="Note 2 3 4 7" xfId="18224" xr:uid="{00000000-0005-0000-0000-0000E9BA0000}"/>
    <cellStyle name="Note 2 3 4 7 2" xfId="28592" xr:uid="{00000000-0005-0000-0000-0000EABA0000}"/>
    <cellStyle name="Note 2 3 4 7 2 2" xfId="47781" xr:uid="{00000000-0005-0000-0000-0000EBBA0000}"/>
    <cellStyle name="Note 2 3 4 7 3" xfId="38083" xr:uid="{00000000-0005-0000-0000-0000ECBA0000}"/>
    <cellStyle name="Note 2 3 4 8" xfId="24092" xr:uid="{00000000-0005-0000-0000-0000EDBA0000}"/>
    <cellStyle name="Note 2 3 4 8 2" xfId="43326" xr:uid="{00000000-0005-0000-0000-0000EEBA0000}"/>
    <cellStyle name="Note 2 3 4 9" xfId="33628" xr:uid="{00000000-0005-0000-0000-0000EFBA0000}"/>
    <cellStyle name="Note 2 3 5" xfId="13387" xr:uid="{00000000-0005-0000-0000-0000F0BA0000}"/>
    <cellStyle name="Note 2 3 5 2" xfId="14281" xr:uid="{00000000-0005-0000-0000-0000F1BA0000}"/>
    <cellStyle name="Note 2 3 5 2 2" xfId="16545" xr:uid="{00000000-0005-0000-0000-0000F2BA0000}"/>
    <cellStyle name="Note 2 3 5 2 2 2" xfId="21009" xr:uid="{00000000-0005-0000-0000-0000F3BA0000}"/>
    <cellStyle name="Note 2 3 5 2 2 2 2" xfId="31377" xr:uid="{00000000-0005-0000-0000-0000F4BA0000}"/>
    <cellStyle name="Note 2 3 5 2 2 2 2 2" xfId="50566" xr:uid="{00000000-0005-0000-0000-0000F5BA0000}"/>
    <cellStyle name="Note 2 3 5 2 2 2 3" xfId="40868" xr:uid="{00000000-0005-0000-0000-0000F6BA0000}"/>
    <cellStyle name="Note 2 3 5 2 2 3" xfId="26922" xr:uid="{00000000-0005-0000-0000-0000F7BA0000}"/>
    <cellStyle name="Note 2 3 5 2 2 3 2" xfId="46111" xr:uid="{00000000-0005-0000-0000-0000F8BA0000}"/>
    <cellStyle name="Note 2 3 5 2 2 4" xfId="36413" xr:uid="{00000000-0005-0000-0000-0000F9BA0000}"/>
    <cellStyle name="Note 2 3 5 2 3" xfId="18781" xr:uid="{00000000-0005-0000-0000-0000FABA0000}"/>
    <cellStyle name="Note 2 3 5 2 3 2" xfId="29149" xr:uid="{00000000-0005-0000-0000-0000FBBA0000}"/>
    <cellStyle name="Note 2 3 5 2 3 2 2" xfId="48338" xr:uid="{00000000-0005-0000-0000-0000FCBA0000}"/>
    <cellStyle name="Note 2 3 5 2 3 3" xfId="38640" xr:uid="{00000000-0005-0000-0000-0000FDBA0000}"/>
    <cellStyle name="Note 2 3 5 2 4" xfId="24689" xr:uid="{00000000-0005-0000-0000-0000FEBA0000}"/>
    <cellStyle name="Note 2 3 5 2 4 2" xfId="43883" xr:uid="{00000000-0005-0000-0000-0000FFBA0000}"/>
    <cellStyle name="Note 2 3 5 2 5" xfId="34185" xr:uid="{00000000-0005-0000-0000-000000BB0000}"/>
    <cellStyle name="Note 2 3 5 3" xfId="14860" xr:uid="{00000000-0005-0000-0000-000001BB0000}"/>
    <cellStyle name="Note 2 3 5 3 2" xfId="15989" xr:uid="{00000000-0005-0000-0000-000002BB0000}"/>
    <cellStyle name="Note 2 3 5 3 2 2" xfId="20453" xr:uid="{00000000-0005-0000-0000-000003BB0000}"/>
    <cellStyle name="Note 2 3 5 3 2 2 2" xfId="30821" xr:uid="{00000000-0005-0000-0000-000004BB0000}"/>
    <cellStyle name="Note 2 3 5 3 2 2 2 2" xfId="50010" xr:uid="{00000000-0005-0000-0000-000005BB0000}"/>
    <cellStyle name="Note 2 3 5 3 2 2 3" xfId="40312" xr:uid="{00000000-0005-0000-0000-000006BB0000}"/>
    <cellStyle name="Note 2 3 5 3 2 3" xfId="26366" xr:uid="{00000000-0005-0000-0000-000007BB0000}"/>
    <cellStyle name="Note 2 3 5 3 2 3 2" xfId="45555" xr:uid="{00000000-0005-0000-0000-000008BB0000}"/>
    <cellStyle name="Note 2 3 5 3 2 4" xfId="35857" xr:uid="{00000000-0005-0000-0000-000009BB0000}"/>
    <cellStyle name="Note 2 3 5 3 3" xfId="19338" xr:uid="{00000000-0005-0000-0000-00000ABB0000}"/>
    <cellStyle name="Note 2 3 5 3 3 2" xfId="29706" xr:uid="{00000000-0005-0000-0000-00000BBB0000}"/>
    <cellStyle name="Note 2 3 5 3 3 2 2" xfId="48895" xr:uid="{00000000-0005-0000-0000-00000CBB0000}"/>
    <cellStyle name="Note 2 3 5 3 3 3" xfId="39197" xr:uid="{00000000-0005-0000-0000-00000DBB0000}"/>
    <cellStyle name="Note 2 3 5 3 4" xfId="25251" xr:uid="{00000000-0005-0000-0000-00000EBB0000}"/>
    <cellStyle name="Note 2 3 5 3 4 2" xfId="44440" xr:uid="{00000000-0005-0000-0000-00000FBB0000}"/>
    <cellStyle name="Note 2 3 5 3 5" xfId="34742" xr:uid="{00000000-0005-0000-0000-000010BB0000}"/>
    <cellStyle name="Note 2 3 5 4" xfId="15432" xr:uid="{00000000-0005-0000-0000-000011BB0000}"/>
    <cellStyle name="Note 2 3 5 4 2" xfId="19896" xr:uid="{00000000-0005-0000-0000-000012BB0000}"/>
    <cellStyle name="Note 2 3 5 4 2 2" xfId="30264" xr:uid="{00000000-0005-0000-0000-000013BB0000}"/>
    <cellStyle name="Note 2 3 5 4 2 2 2" xfId="49453" xr:uid="{00000000-0005-0000-0000-000014BB0000}"/>
    <cellStyle name="Note 2 3 5 4 2 3" xfId="39755" xr:uid="{00000000-0005-0000-0000-000015BB0000}"/>
    <cellStyle name="Note 2 3 5 4 3" xfId="25809" xr:uid="{00000000-0005-0000-0000-000016BB0000}"/>
    <cellStyle name="Note 2 3 5 4 3 2" xfId="44998" xr:uid="{00000000-0005-0000-0000-000017BB0000}"/>
    <cellStyle name="Note 2 3 5 4 4" xfId="35300" xr:uid="{00000000-0005-0000-0000-000018BB0000}"/>
    <cellStyle name="Note 2 3 5 5" xfId="17102" xr:uid="{00000000-0005-0000-0000-000019BB0000}"/>
    <cellStyle name="Note 2 3 5 5 2" xfId="21566" xr:uid="{00000000-0005-0000-0000-00001ABB0000}"/>
    <cellStyle name="Note 2 3 5 5 2 2" xfId="31934" xr:uid="{00000000-0005-0000-0000-00001BBB0000}"/>
    <cellStyle name="Note 2 3 5 5 2 2 2" xfId="51123" xr:uid="{00000000-0005-0000-0000-00001CBB0000}"/>
    <cellStyle name="Note 2 3 5 5 2 3" xfId="41425" xr:uid="{00000000-0005-0000-0000-00001DBB0000}"/>
    <cellStyle name="Note 2 3 5 5 3" xfId="27479" xr:uid="{00000000-0005-0000-0000-00001EBB0000}"/>
    <cellStyle name="Note 2 3 5 5 3 2" xfId="46668" xr:uid="{00000000-0005-0000-0000-00001FBB0000}"/>
    <cellStyle name="Note 2 3 5 5 4" xfId="36970" xr:uid="{00000000-0005-0000-0000-000020BB0000}"/>
    <cellStyle name="Note 2 3 5 6" xfId="17668" xr:uid="{00000000-0005-0000-0000-000021BB0000}"/>
    <cellStyle name="Note 2 3 5 6 2" xfId="22123" xr:uid="{00000000-0005-0000-0000-000022BB0000}"/>
    <cellStyle name="Note 2 3 5 6 2 2" xfId="32491" xr:uid="{00000000-0005-0000-0000-000023BB0000}"/>
    <cellStyle name="Note 2 3 5 6 2 2 2" xfId="51680" xr:uid="{00000000-0005-0000-0000-000024BB0000}"/>
    <cellStyle name="Note 2 3 5 6 2 3" xfId="41982" xr:uid="{00000000-0005-0000-0000-000025BB0000}"/>
    <cellStyle name="Note 2 3 5 6 3" xfId="28036" xr:uid="{00000000-0005-0000-0000-000026BB0000}"/>
    <cellStyle name="Note 2 3 5 6 3 2" xfId="47225" xr:uid="{00000000-0005-0000-0000-000027BB0000}"/>
    <cellStyle name="Note 2 3 5 6 4" xfId="37527" xr:uid="{00000000-0005-0000-0000-000028BB0000}"/>
    <cellStyle name="Note 2 3 5 7" xfId="18225" xr:uid="{00000000-0005-0000-0000-000029BB0000}"/>
    <cellStyle name="Note 2 3 5 7 2" xfId="28593" xr:uid="{00000000-0005-0000-0000-00002ABB0000}"/>
    <cellStyle name="Note 2 3 5 7 2 2" xfId="47782" xr:uid="{00000000-0005-0000-0000-00002BBB0000}"/>
    <cellStyle name="Note 2 3 5 7 3" xfId="38084" xr:uid="{00000000-0005-0000-0000-00002CBB0000}"/>
    <cellStyle name="Note 2 3 5 8" xfId="24093" xr:uid="{00000000-0005-0000-0000-00002DBB0000}"/>
    <cellStyle name="Note 2 3 5 8 2" xfId="43327" xr:uid="{00000000-0005-0000-0000-00002EBB0000}"/>
    <cellStyle name="Note 2 3 5 9" xfId="33629" xr:uid="{00000000-0005-0000-0000-00002FBB0000}"/>
    <cellStyle name="Note 2 3 6" xfId="22863" xr:uid="{00000000-0005-0000-0000-000030BB0000}"/>
    <cellStyle name="Note 2 3 6 2" xfId="32947" xr:uid="{00000000-0005-0000-0000-000031BB0000}"/>
    <cellStyle name="Note 2 3 6 2 2" xfId="52133" xr:uid="{00000000-0005-0000-0000-000032BB0000}"/>
    <cellStyle name="Note 2 3 6 3" xfId="42435" xr:uid="{00000000-0005-0000-0000-000033BB0000}"/>
    <cellStyle name="Note 2 3 7" xfId="23461" xr:uid="{00000000-0005-0000-0000-000034BB0000}"/>
    <cellStyle name="Note 2 3 8" xfId="23220" xr:uid="{00000000-0005-0000-0000-000035BB0000}"/>
    <cellStyle name="Note 2 3 8 2" xfId="42788" xr:uid="{00000000-0005-0000-0000-000036BB0000}"/>
    <cellStyle name="Note 2 3 9" xfId="12530" xr:uid="{00000000-0005-0000-0000-000037BB0000}"/>
    <cellStyle name="Note 2 4" xfId="1501" xr:uid="{00000000-0005-0000-0000-000038BB0000}"/>
    <cellStyle name="Note 2 4 2" xfId="5425" xr:uid="{00000000-0005-0000-0000-000039BB0000}"/>
    <cellStyle name="Note 2 4 2 10" xfId="24094" xr:uid="{00000000-0005-0000-0000-00003ABB0000}"/>
    <cellStyle name="Note 2 4 2 10 2" xfId="43328" xr:uid="{00000000-0005-0000-0000-00003BBB0000}"/>
    <cellStyle name="Note 2 4 2 11" xfId="33630" xr:uid="{00000000-0005-0000-0000-00003CBB0000}"/>
    <cellStyle name="Note 2 4 2 12" xfId="52760" xr:uid="{00000000-0005-0000-0000-00003DBB0000}"/>
    <cellStyle name="Note 2 4 2 13" xfId="13388" xr:uid="{00000000-0005-0000-0000-00003EBB0000}"/>
    <cellStyle name="Note 2 4 2 2" xfId="13389" xr:uid="{00000000-0005-0000-0000-00003FBB0000}"/>
    <cellStyle name="Note 2 4 2 2 10" xfId="53188" xr:uid="{00000000-0005-0000-0000-000040BB0000}"/>
    <cellStyle name="Note 2 4 2 2 2" xfId="14283" xr:uid="{00000000-0005-0000-0000-000041BB0000}"/>
    <cellStyle name="Note 2 4 2 2 2 2" xfId="16547" xr:uid="{00000000-0005-0000-0000-000042BB0000}"/>
    <cellStyle name="Note 2 4 2 2 2 2 2" xfId="21011" xr:uid="{00000000-0005-0000-0000-000043BB0000}"/>
    <cellStyle name="Note 2 4 2 2 2 2 2 2" xfId="31379" xr:uid="{00000000-0005-0000-0000-000044BB0000}"/>
    <cellStyle name="Note 2 4 2 2 2 2 2 2 2" xfId="50568" xr:uid="{00000000-0005-0000-0000-000045BB0000}"/>
    <cellStyle name="Note 2 4 2 2 2 2 2 3" xfId="40870" xr:uid="{00000000-0005-0000-0000-000046BB0000}"/>
    <cellStyle name="Note 2 4 2 2 2 2 3" xfId="26924" xr:uid="{00000000-0005-0000-0000-000047BB0000}"/>
    <cellStyle name="Note 2 4 2 2 2 2 3 2" xfId="46113" xr:uid="{00000000-0005-0000-0000-000048BB0000}"/>
    <cellStyle name="Note 2 4 2 2 2 2 4" xfId="36415" xr:uid="{00000000-0005-0000-0000-000049BB0000}"/>
    <cellStyle name="Note 2 4 2 2 2 3" xfId="18783" xr:uid="{00000000-0005-0000-0000-00004ABB0000}"/>
    <cellStyle name="Note 2 4 2 2 2 3 2" xfId="29151" xr:uid="{00000000-0005-0000-0000-00004BBB0000}"/>
    <cellStyle name="Note 2 4 2 2 2 3 2 2" xfId="48340" xr:uid="{00000000-0005-0000-0000-00004CBB0000}"/>
    <cellStyle name="Note 2 4 2 2 2 3 3" xfId="38642" xr:uid="{00000000-0005-0000-0000-00004DBB0000}"/>
    <cellStyle name="Note 2 4 2 2 2 4" xfId="24691" xr:uid="{00000000-0005-0000-0000-00004EBB0000}"/>
    <cellStyle name="Note 2 4 2 2 2 4 2" xfId="43885" xr:uid="{00000000-0005-0000-0000-00004FBB0000}"/>
    <cellStyle name="Note 2 4 2 2 2 5" xfId="34187" xr:uid="{00000000-0005-0000-0000-000050BB0000}"/>
    <cellStyle name="Note 2 4 2 2 2 6" xfId="54041" xr:uid="{00000000-0005-0000-0000-000051BB0000}"/>
    <cellStyle name="Note 2 4 2 2 3" xfId="14862" xr:uid="{00000000-0005-0000-0000-000052BB0000}"/>
    <cellStyle name="Note 2 4 2 2 3 2" xfId="15991" xr:uid="{00000000-0005-0000-0000-000053BB0000}"/>
    <cellStyle name="Note 2 4 2 2 3 2 2" xfId="20455" xr:uid="{00000000-0005-0000-0000-000054BB0000}"/>
    <cellStyle name="Note 2 4 2 2 3 2 2 2" xfId="30823" xr:uid="{00000000-0005-0000-0000-000055BB0000}"/>
    <cellStyle name="Note 2 4 2 2 3 2 2 2 2" xfId="50012" xr:uid="{00000000-0005-0000-0000-000056BB0000}"/>
    <cellStyle name="Note 2 4 2 2 3 2 2 3" xfId="40314" xr:uid="{00000000-0005-0000-0000-000057BB0000}"/>
    <cellStyle name="Note 2 4 2 2 3 2 3" xfId="26368" xr:uid="{00000000-0005-0000-0000-000058BB0000}"/>
    <cellStyle name="Note 2 4 2 2 3 2 3 2" xfId="45557" xr:uid="{00000000-0005-0000-0000-000059BB0000}"/>
    <cellStyle name="Note 2 4 2 2 3 2 4" xfId="35859" xr:uid="{00000000-0005-0000-0000-00005ABB0000}"/>
    <cellStyle name="Note 2 4 2 2 3 3" xfId="19340" xr:uid="{00000000-0005-0000-0000-00005BBB0000}"/>
    <cellStyle name="Note 2 4 2 2 3 3 2" xfId="29708" xr:uid="{00000000-0005-0000-0000-00005CBB0000}"/>
    <cellStyle name="Note 2 4 2 2 3 3 2 2" xfId="48897" xr:uid="{00000000-0005-0000-0000-00005DBB0000}"/>
    <cellStyle name="Note 2 4 2 2 3 3 3" xfId="39199" xr:uid="{00000000-0005-0000-0000-00005EBB0000}"/>
    <cellStyle name="Note 2 4 2 2 3 4" xfId="25253" xr:uid="{00000000-0005-0000-0000-00005FBB0000}"/>
    <cellStyle name="Note 2 4 2 2 3 4 2" xfId="44442" xr:uid="{00000000-0005-0000-0000-000060BB0000}"/>
    <cellStyle name="Note 2 4 2 2 3 5" xfId="34744" xr:uid="{00000000-0005-0000-0000-000061BB0000}"/>
    <cellStyle name="Note 2 4 2 2 4" xfId="15434" xr:uid="{00000000-0005-0000-0000-000062BB0000}"/>
    <cellStyle name="Note 2 4 2 2 4 2" xfId="19898" xr:uid="{00000000-0005-0000-0000-000063BB0000}"/>
    <cellStyle name="Note 2 4 2 2 4 2 2" xfId="30266" xr:uid="{00000000-0005-0000-0000-000064BB0000}"/>
    <cellStyle name="Note 2 4 2 2 4 2 2 2" xfId="49455" xr:uid="{00000000-0005-0000-0000-000065BB0000}"/>
    <cellStyle name="Note 2 4 2 2 4 2 3" xfId="39757" xr:uid="{00000000-0005-0000-0000-000066BB0000}"/>
    <cellStyle name="Note 2 4 2 2 4 3" xfId="25811" xr:uid="{00000000-0005-0000-0000-000067BB0000}"/>
    <cellStyle name="Note 2 4 2 2 4 3 2" xfId="45000" xr:uid="{00000000-0005-0000-0000-000068BB0000}"/>
    <cellStyle name="Note 2 4 2 2 4 4" xfId="35302" xr:uid="{00000000-0005-0000-0000-000069BB0000}"/>
    <cellStyle name="Note 2 4 2 2 5" xfId="17104" xr:uid="{00000000-0005-0000-0000-00006ABB0000}"/>
    <cellStyle name="Note 2 4 2 2 5 2" xfId="21568" xr:uid="{00000000-0005-0000-0000-00006BBB0000}"/>
    <cellStyle name="Note 2 4 2 2 5 2 2" xfId="31936" xr:uid="{00000000-0005-0000-0000-00006CBB0000}"/>
    <cellStyle name="Note 2 4 2 2 5 2 2 2" xfId="51125" xr:uid="{00000000-0005-0000-0000-00006DBB0000}"/>
    <cellStyle name="Note 2 4 2 2 5 2 3" xfId="41427" xr:uid="{00000000-0005-0000-0000-00006EBB0000}"/>
    <cellStyle name="Note 2 4 2 2 5 3" xfId="27481" xr:uid="{00000000-0005-0000-0000-00006FBB0000}"/>
    <cellStyle name="Note 2 4 2 2 5 3 2" xfId="46670" xr:uid="{00000000-0005-0000-0000-000070BB0000}"/>
    <cellStyle name="Note 2 4 2 2 5 4" xfId="36972" xr:uid="{00000000-0005-0000-0000-000071BB0000}"/>
    <cellStyle name="Note 2 4 2 2 6" xfId="17670" xr:uid="{00000000-0005-0000-0000-000072BB0000}"/>
    <cellStyle name="Note 2 4 2 2 6 2" xfId="22125" xr:uid="{00000000-0005-0000-0000-000073BB0000}"/>
    <cellStyle name="Note 2 4 2 2 6 2 2" xfId="32493" xr:uid="{00000000-0005-0000-0000-000074BB0000}"/>
    <cellStyle name="Note 2 4 2 2 6 2 2 2" xfId="51682" xr:uid="{00000000-0005-0000-0000-000075BB0000}"/>
    <cellStyle name="Note 2 4 2 2 6 2 3" xfId="41984" xr:uid="{00000000-0005-0000-0000-000076BB0000}"/>
    <cellStyle name="Note 2 4 2 2 6 3" xfId="28038" xr:uid="{00000000-0005-0000-0000-000077BB0000}"/>
    <cellStyle name="Note 2 4 2 2 6 3 2" xfId="47227" xr:uid="{00000000-0005-0000-0000-000078BB0000}"/>
    <cellStyle name="Note 2 4 2 2 6 4" xfId="37529" xr:uid="{00000000-0005-0000-0000-000079BB0000}"/>
    <cellStyle name="Note 2 4 2 2 7" xfId="18227" xr:uid="{00000000-0005-0000-0000-00007ABB0000}"/>
    <cellStyle name="Note 2 4 2 2 7 2" xfId="28595" xr:uid="{00000000-0005-0000-0000-00007BBB0000}"/>
    <cellStyle name="Note 2 4 2 2 7 2 2" xfId="47784" xr:uid="{00000000-0005-0000-0000-00007CBB0000}"/>
    <cellStyle name="Note 2 4 2 2 7 3" xfId="38086" xr:uid="{00000000-0005-0000-0000-00007DBB0000}"/>
    <cellStyle name="Note 2 4 2 2 8" xfId="24095" xr:uid="{00000000-0005-0000-0000-00007EBB0000}"/>
    <cellStyle name="Note 2 4 2 2 8 2" xfId="43329" xr:uid="{00000000-0005-0000-0000-00007FBB0000}"/>
    <cellStyle name="Note 2 4 2 2 9" xfId="33631" xr:uid="{00000000-0005-0000-0000-000080BB0000}"/>
    <cellStyle name="Note 2 4 2 3" xfId="13390" xr:uid="{00000000-0005-0000-0000-000081BB0000}"/>
    <cellStyle name="Note 2 4 2 3 10" xfId="53645" xr:uid="{00000000-0005-0000-0000-000082BB0000}"/>
    <cellStyle name="Note 2 4 2 3 2" xfId="14284" xr:uid="{00000000-0005-0000-0000-000083BB0000}"/>
    <cellStyle name="Note 2 4 2 3 2 2" xfId="16548" xr:uid="{00000000-0005-0000-0000-000084BB0000}"/>
    <cellStyle name="Note 2 4 2 3 2 2 2" xfId="21012" xr:uid="{00000000-0005-0000-0000-000085BB0000}"/>
    <cellStyle name="Note 2 4 2 3 2 2 2 2" xfId="31380" xr:uid="{00000000-0005-0000-0000-000086BB0000}"/>
    <cellStyle name="Note 2 4 2 3 2 2 2 2 2" xfId="50569" xr:uid="{00000000-0005-0000-0000-000087BB0000}"/>
    <cellStyle name="Note 2 4 2 3 2 2 2 3" xfId="40871" xr:uid="{00000000-0005-0000-0000-000088BB0000}"/>
    <cellStyle name="Note 2 4 2 3 2 2 3" xfId="26925" xr:uid="{00000000-0005-0000-0000-000089BB0000}"/>
    <cellStyle name="Note 2 4 2 3 2 2 3 2" xfId="46114" xr:uid="{00000000-0005-0000-0000-00008ABB0000}"/>
    <cellStyle name="Note 2 4 2 3 2 2 4" xfId="36416" xr:uid="{00000000-0005-0000-0000-00008BBB0000}"/>
    <cellStyle name="Note 2 4 2 3 2 3" xfId="18784" xr:uid="{00000000-0005-0000-0000-00008CBB0000}"/>
    <cellStyle name="Note 2 4 2 3 2 3 2" xfId="29152" xr:uid="{00000000-0005-0000-0000-00008DBB0000}"/>
    <cellStyle name="Note 2 4 2 3 2 3 2 2" xfId="48341" xr:uid="{00000000-0005-0000-0000-00008EBB0000}"/>
    <cellStyle name="Note 2 4 2 3 2 3 3" xfId="38643" xr:uid="{00000000-0005-0000-0000-00008FBB0000}"/>
    <cellStyle name="Note 2 4 2 3 2 4" xfId="24692" xr:uid="{00000000-0005-0000-0000-000090BB0000}"/>
    <cellStyle name="Note 2 4 2 3 2 4 2" xfId="43886" xr:uid="{00000000-0005-0000-0000-000091BB0000}"/>
    <cellStyle name="Note 2 4 2 3 2 5" xfId="34188" xr:uid="{00000000-0005-0000-0000-000092BB0000}"/>
    <cellStyle name="Note 2 4 2 3 3" xfId="14863" xr:uid="{00000000-0005-0000-0000-000093BB0000}"/>
    <cellStyle name="Note 2 4 2 3 3 2" xfId="15992" xr:uid="{00000000-0005-0000-0000-000094BB0000}"/>
    <cellStyle name="Note 2 4 2 3 3 2 2" xfId="20456" xr:uid="{00000000-0005-0000-0000-000095BB0000}"/>
    <cellStyle name="Note 2 4 2 3 3 2 2 2" xfId="30824" xr:uid="{00000000-0005-0000-0000-000096BB0000}"/>
    <cellStyle name="Note 2 4 2 3 3 2 2 2 2" xfId="50013" xr:uid="{00000000-0005-0000-0000-000097BB0000}"/>
    <cellStyle name="Note 2 4 2 3 3 2 2 3" xfId="40315" xr:uid="{00000000-0005-0000-0000-000098BB0000}"/>
    <cellStyle name="Note 2 4 2 3 3 2 3" xfId="26369" xr:uid="{00000000-0005-0000-0000-000099BB0000}"/>
    <cellStyle name="Note 2 4 2 3 3 2 3 2" xfId="45558" xr:uid="{00000000-0005-0000-0000-00009ABB0000}"/>
    <cellStyle name="Note 2 4 2 3 3 2 4" xfId="35860" xr:uid="{00000000-0005-0000-0000-00009BBB0000}"/>
    <cellStyle name="Note 2 4 2 3 3 3" xfId="19341" xr:uid="{00000000-0005-0000-0000-00009CBB0000}"/>
    <cellStyle name="Note 2 4 2 3 3 3 2" xfId="29709" xr:uid="{00000000-0005-0000-0000-00009DBB0000}"/>
    <cellStyle name="Note 2 4 2 3 3 3 2 2" xfId="48898" xr:uid="{00000000-0005-0000-0000-00009EBB0000}"/>
    <cellStyle name="Note 2 4 2 3 3 3 3" xfId="39200" xr:uid="{00000000-0005-0000-0000-00009FBB0000}"/>
    <cellStyle name="Note 2 4 2 3 3 4" xfId="25254" xr:uid="{00000000-0005-0000-0000-0000A0BB0000}"/>
    <cellStyle name="Note 2 4 2 3 3 4 2" xfId="44443" xr:uid="{00000000-0005-0000-0000-0000A1BB0000}"/>
    <cellStyle name="Note 2 4 2 3 3 5" xfId="34745" xr:uid="{00000000-0005-0000-0000-0000A2BB0000}"/>
    <cellStyle name="Note 2 4 2 3 4" xfId="15435" xr:uid="{00000000-0005-0000-0000-0000A3BB0000}"/>
    <cellStyle name="Note 2 4 2 3 4 2" xfId="19899" xr:uid="{00000000-0005-0000-0000-0000A4BB0000}"/>
    <cellStyle name="Note 2 4 2 3 4 2 2" xfId="30267" xr:uid="{00000000-0005-0000-0000-0000A5BB0000}"/>
    <cellStyle name="Note 2 4 2 3 4 2 2 2" xfId="49456" xr:uid="{00000000-0005-0000-0000-0000A6BB0000}"/>
    <cellStyle name="Note 2 4 2 3 4 2 3" xfId="39758" xr:uid="{00000000-0005-0000-0000-0000A7BB0000}"/>
    <cellStyle name="Note 2 4 2 3 4 3" xfId="25812" xr:uid="{00000000-0005-0000-0000-0000A8BB0000}"/>
    <cellStyle name="Note 2 4 2 3 4 3 2" xfId="45001" xr:uid="{00000000-0005-0000-0000-0000A9BB0000}"/>
    <cellStyle name="Note 2 4 2 3 4 4" xfId="35303" xr:uid="{00000000-0005-0000-0000-0000AABB0000}"/>
    <cellStyle name="Note 2 4 2 3 5" xfId="17105" xr:uid="{00000000-0005-0000-0000-0000ABBB0000}"/>
    <cellStyle name="Note 2 4 2 3 5 2" xfId="21569" xr:uid="{00000000-0005-0000-0000-0000ACBB0000}"/>
    <cellStyle name="Note 2 4 2 3 5 2 2" xfId="31937" xr:uid="{00000000-0005-0000-0000-0000ADBB0000}"/>
    <cellStyle name="Note 2 4 2 3 5 2 2 2" xfId="51126" xr:uid="{00000000-0005-0000-0000-0000AEBB0000}"/>
    <cellStyle name="Note 2 4 2 3 5 2 3" xfId="41428" xr:uid="{00000000-0005-0000-0000-0000AFBB0000}"/>
    <cellStyle name="Note 2 4 2 3 5 3" xfId="27482" xr:uid="{00000000-0005-0000-0000-0000B0BB0000}"/>
    <cellStyle name="Note 2 4 2 3 5 3 2" xfId="46671" xr:uid="{00000000-0005-0000-0000-0000B1BB0000}"/>
    <cellStyle name="Note 2 4 2 3 5 4" xfId="36973" xr:uid="{00000000-0005-0000-0000-0000B2BB0000}"/>
    <cellStyle name="Note 2 4 2 3 6" xfId="17671" xr:uid="{00000000-0005-0000-0000-0000B3BB0000}"/>
    <cellStyle name="Note 2 4 2 3 6 2" xfId="22126" xr:uid="{00000000-0005-0000-0000-0000B4BB0000}"/>
    <cellStyle name="Note 2 4 2 3 6 2 2" xfId="32494" xr:uid="{00000000-0005-0000-0000-0000B5BB0000}"/>
    <cellStyle name="Note 2 4 2 3 6 2 2 2" xfId="51683" xr:uid="{00000000-0005-0000-0000-0000B6BB0000}"/>
    <cellStyle name="Note 2 4 2 3 6 2 3" xfId="41985" xr:uid="{00000000-0005-0000-0000-0000B7BB0000}"/>
    <cellStyle name="Note 2 4 2 3 6 3" xfId="28039" xr:uid="{00000000-0005-0000-0000-0000B8BB0000}"/>
    <cellStyle name="Note 2 4 2 3 6 3 2" xfId="47228" xr:uid="{00000000-0005-0000-0000-0000B9BB0000}"/>
    <cellStyle name="Note 2 4 2 3 6 4" xfId="37530" xr:uid="{00000000-0005-0000-0000-0000BABB0000}"/>
    <cellStyle name="Note 2 4 2 3 7" xfId="18228" xr:uid="{00000000-0005-0000-0000-0000BBBB0000}"/>
    <cellStyle name="Note 2 4 2 3 7 2" xfId="28596" xr:uid="{00000000-0005-0000-0000-0000BCBB0000}"/>
    <cellStyle name="Note 2 4 2 3 7 2 2" xfId="47785" xr:uid="{00000000-0005-0000-0000-0000BDBB0000}"/>
    <cellStyle name="Note 2 4 2 3 7 3" xfId="38087" xr:uid="{00000000-0005-0000-0000-0000BEBB0000}"/>
    <cellStyle name="Note 2 4 2 3 8" xfId="24096" xr:uid="{00000000-0005-0000-0000-0000BFBB0000}"/>
    <cellStyle name="Note 2 4 2 3 8 2" xfId="43330" xr:uid="{00000000-0005-0000-0000-0000C0BB0000}"/>
    <cellStyle name="Note 2 4 2 3 9" xfId="33632" xr:uid="{00000000-0005-0000-0000-0000C1BB0000}"/>
    <cellStyle name="Note 2 4 2 4" xfId="14282" xr:uid="{00000000-0005-0000-0000-0000C2BB0000}"/>
    <cellStyle name="Note 2 4 2 4 2" xfId="16546" xr:uid="{00000000-0005-0000-0000-0000C3BB0000}"/>
    <cellStyle name="Note 2 4 2 4 2 2" xfId="21010" xr:uid="{00000000-0005-0000-0000-0000C4BB0000}"/>
    <cellStyle name="Note 2 4 2 4 2 2 2" xfId="31378" xr:uid="{00000000-0005-0000-0000-0000C5BB0000}"/>
    <cellStyle name="Note 2 4 2 4 2 2 2 2" xfId="50567" xr:uid="{00000000-0005-0000-0000-0000C6BB0000}"/>
    <cellStyle name="Note 2 4 2 4 2 2 3" xfId="40869" xr:uid="{00000000-0005-0000-0000-0000C7BB0000}"/>
    <cellStyle name="Note 2 4 2 4 2 3" xfId="26923" xr:uid="{00000000-0005-0000-0000-0000C8BB0000}"/>
    <cellStyle name="Note 2 4 2 4 2 3 2" xfId="46112" xr:uid="{00000000-0005-0000-0000-0000C9BB0000}"/>
    <cellStyle name="Note 2 4 2 4 2 4" xfId="36414" xr:uid="{00000000-0005-0000-0000-0000CABB0000}"/>
    <cellStyle name="Note 2 4 2 4 3" xfId="18782" xr:uid="{00000000-0005-0000-0000-0000CBBB0000}"/>
    <cellStyle name="Note 2 4 2 4 3 2" xfId="29150" xr:uid="{00000000-0005-0000-0000-0000CCBB0000}"/>
    <cellStyle name="Note 2 4 2 4 3 2 2" xfId="48339" xr:uid="{00000000-0005-0000-0000-0000CDBB0000}"/>
    <cellStyle name="Note 2 4 2 4 3 3" xfId="38641" xr:uid="{00000000-0005-0000-0000-0000CEBB0000}"/>
    <cellStyle name="Note 2 4 2 4 4" xfId="24690" xr:uid="{00000000-0005-0000-0000-0000CFBB0000}"/>
    <cellStyle name="Note 2 4 2 4 4 2" xfId="43884" xr:uid="{00000000-0005-0000-0000-0000D0BB0000}"/>
    <cellStyle name="Note 2 4 2 4 5" xfId="34186" xr:uid="{00000000-0005-0000-0000-0000D1BB0000}"/>
    <cellStyle name="Note 2 4 2 5" xfId="14861" xr:uid="{00000000-0005-0000-0000-0000D2BB0000}"/>
    <cellStyle name="Note 2 4 2 5 2" xfId="15990" xr:uid="{00000000-0005-0000-0000-0000D3BB0000}"/>
    <cellStyle name="Note 2 4 2 5 2 2" xfId="20454" xr:uid="{00000000-0005-0000-0000-0000D4BB0000}"/>
    <cellStyle name="Note 2 4 2 5 2 2 2" xfId="30822" xr:uid="{00000000-0005-0000-0000-0000D5BB0000}"/>
    <cellStyle name="Note 2 4 2 5 2 2 2 2" xfId="50011" xr:uid="{00000000-0005-0000-0000-0000D6BB0000}"/>
    <cellStyle name="Note 2 4 2 5 2 2 3" xfId="40313" xr:uid="{00000000-0005-0000-0000-0000D7BB0000}"/>
    <cellStyle name="Note 2 4 2 5 2 3" xfId="26367" xr:uid="{00000000-0005-0000-0000-0000D8BB0000}"/>
    <cellStyle name="Note 2 4 2 5 2 3 2" xfId="45556" xr:uid="{00000000-0005-0000-0000-0000D9BB0000}"/>
    <cellStyle name="Note 2 4 2 5 2 4" xfId="35858" xr:uid="{00000000-0005-0000-0000-0000DABB0000}"/>
    <cellStyle name="Note 2 4 2 5 3" xfId="19339" xr:uid="{00000000-0005-0000-0000-0000DBBB0000}"/>
    <cellStyle name="Note 2 4 2 5 3 2" xfId="29707" xr:uid="{00000000-0005-0000-0000-0000DCBB0000}"/>
    <cellStyle name="Note 2 4 2 5 3 2 2" xfId="48896" xr:uid="{00000000-0005-0000-0000-0000DDBB0000}"/>
    <cellStyle name="Note 2 4 2 5 3 3" xfId="39198" xr:uid="{00000000-0005-0000-0000-0000DEBB0000}"/>
    <cellStyle name="Note 2 4 2 5 4" xfId="25252" xr:uid="{00000000-0005-0000-0000-0000DFBB0000}"/>
    <cellStyle name="Note 2 4 2 5 4 2" xfId="44441" xr:uid="{00000000-0005-0000-0000-0000E0BB0000}"/>
    <cellStyle name="Note 2 4 2 5 5" xfId="34743" xr:uid="{00000000-0005-0000-0000-0000E1BB0000}"/>
    <cellStyle name="Note 2 4 2 6" xfId="15433" xr:uid="{00000000-0005-0000-0000-0000E2BB0000}"/>
    <cellStyle name="Note 2 4 2 6 2" xfId="19897" xr:uid="{00000000-0005-0000-0000-0000E3BB0000}"/>
    <cellStyle name="Note 2 4 2 6 2 2" xfId="30265" xr:uid="{00000000-0005-0000-0000-0000E4BB0000}"/>
    <cellStyle name="Note 2 4 2 6 2 2 2" xfId="49454" xr:uid="{00000000-0005-0000-0000-0000E5BB0000}"/>
    <cellStyle name="Note 2 4 2 6 2 3" xfId="39756" xr:uid="{00000000-0005-0000-0000-0000E6BB0000}"/>
    <cellStyle name="Note 2 4 2 6 3" xfId="25810" xr:uid="{00000000-0005-0000-0000-0000E7BB0000}"/>
    <cellStyle name="Note 2 4 2 6 3 2" xfId="44999" xr:uid="{00000000-0005-0000-0000-0000E8BB0000}"/>
    <cellStyle name="Note 2 4 2 6 4" xfId="35301" xr:uid="{00000000-0005-0000-0000-0000E9BB0000}"/>
    <cellStyle name="Note 2 4 2 7" xfId="17103" xr:uid="{00000000-0005-0000-0000-0000EABB0000}"/>
    <cellStyle name="Note 2 4 2 7 2" xfId="21567" xr:uid="{00000000-0005-0000-0000-0000EBBB0000}"/>
    <cellStyle name="Note 2 4 2 7 2 2" xfId="31935" xr:uid="{00000000-0005-0000-0000-0000ECBB0000}"/>
    <cellStyle name="Note 2 4 2 7 2 2 2" xfId="51124" xr:uid="{00000000-0005-0000-0000-0000EDBB0000}"/>
    <cellStyle name="Note 2 4 2 7 2 3" xfId="41426" xr:uid="{00000000-0005-0000-0000-0000EEBB0000}"/>
    <cellStyle name="Note 2 4 2 7 3" xfId="27480" xr:uid="{00000000-0005-0000-0000-0000EFBB0000}"/>
    <cellStyle name="Note 2 4 2 7 3 2" xfId="46669" xr:uid="{00000000-0005-0000-0000-0000F0BB0000}"/>
    <cellStyle name="Note 2 4 2 7 4" xfId="36971" xr:uid="{00000000-0005-0000-0000-0000F1BB0000}"/>
    <cellStyle name="Note 2 4 2 8" xfId="17669" xr:uid="{00000000-0005-0000-0000-0000F2BB0000}"/>
    <cellStyle name="Note 2 4 2 8 2" xfId="22124" xr:uid="{00000000-0005-0000-0000-0000F3BB0000}"/>
    <cellStyle name="Note 2 4 2 8 2 2" xfId="32492" xr:uid="{00000000-0005-0000-0000-0000F4BB0000}"/>
    <cellStyle name="Note 2 4 2 8 2 2 2" xfId="51681" xr:uid="{00000000-0005-0000-0000-0000F5BB0000}"/>
    <cellStyle name="Note 2 4 2 8 2 3" xfId="41983" xr:uid="{00000000-0005-0000-0000-0000F6BB0000}"/>
    <cellStyle name="Note 2 4 2 8 3" xfId="28037" xr:uid="{00000000-0005-0000-0000-0000F7BB0000}"/>
    <cellStyle name="Note 2 4 2 8 3 2" xfId="47226" xr:uid="{00000000-0005-0000-0000-0000F8BB0000}"/>
    <cellStyle name="Note 2 4 2 8 4" xfId="37528" xr:uid="{00000000-0005-0000-0000-0000F9BB0000}"/>
    <cellStyle name="Note 2 4 2 9" xfId="18226" xr:uid="{00000000-0005-0000-0000-0000FABB0000}"/>
    <cellStyle name="Note 2 4 2 9 2" xfId="28594" xr:uid="{00000000-0005-0000-0000-0000FBBB0000}"/>
    <cellStyle name="Note 2 4 2 9 2 2" xfId="47783" xr:uid="{00000000-0005-0000-0000-0000FCBB0000}"/>
    <cellStyle name="Note 2 4 2 9 3" xfId="38085" xr:uid="{00000000-0005-0000-0000-0000FDBB0000}"/>
    <cellStyle name="Note 2 4 3" xfId="13391" xr:uid="{00000000-0005-0000-0000-0000FEBB0000}"/>
    <cellStyle name="Note 2 4 3 10" xfId="24097" xr:uid="{00000000-0005-0000-0000-0000FFBB0000}"/>
    <cellStyle name="Note 2 4 3 10 2" xfId="43331" xr:uid="{00000000-0005-0000-0000-000000BC0000}"/>
    <cellStyle name="Note 2 4 3 11" xfId="33633" xr:uid="{00000000-0005-0000-0000-000001BC0000}"/>
    <cellStyle name="Note 2 4 3 12" xfId="52970" xr:uid="{00000000-0005-0000-0000-000002BC0000}"/>
    <cellStyle name="Note 2 4 3 2" xfId="13392" xr:uid="{00000000-0005-0000-0000-000003BC0000}"/>
    <cellStyle name="Note 2 4 3 2 10" xfId="53845" xr:uid="{00000000-0005-0000-0000-000004BC0000}"/>
    <cellStyle name="Note 2 4 3 2 2" xfId="14286" xr:uid="{00000000-0005-0000-0000-000005BC0000}"/>
    <cellStyle name="Note 2 4 3 2 2 2" xfId="16550" xr:uid="{00000000-0005-0000-0000-000006BC0000}"/>
    <cellStyle name="Note 2 4 3 2 2 2 2" xfId="21014" xr:uid="{00000000-0005-0000-0000-000007BC0000}"/>
    <cellStyle name="Note 2 4 3 2 2 2 2 2" xfId="31382" xr:uid="{00000000-0005-0000-0000-000008BC0000}"/>
    <cellStyle name="Note 2 4 3 2 2 2 2 2 2" xfId="50571" xr:uid="{00000000-0005-0000-0000-000009BC0000}"/>
    <cellStyle name="Note 2 4 3 2 2 2 2 3" xfId="40873" xr:uid="{00000000-0005-0000-0000-00000ABC0000}"/>
    <cellStyle name="Note 2 4 3 2 2 2 3" xfId="26927" xr:uid="{00000000-0005-0000-0000-00000BBC0000}"/>
    <cellStyle name="Note 2 4 3 2 2 2 3 2" xfId="46116" xr:uid="{00000000-0005-0000-0000-00000CBC0000}"/>
    <cellStyle name="Note 2 4 3 2 2 2 4" xfId="36418" xr:uid="{00000000-0005-0000-0000-00000DBC0000}"/>
    <cellStyle name="Note 2 4 3 2 2 3" xfId="18786" xr:uid="{00000000-0005-0000-0000-00000EBC0000}"/>
    <cellStyle name="Note 2 4 3 2 2 3 2" xfId="29154" xr:uid="{00000000-0005-0000-0000-00000FBC0000}"/>
    <cellStyle name="Note 2 4 3 2 2 3 2 2" xfId="48343" xr:uid="{00000000-0005-0000-0000-000010BC0000}"/>
    <cellStyle name="Note 2 4 3 2 2 3 3" xfId="38645" xr:uid="{00000000-0005-0000-0000-000011BC0000}"/>
    <cellStyle name="Note 2 4 3 2 2 4" xfId="24694" xr:uid="{00000000-0005-0000-0000-000012BC0000}"/>
    <cellStyle name="Note 2 4 3 2 2 4 2" xfId="43888" xr:uid="{00000000-0005-0000-0000-000013BC0000}"/>
    <cellStyle name="Note 2 4 3 2 2 5" xfId="34190" xr:uid="{00000000-0005-0000-0000-000014BC0000}"/>
    <cellStyle name="Note 2 4 3 2 3" xfId="14865" xr:uid="{00000000-0005-0000-0000-000015BC0000}"/>
    <cellStyle name="Note 2 4 3 2 3 2" xfId="15994" xr:uid="{00000000-0005-0000-0000-000016BC0000}"/>
    <cellStyle name="Note 2 4 3 2 3 2 2" xfId="20458" xr:uid="{00000000-0005-0000-0000-000017BC0000}"/>
    <cellStyle name="Note 2 4 3 2 3 2 2 2" xfId="30826" xr:uid="{00000000-0005-0000-0000-000018BC0000}"/>
    <cellStyle name="Note 2 4 3 2 3 2 2 2 2" xfId="50015" xr:uid="{00000000-0005-0000-0000-000019BC0000}"/>
    <cellStyle name="Note 2 4 3 2 3 2 2 3" xfId="40317" xr:uid="{00000000-0005-0000-0000-00001ABC0000}"/>
    <cellStyle name="Note 2 4 3 2 3 2 3" xfId="26371" xr:uid="{00000000-0005-0000-0000-00001BBC0000}"/>
    <cellStyle name="Note 2 4 3 2 3 2 3 2" xfId="45560" xr:uid="{00000000-0005-0000-0000-00001CBC0000}"/>
    <cellStyle name="Note 2 4 3 2 3 2 4" xfId="35862" xr:uid="{00000000-0005-0000-0000-00001DBC0000}"/>
    <cellStyle name="Note 2 4 3 2 3 3" xfId="19343" xr:uid="{00000000-0005-0000-0000-00001EBC0000}"/>
    <cellStyle name="Note 2 4 3 2 3 3 2" xfId="29711" xr:uid="{00000000-0005-0000-0000-00001FBC0000}"/>
    <cellStyle name="Note 2 4 3 2 3 3 2 2" xfId="48900" xr:uid="{00000000-0005-0000-0000-000020BC0000}"/>
    <cellStyle name="Note 2 4 3 2 3 3 3" xfId="39202" xr:uid="{00000000-0005-0000-0000-000021BC0000}"/>
    <cellStyle name="Note 2 4 3 2 3 4" xfId="25256" xr:uid="{00000000-0005-0000-0000-000022BC0000}"/>
    <cellStyle name="Note 2 4 3 2 3 4 2" xfId="44445" xr:uid="{00000000-0005-0000-0000-000023BC0000}"/>
    <cellStyle name="Note 2 4 3 2 3 5" xfId="34747" xr:uid="{00000000-0005-0000-0000-000024BC0000}"/>
    <cellStyle name="Note 2 4 3 2 4" xfId="15437" xr:uid="{00000000-0005-0000-0000-000025BC0000}"/>
    <cellStyle name="Note 2 4 3 2 4 2" xfId="19901" xr:uid="{00000000-0005-0000-0000-000026BC0000}"/>
    <cellStyle name="Note 2 4 3 2 4 2 2" xfId="30269" xr:uid="{00000000-0005-0000-0000-000027BC0000}"/>
    <cellStyle name="Note 2 4 3 2 4 2 2 2" xfId="49458" xr:uid="{00000000-0005-0000-0000-000028BC0000}"/>
    <cellStyle name="Note 2 4 3 2 4 2 3" xfId="39760" xr:uid="{00000000-0005-0000-0000-000029BC0000}"/>
    <cellStyle name="Note 2 4 3 2 4 3" xfId="25814" xr:uid="{00000000-0005-0000-0000-00002ABC0000}"/>
    <cellStyle name="Note 2 4 3 2 4 3 2" xfId="45003" xr:uid="{00000000-0005-0000-0000-00002BBC0000}"/>
    <cellStyle name="Note 2 4 3 2 4 4" xfId="35305" xr:uid="{00000000-0005-0000-0000-00002CBC0000}"/>
    <cellStyle name="Note 2 4 3 2 5" xfId="17107" xr:uid="{00000000-0005-0000-0000-00002DBC0000}"/>
    <cellStyle name="Note 2 4 3 2 5 2" xfId="21571" xr:uid="{00000000-0005-0000-0000-00002EBC0000}"/>
    <cellStyle name="Note 2 4 3 2 5 2 2" xfId="31939" xr:uid="{00000000-0005-0000-0000-00002FBC0000}"/>
    <cellStyle name="Note 2 4 3 2 5 2 2 2" xfId="51128" xr:uid="{00000000-0005-0000-0000-000030BC0000}"/>
    <cellStyle name="Note 2 4 3 2 5 2 3" xfId="41430" xr:uid="{00000000-0005-0000-0000-000031BC0000}"/>
    <cellStyle name="Note 2 4 3 2 5 3" xfId="27484" xr:uid="{00000000-0005-0000-0000-000032BC0000}"/>
    <cellStyle name="Note 2 4 3 2 5 3 2" xfId="46673" xr:uid="{00000000-0005-0000-0000-000033BC0000}"/>
    <cellStyle name="Note 2 4 3 2 5 4" xfId="36975" xr:uid="{00000000-0005-0000-0000-000034BC0000}"/>
    <cellStyle name="Note 2 4 3 2 6" xfId="17673" xr:uid="{00000000-0005-0000-0000-000035BC0000}"/>
    <cellStyle name="Note 2 4 3 2 6 2" xfId="22128" xr:uid="{00000000-0005-0000-0000-000036BC0000}"/>
    <cellStyle name="Note 2 4 3 2 6 2 2" xfId="32496" xr:uid="{00000000-0005-0000-0000-000037BC0000}"/>
    <cellStyle name="Note 2 4 3 2 6 2 2 2" xfId="51685" xr:uid="{00000000-0005-0000-0000-000038BC0000}"/>
    <cellStyle name="Note 2 4 3 2 6 2 3" xfId="41987" xr:uid="{00000000-0005-0000-0000-000039BC0000}"/>
    <cellStyle name="Note 2 4 3 2 6 3" xfId="28041" xr:uid="{00000000-0005-0000-0000-00003ABC0000}"/>
    <cellStyle name="Note 2 4 3 2 6 3 2" xfId="47230" xr:uid="{00000000-0005-0000-0000-00003BBC0000}"/>
    <cellStyle name="Note 2 4 3 2 6 4" xfId="37532" xr:uid="{00000000-0005-0000-0000-00003CBC0000}"/>
    <cellStyle name="Note 2 4 3 2 7" xfId="18230" xr:uid="{00000000-0005-0000-0000-00003DBC0000}"/>
    <cellStyle name="Note 2 4 3 2 7 2" xfId="28598" xr:uid="{00000000-0005-0000-0000-00003EBC0000}"/>
    <cellStyle name="Note 2 4 3 2 7 2 2" xfId="47787" xr:uid="{00000000-0005-0000-0000-00003FBC0000}"/>
    <cellStyle name="Note 2 4 3 2 7 3" xfId="38089" xr:uid="{00000000-0005-0000-0000-000040BC0000}"/>
    <cellStyle name="Note 2 4 3 2 8" xfId="24098" xr:uid="{00000000-0005-0000-0000-000041BC0000}"/>
    <cellStyle name="Note 2 4 3 2 8 2" xfId="43332" xr:uid="{00000000-0005-0000-0000-000042BC0000}"/>
    <cellStyle name="Note 2 4 3 2 9" xfId="33634" xr:uid="{00000000-0005-0000-0000-000043BC0000}"/>
    <cellStyle name="Note 2 4 3 3" xfId="13393" xr:uid="{00000000-0005-0000-0000-000044BC0000}"/>
    <cellStyle name="Note 2 4 3 3 2" xfId="14287" xr:uid="{00000000-0005-0000-0000-000045BC0000}"/>
    <cellStyle name="Note 2 4 3 3 2 2" xfId="16551" xr:uid="{00000000-0005-0000-0000-000046BC0000}"/>
    <cellStyle name="Note 2 4 3 3 2 2 2" xfId="21015" xr:uid="{00000000-0005-0000-0000-000047BC0000}"/>
    <cellStyle name="Note 2 4 3 3 2 2 2 2" xfId="31383" xr:uid="{00000000-0005-0000-0000-000048BC0000}"/>
    <cellStyle name="Note 2 4 3 3 2 2 2 2 2" xfId="50572" xr:uid="{00000000-0005-0000-0000-000049BC0000}"/>
    <cellStyle name="Note 2 4 3 3 2 2 2 3" xfId="40874" xr:uid="{00000000-0005-0000-0000-00004ABC0000}"/>
    <cellStyle name="Note 2 4 3 3 2 2 3" xfId="26928" xr:uid="{00000000-0005-0000-0000-00004BBC0000}"/>
    <cellStyle name="Note 2 4 3 3 2 2 3 2" xfId="46117" xr:uid="{00000000-0005-0000-0000-00004CBC0000}"/>
    <cellStyle name="Note 2 4 3 3 2 2 4" xfId="36419" xr:uid="{00000000-0005-0000-0000-00004DBC0000}"/>
    <cellStyle name="Note 2 4 3 3 2 3" xfId="18787" xr:uid="{00000000-0005-0000-0000-00004EBC0000}"/>
    <cellStyle name="Note 2 4 3 3 2 3 2" xfId="29155" xr:uid="{00000000-0005-0000-0000-00004FBC0000}"/>
    <cellStyle name="Note 2 4 3 3 2 3 2 2" xfId="48344" xr:uid="{00000000-0005-0000-0000-000050BC0000}"/>
    <cellStyle name="Note 2 4 3 3 2 3 3" xfId="38646" xr:uid="{00000000-0005-0000-0000-000051BC0000}"/>
    <cellStyle name="Note 2 4 3 3 2 4" xfId="24695" xr:uid="{00000000-0005-0000-0000-000052BC0000}"/>
    <cellStyle name="Note 2 4 3 3 2 4 2" xfId="43889" xr:uid="{00000000-0005-0000-0000-000053BC0000}"/>
    <cellStyle name="Note 2 4 3 3 2 5" xfId="34191" xr:uid="{00000000-0005-0000-0000-000054BC0000}"/>
    <cellStyle name="Note 2 4 3 3 3" xfId="14866" xr:uid="{00000000-0005-0000-0000-000055BC0000}"/>
    <cellStyle name="Note 2 4 3 3 3 2" xfId="15995" xr:uid="{00000000-0005-0000-0000-000056BC0000}"/>
    <cellStyle name="Note 2 4 3 3 3 2 2" xfId="20459" xr:uid="{00000000-0005-0000-0000-000057BC0000}"/>
    <cellStyle name="Note 2 4 3 3 3 2 2 2" xfId="30827" xr:uid="{00000000-0005-0000-0000-000058BC0000}"/>
    <cellStyle name="Note 2 4 3 3 3 2 2 2 2" xfId="50016" xr:uid="{00000000-0005-0000-0000-000059BC0000}"/>
    <cellStyle name="Note 2 4 3 3 3 2 2 3" xfId="40318" xr:uid="{00000000-0005-0000-0000-00005ABC0000}"/>
    <cellStyle name="Note 2 4 3 3 3 2 3" xfId="26372" xr:uid="{00000000-0005-0000-0000-00005BBC0000}"/>
    <cellStyle name="Note 2 4 3 3 3 2 3 2" xfId="45561" xr:uid="{00000000-0005-0000-0000-00005CBC0000}"/>
    <cellStyle name="Note 2 4 3 3 3 2 4" xfId="35863" xr:uid="{00000000-0005-0000-0000-00005DBC0000}"/>
    <cellStyle name="Note 2 4 3 3 3 3" xfId="19344" xr:uid="{00000000-0005-0000-0000-00005EBC0000}"/>
    <cellStyle name="Note 2 4 3 3 3 3 2" xfId="29712" xr:uid="{00000000-0005-0000-0000-00005FBC0000}"/>
    <cellStyle name="Note 2 4 3 3 3 3 2 2" xfId="48901" xr:uid="{00000000-0005-0000-0000-000060BC0000}"/>
    <cellStyle name="Note 2 4 3 3 3 3 3" xfId="39203" xr:uid="{00000000-0005-0000-0000-000061BC0000}"/>
    <cellStyle name="Note 2 4 3 3 3 4" xfId="25257" xr:uid="{00000000-0005-0000-0000-000062BC0000}"/>
    <cellStyle name="Note 2 4 3 3 3 4 2" xfId="44446" xr:uid="{00000000-0005-0000-0000-000063BC0000}"/>
    <cellStyle name="Note 2 4 3 3 3 5" xfId="34748" xr:uid="{00000000-0005-0000-0000-000064BC0000}"/>
    <cellStyle name="Note 2 4 3 3 4" xfId="15438" xr:uid="{00000000-0005-0000-0000-000065BC0000}"/>
    <cellStyle name="Note 2 4 3 3 4 2" xfId="19902" xr:uid="{00000000-0005-0000-0000-000066BC0000}"/>
    <cellStyle name="Note 2 4 3 3 4 2 2" xfId="30270" xr:uid="{00000000-0005-0000-0000-000067BC0000}"/>
    <cellStyle name="Note 2 4 3 3 4 2 2 2" xfId="49459" xr:uid="{00000000-0005-0000-0000-000068BC0000}"/>
    <cellStyle name="Note 2 4 3 3 4 2 3" xfId="39761" xr:uid="{00000000-0005-0000-0000-000069BC0000}"/>
    <cellStyle name="Note 2 4 3 3 4 3" xfId="25815" xr:uid="{00000000-0005-0000-0000-00006ABC0000}"/>
    <cellStyle name="Note 2 4 3 3 4 3 2" xfId="45004" xr:uid="{00000000-0005-0000-0000-00006BBC0000}"/>
    <cellStyle name="Note 2 4 3 3 4 4" xfId="35306" xr:uid="{00000000-0005-0000-0000-00006CBC0000}"/>
    <cellStyle name="Note 2 4 3 3 5" xfId="17108" xr:uid="{00000000-0005-0000-0000-00006DBC0000}"/>
    <cellStyle name="Note 2 4 3 3 5 2" xfId="21572" xr:uid="{00000000-0005-0000-0000-00006EBC0000}"/>
    <cellStyle name="Note 2 4 3 3 5 2 2" xfId="31940" xr:uid="{00000000-0005-0000-0000-00006FBC0000}"/>
    <cellStyle name="Note 2 4 3 3 5 2 2 2" xfId="51129" xr:uid="{00000000-0005-0000-0000-000070BC0000}"/>
    <cellStyle name="Note 2 4 3 3 5 2 3" xfId="41431" xr:uid="{00000000-0005-0000-0000-000071BC0000}"/>
    <cellStyle name="Note 2 4 3 3 5 3" xfId="27485" xr:uid="{00000000-0005-0000-0000-000072BC0000}"/>
    <cellStyle name="Note 2 4 3 3 5 3 2" xfId="46674" xr:uid="{00000000-0005-0000-0000-000073BC0000}"/>
    <cellStyle name="Note 2 4 3 3 5 4" xfId="36976" xr:uid="{00000000-0005-0000-0000-000074BC0000}"/>
    <cellStyle name="Note 2 4 3 3 6" xfId="17674" xr:uid="{00000000-0005-0000-0000-000075BC0000}"/>
    <cellStyle name="Note 2 4 3 3 6 2" xfId="22129" xr:uid="{00000000-0005-0000-0000-000076BC0000}"/>
    <cellStyle name="Note 2 4 3 3 6 2 2" xfId="32497" xr:uid="{00000000-0005-0000-0000-000077BC0000}"/>
    <cellStyle name="Note 2 4 3 3 6 2 2 2" xfId="51686" xr:uid="{00000000-0005-0000-0000-000078BC0000}"/>
    <cellStyle name="Note 2 4 3 3 6 2 3" xfId="41988" xr:uid="{00000000-0005-0000-0000-000079BC0000}"/>
    <cellStyle name="Note 2 4 3 3 6 3" xfId="28042" xr:uid="{00000000-0005-0000-0000-00007ABC0000}"/>
    <cellStyle name="Note 2 4 3 3 6 3 2" xfId="47231" xr:uid="{00000000-0005-0000-0000-00007BBC0000}"/>
    <cellStyle name="Note 2 4 3 3 6 4" xfId="37533" xr:uid="{00000000-0005-0000-0000-00007CBC0000}"/>
    <cellStyle name="Note 2 4 3 3 7" xfId="18231" xr:uid="{00000000-0005-0000-0000-00007DBC0000}"/>
    <cellStyle name="Note 2 4 3 3 7 2" xfId="28599" xr:uid="{00000000-0005-0000-0000-00007EBC0000}"/>
    <cellStyle name="Note 2 4 3 3 7 2 2" xfId="47788" xr:uid="{00000000-0005-0000-0000-00007FBC0000}"/>
    <cellStyle name="Note 2 4 3 3 7 3" xfId="38090" xr:uid="{00000000-0005-0000-0000-000080BC0000}"/>
    <cellStyle name="Note 2 4 3 3 8" xfId="24099" xr:uid="{00000000-0005-0000-0000-000081BC0000}"/>
    <cellStyle name="Note 2 4 3 3 8 2" xfId="43333" xr:uid="{00000000-0005-0000-0000-000082BC0000}"/>
    <cellStyle name="Note 2 4 3 3 9" xfId="33635" xr:uid="{00000000-0005-0000-0000-000083BC0000}"/>
    <cellStyle name="Note 2 4 3 4" xfId="14285" xr:uid="{00000000-0005-0000-0000-000084BC0000}"/>
    <cellStyle name="Note 2 4 3 4 2" xfId="16549" xr:uid="{00000000-0005-0000-0000-000085BC0000}"/>
    <cellStyle name="Note 2 4 3 4 2 2" xfId="21013" xr:uid="{00000000-0005-0000-0000-000086BC0000}"/>
    <cellStyle name="Note 2 4 3 4 2 2 2" xfId="31381" xr:uid="{00000000-0005-0000-0000-000087BC0000}"/>
    <cellStyle name="Note 2 4 3 4 2 2 2 2" xfId="50570" xr:uid="{00000000-0005-0000-0000-000088BC0000}"/>
    <cellStyle name="Note 2 4 3 4 2 2 3" xfId="40872" xr:uid="{00000000-0005-0000-0000-000089BC0000}"/>
    <cellStyle name="Note 2 4 3 4 2 3" xfId="26926" xr:uid="{00000000-0005-0000-0000-00008ABC0000}"/>
    <cellStyle name="Note 2 4 3 4 2 3 2" xfId="46115" xr:uid="{00000000-0005-0000-0000-00008BBC0000}"/>
    <cellStyle name="Note 2 4 3 4 2 4" xfId="36417" xr:uid="{00000000-0005-0000-0000-00008CBC0000}"/>
    <cellStyle name="Note 2 4 3 4 3" xfId="18785" xr:uid="{00000000-0005-0000-0000-00008DBC0000}"/>
    <cellStyle name="Note 2 4 3 4 3 2" xfId="29153" xr:uid="{00000000-0005-0000-0000-00008EBC0000}"/>
    <cellStyle name="Note 2 4 3 4 3 2 2" xfId="48342" xr:uid="{00000000-0005-0000-0000-00008FBC0000}"/>
    <cellStyle name="Note 2 4 3 4 3 3" xfId="38644" xr:uid="{00000000-0005-0000-0000-000090BC0000}"/>
    <cellStyle name="Note 2 4 3 4 4" xfId="24693" xr:uid="{00000000-0005-0000-0000-000091BC0000}"/>
    <cellStyle name="Note 2 4 3 4 4 2" xfId="43887" xr:uid="{00000000-0005-0000-0000-000092BC0000}"/>
    <cellStyle name="Note 2 4 3 4 5" xfId="34189" xr:uid="{00000000-0005-0000-0000-000093BC0000}"/>
    <cellStyle name="Note 2 4 3 5" xfId="14864" xr:uid="{00000000-0005-0000-0000-000094BC0000}"/>
    <cellStyle name="Note 2 4 3 5 2" xfId="15993" xr:uid="{00000000-0005-0000-0000-000095BC0000}"/>
    <cellStyle name="Note 2 4 3 5 2 2" xfId="20457" xr:uid="{00000000-0005-0000-0000-000096BC0000}"/>
    <cellStyle name="Note 2 4 3 5 2 2 2" xfId="30825" xr:uid="{00000000-0005-0000-0000-000097BC0000}"/>
    <cellStyle name="Note 2 4 3 5 2 2 2 2" xfId="50014" xr:uid="{00000000-0005-0000-0000-000098BC0000}"/>
    <cellStyle name="Note 2 4 3 5 2 2 3" xfId="40316" xr:uid="{00000000-0005-0000-0000-000099BC0000}"/>
    <cellStyle name="Note 2 4 3 5 2 3" xfId="26370" xr:uid="{00000000-0005-0000-0000-00009ABC0000}"/>
    <cellStyle name="Note 2 4 3 5 2 3 2" xfId="45559" xr:uid="{00000000-0005-0000-0000-00009BBC0000}"/>
    <cellStyle name="Note 2 4 3 5 2 4" xfId="35861" xr:uid="{00000000-0005-0000-0000-00009CBC0000}"/>
    <cellStyle name="Note 2 4 3 5 3" xfId="19342" xr:uid="{00000000-0005-0000-0000-00009DBC0000}"/>
    <cellStyle name="Note 2 4 3 5 3 2" xfId="29710" xr:uid="{00000000-0005-0000-0000-00009EBC0000}"/>
    <cellStyle name="Note 2 4 3 5 3 2 2" xfId="48899" xr:uid="{00000000-0005-0000-0000-00009FBC0000}"/>
    <cellStyle name="Note 2 4 3 5 3 3" xfId="39201" xr:uid="{00000000-0005-0000-0000-0000A0BC0000}"/>
    <cellStyle name="Note 2 4 3 5 4" xfId="25255" xr:uid="{00000000-0005-0000-0000-0000A1BC0000}"/>
    <cellStyle name="Note 2 4 3 5 4 2" xfId="44444" xr:uid="{00000000-0005-0000-0000-0000A2BC0000}"/>
    <cellStyle name="Note 2 4 3 5 5" xfId="34746" xr:uid="{00000000-0005-0000-0000-0000A3BC0000}"/>
    <cellStyle name="Note 2 4 3 6" xfId="15436" xr:uid="{00000000-0005-0000-0000-0000A4BC0000}"/>
    <cellStyle name="Note 2 4 3 6 2" xfId="19900" xr:uid="{00000000-0005-0000-0000-0000A5BC0000}"/>
    <cellStyle name="Note 2 4 3 6 2 2" xfId="30268" xr:uid="{00000000-0005-0000-0000-0000A6BC0000}"/>
    <cellStyle name="Note 2 4 3 6 2 2 2" xfId="49457" xr:uid="{00000000-0005-0000-0000-0000A7BC0000}"/>
    <cellStyle name="Note 2 4 3 6 2 3" xfId="39759" xr:uid="{00000000-0005-0000-0000-0000A8BC0000}"/>
    <cellStyle name="Note 2 4 3 6 3" xfId="25813" xr:uid="{00000000-0005-0000-0000-0000A9BC0000}"/>
    <cellStyle name="Note 2 4 3 6 3 2" xfId="45002" xr:uid="{00000000-0005-0000-0000-0000AABC0000}"/>
    <cellStyle name="Note 2 4 3 6 4" xfId="35304" xr:uid="{00000000-0005-0000-0000-0000ABBC0000}"/>
    <cellStyle name="Note 2 4 3 7" xfId="17106" xr:uid="{00000000-0005-0000-0000-0000ACBC0000}"/>
    <cellStyle name="Note 2 4 3 7 2" xfId="21570" xr:uid="{00000000-0005-0000-0000-0000ADBC0000}"/>
    <cellStyle name="Note 2 4 3 7 2 2" xfId="31938" xr:uid="{00000000-0005-0000-0000-0000AEBC0000}"/>
    <cellStyle name="Note 2 4 3 7 2 2 2" xfId="51127" xr:uid="{00000000-0005-0000-0000-0000AFBC0000}"/>
    <cellStyle name="Note 2 4 3 7 2 3" xfId="41429" xr:uid="{00000000-0005-0000-0000-0000B0BC0000}"/>
    <cellStyle name="Note 2 4 3 7 3" xfId="27483" xr:uid="{00000000-0005-0000-0000-0000B1BC0000}"/>
    <cellStyle name="Note 2 4 3 7 3 2" xfId="46672" xr:uid="{00000000-0005-0000-0000-0000B2BC0000}"/>
    <cellStyle name="Note 2 4 3 7 4" xfId="36974" xr:uid="{00000000-0005-0000-0000-0000B3BC0000}"/>
    <cellStyle name="Note 2 4 3 8" xfId="17672" xr:uid="{00000000-0005-0000-0000-0000B4BC0000}"/>
    <cellStyle name="Note 2 4 3 8 2" xfId="22127" xr:uid="{00000000-0005-0000-0000-0000B5BC0000}"/>
    <cellStyle name="Note 2 4 3 8 2 2" xfId="32495" xr:uid="{00000000-0005-0000-0000-0000B6BC0000}"/>
    <cellStyle name="Note 2 4 3 8 2 2 2" xfId="51684" xr:uid="{00000000-0005-0000-0000-0000B7BC0000}"/>
    <cellStyle name="Note 2 4 3 8 2 3" xfId="41986" xr:uid="{00000000-0005-0000-0000-0000B8BC0000}"/>
    <cellStyle name="Note 2 4 3 8 3" xfId="28040" xr:uid="{00000000-0005-0000-0000-0000B9BC0000}"/>
    <cellStyle name="Note 2 4 3 8 3 2" xfId="47229" xr:uid="{00000000-0005-0000-0000-0000BABC0000}"/>
    <cellStyle name="Note 2 4 3 8 4" xfId="37531" xr:uid="{00000000-0005-0000-0000-0000BBBC0000}"/>
    <cellStyle name="Note 2 4 3 9" xfId="18229" xr:uid="{00000000-0005-0000-0000-0000BCBC0000}"/>
    <cellStyle name="Note 2 4 3 9 2" xfId="28597" xr:uid="{00000000-0005-0000-0000-0000BDBC0000}"/>
    <cellStyle name="Note 2 4 3 9 2 2" xfId="47786" xr:uid="{00000000-0005-0000-0000-0000BEBC0000}"/>
    <cellStyle name="Note 2 4 3 9 3" xfId="38088" xr:uid="{00000000-0005-0000-0000-0000BFBC0000}"/>
    <cellStyle name="Note 2 4 4" xfId="13394" xr:uid="{00000000-0005-0000-0000-0000C0BC0000}"/>
    <cellStyle name="Note 2 4 4 10" xfId="53449" xr:uid="{00000000-0005-0000-0000-0000C1BC0000}"/>
    <cellStyle name="Note 2 4 4 2" xfId="14288" xr:uid="{00000000-0005-0000-0000-0000C2BC0000}"/>
    <cellStyle name="Note 2 4 4 2 2" xfId="16552" xr:uid="{00000000-0005-0000-0000-0000C3BC0000}"/>
    <cellStyle name="Note 2 4 4 2 2 2" xfId="21016" xr:uid="{00000000-0005-0000-0000-0000C4BC0000}"/>
    <cellStyle name="Note 2 4 4 2 2 2 2" xfId="31384" xr:uid="{00000000-0005-0000-0000-0000C5BC0000}"/>
    <cellStyle name="Note 2 4 4 2 2 2 2 2" xfId="50573" xr:uid="{00000000-0005-0000-0000-0000C6BC0000}"/>
    <cellStyle name="Note 2 4 4 2 2 2 3" xfId="40875" xr:uid="{00000000-0005-0000-0000-0000C7BC0000}"/>
    <cellStyle name="Note 2 4 4 2 2 3" xfId="26929" xr:uid="{00000000-0005-0000-0000-0000C8BC0000}"/>
    <cellStyle name="Note 2 4 4 2 2 3 2" xfId="46118" xr:uid="{00000000-0005-0000-0000-0000C9BC0000}"/>
    <cellStyle name="Note 2 4 4 2 2 4" xfId="36420" xr:uid="{00000000-0005-0000-0000-0000CABC0000}"/>
    <cellStyle name="Note 2 4 4 2 3" xfId="18788" xr:uid="{00000000-0005-0000-0000-0000CBBC0000}"/>
    <cellStyle name="Note 2 4 4 2 3 2" xfId="29156" xr:uid="{00000000-0005-0000-0000-0000CCBC0000}"/>
    <cellStyle name="Note 2 4 4 2 3 2 2" xfId="48345" xr:uid="{00000000-0005-0000-0000-0000CDBC0000}"/>
    <cellStyle name="Note 2 4 4 2 3 3" xfId="38647" xr:uid="{00000000-0005-0000-0000-0000CEBC0000}"/>
    <cellStyle name="Note 2 4 4 2 4" xfId="24696" xr:uid="{00000000-0005-0000-0000-0000CFBC0000}"/>
    <cellStyle name="Note 2 4 4 2 4 2" xfId="43890" xr:uid="{00000000-0005-0000-0000-0000D0BC0000}"/>
    <cellStyle name="Note 2 4 4 2 5" xfId="34192" xr:uid="{00000000-0005-0000-0000-0000D1BC0000}"/>
    <cellStyle name="Note 2 4 4 3" xfId="14867" xr:uid="{00000000-0005-0000-0000-0000D2BC0000}"/>
    <cellStyle name="Note 2 4 4 3 2" xfId="15996" xr:uid="{00000000-0005-0000-0000-0000D3BC0000}"/>
    <cellStyle name="Note 2 4 4 3 2 2" xfId="20460" xr:uid="{00000000-0005-0000-0000-0000D4BC0000}"/>
    <cellStyle name="Note 2 4 4 3 2 2 2" xfId="30828" xr:uid="{00000000-0005-0000-0000-0000D5BC0000}"/>
    <cellStyle name="Note 2 4 4 3 2 2 2 2" xfId="50017" xr:uid="{00000000-0005-0000-0000-0000D6BC0000}"/>
    <cellStyle name="Note 2 4 4 3 2 2 3" xfId="40319" xr:uid="{00000000-0005-0000-0000-0000D7BC0000}"/>
    <cellStyle name="Note 2 4 4 3 2 3" xfId="26373" xr:uid="{00000000-0005-0000-0000-0000D8BC0000}"/>
    <cellStyle name="Note 2 4 4 3 2 3 2" xfId="45562" xr:uid="{00000000-0005-0000-0000-0000D9BC0000}"/>
    <cellStyle name="Note 2 4 4 3 2 4" xfId="35864" xr:uid="{00000000-0005-0000-0000-0000DABC0000}"/>
    <cellStyle name="Note 2 4 4 3 3" xfId="19345" xr:uid="{00000000-0005-0000-0000-0000DBBC0000}"/>
    <cellStyle name="Note 2 4 4 3 3 2" xfId="29713" xr:uid="{00000000-0005-0000-0000-0000DCBC0000}"/>
    <cellStyle name="Note 2 4 4 3 3 2 2" xfId="48902" xr:uid="{00000000-0005-0000-0000-0000DDBC0000}"/>
    <cellStyle name="Note 2 4 4 3 3 3" xfId="39204" xr:uid="{00000000-0005-0000-0000-0000DEBC0000}"/>
    <cellStyle name="Note 2 4 4 3 4" xfId="25258" xr:uid="{00000000-0005-0000-0000-0000DFBC0000}"/>
    <cellStyle name="Note 2 4 4 3 4 2" xfId="44447" xr:uid="{00000000-0005-0000-0000-0000E0BC0000}"/>
    <cellStyle name="Note 2 4 4 3 5" xfId="34749" xr:uid="{00000000-0005-0000-0000-0000E1BC0000}"/>
    <cellStyle name="Note 2 4 4 4" xfId="15439" xr:uid="{00000000-0005-0000-0000-0000E2BC0000}"/>
    <cellStyle name="Note 2 4 4 4 2" xfId="19903" xr:uid="{00000000-0005-0000-0000-0000E3BC0000}"/>
    <cellStyle name="Note 2 4 4 4 2 2" xfId="30271" xr:uid="{00000000-0005-0000-0000-0000E4BC0000}"/>
    <cellStyle name="Note 2 4 4 4 2 2 2" xfId="49460" xr:uid="{00000000-0005-0000-0000-0000E5BC0000}"/>
    <cellStyle name="Note 2 4 4 4 2 3" xfId="39762" xr:uid="{00000000-0005-0000-0000-0000E6BC0000}"/>
    <cellStyle name="Note 2 4 4 4 3" xfId="25816" xr:uid="{00000000-0005-0000-0000-0000E7BC0000}"/>
    <cellStyle name="Note 2 4 4 4 3 2" xfId="45005" xr:uid="{00000000-0005-0000-0000-0000E8BC0000}"/>
    <cellStyle name="Note 2 4 4 4 4" xfId="35307" xr:uid="{00000000-0005-0000-0000-0000E9BC0000}"/>
    <cellStyle name="Note 2 4 4 5" xfId="17109" xr:uid="{00000000-0005-0000-0000-0000EABC0000}"/>
    <cellStyle name="Note 2 4 4 5 2" xfId="21573" xr:uid="{00000000-0005-0000-0000-0000EBBC0000}"/>
    <cellStyle name="Note 2 4 4 5 2 2" xfId="31941" xr:uid="{00000000-0005-0000-0000-0000ECBC0000}"/>
    <cellStyle name="Note 2 4 4 5 2 2 2" xfId="51130" xr:uid="{00000000-0005-0000-0000-0000EDBC0000}"/>
    <cellStyle name="Note 2 4 4 5 2 3" xfId="41432" xr:uid="{00000000-0005-0000-0000-0000EEBC0000}"/>
    <cellStyle name="Note 2 4 4 5 3" xfId="27486" xr:uid="{00000000-0005-0000-0000-0000EFBC0000}"/>
    <cellStyle name="Note 2 4 4 5 3 2" xfId="46675" xr:uid="{00000000-0005-0000-0000-0000F0BC0000}"/>
    <cellStyle name="Note 2 4 4 5 4" xfId="36977" xr:uid="{00000000-0005-0000-0000-0000F1BC0000}"/>
    <cellStyle name="Note 2 4 4 6" xfId="17675" xr:uid="{00000000-0005-0000-0000-0000F2BC0000}"/>
    <cellStyle name="Note 2 4 4 6 2" xfId="22130" xr:uid="{00000000-0005-0000-0000-0000F3BC0000}"/>
    <cellStyle name="Note 2 4 4 6 2 2" xfId="32498" xr:uid="{00000000-0005-0000-0000-0000F4BC0000}"/>
    <cellStyle name="Note 2 4 4 6 2 2 2" xfId="51687" xr:uid="{00000000-0005-0000-0000-0000F5BC0000}"/>
    <cellStyle name="Note 2 4 4 6 2 3" xfId="41989" xr:uid="{00000000-0005-0000-0000-0000F6BC0000}"/>
    <cellStyle name="Note 2 4 4 6 3" xfId="28043" xr:uid="{00000000-0005-0000-0000-0000F7BC0000}"/>
    <cellStyle name="Note 2 4 4 6 3 2" xfId="47232" xr:uid="{00000000-0005-0000-0000-0000F8BC0000}"/>
    <cellStyle name="Note 2 4 4 6 4" xfId="37534" xr:uid="{00000000-0005-0000-0000-0000F9BC0000}"/>
    <cellStyle name="Note 2 4 4 7" xfId="18232" xr:uid="{00000000-0005-0000-0000-0000FABC0000}"/>
    <cellStyle name="Note 2 4 4 7 2" xfId="28600" xr:uid="{00000000-0005-0000-0000-0000FBBC0000}"/>
    <cellStyle name="Note 2 4 4 7 2 2" xfId="47789" xr:uid="{00000000-0005-0000-0000-0000FCBC0000}"/>
    <cellStyle name="Note 2 4 4 7 3" xfId="38091" xr:uid="{00000000-0005-0000-0000-0000FDBC0000}"/>
    <cellStyle name="Note 2 4 4 8" xfId="24100" xr:uid="{00000000-0005-0000-0000-0000FEBC0000}"/>
    <cellStyle name="Note 2 4 4 8 2" xfId="43334" xr:uid="{00000000-0005-0000-0000-0000FFBC0000}"/>
    <cellStyle name="Note 2 4 4 9" xfId="33636" xr:uid="{00000000-0005-0000-0000-000000BD0000}"/>
    <cellStyle name="Note 2 4 5" xfId="13395" xr:uid="{00000000-0005-0000-0000-000001BD0000}"/>
    <cellStyle name="Note 2 4 5 2" xfId="14289" xr:uid="{00000000-0005-0000-0000-000002BD0000}"/>
    <cellStyle name="Note 2 4 5 2 2" xfId="16553" xr:uid="{00000000-0005-0000-0000-000003BD0000}"/>
    <cellStyle name="Note 2 4 5 2 2 2" xfId="21017" xr:uid="{00000000-0005-0000-0000-000004BD0000}"/>
    <cellStyle name="Note 2 4 5 2 2 2 2" xfId="31385" xr:uid="{00000000-0005-0000-0000-000005BD0000}"/>
    <cellStyle name="Note 2 4 5 2 2 2 2 2" xfId="50574" xr:uid="{00000000-0005-0000-0000-000006BD0000}"/>
    <cellStyle name="Note 2 4 5 2 2 2 3" xfId="40876" xr:uid="{00000000-0005-0000-0000-000007BD0000}"/>
    <cellStyle name="Note 2 4 5 2 2 3" xfId="26930" xr:uid="{00000000-0005-0000-0000-000008BD0000}"/>
    <cellStyle name="Note 2 4 5 2 2 3 2" xfId="46119" xr:uid="{00000000-0005-0000-0000-000009BD0000}"/>
    <cellStyle name="Note 2 4 5 2 2 4" xfId="36421" xr:uid="{00000000-0005-0000-0000-00000ABD0000}"/>
    <cellStyle name="Note 2 4 5 2 3" xfId="18789" xr:uid="{00000000-0005-0000-0000-00000BBD0000}"/>
    <cellStyle name="Note 2 4 5 2 3 2" xfId="29157" xr:uid="{00000000-0005-0000-0000-00000CBD0000}"/>
    <cellStyle name="Note 2 4 5 2 3 2 2" xfId="48346" xr:uid="{00000000-0005-0000-0000-00000DBD0000}"/>
    <cellStyle name="Note 2 4 5 2 3 3" xfId="38648" xr:uid="{00000000-0005-0000-0000-00000EBD0000}"/>
    <cellStyle name="Note 2 4 5 2 4" xfId="24697" xr:uid="{00000000-0005-0000-0000-00000FBD0000}"/>
    <cellStyle name="Note 2 4 5 2 4 2" xfId="43891" xr:uid="{00000000-0005-0000-0000-000010BD0000}"/>
    <cellStyle name="Note 2 4 5 2 5" xfId="34193" xr:uid="{00000000-0005-0000-0000-000011BD0000}"/>
    <cellStyle name="Note 2 4 5 3" xfId="14868" xr:uid="{00000000-0005-0000-0000-000012BD0000}"/>
    <cellStyle name="Note 2 4 5 3 2" xfId="15997" xr:uid="{00000000-0005-0000-0000-000013BD0000}"/>
    <cellStyle name="Note 2 4 5 3 2 2" xfId="20461" xr:uid="{00000000-0005-0000-0000-000014BD0000}"/>
    <cellStyle name="Note 2 4 5 3 2 2 2" xfId="30829" xr:uid="{00000000-0005-0000-0000-000015BD0000}"/>
    <cellStyle name="Note 2 4 5 3 2 2 2 2" xfId="50018" xr:uid="{00000000-0005-0000-0000-000016BD0000}"/>
    <cellStyle name="Note 2 4 5 3 2 2 3" xfId="40320" xr:uid="{00000000-0005-0000-0000-000017BD0000}"/>
    <cellStyle name="Note 2 4 5 3 2 3" xfId="26374" xr:uid="{00000000-0005-0000-0000-000018BD0000}"/>
    <cellStyle name="Note 2 4 5 3 2 3 2" xfId="45563" xr:uid="{00000000-0005-0000-0000-000019BD0000}"/>
    <cellStyle name="Note 2 4 5 3 2 4" xfId="35865" xr:uid="{00000000-0005-0000-0000-00001ABD0000}"/>
    <cellStyle name="Note 2 4 5 3 3" xfId="19346" xr:uid="{00000000-0005-0000-0000-00001BBD0000}"/>
    <cellStyle name="Note 2 4 5 3 3 2" xfId="29714" xr:uid="{00000000-0005-0000-0000-00001CBD0000}"/>
    <cellStyle name="Note 2 4 5 3 3 2 2" xfId="48903" xr:uid="{00000000-0005-0000-0000-00001DBD0000}"/>
    <cellStyle name="Note 2 4 5 3 3 3" xfId="39205" xr:uid="{00000000-0005-0000-0000-00001EBD0000}"/>
    <cellStyle name="Note 2 4 5 3 4" xfId="25259" xr:uid="{00000000-0005-0000-0000-00001FBD0000}"/>
    <cellStyle name="Note 2 4 5 3 4 2" xfId="44448" xr:uid="{00000000-0005-0000-0000-000020BD0000}"/>
    <cellStyle name="Note 2 4 5 3 5" xfId="34750" xr:uid="{00000000-0005-0000-0000-000021BD0000}"/>
    <cellStyle name="Note 2 4 5 4" xfId="15440" xr:uid="{00000000-0005-0000-0000-000022BD0000}"/>
    <cellStyle name="Note 2 4 5 4 2" xfId="19904" xr:uid="{00000000-0005-0000-0000-000023BD0000}"/>
    <cellStyle name="Note 2 4 5 4 2 2" xfId="30272" xr:uid="{00000000-0005-0000-0000-000024BD0000}"/>
    <cellStyle name="Note 2 4 5 4 2 2 2" xfId="49461" xr:uid="{00000000-0005-0000-0000-000025BD0000}"/>
    <cellStyle name="Note 2 4 5 4 2 3" xfId="39763" xr:uid="{00000000-0005-0000-0000-000026BD0000}"/>
    <cellStyle name="Note 2 4 5 4 3" xfId="25817" xr:uid="{00000000-0005-0000-0000-000027BD0000}"/>
    <cellStyle name="Note 2 4 5 4 3 2" xfId="45006" xr:uid="{00000000-0005-0000-0000-000028BD0000}"/>
    <cellStyle name="Note 2 4 5 4 4" xfId="35308" xr:uid="{00000000-0005-0000-0000-000029BD0000}"/>
    <cellStyle name="Note 2 4 5 5" xfId="17110" xr:uid="{00000000-0005-0000-0000-00002ABD0000}"/>
    <cellStyle name="Note 2 4 5 5 2" xfId="21574" xr:uid="{00000000-0005-0000-0000-00002BBD0000}"/>
    <cellStyle name="Note 2 4 5 5 2 2" xfId="31942" xr:uid="{00000000-0005-0000-0000-00002CBD0000}"/>
    <cellStyle name="Note 2 4 5 5 2 2 2" xfId="51131" xr:uid="{00000000-0005-0000-0000-00002DBD0000}"/>
    <cellStyle name="Note 2 4 5 5 2 3" xfId="41433" xr:uid="{00000000-0005-0000-0000-00002EBD0000}"/>
    <cellStyle name="Note 2 4 5 5 3" xfId="27487" xr:uid="{00000000-0005-0000-0000-00002FBD0000}"/>
    <cellStyle name="Note 2 4 5 5 3 2" xfId="46676" xr:uid="{00000000-0005-0000-0000-000030BD0000}"/>
    <cellStyle name="Note 2 4 5 5 4" xfId="36978" xr:uid="{00000000-0005-0000-0000-000031BD0000}"/>
    <cellStyle name="Note 2 4 5 6" xfId="17676" xr:uid="{00000000-0005-0000-0000-000032BD0000}"/>
    <cellStyle name="Note 2 4 5 6 2" xfId="22131" xr:uid="{00000000-0005-0000-0000-000033BD0000}"/>
    <cellStyle name="Note 2 4 5 6 2 2" xfId="32499" xr:uid="{00000000-0005-0000-0000-000034BD0000}"/>
    <cellStyle name="Note 2 4 5 6 2 2 2" xfId="51688" xr:uid="{00000000-0005-0000-0000-000035BD0000}"/>
    <cellStyle name="Note 2 4 5 6 2 3" xfId="41990" xr:uid="{00000000-0005-0000-0000-000036BD0000}"/>
    <cellStyle name="Note 2 4 5 6 3" xfId="28044" xr:uid="{00000000-0005-0000-0000-000037BD0000}"/>
    <cellStyle name="Note 2 4 5 6 3 2" xfId="47233" xr:uid="{00000000-0005-0000-0000-000038BD0000}"/>
    <cellStyle name="Note 2 4 5 6 4" xfId="37535" xr:uid="{00000000-0005-0000-0000-000039BD0000}"/>
    <cellStyle name="Note 2 4 5 7" xfId="18233" xr:uid="{00000000-0005-0000-0000-00003ABD0000}"/>
    <cellStyle name="Note 2 4 5 7 2" xfId="28601" xr:uid="{00000000-0005-0000-0000-00003BBD0000}"/>
    <cellStyle name="Note 2 4 5 7 2 2" xfId="47790" xr:uid="{00000000-0005-0000-0000-00003CBD0000}"/>
    <cellStyle name="Note 2 4 5 7 3" xfId="38092" xr:uid="{00000000-0005-0000-0000-00003DBD0000}"/>
    <cellStyle name="Note 2 4 5 8" xfId="24101" xr:uid="{00000000-0005-0000-0000-00003EBD0000}"/>
    <cellStyle name="Note 2 4 5 8 2" xfId="43335" xr:uid="{00000000-0005-0000-0000-00003FBD0000}"/>
    <cellStyle name="Note 2 4 5 9" xfId="33637" xr:uid="{00000000-0005-0000-0000-000040BD0000}"/>
    <cellStyle name="Note 2 4 6" xfId="12531" xr:uid="{00000000-0005-0000-0000-000041BD0000}"/>
    <cellStyle name="Note 2 4 7" xfId="52560" xr:uid="{00000000-0005-0000-0000-000042BD0000}"/>
    <cellStyle name="Note 2 4 8" xfId="12079" xr:uid="{00000000-0005-0000-0000-000043BD0000}"/>
    <cellStyle name="Note 2 5" xfId="5426" xr:uid="{00000000-0005-0000-0000-000044BD0000}"/>
    <cellStyle name="Note 2 5 2" xfId="13396" xr:uid="{00000000-0005-0000-0000-000045BD0000}"/>
    <cellStyle name="Note 2 5 2 10" xfId="24102" xr:uid="{00000000-0005-0000-0000-000046BD0000}"/>
    <cellStyle name="Note 2 5 2 10 2" xfId="43336" xr:uid="{00000000-0005-0000-0000-000047BD0000}"/>
    <cellStyle name="Note 2 5 2 11" xfId="33638" xr:uid="{00000000-0005-0000-0000-000048BD0000}"/>
    <cellStyle name="Note 2 5 2 12" xfId="52793" xr:uid="{00000000-0005-0000-0000-000049BD0000}"/>
    <cellStyle name="Note 2 5 2 2" xfId="13397" xr:uid="{00000000-0005-0000-0000-00004ABD0000}"/>
    <cellStyle name="Note 2 5 2 2 10" xfId="53221" xr:uid="{00000000-0005-0000-0000-00004BBD0000}"/>
    <cellStyle name="Note 2 5 2 2 2" xfId="14291" xr:uid="{00000000-0005-0000-0000-00004CBD0000}"/>
    <cellStyle name="Note 2 5 2 2 2 2" xfId="16555" xr:uid="{00000000-0005-0000-0000-00004DBD0000}"/>
    <cellStyle name="Note 2 5 2 2 2 2 2" xfId="21019" xr:uid="{00000000-0005-0000-0000-00004EBD0000}"/>
    <cellStyle name="Note 2 5 2 2 2 2 2 2" xfId="31387" xr:uid="{00000000-0005-0000-0000-00004FBD0000}"/>
    <cellStyle name="Note 2 5 2 2 2 2 2 2 2" xfId="50576" xr:uid="{00000000-0005-0000-0000-000050BD0000}"/>
    <cellStyle name="Note 2 5 2 2 2 2 2 3" xfId="40878" xr:uid="{00000000-0005-0000-0000-000051BD0000}"/>
    <cellStyle name="Note 2 5 2 2 2 2 3" xfId="26932" xr:uid="{00000000-0005-0000-0000-000052BD0000}"/>
    <cellStyle name="Note 2 5 2 2 2 2 3 2" xfId="46121" xr:uid="{00000000-0005-0000-0000-000053BD0000}"/>
    <cellStyle name="Note 2 5 2 2 2 2 4" xfId="36423" xr:uid="{00000000-0005-0000-0000-000054BD0000}"/>
    <cellStyle name="Note 2 5 2 2 2 3" xfId="18791" xr:uid="{00000000-0005-0000-0000-000055BD0000}"/>
    <cellStyle name="Note 2 5 2 2 2 3 2" xfId="29159" xr:uid="{00000000-0005-0000-0000-000056BD0000}"/>
    <cellStyle name="Note 2 5 2 2 2 3 2 2" xfId="48348" xr:uid="{00000000-0005-0000-0000-000057BD0000}"/>
    <cellStyle name="Note 2 5 2 2 2 3 3" xfId="38650" xr:uid="{00000000-0005-0000-0000-000058BD0000}"/>
    <cellStyle name="Note 2 5 2 2 2 4" xfId="24699" xr:uid="{00000000-0005-0000-0000-000059BD0000}"/>
    <cellStyle name="Note 2 5 2 2 2 4 2" xfId="43893" xr:uid="{00000000-0005-0000-0000-00005ABD0000}"/>
    <cellStyle name="Note 2 5 2 2 2 5" xfId="34195" xr:uid="{00000000-0005-0000-0000-00005BBD0000}"/>
    <cellStyle name="Note 2 5 2 2 2 6" xfId="54074" xr:uid="{00000000-0005-0000-0000-00005CBD0000}"/>
    <cellStyle name="Note 2 5 2 2 3" xfId="14870" xr:uid="{00000000-0005-0000-0000-00005DBD0000}"/>
    <cellStyle name="Note 2 5 2 2 3 2" xfId="15999" xr:uid="{00000000-0005-0000-0000-00005EBD0000}"/>
    <cellStyle name="Note 2 5 2 2 3 2 2" xfId="20463" xr:uid="{00000000-0005-0000-0000-00005FBD0000}"/>
    <cellStyle name="Note 2 5 2 2 3 2 2 2" xfId="30831" xr:uid="{00000000-0005-0000-0000-000060BD0000}"/>
    <cellStyle name="Note 2 5 2 2 3 2 2 2 2" xfId="50020" xr:uid="{00000000-0005-0000-0000-000061BD0000}"/>
    <cellStyle name="Note 2 5 2 2 3 2 2 3" xfId="40322" xr:uid="{00000000-0005-0000-0000-000062BD0000}"/>
    <cellStyle name="Note 2 5 2 2 3 2 3" xfId="26376" xr:uid="{00000000-0005-0000-0000-000063BD0000}"/>
    <cellStyle name="Note 2 5 2 2 3 2 3 2" xfId="45565" xr:uid="{00000000-0005-0000-0000-000064BD0000}"/>
    <cellStyle name="Note 2 5 2 2 3 2 4" xfId="35867" xr:uid="{00000000-0005-0000-0000-000065BD0000}"/>
    <cellStyle name="Note 2 5 2 2 3 3" xfId="19348" xr:uid="{00000000-0005-0000-0000-000066BD0000}"/>
    <cellStyle name="Note 2 5 2 2 3 3 2" xfId="29716" xr:uid="{00000000-0005-0000-0000-000067BD0000}"/>
    <cellStyle name="Note 2 5 2 2 3 3 2 2" xfId="48905" xr:uid="{00000000-0005-0000-0000-000068BD0000}"/>
    <cellStyle name="Note 2 5 2 2 3 3 3" xfId="39207" xr:uid="{00000000-0005-0000-0000-000069BD0000}"/>
    <cellStyle name="Note 2 5 2 2 3 4" xfId="25261" xr:uid="{00000000-0005-0000-0000-00006ABD0000}"/>
    <cellStyle name="Note 2 5 2 2 3 4 2" xfId="44450" xr:uid="{00000000-0005-0000-0000-00006BBD0000}"/>
    <cellStyle name="Note 2 5 2 2 3 5" xfId="34752" xr:uid="{00000000-0005-0000-0000-00006CBD0000}"/>
    <cellStyle name="Note 2 5 2 2 4" xfId="15442" xr:uid="{00000000-0005-0000-0000-00006DBD0000}"/>
    <cellStyle name="Note 2 5 2 2 4 2" xfId="19906" xr:uid="{00000000-0005-0000-0000-00006EBD0000}"/>
    <cellStyle name="Note 2 5 2 2 4 2 2" xfId="30274" xr:uid="{00000000-0005-0000-0000-00006FBD0000}"/>
    <cellStyle name="Note 2 5 2 2 4 2 2 2" xfId="49463" xr:uid="{00000000-0005-0000-0000-000070BD0000}"/>
    <cellStyle name="Note 2 5 2 2 4 2 3" xfId="39765" xr:uid="{00000000-0005-0000-0000-000071BD0000}"/>
    <cellStyle name="Note 2 5 2 2 4 3" xfId="25819" xr:uid="{00000000-0005-0000-0000-000072BD0000}"/>
    <cellStyle name="Note 2 5 2 2 4 3 2" xfId="45008" xr:uid="{00000000-0005-0000-0000-000073BD0000}"/>
    <cellStyle name="Note 2 5 2 2 4 4" xfId="35310" xr:uid="{00000000-0005-0000-0000-000074BD0000}"/>
    <cellStyle name="Note 2 5 2 2 5" xfId="17112" xr:uid="{00000000-0005-0000-0000-000075BD0000}"/>
    <cellStyle name="Note 2 5 2 2 5 2" xfId="21576" xr:uid="{00000000-0005-0000-0000-000076BD0000}"/>
    <cellStyle name="Note 2 5 2 2 5 2 2" xfId="31944" xr:uid="{00000000-0005-0000-0000-000077BD0000}"/>
    <cellStyle name="Note 2 5 2 2 5 2 2 2" xfId="51133" xr:uid="{00000000-0005-0000-0000-000078BD0000}"/>
    <cellStyle name="Note 2 5 2 2 5 2 3" xfId="41435" xr:uid="{00000000-0005-0000-0000-000079BD0000}"/>
    <cellStyle name="Note 2 5 2 2 5 3" xfId="27489" xr:uid="{00000000-0005-0000-0000-00007ABD0000}"/>
    <cellStyle name="Note 2 5 2 2 5 3 2" xfId="46678" xr:uid="{00000000-0005-0000-0000-00007BBD0000}"/>
    <cellStyle name="Note 2 5 2 2 5 4" xfId="36980" xr:uid="{00000000-0005-0000-0000-00007CBD0000}"/>
    <cellStyle name="Note 2 5 2 2 6" xfId="17678" xr:uid="{00000000-0005-0000-0000-00007DBD0000}"/>
    <cellStyle name="Note 2 5 2 2 6 2" xfId="22133" xr:uid="{00000000-0005-0000-0000-00007EBD0000}"/>
    <cellStyle name="Note 2 5 2 2 6 2 2" xfId="32501" xr:uid="{00000000-0005-0000-0000-00007FBD0000}"/>
    <cellStyle name="Note 2 5 2 2 6 2 2 2" xfId="51690" xr:uid="{00000000-0005-0000-0000-000080BD0000}"/>
    <cellStyle name="Note 2 5 2 2 6 2 3" xfId="41992" xr:uid="{00000000-0005-0000-0000-000081BD0000}"/>
    <cellStyle name="Note 2 5 2 2 6 3" xfId="28046" xr:uid="{00000000-0005-0000-0000-000082BD0000}"/>
    <cellStyle name="Note 2 5 2 2 6 3 2" xfId="47235" xr:uid="{00000000-0005-0000-0000-000083BD0000}"/>
    <cellStyle name="Note 2 5 2 2 6 4" xfId="37537" xr:uid="{00000000-0005-0000-0000-000084BD0000}"/>
    <cellStyle name="Note 2 5 2 2 7" xfId="18235" xr:uid="{00000000-0005-0000-0000-000085BD0000}"/>
    <cellStyle name="Note 2 5 2 2 7 2" xfId="28603" xr:uid="{00000000-0005-0000-0000-000086BD0000}"/>
    <cellStyle name="Note 2 5 2 2 7 2 2" xfId="47792" xr:uid="{00000000-0005-0000-0000-000087BD0000}"/>
    <cellStyle name="Note 2 5 2 2 7 3" xfId="38094" xr:uid="{00000000-0005-0000-0000-000088BD0000}"/>
    <cellStyle name="Note 2 5 2 2 8" xfId="24103" xr:uid="{00000000-0005-0000-0000-000089BD0000}"/>
    <cellStyle name="Note 2 5 2 2 8 2" xfId="43337" xr:uid="{00000000-0005-0000-0000-00008ABD0000}"/>
    <cellStyle name="Note 2 5 2 2 9" xfId="33639" xr:uid="{00000000-0005-0000-0000-00008BBD0000}"/>
    <cellStyle name="Note 2 5 2 3" xfId="13398" xr:uid="{00000000-0005-0000-0000-00008CBD0000}"/>
    <cellStyle name="Note 2 5 2 3 10" xfId="53678" xr:uid="{00000000-0005-0000-0000-00008DBD0000}"/>
    <cellStyle name="Note 2 5 2 3 2" xfId="14292" xr:uid="{00000000-0005-0000-0000-00008EBD0000}"/>
    <cellStyle name="Note 2 5 2 3 2 2" xfId="16556" xr:uid="{00000000-0005-0000-0000-00008FBD0000}"/>
    <cellStyle name="Note 2 5 2 3 2 2 2" xfId="21020" xr:uid="{00000000-0005-0000-0000-000090BD0000}"/>
    <cellStyle name="Note 2 5 2 3 2 2 2 2" xfId="31388" xr:uid="{00000000-0005-0000-0000-000091BD0000}"/>
    <cellStyle name="Note 2 5 2 3 2 2 2 2 2" xfId="50577" xr:uid="{00000000-0005-0000-0000-000092BD0000}"/>
    <cellStyle name="Note 2 5 2 3 2 2 2 3" xfId="40879" xr:uid="{00000000-0005-0000-0000-000093BD0000}"/>
    <cellStyle name="Note 2 5 2 3 2 2 3" xfId="26933" xr:uid="{00000000-0005-0000-0000-000094BD0000}"/>
    <cellStyle name="Note 2 5 2 3 2 2 3 2" xfId="46122" xr:uid="{00000000-0005-0000-0000-000095BD0000}"/>
    <cellStyle name="Note 2 5 2 3 2 2 4" xfId="36424" xr:uid="{00000000-0005-0000-0000-000096BD0000}"/>
    <cellStyle name="Note 2 5 2 3 2 3" xfId="18792" xr:uid="{00000000-0005-0000-0000-000097BD0000}"/>
    <cellStyle name="Note 2 5 2 3 2 3 2" xfId="29160" xr:uid="{00000000-0005-0000-0000-000098BD0000}"/>
    <cellStyle name="Note 2 5 2 3 2 3 2 2" xfId="48349" xr:uid="{00000000-0005-0000-0000-000099BD0000}"/>
    <cellStyle name="Note 2 5 2 3 2 3 3" xfId="38651" xr:uid="{00000000-0005-0000-0000-00009ABD0000}"/>
    <cellStyle name="Note 2 5 2 3 2 4" xfId="24700" xr:uid="{00000000-0005-0000-0000-00009BBD0000}"/>
    <cellStyle name="Note 2 5 2 3 2 4 2" xfId="43894" xr:uid="{00000000-0005-0000-0000-00009CBD0000}"/>
    <cellStyle name="Note 2 5 2 3 2 5" xfId="34196" xr:uid="{00000000-0005-0000-0000-00009DBD0000}"/>
    <cellStyle name="Note 2 5 2 3 3" xfId="14871" xr:uid="{00000000-0005-0000-0000-00009EBD0000}"/>
    <cellStyle name="Note 2 5 2 3 3 2" xfId="16000" xr:uid="{00000000-0005-0000-0000-00009FBD0000}"/>
    <cellStyle name="Note 2 5 2 3 3 2 2" xfId="20464" xr:uid="{00000000-0005-0000-0000-0000A0BD0000}"/>
    <cellStyle name="Note 2 5 2 3 3 2 2 2" xfId="30832" xr:uid="{00000000-0005-0000-0000-0000A1BD0000}"/>
    <cellStyle name="Note 2 5 2 3 3 2 2 2 2" xfId="50021" xr:uid="{00000000-0005-0000-0000-0000A2BD0000}"/>
    <cellStyle name="Note 2 5 2 3 3 2 2 3" xfId="40323" xr:uid="{00000000-0005-0000-0000-0000A3BD0000}"/>
    <cellStyle name="Note 2 5 2 3 3 2 3" xfId="26377" xr:uid="{00000000-0005-0000-0000-0000A4BD0000}"/>
    <cellStyle name="Note 2 5 2 3 3 2 3 2" xfId="45566" xr:uid="{00000000-0005-0000-0000-0000A5BD0000}"/>
    <cellStyle name="Note 2 5 2 3 3 2 4" xfId="35868" xr:uid="{00000000-0005-0000-0000-0000A6BD0000}"/>
    <cellStyle name="Note 2 5 2 3 3 3" xfId="19349" xr:uid="{00000000-0005-0000-0000-0000A7BD0000}"/>
    <cellStyle name="Note 2 5 2 3 3 3 2" xfId="29717" xr:uid="{00000000-0005-0000-0000-0000A8BD0000}"/>
    <cellStyle name="Note 2 5 2 3 3 3 2 2" xfId="48906" xr:uid="{00000000-0005-0000-0000-0000A9BD0000}"/>
    <cellStyle name="Note 2 5 2 3 3 3 3" xfId="39208" xr:uid="{00000000-0005-0000-0000-0000AABD0000}"/>
    <cellStyle name="Note 2 5 2 3 3 4" xfId="25262" xr:uid="{00000000-0005-0000-0000-0000ABBD0000}"/>
    <cellStyle name="Note 2 5 2 3 3 4 2" xfId="44451" xr:uid="{00000000-0005-0000-0000-0000ACBD0000}"/>
    <cellStyle name="Note 2 5 2 3 3 5" xfId="34753" xr:uid="{00000000-0005-0000-0000-0000ADBD0000}"/>
    <cellStyle name="Note 2 5 2 3 4" xfId="15443" xr:uid="{00000000-0005-0000-0000-0000AEBD0000}"/>
    <cellStyle name="Note 2 5 2 3 4 2" xfId="19907" xr:uid="{00000000-0005-0000-0000-0000AFBD0000}"/>
    <cellStyle name="Note 2 5 2 3 4 2 2" xfId="30275" xr:uid="{00000000-0005-0000-0000-0000B0BD0000}"/>
    <cellStyle name="Note 2 5 2 3 4 2 2 2" xfId="49464" xr:uid="{00000000-0005-0000-0000-0000B1BD0000}"/>
    <cellStyle name="Note 2 5 2 3 4 2 3" xfId="39766" xr:uid="{00000000-0005-0000-0000-0000B2BD0000}"/>
    <cellStyle name="Note 2 5 2 3 4 3" xfId="25820" xr:uid="{00000000-0005-0000-0000-0000B3BD0000}"/>
    <cellStyle name="Note 2 5 2 3 4 3 2" xfId="45009" xr:uid="{00000000-0005-0000-0000-0000B4BD0000}"/>
    <cellStyle name="Note 2 5 2 3 4 4" xfId="35311" xr:uid="{00000000-0005-0000-0000-0000B5BD0000}"/>
    <cellStyle name="Note 2 5 2 3 5" xfId="17113" xr:uid="{00000000-0005-0000-0000-0000B6BD0000}"/>
    <cellStyle name="Note 2 5 2 3 5 2" xfId="21577" xr:uid="{00000000-0005-0000-0000-0000B7BD0000}"/>
    <cellStyle name="Note 2 5 2 3 5 2 2" xfId="31945" xr:uid="{00000000-0005-0000-0000-0000B8BD0000}"/>
    <cellStyle name="Note 2 5 2 3 5 2 2 2" xfId="51134" xr:uid="{00000000-0005-0000-0000-0000B9BD0000}"/>
    <cellStyle name="Note 2 5 2 3 5 2 3" xfId="41436" xr:uid="{00000000-0005-0000-0000-0000BABD0000}"/>
    <cellStyle name="Note 2 5 2 3 5 3" xfId="27490" xr:uid="{00000000-0005-0000-0000-0000BBBD0000}"/>
    <cellStyle name="Note 2 5 2 3 5 3 2" xfId="46679" xr:uid="{00000000-0005-0000-0000-0000BCBD0000}"/>
    <cellStyle name="Note 2 5 2 3 5 4" xfId="36981" xr:uid="{00000000-0005-0000-0000-0000BDBD0000}"/>
    <cellStyle name="Note 2 5 2 3 6" xfId="17679" xr:uid="{00000000-0005-0000-0000-0000BEBD0000}"/>
    <cellStyle name="Note 2 5 2 3 6 2" xfId="22134" xr:uid="{00000000-0005-0000-0000-0000BFBD0000}"/>
    <cellStyle name="Note 2 5 2 3 6 2 2" xfId="32502" xr:uid="{00000000-0005-0000-0000-0000C0BD0000}"/>
    <cellStyle name="Note 2 5 2 3 6 2 2 2" xfId="51691" xr:uid="{00000000-0005-0000-0000-0000C1BD0000}"/>
    <cellStyle name="Note 2 5 2 3 6 2 3" xfId="41993" xr:uid="{00000000-0005-0000-0000-0000C2BD0000}"/>
    <cellStyle name="Note 2 5 2 3 6 3" xfId="28047" xr:uid="{00000000-0005-0000-0000-0000C3BD0000}"/>
    <cellStyle name="Note 2 5 2 3 6 3 2" xfId="47236" xr:uid="{00000000-0005-0000-0000-0000C4BD0000}"/>
    <cellStyle name="Note 2 5 2 3 6 4" xfId="37538" xr:uid="{00000000-0005-0000-0000-0000C5BD0000}"/>
    <cellStyle name="Note 2 5 2 3 7" xfId="18236" xr:uid="{00000000-0005-0000-0000-0000C6BD0000}"/>
    <cellStyle name="Note 2 5 2 3 7 2" xfId="28604" xr:uid="{00000000-0005-0000-0000-0000C7BD0000}"/>
    <cellStyle name="Note 2 5 2 3 7 2 2" xfId="47793" xr:uid="{00000000-0005-0000-0000-0000C8BD0000}"/>
    <cellStyle name="Note 2 5 2 3 7 3" xfId="38095" xr:uid="{00000000-0005-0000-0000-0000C9BD0000}"/>
    <cellStyle name="Note 2 5 2 3 8" xfId="24104" xr:uid="{00000000-0005-0000-0000-0000CABD0000}"/>
    <cellStyle name="Note 2 5 2 3 8 2" xfId="43338" xr:uid="{00000000-0005-0000-0000-0000CBBD0000}"/>
    <cellStyle name="Note 2 5 2 3 9" xfId="33640" xr:uid="{00000000-0005-0000-0000-0000CCBD0000}"/>
    <cellStyle name="Note 2 5 2 4" xfId="14290" xr:uid="{00000000-0005-0000-0000-0000CDBD0000}"/>
    <cellStyle name="Note 2 5 2 4 2" xfId="16554" xr:uid="{00000000-0005-0000-0000-0000CEBD0000}"/>
    <cellStyle name="Note 2 5 2 4 2 2" xfId="21018" xr:uid="{00000000-0005-0000-0000-0000CFBD0000}"/>
    <cellStyle name="Note 2 5 2 4 2 2 2" xfId="31386" xr:uid="{00000000-0005-0000-0000-0000D0BD0000}"/>
    <cellStyle name="Note 2 5 2 4 2 2 2 2" xfId="50575" xr:uid="{00000000-0005-0000-0000-0000D1BD0000}"/>
    <cellStyle name="Note 2 5 2 4 2 2 3" xfId="40877" xr:uid="{00000000-0005-0000-0000-0000D2BD0000}"/>
    <cellStyle name="Note 2 5 2 4 2 3" xfId="26931" xr:uid="{00000000-0005-0000-0000-0000D3BD0000}"/>
    <cellStyle name="Note 2 5 2 4 2 3 2" xfId="46120" xr:uid="{00000000-0005-0000-0000-0000D4BD0000}"/>
    <cellStyle name="Note 2 5 2 4 2 4" xfId="36422" xr:uid="{00000000-0005-0000-0000-0000D5BD0000}"/>
    <cellStyle name="Note 2 5 2 4 3" xfId="18790" xr:uid="{00000000-0005-0000-0000-0000D6BD0000}"/>
    <cellStyle name="Note 2 5 2 4 3 2" xfId="29158" xr:uid="{00000000-0005-0000-0000-0000D7BD0000}"/>
    <cellStyle name="Note 2 5 2 4 3 2 2" xfId="48347" xr:uid="{00000000-0005-0000-0000-0000D8BD0000}"/>
    <cellStyle name="Note 2 5 2 4 3 3" xfId="38649" xr:uid="{00000000-0005-0000-0000-0000D9BD0000}"/>
    <cellStyle name="Note 2 5 2 4 4" xfId="24698" xr:uid="{00000000-0005-0000-0000-0000DABD0000}"/>
    <cellStyle name="Note 2 5 2 4 4 2" xfId="43892" xr:uid="{00000000-0005-0000-0000-0000DBBD0000}"/>
    <cellStyle name="Note 2 5 2 4 5" xfId="34194" xr:uid="{00000000-0005-0000-0000-0000DCBD0000}"/>
    <cellStyle name="Note 2 5 2 5" xfId="14869" xr:uid="{00000000-0005-0000-0000-0000DDBD0000}"/>
    <cellStyle name="Note 2 5 2 5 2" xfId="15998" xr:uid="{00000000-0005-0000-0000-0000DEBD0000}"/>
    <cellStyle name="Note 2 5 2 5 2 2" xfId="20462" xr:uid="{00000000-0005-0000-0000-0000DFBD0000}"/>
    <cellStyle name="Note 2 5 2 5 2 2 2" xfId="30830" xr:uid="{00000000-0005-0000-0000-0000E0BD0000}"/>
    <cellStyle name="Note 2 5 2 5 2 2 2 2" xfId="50019" xr:uid="{00000000-0005-0000-0000-0000E1BD0000}"/>
    <cellStyle name="Note 2 5 2 5 2 2 3" xfId="40321" xr:uid="{00000000-0005-0000-0000-0000E2BD0000}"/>
    <cellStyle name="Note 2 5 2 5 2 3" xfId="26375" xr:uid="{00000000-0005-0000-0000-0000E3BD0000}"/>
    <cellStyle name="Note 2 5 2 5 2 3 2" xfId="45564" xr:uid="{00000000-0005-0000-0000-0000E4BD0000}"/>
    <cellStyle name="Note 2 5 2 5 2 4" xfId="35866" xr:uid="{00000000-0005-0000-0000-0000E5BD0000}"/>
    <cellStyle name="Note 2 5 2 5 3" xfId="19347" xr:uid="{00000000-0005-0000-0000-0000E6BD0000}"/>
    <cellStyle name="Note 2 5 2 5 3 2" xfId="29715" xr:uid="{00000000-0005-0000-0000-0000E7BD0000}"/>
    <cellStyle name="Note 2 5 2 5 3 2 2" xfId="48904" xr:uid="{00000000-0005-0000-0000-0000E8BD0000}"/>
    <cellStyle name="Note 2 5 2 5 3 3" xfId="39206" xr:uid="{00000000-0005-0000-0000-0000E9BD0000}"/>
    <cellStyle name="Note 2 5 2 5 4" xfId="25260" xr:uid="{00000000-0005-0000-0000-0000EABD0000}"/>
    <cellStyle name="Note 2 5 2 5 4 2" xfId="44449" xr:uid="{00000000-0005-0000-0000-0000EBBD0000}"/>
    <cellStyle name="Note 2 5 2 5 5" xfId="34751" xr:uid="{00000000-0005-0000-0000-0000ECBD0000}"/>
    <cellStyle name="Note 2 5 2 6" xfId="15441" xr:uid="{00000000-0005-0000-0000-0000EDBD0000}"/>
    <cellStyle name="Note 2 5 2 6 2" xfId="19905" xr:uid="{00000000-0005-0000-0000-0000EEBD0000}"/>
    <cellStyle name="Note 2 5 2 6 2 2" xfId="30273" xr:uid="{00000000-0005-0000-0000-0000EFBD0000}"/>
    <cellStyle name="Note 2 5 2 6 2 2 2" xfId="49462" xr:uid="{00000000-0005-0000-0000-0000F0BD0000}"/>
    <cellStyle name="Note 2 5 2 6 2 3" xfId="39764" xr:uid="{00000000-0005-0000-0000-0000F1BD0000}"/>
    <cellStyle name="Note 2 5 2 6 3" xfId="25818" xr:uid="{00000000-0005-0000-0000-0000F2BD0000}"/>
    <cellStyle name="Note 2 5 2 6 3 2" xfId="45007" xr:uid="{00000000-0005-0000-0000-0000F3BD0000}"/>
    <cellStyle name="Note 2 5 2 6 4" xfId="35309" xr:uid="{00000000-0005-0000-0000-0000F4BD0000}"/>
    <cellStyle name="Note 2 5 2 7" xfId="17111" xr:uid="{00000000-0005-0000-0000-0000F5BD0000}"/>
    <cellStyle name="Note 2 5 2 7 2" xfId="21575" xr:uid="{00000000-0005-0000-0000-0000F6BD0000}"/>
    <cellStyle name="Note 2 5 2 7 2 2" xfId="31943" xr:uid="{00000000-0005-0000-0000-0000F7BD0000}"/>
    <cellStyle name="Note 2 5 2 7 2 2 2" xfId="51132" xr:uid="{00000000-0005-0000-0000-0000F8BD0000}"/>
    <cellStyle name="Note 2 5 2 7 2 3" xfId="41434" xr:uid="{00000000-0005-0000-0000-0000F9BD0000}"/>
    <cellStyle name="Note 2 5 2 7 3" xfId="27488" xr:uid="{00000000-0005-0000-0000-0000FABD0000}"/>
    <cellStyle name="Note 2 5 2 7 3 2" xfId="46677" xr:uid="{00000000-0005-0000-0000-0000FBBD0000}"/>
    <cellStyle name="Note 2 5 2 7 4" xfId="36979" xr:uid="{00000000-0005-0000-0000-0000FCBD0000}"/>
    <cellStyle name="Note 2 5 2 8" xfId="17677" xr:uid="{00000000-0005-0000-0000-0000FDBD0000}"/>
    <cellStyle name="Note 2 5 2 8 2" xfId="22132" xr:uid="{00000000-0005-0000-0000-0000FEBD0000}"/>
    <cellStyle name="Note 2 5 2 8 2 2" xfId="32500" xr:uid="{00000000-0005-0000-0000-0000FFBD0000}"/>
    <cellStyle name="Note 2 5 2 8 2 2 2" xfId="51689" xr:uid="{00000000-0005-0000-0000-000000BE0000}"/>
    <cellStyle name="Note 2 5 2 8 2 3" xfId="41991" xr:uid="{00000000-0005-0000-0000-000001BE0000}"/>
    <cellStyle name="Note 2 5 2 8 3" xfId="28045" xr:uid="{00000000-0005-0000-0000-000002BE0000}"/>
    <cellStyle name="Note 2 5 2 8 3 2" xfId="47234" xr:uid="{00000000-0005-0000-0000-000003BE0000}"/>
    <cellStyle name="Note 2 5 2 8 4" xfId="37536" xr:uid="{00000000-0005-0000-0000-000004BE0000}"/>
    <cellStyle name="Note 2 5 2 9" xfId="18234" xr:uid="{00000000-0005-0000-0000-000005BE0000}"/>
    <cellStyle name="Note 2 5 2 9 2" xfId="28602" xr:uid="{00000000-0005-0000-0000-000006BE0000}"/>
    <cellStyle name="Note 2 5 2 9 2 2" xfId="47791" xr:uid="{00000000-0005-0000-0000-000007BE0000}"/>
    <cellStyle name="Note 2 5 2 9 3" xfId="38093" xr:uid="{00000000-0005-0000-0000-000008BE0000}"/>
    <cellStyle name="Note 2 5 3" xfId="13399" xr:uid="{00000000-0005-0000-0000-000009BE0000}"/>
    <cellStyle name="Note 2 5 3 10" xfId="53003" xr:uid="{00000000-0005-0000-0000-00000ABE0000}"/>
    <cellStyle name="Note 2 5 3 2" xfId="14293" xr:uid="{00000000-0005-0000-0000-00000BBE0000}"/>
    <cellStyle name="Note 2 5 3 2 2" xfId="16557" xr:uid="{00000000-0005-0000-0000-00000CBE0000}"/>
    <cellStyle name="Note 2 5 3 2 2 2" xfId="21021" xr:uid="{00000000-0005-0000-0000-00000DBE0000}"/>
    <cellStyle name="Note 2 5 3 2 2 2 2" xfId="31389" xr:uid="{00000000-0005-0000-0000-00000EBE0000}"/>
    <cellStyle name="Note 2 5 3 2 2 2 2 2" xfId="50578" xr:uid="{00000000-0005-0000-0000-00000FBE0000}"/>
    <cellStyle name="Note 2 5 3 2 2 2 3" xfId="40880" xr:uid="{00000000-0005-0000-0000-000010BE0000}"/>
    <cellStyle name="Note 2 5 3 2 2 3" xfId="26934" xr:uid="{00000000-0005-0000-0000-000011BE0000}"/>
    <cellStyle name="Note 2 5 3 2 2 3 2" xfId="46123" xr:uid="{00000000-0005-0000-0000-000012BE0000}"/>
    <cellStyle name="Note 2 5 3 2 2 4" xfId="36425" xr:uid="{00000000-0005-0000-0000-000013BE0000}"/>
    <cellStyle name="Note 2 5 3 2 3" xfId="18793" xr:uid="{00000000-0005-0000-0000-000014BE0000}"/>
    <cellStyle name="Note 2 5 3 2 3 2" xfId="29161" xr:uid="{00000000-0005-0000-0000-000015BE0000}"/>
    <cellStyle name="Note 2 5 3 2 3 2 2" xfId="48350" xr:uid="{00000000-0005-0000-0000-000016BE0000}"/>
    <cellStyle name="Note 2 5 3 2 3 3" xfId="38652" xr:uid="{00000000-0005-0000-0000-000017BE0000}"/>
    <cellStyle name="Note 2 5 3 2 4" xfId="24701" xr:uid="{00000000-0005-0000-0000-000018BE0000}"/>
    <cellStyle name="Note 2 5 3 2 4 2" xfId="43895" xr:uid="{00000000-0005-0000-0000-000019BE0000}"/>
    <cellStyle name="Note 2 5 3 2 5" xfId="34197" xr:uid="{00000000-0005-0000-0000-00001ABE0000}"/>
    <cellStyle name="Note 2 5 3 2 6" xfId="53878" xr:uid="{00000000-0005-0000-0000-00001BBE0000}"/>
    <cellStyle name="Note 2 5 3 3" xfId="14872" xr:uid="{00000000-0005-0000-0000-00001CBE0000}"/>
    <cellStyle name="Note 2 5 3 3 2" xfId="16001" xr:uid="{00000000-0005-0000-0000-00001DBE0000}"/>
    <cellStyle name="Note 2 5 3 3 2 2" xfId="20465" xr:uid="{00000000-0005-0000-0000-00001EBE0000}"/>
    <cellStyle name="Note 2 5 3 3 2 2 2" xfId="30833" xr:uid="{00000000-0005-0000-0000-00001FBE0000}"/>
    <cellStyle name="Note 2 5 3 3 2 2 2 2" xfId="50022" xr:uid="{00000000-0005-0000-0000-000020BE0000}"/>
    <cellStyle name="Note 2 5 3 3 2 2 3" xfId="40324" xr:uid="{00000000-0005-0000-0000-000021BE0000}"/>
    <cellStyle name="Note 2 5 3 3 2 3" xfId="26378" xr:uid="{00000000-0005-0000-0000-000022BE0000}"/>
    <cellStyle name="Note 2 5 3 3 2 3 2" xfId="45567" xr:uid="{00000000-0005-0000-0000-000023BE0000}"/>
    <cellStyle name="Note 2 5 3 3 2 4" xfId="35869" xr:uid="{00000000-0005-0000-0000-000024BE0000}"/>
    <cellStyle name="Note 2 5 3 3 3" xfId="19350" xr:uid="{00000000-0005-0000-0000-000025BE0000}"/>
    <cellStyle name="Note 2 5 3 3 3 2" xfId="29718" xr:uid="{00000000-0005-0000-0000-000026BE0000}"/>
    <cellStyle name="Note 2 5 3 3 3 2 2" xfId="48907" xr:uid="{00000000-0005-0000-0000-000027BE0000}"/>
    <cellStyle name="Note 2 5 3 3 3 3" xfId="39209" xr:uid="{00000000-0005-0000-0000-000028BE0000}"/>
    <cellStyle name="Note 2 5 3 3 4" xfId="25263" xr:uid="{00000000-0005-0000-0000-000029BE0000}"/>
    <cellStyle name="Note 2 5 3 3 4 2" xfId="44452" xr:uid="{00000000-0005-0000-0000-00002ABE0000}"/>
    <cellStyle name="Note 2 5 3 3 5" xfId="34754" xr:uid="{00000000-0005-0000-0000-00002BBE0000}"/>
    <cellStyle name="Note 2 5 3 4" xfId="15444" xr:uid="{00000000-0005-0000-0000-00002CBE0000}"/>
    <cellStyle name="Note 2 5 3 4 2" xfId="19908" xr:uid="{00000000-0005-0000-0000-00002DBE0000}"/>
    <cellStyle name="Note 2 5 3 4 2 2" xfId="30276" xr:uid="{00000000-0005-0000-0000-00002EBE0000}"/>
    <cellStyle name="Note 2 5 3 4 2 2 2" xfId="49465" xr:uid="{00000000-0005-0000-0000-00002FBE0000}"/>
    <cellStyle name="Note 2 5 3 4 2 3" xfId="39767" xr:uid="{00000000-0005-0000-0000-000030BE0000}"/>
    <cellStyle name="Note 2 5 3 4 3" xfId="25821" xr:uid="{00000000-0005-0000-0000-000031BE0000}"/>
    <cellStyle name="Note 2 5 3 4 3 2" xfId="45010" xr:uid="{00000000-0005-0000-0000-000032BE0000}"/>
    <cellStyle name="Note 2 5 3 4 4" xfId="35312" xr:uid="{00000000-0005-0000-0000-000033BE0000}"/>
    <cellStyle name="Note 2 5 3 5" xfId="17114" xr:uid="{00000000-0005-0000-0000-000034BE0000}"/>
    <cellStyle name="Note 2 5 3 5 2" xfId="21578" xr:uid="{00000000-0005-0000-0000-000035BE0000}"/>
    <cellStyle name="Note 2 5 3 5 2 2" xfId="31946" xr:uid="{00000000-0005-0000-0000-000036BE0000}"/>
    <cellStyle name="Note 2 5 3 5 2 2 2" xfId="51135" xr:uid="{00000000-0005-0000-0000-000037BE0000}"/>
    <cellStyle name="Note 2 5 3 5 2 3" xfId="41437" xr:uid="{00000000-0005-0000-0000-000038BE0000}"/>
    <cellStyle name="Note 2 5 3 5 3" xfId="27491" xr:uid="{00000000-0005-0000-0000-000039BE0000}"/>
    <cellStyle name="Note 2 5 3 5 3 2" xfId="46680" xr:uid="{00000000-0005-0000-0000-00003ABE0000}"/>
    <cellStyle name="Note 2 5 3 5 4" xfId="36982" xr:uid="{00000000-0005-0000-0000-00003BBE0000}"/>
    <cellStyle name="Note 2 5 3 6" xfId="17680" xr:uid="{00000000-0005-0000-0000-00003CBE0000}"/>
    <cellStyle name="Note 2 5 3 6 2" xfId="22135" xr:uid="{00000000-0005-0000-0000-00003DBE0000}"/>
    <cellStyle name="Note 2 5 3 6 2 2" xfId="32503" xr:uid="{00000000-0005-0000-0000-00003EBE0000}"/>
    <cellStyle name="Note 2 5 3 6 2 2 2" xfId="51692" xr:uid="{00000000-0005-0000-0000-00003FBE0000}"/>
    <cellStyle name="Note 2 5 3 6 2 3" xfId="41994" xr:uid="{00000000-0005-0000-0000-000040BE0000}"/>
    <cellStyle name="Note 2 5 3 6 3" xfId="28048" xr:uid="{00000000-0005-0000-0000-000041BE0000}"/>
    <cellStyle name="Note 2 5 3 6 3 2" xfId="47237" xr:uid="{00000000-0005-0000-0000-000042BE0000}"/>
    <cellStyle name="Note 2 5 3 6 4" xfId="37539" xr:uid="{00000000-0005-0000-0000-000043BE0000}"/>
    <cellStyle name="Note 2 5 3 7" xfId="18237" xr:uid="{00000000-0005-0000-0000-000044BE0000}"/>
    <cellStyle name="Note 2 5 3 7 2" xfId="28605" xr:uid="{00000000-0005-0000-0000-000045BE0000}"/>
    <cellStyle name="Note 2 5 3 7 2 2" xfId="47794" xr:uid="{00000000-0005-0000-0000-000046BE0000}"/>
    <cellStyle name="Note 2 5 3 7 3" xfId="38096" xr:uid="{00000000-0005-0000-0000-000047BE0000}"/>
    <cellStyle name="Note 2 5 3 8" xfId="24105" xr:uid="{00000000-0005-0000-0000-000048BE0000}"/>
    <cellStyle name="Note 2 5 3 8 2" xfId="43339" xr:uid="{00000000-0005-0000-0000-000049BE0000}"/>
    <cellStyle name="Note 2 5 3 9" xfId="33641" xr:uid="{00000000-0005-0000-0000-00004ABE0000}"/>
    <cellStyle name="Note 2 5 4" xfId="13400" xr:uid="{00000000-0005-0000-0000-00004BBE0000}"/>
    <cellStyle name="Note 2 5 4 10" xfId="53482" xr:uid="{00000000-0005-0000-0000-00004CBE0000}"/>
    <cellStyle name="Note 2 5 4 2" xfId="14294" xr:uid="{00000000-0005-0000-0000-00004DBE0000}"/>
    <cellStyle name="Note 2 5 4 2 2" xfId="16558" xr:uid="{00000000-0005-0000-0000-00004EBE0000}"/>
    <cellStyle name="Note 2 5 4 2 2 2" xfId="21022" xr:uid="{00000000-0005-0000-0000-00004FBE0000}"/>
    <cellStyle name="Note 2 5 4 2 2 2 2" xfId="31390" xr:uid="{00000000-0005-0000-0000-000050BE0000}"/>
    <cellStyle name="Note 2 5 4 2 2 2 2 2" xfId="50579" xr:uid="{00000000-0005-0000-0000-000051BE0000}"/>
    <cellStyle name="Note 2 5 4 2 2 2 3" xfId="40881" xr:uid="{00000000-0005-0000-0000-000052BE0000}"/>
    <cellStyle name="Note 2 5 4 2 2 3" xfId="26935" xr:uid="{00000000-0005-0000-0000-000053BE0000}"/>
    <cellStyle name="Note 2 5 4 2 2 3 2" xfId="46124" xr:uid="{00000000-0005-0000-0000-000054BE0000}"/>
    <cellStyle name="Note 2 5 4 2 2 4" xfId="36426" xr:uid="{00000000-0005-0000-0000-000055BE0000}"/>
    <cellStyle name="Note 2 5 4 2 3" xfId="18794" xr:uid="{00000000-0005-0000-0000-000056BE0000}"/>
    <cellStyle name="Note 2 5 4 2 3 2" xfId="29162" xr:uid="{00000000-0005-0000-0000-000057BE0000}"/>
    <cellStyle name="Note 2 5 4 2 3 2 2" xfId="48351" xr:uid="{00000000-0005-0000-0000-000058BE0000}"/>
    <cellStyle name="Note 2 5 4 2 3 3" xfId="38653" xr:uid="{00000000-0005-0000-0000-000059BE0000}"/>
    <cellStyle name="Note 2 5 4 2 4" xfId="24702" xr:uid="{00000000-0005-0000-0000-00005ABE0000}"/>
    <cellStyle name="Note 2 5 4 2 4 2" xfId="43896" xr:uid="{00000000-0005-0000-0000-00005BBE0000}"/>
    <cellStyle name="Note 2 5 4 2 5" xfId="34198" xr:uid="{00000000-0005-0000-0000-00005CBE0000}"/>
    <cellStyle name="Note 2 5 4 3" xfId="14873" xr:uid="{00000000-0005-0000-0000-00005DBE0000}"/>
    <cellStyle name="Note 2 5 4 3 2" xfId="16002" xr:uid="{00000000-0005-0000-0000-00005EBE0000}"/>
    <cellStyle name="Note 2 5 4 3 2 2" xfId="20466" xr:uid="{00000000-0005-0000-0000-00005FBE0000}"/>
    <cellStyle name="Note 2 5 4 3 2 2 2" xfId="30834" xr:uid="{00000000-0005-0000-0000-000060BE0000}"/>
    <cellStyle name="Note 2 5 4 3 2 2 2 2" xfId="50023" xr:uid="{00000000-0005-0000-0000-000061BE0000}"/>
    <cellStyle name="Note 2 5 4 3 2 2 3" xfId="40325" xr:uid="{00000000-0005-0000-0000-000062BE0000}"/>
    <cellStyle name="Note 2 5 4 3 2 3" xfId="26379" xr:uid="{00000000-0005-0000-0000-000063BE0000}"/>
    <cellStyle name="Note 2 5 4 3 2 3 2" xfId="45568" xr:uid="{00000000-0005-0000-0000-000064BE0000}"/>
    <cellStyle name="Note 2 5 4 3 2 4" xfId="35870" xr:uid="{00000000-0005-0000-0000-000065BE0000}"/>
    <cellStyle name="Note 2 5 4 3 3" xfId="19351" xr:uid="{00000000-0005-0000-0000-000066BE0000}"/>
    <cellStyle name="Note 2 5 4 3 3 2" xfId="29719" xr:uid="{00000000-0005-0000-0000-000067BE0000}"/>
    <cellStyle name="Note 2 5 4 3 3 2 2" xfId="48908" xr:uid="{00000000-0005-0000-0000-000068BE0000}"/>
    <cellStyle name="Note 2 5 4 3 3 3" xfId="39210" xr:uid="{00000000-0005-0000-0000-000069BE0000}"/>
    <cellStyle name="Note 2 5 4 3 4" xfId="25264" xr:uid="{00000000-0005-0000-0000-00006ABE0000}"/>
    <cellStyle name="Note 2 5 4 3 4 2" xfId="44453" xr:uid="{00000000-0005-0000-0000-00006BBE0000}"/>
    <cellStyle name="Note 2 5 4 3 5" xfId="34755" xr:uid="{00000000-0005-0000-0000-00006CBE0000}"/>
    <cellStyle name="Note 2 5 4 4" xfId="15445" xr:uid="{00000000-0005-0000-0000-00006DBE0000}"/>
    <cellStyle name="Note 2 5 4 4 2" xfId="19909" xr:uid="{00000000-0005-0000-0000-00006EBE0000}"/>
    <cellStyle name="Note 2 5 4 4 2 2" xfId="30277" xr:uid="{00000000-0005-0000-0000-00006FBE0000}"/>
    <cellStyle name="Note 2 5 4 4 2 2 2" xfId="49466" xr:uid="{00000000-0005-0000-0000-000070BE0000}"/>
    <cellStyle name="Note 2 5 4 4 2 3" xfId="39768" xr:uid="{00000000-0005-0000-0000-000071BE0000}"/>
    <cellStyle name="Note 2 5 4 4 3" xfId="25822" xr:uid="{00000000-0005-0000-0000-000072BE0000}"/>
    <cellStyle name="Note 2 5 4 4 3 2" xfId="45011" xr:uid="{00000000-0005-0000-0000-000073BE0000}"/>
    <cellStyle name="Note 2 5 4 4 4" xfId="35313" xr:uid="{00000000-0005-0000-0000-000074BE0000}"/>
    <cellStyle name="Note 2 5 4 5" xfId="17115" xr:uid="{00000000-0005-0000-0000-000075BE0000}"/>
    <cellStyle name="Note 2 5 4 5 2" xfId="21579" xr:uid="{00000000-0005-0000-0000-000076BE0000}"/>
    <cellStyle name="Note 2 5 4 5 2 2" xfId="31947" xr:uid="{00000000-0005-0000-0000-000077BE0000}"/>
    <cellStyle name="Note 2 5 4 5 2 2 2" xfId="51136" xr:uid="{00000000-0005-0000-0000-000078BE0000}"/>
    <cellStyle name="Note 2 5 4 5 2 3" xfId="41438" xr:uid="{00000000-0005-0000-0000-000079BE0000}"/>
    <cellStyle name="Note 2 5 4 5 3" xfId="27492" xr:uid="{00000000-0005-0000-0000-00007ABE0000}"/>
    <cellStyle name="Note 2 5 4 5 3 2" xfId="46681" xr:uid="{00000000-0005-0000-0000-00007BBE0000}"/>
    <cellStyle name="Note 2 5 4 5 4" xfId="36983" xr:uid="{00000000-0005-0000-0000-00007CBE0000}"/>
    <cellStyle name="Note 2 5 4 6" xfId="17681" xr:uid="{00000000-0005-0000-0000-00007DBE0000}"/>
    <cellStyle name="Note 2 5 4 6 2" xfId="22136" xr:uid="{00000000-0005-0000-0000-00007EBE0000}"/>
    <cellStyle name="Note 2 5 4 6 2 2" xfId="32504" xr:uid="{00000000-0005-0000-0000-00007FBE0000}"/>
    <cellStyle name="Note 2 5 4 6 2 2 2" xfId="51693" xr:uid="{00000000-0005-0000-0000-000080BE0000}"/>
    <cellStyle name="Note 2 5 4 6 2 3" xfId="41995" xr:uid="{00000000-0005-0000-0000-000081BE0000}"/>
    <cellStyle name="Note 2 5 4 6 3" xfId="28049" xr:uid="{00000000-0005-0000-0000-000082BE0000}"/>
    <cellStyle name="Note 2 5 4 6 3 2" xfId="47238" xr:uid="{00000000-0005-0000-0000-000083BE0000}"/>
    <cellStyle name="Note 2 5 4 6 4" xfId="37540" xr:uid="{00000000-0005-0000-0000-000084BE0000}"/>
    <cellStyle name="Note 2 5 4 7" xfId="18238" xr:uid="{00000000-0005-0000-0000-000085BE0000}"/>
    <cellStyle name="Note 2 5 4 7 2" xfId="28606" xr:uid="{00000000-0005-0000-0000-000086BE0000}"/>
    <cellStyle name="Note 2 5 4 7 2 2" xfId="47795" xr:uid="{00000000-0005-0000-0000-000087BE0000}"/>
    <cellStyle name="Note 2 5 4 7 3" xfId="38097" xr:uid="{00000000-0005-0000-0000-000088BE0000}"/>
    <cellStyle name="Note 2 5 4 8" xfId="24106" xr:uid="{00000000-0005-0000-0000-000089BE0000}"/>
    <cellStyle name="Note 2 5 4 8 2" xfId="43340" xr:uid="{00000000-0005-0000-0000-00008ABE0000}"/>
    <cellStyle name="Note 2 5 4 9" xfId="33642" xr:uid="{00000000-0005-0000-0000-00008BBE0000}"/>
    <cellStyle name="Note 2 5 5" xfId="12532" xr:uid="{00000000-0005-0000-0000-00008CBE0000}"/>
    <cellStyle name="Note 2 5 6" xfId="52593" xr:uid="{00000000-0005-0000-0000-00008DBE0000}"/>
    <cellStyle name="Note 2 5 7" xfId="12076" xr:uid="{00000000-0005-0000-0000-00008EBE0000}"/>
    <cellStyle name="Note 2 6" xfId="5427" xr:uid="{00000000-0005-0000-0000-00008FBE0000}"/>
    <cellStyle name="Note 2 6 2" xfId="13401" xr:uid="{00000000-0005-0000-0000-000090BE0000}"/>
    <cellStyle name="Note 2 6 2 10" xfId="52826" xr:uid="{00000000-0005-0000-0000-000091BE0000}"/>
    <cellStyle name="Note 2 6 2 2" xfId="14295" xr:uid="{00000000-0005-0000-0000-000092BE0000}"/>
    <cellStyle name="Note 2 6 2 2 2" xfId="16559" xr:uid="{00000000-0005-0000-0000-000093BE0000}"/>
    <cellStyle name="Note 2 6 2 2 2 2" xfId="21023" xr:uid="{00000000-0005-0000-0000-000094BE0000}"/>
    <cellStyle name="Note 2 6 2 2 2 2 2" xfId="31391" xr:uid="{00000000-0005-0000-0000-000095BE0000}"/>
    <cellStyle name="Note 2 6 2 2 2 2 2 2" xfId="50580" xr:uid="{00000000-0005-0000-0000-000096BE0000}"/>
    <cellStyle name="Note 2 6 2 2 2 2 3" xfId="40882" xr:uid="{00000000-0005-0000-0000-000097BE0000}"/>
    <cellStyle name="Note 2 6 2 2 2 3" xfId="26936" xr:uid="{00000000-0005-0000-0000-000098BE0000}"/>
    <cellStyle name="Note 2 6 2 2 2 3 2" xfId="46125" xr:uid="{00000000-0005-0000-0000-000099BE0000}"/>
    <cellStyle name="Note 2 6 2 2 2 4" xfId="36427" xr:uid="{00000000-0005-0000-0000-00009ABE0000}"/>
    <cellStyle name="Note 2 6 2 2 2 5" xfId="54107" xr:uid="{00000000-0005-0000-0000-00009BBE0000}"/>
    <cellStyle name="Note 2 6 2 2 3" xfId="18795" xr:uid="{00000000-0005-0000-0000-00009CBE0000}"/>
    <cellStyle name="Note 2 6 2 2 3 2" xfId="29163" xr:uid="{00000000-0005-0000-0000-00009DBE0000}"/>
    <cellStyle name="Note 2 6 2 2 3 2 2" xfId="48352" xr:uid="{00000000-0005-0000-0000-00009EBE0000}"/>
    <cellStyle name="Note 2 6 2 2 3 3" xfId="38654" xr:uid="{00000000-0005-0000-0000-00009FBE0000}"/>
    <cellStyle name="Note 2 6 2 2 4" xfId="24703" xr:uid="{00000000-0005-0000-0000-0000A0BE0000}"/>
    <cellStyle name="Note 2 6 2 2 4 2" xfId="43897" xr:uid="{00000000-0005-0000-0000-0000A1BE0000}"/>
    <cellStyle name="Note 2 6 2 2 5" xfId="34199" xr:uid="{00000000-0005-0000-0000-0000A2BE0000}"/>
    <cellStyle name="Note 2 6 2 2 6" xfId="53254" xr:uid="{00000000-0005-0000-0000-0000A3BE0000}"/>
    <cellStyle name="Note 2 6 2 3" xfId="14874" xr:uid="{00000000-0005-0000-0000-0000A4BE0000}"/>
    <cellStyle name="Note 2 6 2 3 2" xfId="16003" xr:uid="{00000000-0005-0000-0000-0000A5BE0000}"/>
    <cellStyle name="Note 2 6 2 3 2 2" xfId="20467" xr:uid="{00000000-0005-0000-0000-0000A6BE0000}"/>
    <cellStyle name="Note 2 6 2 3 2 2 2" xfId="30835" xr:uid="{00000000-0005-0000-0000-0000A7BE0000}"/>
    <cellStyle name="Note 2 6 2 3 2 2 2 2" xfId="50024" xr:uid="{00000000-0005-0000-0000-0000A8BE0000}"/>
    <cellStyle name="Note 2 6 2 3 2 2 3" xfId="40326" xr:uid="{00000000-0005-0000-0000-0000A9BE0000}"/>
    <cellStyle name="Note 2 6 2 3 2 3" xfId="26380" xr:uid="{00000000-0005-0000-0000-0000AABE0000}"/>
    <cellStyle name="Note 2 6 2 3 2 3 2" xfId="45569" xr:uid="{00000000-0005-0000-0000-0000ABBE0000}"/>
    <cellStyle name="Note 2 6 2 3 2 4" xfId="35871" xr:uid="{00000000-0005-0000-0000-0000ACBE0000}"/>
    <cellStyle name="Note 2 6 2 3 3" xfId="19352" xr:uid="{00000000-0005-0000-0000-0000ADBE0000}"/>
    <cellStyle name="Note 2 6 2 3 3 2" xfId="29720" xr:uid="{00000000-0005-0000-0000-0000AEBE0000}"/>
    <cellStyle name="Note 2 6 2 3 3 2 2" xfId="48909" xr:uid="{00000000-0005-0000-0000-0000AFBE0000}"/>
    <cellStyle name="Note 2 6 2 3 3 3" xfId="39211" xr:uid="{00000000-0005-0000-0000-0000B0BE0000}"/>
    <cellStyle name="Note 2 6 2 3 4" xfId="25265" xr:uid="{00000000-0005-0000-0000-0000B1BE0000}"/>
    <cellStyle name="Note 2 6 2 3 4 2" xfId="44454" xr:uid="{00000000-0005-0000-0000-0000B2BE0000}"/>
    <cellStyle name="Note 2 6 2 3 5" xfId="34756" xr:uid="{00000000-0005-0000-0000-0000B3BE0000}"/>
    <cellStyle name="Note 2 6 2 3 6" xfId="53711" xr:uid="{00000000-0005-0000-0000-0000B4BE0000}"/>
    <cellStyle name="Note 2 6 2 4" xfId="15446" xr:uid="{00000000-0005-0000-0000-0000B5BE0000}"/>
    <cellStyle name="Note 2 6 2 4 2" xfId="19910" xr:uid="{00000000-0005-0000-0000-0000B6BE0000}"/>
    <cellStyle name="Note 2 6 2 4 2 2" xfId="30278" xr:uid="{00000000-0005-0000-0000-0000B7BE0000}"/>
    <cellStyle name="Note 2 6 2 4 2 2 2" xfId="49467" xr:uid="{00000000-0005-0000-0000-0000B8BE0000}"/>
    <cellStyle name="Note 2 6 2 4 2 3" xfId="39769" xr:uid="{00000000-0005-0000-0000-0000B9BE0000}"/>
    <cellStyle name="Note 2 6 2 4 3" xfId="25823" xr:uid="{00000000-0005-0000-0000-0000BABE0000}"/>
    <cellStyle name="Note 2 6 2 4 3 2" xfId="45012" xr:uid="{00000000-0005-0000-0000-0000BBBE0000}"/>
    <cellStyle name="Note 2 6 2 4 4" xfId="35314" xr:uid="{00000000-0005-0000-0000-0000BCBE0000}"/>
    <cellStyle name="Note 2 6 2 5" xfId="17116" xr:uid="{00000000-0005-0000-0000-0000BDBE0000}"/>
    <cellStyle name="Note 2 6 2 5 2" xfId="21580" xr:uid="{00000000-0005-0000-0000-0000BEBE0000}"/>
    <cellStyle name="Note 2 6 2 5 2 2" xfId="31948" xr:uid="{00000000-0005-0000-0000-0000BFBE0000}"/>
    <cellStyle name="Note 2 6 2 5 2 2 2" xfId="51137" xr:uid="{00000000-0005-0000-0000-0000C0BE0000}"/>
    <cellStyle name="Note 2 6 2 5 2 3" xfId="41439" xr:uid="{00000000-0005-0000-0000-0000C1BE0000}"/>
    <cellStyle name="Note 2 6 2 5 3" xfId="27493" xr:uid="{00000000-0005-0000-0000-0000C2BE0000}"/>
    <cellStyle name="Note 2 6 2 5 3 2" xfId="46682" xr:uid="{00000000-0005-0000-0000-0000C3BE0000}"/>
    <cellStyle name="Note 2 6 2 5 4" xfId="36984" xr:uid="{00000000-0005-0000-0000-0000C4BE0000}"/>
    <cellStyle name="Note 2 6 2 6" xfId="17682" xr:uid="{00000000-0005-0000-0000-0000C5BE0000}"/>
    <cellStyle name="Note 2 6 2 6 2" xfId="22137" xr:uid="{00000000-0005-0000-0000-0000C6BE0000}"/>
    <cellStyle name="Note 2 6 2 6 2 2" xfId="32505" xr:uid="{00000000-0005-0000-0000-0000C7BE0000}"/>
    <cellStyle name="Note 2 6 2 6 2 2 2" xfId="51694" xr:uid="{00000000-0005-0000-0000-0000C8BE0000}"/>
    <cellStyle name="Note 2 6 2 6 2 3" xfId="41996" xr:uid="{00000000-0005-0000-0000-0000C9BE0000}"/>
    <cellStyle name="Note 2 6 2 6 3" xfId="28050" xr:uid="{00000000-0005-0000-0000-0000CABE0000}"/>
    <cellStyle name="Note 2 6 2 6 3 2" xfId="47239" xr:uid="{00000000-0005-0000-0000-0000CBBE0000}"/>
    <cellStyle name="Note 2 6 2 6 4" xfId="37541" xr:uid="{00000000-0005-0000-0000-0000CCBE0000}"/>
    <cellStyle name="Note 2 6 2 7" xfId="18239" xr:uid="{00000000-0005-0000-0000-0000CDBE0000}"/>
    <cellStyle name="Note 2 6 2 7 2" xfId="28607" xr:uid="{00000000-0005-0000-0000-0000CEBE0000}"/>
    <cellStyle name="Note 2 6 2 7 2 2" xfId="47796" xr:uid="{00000000-0005-0000-0000-0000CFBE0000}"/>
    <cellStyle name="Note 2 6 2 7 3" xfId="38098" xr:uid="{00000000-0005-0000-0000-0000D0BE0000}"/>
    <cellStyle name="Note 2 6 2 8" xfId="24107" xr:uid="{00000000-0005-0000-0000-0000D1BE0000}"/>
    <cellStyle name="Note 2 6 2 8 2" xfId="43341" xr:uid="{00000000-0005-0000-0000-0000D2BE0000}"/>
    <cellStyle name="Note 2 6 2 9" xfId="33643" xr:uid="{00000000-0005-0000-0000-0000D3BE0000}"/>
    <cellStyle name="Note 2 6 3" xfId="13402" xr:uid="{00000000-0005-0000-0000-0000D4BE0000}"/>
    <cellStyle name="Note 2 6 3 10" xfId="53036" xr:uid="{00000000-0005-0000-0000-0000D5BE0000}"/>
    <cellStyle name="Note 2 6 3 2" xfId="14296" xr:uid="{00000000-0005-0000-0000-0000D6BE0000}"/>
    <cellStyle name="Note 2 6 3 2 2" xfId="16560" xr:uid="{00000000-0005-0000-0000-0000D7BE0000}"/>
    <cellStyle name="Note 2 6 3 2 2 2" xfId="21024" xr:uid="{00000000-0005-0000-0000-0000D8BE0000}"/>
    <cellStyle name="Note 2 6 3 2 2 2 2" xfId="31392" xr:uid="{00000000-0005-0000-0000-0000D9BE0000}"/>
    <cellStyle name="Note 2 6 3 2 2 2 2 2" xfId="50581" xr:uid="{00000000-0005-0000-0000-0000DABE0000}"/>
    <cellStyle name="Note 2 6 3 2 2 2 3" xfId="40883" xr:uid="{00000000-0005-0000-0000-0000DBBE0000}"/>
    <cellStyle name="Note 2 6 3 2 2 3" xfId="26937" xr:uid="{00000000-0005-0000-0000-0000DCBE0000}"/>
    <cellStyle name="Note 2 6 3 2 2 3 2" xfId="46126" xr:uid="{00000000-0005-0000-0000-0000DDBE0000}"/>
    <cellStyle name="Note 2 6 3 2 2 4" xfId="36428" xr:uid="{00000000-0005-0000-0000-0000DEBE0000}"/>
    <cellStyle name="Note 2 6 3 2 3" xfId="18796" xr:uid="{00000000-0005-0000-0000-0000DFBE0000}"/>
    <cellStyle name="Note 2 6 3 2 3 2" xfId="29164" xr:uid="{00000000-0005-0000-0000-0000E0BE0000}"/>
    <cellStyle name="Note 2 6 3 2 3 2 2" xfId="48353" xr:uid="{00000000-0005-0000-0000-0000E1BE0000}"/>
    <cellStyle name="Note 2 6 3 2 3 3" xfId="38655" xr:uid="{00000000-0005-0000-0000-0000E2BE0000}"/>
    <cellStyle name="Note 2 6 3 2 4" xfId="24704" xr:uid="{00000000-0005-0000-0000-0000E3BE0000}"/>
    <cellStyle name="Note 2 6 3 2 4 2" xfId="43898" xr:uid="{00000000-0005-0000-0000-0000E4BE0000}"/>
    <cellStyle name="Note 2 6 3 2 5" xfId="34200" xr:uid="{00000000-0005-0000-0000-0000E5BE0000}"/>
    <cellStyle name="Note 2 6 3 2 6" xfId="53911" xr:uid="{00000000-0005-0000-0000-0000E6BE0000}"/>
    <cellStyle name="Note 2 6 3 3" xfId="14875" xr:uid="{00000000-0005-0000-0000-0000E7BE0000}"/>
    <cellStyle name="Note 2 6 3 3 2" xfId="16004" xr:uid="{00000000-0005-0000-0000-0000E8BE0000}"/>
    <cellStyle name="Note 2 6 3 3 2 2" xfId="20468" xr:uid="{00000000-0005-0000-0000-0000E9BE0000}"/>
    <cellStyle name="Note 2 6 3 3 2 2 2" xfId="30836" xr:uid="{00000000-0005-0000-0000-0000EABE0000}"/>
    <cellStyle name="Note 2 6 3 3 2 2 2 2" xfId="50025" xr:uid="{00000000-0005-0000-0000-0000EBBE0000}"/>
    <cellStyle name="Note 2 6 3 3 2 2 3" xfId="40327" xr:uid="{00000000-0005-0000-0000-0000ECBE0000}"/>
    <cellStyle name="Note 2 6 3 3 2 3" xfId="26381" xr:uid="{00000000-0005-0000-0000-0000EDBE0000}"/>
    <cellStyle name="Note 2 6 3 3 2 3 2" xfId="45570" xr:uid="{00000000-0005-0000-0000-0000EEBE0000}"/>
    <cellStyle name="Note 2 6 3 3 2 4" xfId="35872" xr:uid="{00000000-0005-0000-0000-0000EFBE0000}"/>
    <cellStyle name="Note 2 6 3 3 3" xfId="19353" xr:uid="{00000000-0005-0000-0000-0000F0BE0000}"/>
    <cellStyle name="Note 2 6 3 3 3 2" xfId="29721" xr:uid="{00000000-0005-0000-0000-0000F1BE0000}"/>
    <cellStyle name="Note 2 6 3 3 3 2 2" xfId="48910" xr:uid="{00000000-0005-0000-0000-0000F2BE0000}"/>
    <cellStyle name="Note 2 6 3 3 3 3" xfId="39212" xr:uid="{00000000-0005-0000-0000-0000F3BE0000}"/>
    <cellStyle name="Note 2 6 3 3 4" xfId="25266" xr:uid="{00000000-0005-0000-0000-0000F4BE0000}"/>
    <cellStyle name="Note 2 6 3 3 4 2" xfId="44455" xr:uid="{00000000-0005-0000-0000-0000F5BE0000}"/>
    <cellStyle name="Note 2 6 3 3 5" xfId="34757" xr:uid="{00000000-0005-0000-0000-0000F6BE0000}"/>
    <cellStyle name="Note 2 6 3 4" xfId="15447" xr:uid="{00000000-0005-0000-0000-0000F7BE0000}"/>
    <cellStyle name="Note 2 6 3 4 2" xfId="19911" xr:uid="{00000000-0005-0000-0000-0000F8BE0000}"/>
    <cellStyle name="Note 2 6 3 4 2 2" xfId="30279" xr:uid="{00000000-0005-0000-0000-0000F9BE0000}"/>
    <cellStyle name="Note 2 6 3 4 2 2 2" xfId="49468" xr:uid="{00000000-0005-0000-0000-0000FABE0000}"/>
    <cellStyle name="Note 2 6 3 4 2 3" xfId="39770" xr:uid="{00000000-0005-0000-0000-0000FBBE0000}"/>
    <cellStyle name="Note 2 6 3 4 3" xfId="25824" xr:uid="{00000000-0005-0000-0000-0000FCBE0000}"/>
    <cellStyle name="Note 2 6 3 4 3 2" xfId="45013" xr:uid="{00000000-0005-0000-0000-0000FDBE0000}"/>
    <cellStyle name="Note 2 6 3 4 4" xfId="35315" xr:uid="{00000000-0005-0000-0000-0000FEBE0000}"/>
    <cellStyle name="Note 2 6 3 5" xfId="17117" xr:uid="{00000000-0005-0000-0000-0000FFBE0000}"/>
    <cellStyle name="Note 2 6 3 5 2" xfId="21581" xr:uid="{00000000-0005-0000-0000-000000BF0000}"/>
    <cellStyle name="Note 2 6 3 5 2 2" xfId="31949" xr:uid="{00000000-0005-0000-0000-000001BF0000}"/>
    <cellStyle name="Note 2 6 3 5 2 2 2" xfId="51138" xr:uid="{00000000-0005-0000-0000-000002BF0000}"/>
    <cellStyle name="Note 2 6 3 5 2 3" xfId="41440" xr:uid="{00000000-0005-0000-0000-000003BF0000}"/>
    <cellStyle name="Note 2 6 3 5 3" xfId="27494" xr:uid="{00000000-0005-0000-0000-000004BF0000}"/>
    <cellStyle name="Note 2 6 3 5 3 2" xfId="46683" xr:uid="{00000000-0005-0000-0000-000005BF0000}"/>
    <cellStyle name="Note 2 6 3 5 4" xfId="36985" xr:uid="{00000000-0005-0000-0000-000006BF0000}"/>
    <cellStyle name="Note 2 6 3 6" xfId="17683" xr:uid="{00000000-0005-0000-0000-000007BF0000}"/>
    <cellStyle name="Note 2 6 3 6 2" xfId="22138" xr:uid="{00000000-0005-0000-0000-000008BF0000}"/>
    <cellStyle name="Note 2 6 3 6 2 2" xfId="32506" xr:uid="{00000000-0005-0000-0000-000009BF0000}"/>
    <cellStyle name="Note 2 6 3 6 2 2 2" xfId="51695" xr:uid="{00000000-0005-0000-0000-00000ABF0000}"/>
    <cellStyle name="Note 2 6 3 6 2 3" xfId="41997" xr:uid="{00000000-0005-0000-0000-00000BBF0000}"/>
    <cellStyle name="Note 2 6 3 6 3" xfId="28051" xr:uid="{00000000-0005-0000-0000-00000CBF0000}"/>
    <cellStyle name="Note 2 6 3 6 3 2" xfId="47240" xr:uid="{00000000-0005-0000-0000-00000DBF0000}"/>
    <cellStyle name="Note 2 6 3 6 4" xfId="37542" xr:uid="{00000000-0005-0000-0000-00000EBF0000}"/>
    <cellStyle name="Note 2 6 3 7" xfId="18240" xr:uid="{00000000-0005-0000-0000-00000FBF0000}"/>
    <cellStyle name="Note 2 6 3 7 2" xfId="28608" xr:uid="{00000000-0005-0000-0000-000010BF0000}"/>
    <cellStyle name="Note 2 6 3 7 2 2" xfId="47797" xr:uid="{00000000-0005-0000-0000-000011BF0000}"/>
    <cellStyle name="Note 2 6 3 7 3" xfId="38099" xr:uid="{00000000-0005-0000-0000-000012BF0000}"/>
    <cellStyle name="Note 2 6 3 8" xfId="24108" xr:uid="{00000000-0005-0000-0000-000013BF0000}"/>
    <cellStyle name="Note 2 6 3 8 2" xfId="43342" xr:uid="{00000000-0005-0000-0000-000014BF0000}"/>
    <cellStyle name="Note 2 6 3 9" xfId="33644" xr:uid="{00000000-0005-0000-0000-000015BF0000}"/>
    <cellStyle name="Note 2 6 4" xfId="53515" xr:uid="{00000000-0005-0000-0000-000016BF0000}"/>
    <cellStyle name="Note 2 6 5" xfId="52630" xr:uid="{00000000-0005-0000-0000-000017BF0000}"/>
    <cellStyle name="Note 2 6 6" xfId="12533" xr:uid="{00000000-0005-0000-0000-000018BF0000}"/>
    <cellStyle name="Note 2 7" xfId="5428" xr:uid="{00000000-0005-0000-0000-000019BF0000}"/>
    <cellStyle name="Note 2 7 10" xfId="52658" xr:uid="{00000000-0005-0000-0000-00001ABF0000}"/>
    <cellStyle name="Note 2 7 11" xfId="12678" xr:uid="{00000000-0005-0000-0000-00001BBF0000}"/>
    <cellStyle name="Note 2 7 2" xfId="13802" xr:uid="{00000000-0005-0000-0000-00001CBF0000}"/>
    <cellStyle name="Note 2 7 2 2" xfId="16066" xr:uid="{00000000-0005-0000-0000-00001DBF0000}"/>
    <cellStyle name="Note 2 7 2 2 2" xfId="20530" xr:uid="{00000000-0005-0000-0000-00001EBF0000}"/>
    <cellStyle name="Note 2 7 2 2 2 2" xfId="30898" xr:uid="{00000000-0005-0000-0000-00001FBF0000}"/>
    <cellStyle name="Note 2 7 2 2 2 2 2" xfId="50087" xr:uid="{00000000-0005-0000-0000-000020BF0000}"/>
    <cellStyle name="Note 2 7 2 2 2 3" xfId="40389" xr:uid="{00000000-0005-0000-0000-000021BF0000}"/>
    <cellStyle name="Note 2 7 2 2 3" xfId="26443" xr:uid="{00000000-0005-0000-0000-000022BF0000}"/>
    <cellStyle name="Note 2 7 2 2 3 2" xfId="45632" xr:uid="{00000000-0005-0000-0000-000023BF0000}"/>
    <cellStyle name="Note 2 7 2 2 4" xfId="35934" xr:uid="{00000000-0005-0000-0000-000024BF0000}"/>
    <cellStyle name="Note 2 7 2 2 5" xfId="53939" xr:uid="{00000000-0005-0000-0000-000025BF0000}"/>
    <cellStyle name="Note 2 7 2 3" xfId="18302" xr:uid="{00000000-0005-0000-0000-000026BF0000}"/>
    <cellStyle name="Note 2 7 2 3 2" xfId="28670" xr:uid="{00000000-0005-0000-0000-000027BF0000}"/>
    <cellStyle name="Note 2 7 2 3 2 2" xfId="47859" xr:uid="{00000000-0005-0000-0000-000028BF0000}"/>
    <cellStyle name="Note 2 7 2 3 3" xfId="38161" xr:uid="{00000000-0005-0000-0000-000029BF0000}"/>
    <cellStyle name="Note 2 7 2 4" xfId="24210" xr:uid="{00000000-0005-0000-0000-00002ABF0000}"/>
    <cellStyle name="Note 2 7 2 4 2" xfId="43404" xr:uid="{00000000-0005-0000-0000-00002BBF0000}"/>
    <cellStyle name="Note 2 7 2 5" xfId="33706" xr:uid="{00000000-0005-0000-0000-00002CBF0000}"/>
    <cellStyle name="Note 2 7 2 6" xfId="53086" xr:uid="{00000000-0005-0000-0000-00002DBF0000}"/>
    <cellStyle name="Note 2 7 3" xfId="14381" xr:uid="{00000000-0005-0000-0000-00002EBF0000}"/>
    <cellStyle name="Note 2 7 3 2" xfId="15510" xr:uid="{00000000-0005-0000-0000-00002FBF0000}"/>
    <cellStyle name="Note 2 7 3 2 2" xfId="19974" xr:uid="{00000000-0005-0000-0000-000030BF0000}"/>
    <cellStyle name="Note 2 7 3 2 2 2" xfId="30342" xr:uid="{00000000-0005-0000-0000-000031BF0000}"/>
    <cellStyle name="Note 2 7 3 2 2 2 2" xfId="49531" xr:uid="{00000000-0005-0000-0000-000032BF0000}"/>
    <cellStyle name="Note 2 7 3 2 2 3" xfId="39833" xr:uid="{00000000-0005-0000-0000-000033BF0000}"/>
    <cellStyle name="Note 2 7 3 2 3" xfId="25887" xr:uid="{00000000-0005-0000-0000-000034BF0000}"/>
    <cellStyle name="Note 2 7 3 2 3 2" xfId="45076" xr:uid="{00000000-0005-0000-0000-000035BF0000}"/>
    <cellStyle name="Note 2 7 3 2 4" xfId="35378" xr:uid="{00000000-0005-0000-0000-000036BF0000}"/>
    <cellStyle name="Note 2 7 3 3" xfId="18859" xr:uid="{00000000-0005-0000-0000-000037BF0000}"/>
    <cellStyle name="Note 2 7 3 3 2" xfId="29227" xr:uid="{00000000-0005-0000-0000-000038BF0000}"/>
    <cellStyle name="Note 2 7 3 3 2 2" xfId="48416" xr:uid="{00000000-0005-0000-0000-000039BF0000}"/>
    <cellStyle name="Note 2 7 3 3 3" xfId="38718" xr:uid="{00000000-0005-0000-0000-00003ABF0000}"/>
    <cellStyle name="Note 2 7 3 4" xfId="24772" xr:uid="{00000000-0005-0000-0000-00003BBF0000}"/>
    <cellStyle name="Note 2 7 3 4 2" xfId="43961" xr:uid="{00000000-0005-0000-0000-00003CBF0000}"/>
    <cellStyle name="Note 2 7 3 5" xfId="34263" xr:uid="{00000000-0005-0000-0000-00003DBF0000}"/>
    <cellStyle name="Note 2 7 3 6" xfId="53543" xr:uid="{00000000-0005-0000-0000-00003EBF0000}"/>
    <cellStyle name="Note 2 7 4" xfId="14953" xr:uid="{00000000-0005-0000-0000-00003FBF0000}"/>
    <cellStyle name="Note 2 7 4 2" xfId="19417" xr:uid="{00000000-0005-0000-0000-000040BF0000}"/>
    <cellStyle name="Note 2 7 4 2 2" xfId="29785" xr:uid="{00000000-0005-0000-0000-000041BF0000}"/>
    <cellStyle name="Note 2 7 4 2 2 2" xfId="48974" xr:uid="{00000000-0005-0000-0000-000042BF0000}"/>
    <cellStyle name="Note 2 7 4 2 3" xfId="39276" xr:uid="{00000000-0005-0000-0000-000043BF0000}"/>
    <cellStyle name="Note 2 7 4 3" xfId="25330" xr:uid="{00000000-0005-0000-0000-000044BF0000}"/>
    <cellStyle name="Note 2 7 4 3 2" xfId="44519" xr:uid="{00000000-0005-0000-0000-000045BF0000}"/>
    <cellStyle name="Note 2 7 4 4" xfId="34821" xr:uid="{00000000-0005-0000-0000-000046BF0000}"/>
    <cellStyle name="Note 2 7 5" xfId="16623" xr:uid="{00000000-0005-0000-0000-000047BF0000}"/>
    <cellStyle name="Note 2 7 5 2" xfId="21087" xr:uid="{00000000-0005-0000-0000-000048BF0000}"/>
    <cellStyle name="Note 2 7 5 2 2" xfId="31455" xr:uid="{00000000-0005-0000-0000-000049BF0000}"/>
    <cellStyle name="Note 2 7 5 2 2 2" xfId="50644" xr:uid="{00000000-0005-0000-0000-00004ABF0000}"/>
    <cellStyle name="Note 2 7 5 2 3" xfId="40946" xr:uid="{00000000-0005-0000-0000-00004BBF0000}"/>
    <cellStyle name="Note 2 7 5 3" xfId="27000" xr:uid="{00000000-0005-0000-0000-00004CBF0000}"/>
    <cellStyle name="Note 2 7 5 3 2" xfId="46189" xr:uid="{00000000-0005-0000-0000-00004DBF0000}"/>
    <cellStyle name="Note 2 7 5 4" xfId="36491" xr:uid="{00000000-0005-0000-0000-00004EBF0000}"/>
    <cellStyle name="Note 2 7 6" xfId="17189" xr:uid="{00000000-0005-0000-0000-00004FBF0000}"/>
    <cellStyle name="Note 2 7 6 2" xfId="21644" xr:uid="{00000000-0005-0000-0000-000050BF0000}"/>
    <cellStyle name="Note 2 7 6 2 2" xfId="32012" xr:uid="{00000000-0005-0000-0000-000051BF0000}"/>
    <cellStyle name="Note 2 7 6 2 2 2" xfId="51201" xr:uid="{00000000-0005-0000-0000-000052BF0000}"/>
    <cellStyle name="Note 2 7 6 2 3" xfId="41503" xr:uid="{00000000-0005-0000-0000-000053BF0000}"/>
    <cellStyle name="Note 2 7 6 3" xfId="27557" xr:uid="{00000000-0005-0000-0000-000054BF0000}"/>
    <cellStyle name="Note 2 7 6 3 2" xfId="46746" xr:uid="{00000000-0005-0000-0000-000055BF0000}"/>
    <cellStyle name="Note 2 7 6 4" xfId="37048" xr:uid="{00000000-0005-0000-0000-000056BF0000}"/>
    <cellStyle name="Note 2 7 7" xfId="17746" xr:uid="{00000000-0005-0000-0000-000057BF0000}"/>
    <cellStyle name="Note 2 7 7 2" xfId="28114" xr:uid="{00000000-0005-0000-0000-000058BF0000}"/>
    <cellStyle name="Note 2 7 7 2 2" xfId="47303" xr:uid="{00000000-0005-0000-0000-000059BF0000}"/>
    <cellStyle name="Note 2 7 7 3" xfId="37605" xr:uid="{00000000-0005-0000-0000-00005ABF0000}"/>
    <cellStyle name="Note 2 7 8" xfId="23561" xr:uid="{00000000-0005-0000-0000-00005BBF0000}"/>
    <cellStyle name="Note 2 7 8 2" xfId="42848" xr:uid="{00000000-0005-0000-0000-00005CBF0000}"/>
    <cellStyle name="Note 2 7 9" xfId="33150" xr:uid="{00000000-0005-0000-0000-00005DBF0000}"/>
    <cellStyle name="Note 2 8" xfId="5429" xr:uid="{00000000-0005-0000-0000-00005EBF0000}"/>
    <cellStyle name="Note 2 8 10" xfId="52858" xr:uid="{00000000-0005-0000-0000-00005FBF0000}"/>
    <cellStyle name="Note 2 8 11" xfId="12879" xr:uid="{00000000-0005-0000-0000-000060BF0000}"/>
    <cellStyle name="Note 2 8 2" xfId="13843" xr:uid="{00000000-0005-0000-0000-000061BF0000}"/>
    <cellStyle name="Note 2 8 2 2" xfId="16107" xr:uid="{00000000-0005-0000-0000-000062BF0000}"/>
    <cellStyle name="Note 2 8 2 2 2" xfId="20571" xr:uid="{00000000-0005-0000-0000-000063BF0000}"/>
    <cellStyle name="Note 2 8 2 2 2 2" xfId="30939" xr:uid="{00000000-0005-0000-0000-000064BF0000}"/>
    <cellStyle name="Note 2 8 2 2 2 2 2" xfId="50128" xr:uid="{00000000-0005-0000-0000-000065BF0000}"/>
    <cellStyle name="Note 2 8 2 2 2 3" xfId="40430" xr:uid="{00000000-0005-0000-0000-000066BF0000}"/>
    <cellStyle name="Note 2 8 2 2 3" xfId="26484" xr:uid="{00000000-0005-0000-0000-000067BF0000}"/>
    <cellStyle name="Note 2 8 2 2 3 2" xfId="45673" xr:uid="{00000000-0005-0000-0000-000068BF0000}"/>
    <cellStyle name="Note 2 8 2 2 4" xfId="35975" xr:uid="{00000000-0005-0000-0000-000069BF0000}"/>
    <cellStyle name="Note 2 8 2 3" xfId="18343" xr:uid="{00000000-0005-0000-0000-00006ABF0000}"/>
    <cellStyle name="Note 2 8 2 3 2" xfId="28711" xr:uid="{00000000-0005-0000-0000-00006BBF0000}"/>
    <cellStyle name="Note 2 8 2 3 2 2" xfId="47900" xr:uid="{00000000-0005-0000-0000-00006CBF0000}"/>
    <cellStyle name="Note 2 8 2 3 3" xfId="38202" xr:uid="{00000000-0005-0000-0000-00006DBF0000}"/>
    <cellStyle name="Note 2 8 2 4" xfId="24251" xr:uid="{00000000-0005-0000-0000-00006EBF0000}"/>
    <cellStyle name="Note 2 8 2 4 2" xfId="43445" xr:uid="{00000000-0005-0000-0000-00006FBF0000}"/>
    <cellStyle name="Note 2 8 2 5" xfId="33747" xr:uid="{00000000-0005-0000-0000-000070BF0000}"/>
    <cellStyle name="Note 2 8 2 6" xfId="53742" xr:uid="{00000000-0005-0000-0000-000071BF0000}"/>
    <cellStyle name="Note 2 8 3" xfId="14422" xr:uid="{00000000-0005-0000-0000-000072BF0000}"/>
    <cellStyle name="Note 2 8 3 2" xfId="15551" xr:uid="{00000000-0005-0000-0000-000073BF0000}"/>
    <cellStyle name="Note 2 8 3 2 2" xfId="20015" xr:uid="{00000000-0005-0000-0000-000074BF0000}"/>
    <cellStyle name="Note 2 8 3 2 2 2" xfId="30383" xr:uid="{00000000-0005-0000-0000-000075BF0000}"/>
    <cellStyle name="Note 2 8 3 2 2 2 2" xfId="49572" xr:uid="{00000000-0005-0000-0000-000076BF0000}"/>
    <cellStyle name="Note 2 8 3 2 2 3" xfId="39874" xr:uid="{00000000-0005-0000-0000-000077BF0000}"/>
    <cellStyle name="Note 2 8 3 2 3" xfId="25928" xr:uid="{00000000-0005-0000-0000-000078BF0000}"/>
    <cellStyle name="Note 2 8 3 2 3 2" xfId="45117" xr:uid="{00000000-0005-0000-0000-000079BF0000}"/>
    <cellStyle name="Note 2 8 3 2 4" xfId="35419" xr:uid="{00000000-0005-0000-0000-00007ABF0000}"/>
    <cellStyle name="Note 2 8 3 3" xfId="18900" xr:uid="{00000000-0005-0000-0000-00007BBF0000}"/>
    <cellStyle name="Note 2 8 3 3 2" xfId="29268" xr:uid="{00000000-0005-0000-0000-00007CBF0000}"/>
    <cellStyle name="Note 2 8 3 3 2 2" xfId="48457" xr:uid="{00000000-0005-0000-0000-00007DBF0000}"/>
    <cellStyle name="Note 2 8 3 3 3" xfId="38759" xr:uid="{00000000-0005-0000-0000-00007EBF0000}"/>
    <cellStyle name="Note 2 8 3 4" xfId="24813" xr:uid="{00000000-0005-0000-0000-00007FBF0000}"/>
    <cellStyle name="Note 2 8 3 4 2" xfId="44002" xr:uid="{00000000-0005-0000-0000-000080BF0000}"/>
    <cellStyle name="Note 2 8 3 5" xfId="34304" xr:uid="{00000000-0005-0000-0000-000081BF0000}"/>
    <cellStyle name="Note 2 8 4" xfId="14994" xr:uid="{00000000-0005-0000-0000-000082BF0000}"/>
    <cellStyle name="Note 2 8 4 2" xfId="19458" xr:uid="{00000000-0005-0000-0000-000083BF0000}"/>
    <cellStyle name="Note 2 8 4 2 2" xfId="29826" xr:uid="{00000000-0005-0000-0000-000084BF0000}"/>
    <cellStyle name="Note 2 8 4 2 2 2" xfId="49015" xr:uid="{00000000-0005-0000-0000-000085BF0000}"/>
    <cellStyle name="Note 2 8 4 2 3" xfId="39317" xr:uid="{00000000-0005-0000-0000-000086BF0000}"/>
    <cellStyle name="Note 2 8 4 3" xfId="25371" xr:uid="{00000000-0005-0000-0000-000087BF0000}"/>
    <cellStyle name="Note 2 8 4 3 2" xfId="44560" xr:uid="{00000000-0005-0000-0000-000088BF0000}"/>
    <cellStyle name="Note 2 8 4 4" xfId="34862" xr:uid="{00000000-0005-0000-0000-000089BF0000}"/>
    <cellStyle name="Note 2 8 5" xfId="16664" xr:uid="{00000000-0005-0000-0000-00008ABF0000}"/>
    <cellStyle name="Note 2 8 5 2" xfId="21128" xr:uid="{00000000-0005-0000-0000-00008BBF0000}"/>
    <cellStyle name="Note 2 8 5 2 2" xfId="31496" xr:uid="{00000000-0005-0000-0000-00008CBF0000}"/>
    <cellStyle name="Note 2 8 5 2 2 2" xfId="50685" xr:uid="{00000000-0005-0000-0000-00008DBF0000}"/>
    <cellStyle name="Note 2 8 5 2 3" xfId="40987" xr:uid="{00000000-0005-0000-0000-00008EBF0000}"/>
    <cellStyle name="Note 2 8 5 3" xfId="27041" xr:uid="{00000000-0005-0000-0000-00008FBF0000}"/>
    <cellStyle name="Note 2 8 5 3 2" xfId="46230" xr:uid="{00000000-0005-0000-0000-000090BF0000}"/>
    <cellStyle name="Note 2 8 5 4" xfId="36532" xr:uid="{00000000-0005-0000-0000-000091BF0000}"/>
    <cellStyle name="Note 2 8 6" xfId="17230" xr:uid="{00000000-0005-0000-0000-000092BF0000}"/>
    <cellStyle name="Note 2 8 6 2" xfId="21685" xr:uid="{00000000-0005-0000-0000-000093BF0000}"/>
    <cellStyle name="Note 2 8 6 2 2" xfId="32053" xr:uid="{00000000-0005-0000-0000-000094BF0000}"/>
    <cellStyle name="Note 2 8 6 2 2 2" xfId="51242" xr:uid="{00000000-0005-0000-0000-000095BF0000}"/>
    <cellStyle name="Note 2 8 6 2 3" xfId="41544" xr:uid="{00000000-0005-0000-0000-000096BF0000}"/>
    <cellStyle name="Note 2 8 6 3" xfId="27598" xr:uid="{00000000-0005-0000-0000-000097BF0000}"/>
    <cellStyle name="Note 2 8 6 3 2" xfId="46787" xr:uid="{00000000-0005-0000-0000-000098BF0000}"/>
    <cellStyle name="Note 2 8 6 4" xfId="37089" xr:uid="{00000000-0005-0000-0000-000099BF0000}"/>
    <cellStyle name="Note 2 8 7" xfId="17787" xr:uid="{00000000-0005-0000-0000-00009ABF0000}"/>
    <cellStyle name="Note 2 8 7 2" xfId="28155" xr:uid="{00000000-0005-0000-0000-00009BBF0000}"/>
    <cellStyle name="Note 2 8 7 2 2" xfId="47344" xr:uid="{00000000-0005-0000-0000-00009CBF0000}"/>
    <cellStyle name="Note 2 8 7 3" xfId="37646" xr:uid="{00000000-0005-0000-0000-00009DBF0000}"/>
    <cellStyle name="Note 2 8 8" xfId="23647" xr:uid="{00000000-0005-0000-0000-00009EBF0000}"/>
    <cellStyle name="Note 2 8 8 2" xfId="42889" xr:uid="{00000000-0005-0000-0000-00009FBF0000}"/>
    <cellStyle name="Note 2 8 9" xfId="33191" xr:uid="{00000000-0005-0000-0000-0000A0BF0000}"/>
    <cellStyle name="Note 2 9" xfId="5430" xr:uid="{00000000-0005-0000-0000-0000A1BF0000}"/>
    <cellStyle name="Note 2 9 2" xfId="54139" xr:uid="{00000000-0005-0000-0000-0000A2BF0000}"/>
    <cellStyle name="Note 2 9 3" xfId="53287" xr:uid="{00000000-0005-0000-0000-0000A3BF0000}"/>
    <cellStyle name="Note 2 9 4" xfId="13403" xr:uid="{00000000-0005-0000-0000-0000A4BF0000}"/>
    <cellStyle name="Note 20" xfId="22834" xr:uid="{00000000-0005-0000-0000-0000A5BF0000}"/>
    <cellStyle name="Note 20 2" xfId="32918" xr:uid="{00000000-0005-0000-0000-0000A6BF0000}"/>
    <cellStyle name="Note 20 2 2" xfId="52104" xr:uid="{00000000-0005-0000-0000-0000A7BF0000}"/>
    <cellStyle name="Note 20 3" xfId="23191" xr:uid="{00000000-0005-0000-0000-0000A8BF0000}"/>
    <cellStyle name="Note 20 3 2" xfId="42759" xr:uid="{00000000-0005-0000-0000-0000A9BF0000}"/>
    <cellStyle name="Note 20 4" xfId="42406" xr:uid="{00000000-0005-0000-0000-0000AABF0000}"/>
    <cellStyle name="Note 21" xfId="22849" xr:uid="{00000000-0005-0000-0000-0000ABBF0000}"/>
    <cellStyle name="Note 21 2" xfId="32933" xr:uid="{00000000-0005-0000-0000-0000ACBF0000}"/>
    <cellStyle name="Note 21 2 2" xfId="52119" xr:uid="{00000000-0005-0000-0000-0000ADBF0000}"/>
    <cellStyle name="Note 21 3" xfId="23206" xr:uid="{00000000-0005-0000-0000-0000AEBF0000}"/>
    <cellStyle name="Note 21 3 2" xfId="42774" xr:uid="{00000000-0005-0000-0000-0000AFBF0000}"/>
    <cellStyle name="Note 21 4" xfId="42421" xr:uid="{00000000-0005-0000-0000-0000B0BF0000}"/>
    <cellStyle name="Note 22" xfId="33136" xr:uid="{00000000-0005-0000-0000-0000B1BF0000}"/>
    <cellStyle name="Note 23" xfId="52441" xr:uid="{00000000-0005-0000-0000-0000B2BF0000}"/>
    <cellStyle name="Note 24" xfId="11952" xr:uid="{00000000-0005-0000-0000-0000B3BF0000}"/>
    <cellStyle name="Note 3" xfId="1239" xr:uid="{00000000-0005-0000-0000-0000B4BF0000}"/>
    <cellStyle name="Note 3 2" xfId="5432" xr:uid="{00000000-0005-0000-0000-0000B5BF0000}"/>
    <cellStyle name="Note 3 2 2" xfId="52622" xr:uid="{00000000-0005-0000-0000-0000B6BF0000}"/>
    <cellStyle name="Note 3 2 3" xfId="13404" xr:uid="{00000000-0005-0000-0000-0000B7BF0000}"/>
    <cellStyle name="Note 3 3" xfId="5433" xr:uid="{00000000-0005-0000-0000-0000B8BF0000}"/>
    <cellStyle name="Note 3 3 2" xfId="13405" xr:uid="{00000000-0005-0000-0000-0000B9BF0000}"/>
    <cellStyle name="Note 3 4" xfId="5431" xr:uid="{00000000-0005-0000-0000-0000BABF0000}"/>
    <cellStyle name="Note 3 4 2" xfId="13560" xr:uid="{00000000-0005-0000-0000-0000BBBF0000}"/>
    <cellStyle name="Note 3 5" xfId="12534" xr:uid="{00000000-0005-0000-0000-0000BCBF0000}"/>
    <cellStyle name="Note 3 6" xfId="22463" xr:uid="{00000000-0005-0000-0000-0000BDBF0000}"/>
    <cellStyle name="Note 3 7" xfId="23331" xr:uid="{00000000-0005-0000-0000-0000BEBF0000}"/>
    <cellStyle name="Note 3 8" xfId="52481" xr:uid="{00000000-0005-0000-0000-0000BFBF0000}"/>
    <cellStyle name="Note 3 9" xfId="12080" xr:uid="{00000000-0005-0000-0000-0000C0BF0000}"/>
    <cellStyle name="Note 4" xfId="1240" xr:uid="{00000000-0005-0000-0000-0000C1BF0000}"/>
    <cellStyle name="Note 4 2" xfId="5435" xr:uid="{00000000-0005-0000-0000-0000C2BF0000}"/>
    <cellStyle name="Note 4 2 2" xfId="13406" xr:uid="{00000000-0005-0000-0000-0000C3BF0000}"/>
    <cellStyle name="Note 4 3" xfId="5434" xr:uid="{00000000-0005-0000-0000-0000C4BF0000}"/>
    <cellStyle name="Note 4 3 2" xfId="22464" xr:uid="{00000000-0005-0000-0000-0000C5BF0000}"/>
    <cellStyle name="Note 4 4" xfId="23557" xr:uid="{00000000-0005-0000-0000-0000C6BF0000}"/>
    <cellStyle name="Note 4 5" xfId="12075" xr:uid="{00000000-0005-0000-0000-0000C7BF0000}"/>
    <cellStyle name="Note 5" xfId="1241" xr:uid="{00000000-0005-0000-0000-0000C8BF0000}"/>
    <cellStyle name="Note 5 2" xfId="5437" xr:uid="{00000000-0005-0000-0000-0000C9BF0000}"/>
    <cellStyle name="Note 5 2 2" xfId="13407" xr:uid="{00000000-0005-0000-0000-0000CABF0000}"/>
    <cellStyle name="Note 5 3" xfId="5436" xr:uid="{00000000-0005-0000-0000-0000CBBF0000}"/>
    <cellStyle name="Note 5 3 2" xfId="22465" xr:uid="{00000000-0005-0000-0000-0000CCBF0000}"/>
    <cellStyle name="Note 5 4" xfId="23646" xr:uid="{00000000-0005-0000-0000-0000CDBF0000}"/>
    <cellStyle name="Note 5 5" xfId="12878" xr:uid="{00000000-0005-0000-0000-0000CEBF0000}"/>
    <cellStyle name="Note 6" xfId="1242" xr:uid="{00000000-0005-0000-0000-0000CFBF0000}"/>
    <cellStyle name="Note 6 2" xfId="5439" xr:uid="{00000000-0005-0000-0000-0000D0BF0000}"/>
    <cellStyle name="Note 6 2 2" xfId="13408" xr:uid="{00000000-0005-0000-0000-0000D1BF0000}"/>
    <cellStyle name="Note 6 3" xfId="5438" xr:uid="{00000000-0005-0000-0000-0000D2BF0000}"/>
    <cellStyle name="Note 7" xfId="1243" xr:uid="{00000000-0005-0000-0000-0000D3BF0000}"/>
    <cellStyle name="Note 7 2" xfId="5441" xr:uid="{00000000-0005-0000-0000-0000D4BF0000}"/>
    <cellStyle name="Note 7 2 2" xfId="13409" xr:uid="{00000000-0005-0000-0000-0000D5BF0000}"/>
    <cellStyle name="Note 7 3" xfId="5440" xr:uid="{00000000-0005-0000-0000-0000D6BF0000}"/>
    <cellStyle name="Note 8" xfId="1244" xr:uid="{00000000-0005-0000-0000-0000D7BF0000}"/>
    <cellStyle name="Note 8 2" xfId="5443" xr:uid="{00000000-0005-0000-0000-0000D8BF0000}"/>
    <cellStyle name="Note 8 2 2" xfId="5444" xr:uid="{00000000-0005-0000-0000-0000D9BF0000}"/>
    <cellStyle name="Note 8 2 2 2" xfId="5445" xr:uid="{00000000-0005-0000-0000-0000DABF0000}"/>
    <cellStyle name="Note 8 2 2 2 2" xfId="5446" xr:uid="{00000000-0005-0000-0000-0000DBBF0000}"/>
    <cellStyle name="Note 8 2 2 3" xfId="5447" xr:uid="{00000000-0005-0000-0000-0000DCBF0000}"/>
    <cellStyle name="Note 8 2 3" xfId="5448" xr:uid="{00000000-0005-0000-0000-0000DDBF0000}"/>
    <cellStyle name="Note 8 2 3 2" xfId="5449" xr:uid="{00000000-0005-0000-0000-0000DEBF0000}"/>
    <cellStyle name="Note 8 2 4" xfId="5450" xr:uid="{00000000-0005-0000-0000-0000DFBF0000}"/>
    <cellStyle name="Note 8 2 5" xfId="13410" xr:uid="{00000000-0005-0000-0000-0000E0BF0000}"/>
    <cellStyle name="Note 8 3" xfId="5451" xr:uid="{00000000-0005-0000-0000-0000E1BF0000}"/>
    <cellStyle name="Note 8 3 2" xfId="5452" xr:uid="{00000000-0005-0000-0000-0000E2BF0000}"/>
    <cellStyle name="Note 8 3 2 2" xfId="5453" xr:uid="{00000000-0005-0000-0000-0000E3BF0000}"/>
    <cellStyle name="Note 8 3 2 2 2" xfId="5454" xr:uid="{00000000-0005-0000-0000-0000E4BF0000}"/>
    <cellStyle name="Note 8 3 2 3" xfId="5455" xr:uid="{00000000-0005-0000-0000-0000E5BF0000}"/>
    <cellStyle name="Note 8 3 3" xfId="5456" xr:uid="{00000000-0005-0000-0000-0000E6BF0000}"/>
    <cellStyle name="Note 8 3 3 2" xfId="5457" xr:uid="{00000000-0005-0000-0000-0000E7BF0000}"/>
    <cellStyle name="Note 8 3 4" xfId="5458" xr:uid="{00000000-0005-0000-0000-0000E8BF0000}"/>
    <cellStyle name="Note 8 4" xfId="5459" xr:uid="{00000000-0005-0000-0000-0000E9BF0000}"/>
    <cellStyle name="Note 8 4 2" xfId="5460" xr:uid="{00000000-0005-0000-0000-0000EABF0000}"/>
    <cellStyle name="Note 8 4 2 2" xfId="5461" xr:uid="{00000000-0005-0000-0000-0000EBBF0000}"/>
    <cellStyle name="Note 8 4 3" xfId="5462" xr:uid="{00000000-0005-0000-0000-0000ECBF0000}"/>
    <cellStyle name="Note 8 5" xfId="5463" xr:uid="{00000000-0005-0000-0000-0000EDBF0000}"/>
    <cellStyle name="Note 8 5 2" xfId="5464" xr:uid="{00000000-0005-0000-0000-0000EEBF0000}"/>
    <cellStyle name="Note 8 6" xfId="5465" xr:uid="{00000000-0005-0000-0000-0000EFBF0000}"/>
    <cellStyle name="Note 8 7" xfId="5442" xr:uid="{00000000-0005-0000-0000-0000F0BF0000}"/>
    <cellStyle name="Note 9" xfId="1245" xr:uid="{00000000-0005-0000-0000-0000F1BF0000}"/>
    <cellStyle name="Note 9 2" xfId="13411" xr:uid="{00000000-0005-0000-0000-0000F2BF0000}"/>
    <cellStyle name="Nr 0 dec" xfId="5466" xr:uid="{00000000-0005-0000-0000-0000F3BF0000}"/>
    <cellStyle name="Nr 0 dec - Input" xfId="5467" xr:uid="{00000000-0005-0000-0000-0000F4BF0000}"/>
    <cellStyle name="Nr 0 dec - Subtotal" xfId="5468" xr:uid="{00000000-0005-0000-0000-0000F5BF0000}"/>
    <cellStyle name="Nr 0 dec_Data" xfId="5469" xr:uid="{00000000-0005-0000-0000-0000F6BF0000}"/>
    <cellStyle name="Nr 1 dec" xfId="5470" xr:uid="{00000000-0005-0000-0000-0000F7BF0000}"/>
    <cellStyle name="Nr 1 dec - Input" xfId="5471" xr:uid="{00000000-0005-0000-0000-0000F8BF0000}"/>
    <cellStyle name="Nr, 0 dec" xfId="5472" xr:uid="{00000000-0005-0000-0000-0000F9BF0000}"/>
    <cellStyle name="number" xfId="5473" xr:uid="{00000000-0005-0000-0000-0000FABF0000}"/>
    <cellStyle name="Number, 1 dec" xfId="5474" xr:uid="{00000000-0005-0000-0000-0000FBBF0000}"/>
    <cellStyle name="Output (1dp#)" xfId="5475" xr:uid="{00000000-0005-0000-0000-0000FCBF0000}"/>
    <cellStyle name="Output (1dpx)_ Pies " xfId="5476" xr:uid="{00000000-0005-0000-0000-0000FDBF0000}"/>
    <cellStyle name="Output 10" xfId="1246" xr:uid="{00000000-0005-0000-0000-0000FEBF0000}"/>
    <cellStyle name="Output 11" xfId="1247" xr:uid="{00000000-0005-0000-0000-0000FFBF0000}"/>
    <cellStyle name="Output 12" xfId="1248" xr:uid="{00000000-0005-0000-0000-000000C00000}"/>
    <cellStyle name="Output 13" xfId="1249" xr:uid="{00000000-0005-0000-0000-000001C00000}"/>
    <cellStyle name="Output 14" xfId="1250" xr:uid="{00000000-0005-0000-0000-000002C00000}"/>
    <cellStyle name="Output 15" xfId="1251" xr:uid="{00000000-0005-0000-0000-000003C00000}"/>
    <cellStyle name="Output 16" xfId="1252" xr:uid="{00000000-0005-0000-0000-000004C00000}"/>
    <cellStyle name="Output 16 2" xfId="6159" xr:uid="{00000000-0005-0000-0000-000005C00000}"/>
    <cellStyle name="Output 16 3" xfId="22606" xr:uid="{00000000-0005-0000-0000-000006C00000}"/>
    <cellStyle name="Output 17" xfId="33129" xr:uid="{00000000-0005-0000-0000-000007C00000}"/>
    <cellStyle name="Output 18" xfId="52442" xr:uid="{00000000-0005-0000-0000-000008C00000}"/>
    <cellStyle name="Output 19" xfId="11953" xr:uid="{00000000-0005-0000-0000-000009C00000}"/>
    <cellStyle name="Output 2" xfId="1253" xr:uid="{00000000-0005-0000-0000-00000AC00000}"/>
    <cellStyle name="Output 2 10" xfId="5477" xr:uid="{00000000-0005-0000-0000-00000BC00000}"/>
    <cellStyle name="Output 2 11" xfId="5992" xr:uid="{00000000-0005-0000-0000-00000CC00000}"/>
    <cellStyle name="Output 2 2" xfId="1254" xr:uid="{00000000-0005-0000-0000-00000DC00000}"/>
    <cellStyle name="Output 2 2 2" xfId="5479" xr:uid="{00000000-0005-0000-0000-00000EC00000}"/>
    <cellStyle name="Output 2 2 2 2" xfId="12760" xr:uid="{00000000-0005-0000-0000-00000FC00000}"/>
    <cellStyle name="Output 2 2 3" xfId="5478" xr:uid="{00000000-0005-0000-0000-000010C00000}"/>
    <cellStyle name="Output 2 2 3 2" xfId="12536" xr:uid="{00000000-0005-0000-0000-000011C00000}"/>
    <cellStyle name="Output 2 2 4" xfId="5991" xr:uid="{00000000-0005-0000-0000-000012C00000}"/>
    <cellStyle name="Output 2 2 4 2" xfId="22562" xr:uid="{00000000-0005-0000-0000-000013C00000}"/>
    <cellStyle name="Output 2 2 5" xfId="23333" xr:uid="{00000000-0005-0000-0000-000014C00000}"/>
    <cellStyle name="Output 2 2 6" xfId="12209" xr:uid="{00000000-0005-0000-0000-000015C00000}"/>
    <cellStyle name="Output 2 3" xfId="5480" xr:uid="{00000000-0005-0000-0000-000016C00000}"/>
    <cellStyle name="Output 2 3 2" xfId="13575" xr:uid="{00000000-0005-0000-0000-000017C00000}"/>
    <cellStyle name="Output 2 3 3" xfId="13795" xr:uid="{00000000-0005-0000-0000-000018C00000}"/>
    <cellStyle name="Output 2 3 4" xfId="14374" xr:uid="{00000000-0005-0000-0000-000019C00000}"/>
    <cellStyle name="Output 2 3 5" xfId="12537" xr:uid="{00000000-0005-0000-0000-00001AC00000}"/>
    <cellStyle name="Output 2 4" xfId="5481" xr:uid="{00000000-0005-0000-0000-00001BC00000}"/>
    <cellStyle name="Output 2 4 2" xfId="12673" xr:uid="{00000000-0005-0000-0000-00001CC00000}"/>
    <cellStyle name="Output 2 5" xfId="5482" xr:uid="{00000000-0005-0000-0000-00001DC00000}"/>
    <cellStyle name="Output 2 5 2" xfId="12881" xr:uid="{00000000-0005-0000-0000-00001EC00000}"/>
    <cellStyle name="Output 2 6" xfId="5483" xr:uid="{00000000-0005-0000-0000-00001FC00000}"/>
    <cellStyle name="Output 2 6 2" xfId="13519" xr:uid="{00000000-0005-0000-0000-000020C00000}"/>
    <cellStyle name="Output 2 7" xfId="5484" xr:uid="{00000000-0005-0000-0000-000021C00000}"/>
    <cellStyle name="Output 2 7 2" xfId="12535" xr:uid="{00000000-0005-0000-0000-000022C00000}"/>
    <cellStyle name="Output 2 8" xfId="5485" xr:uid="{00000000-0005-0000-0000-000023C00000}"/>
    <cellStyle name="Output 2 8 2" xfId="22466" xr:uid="{00000000-0005-0000-0000-000024C00000}"/>
    <cellStyle name="Output 2 9" xfId="5486" xr:uid="{00000000-0005-0000-0000-000025C00000}"/>
    <cellStyle name="Output 3" xfId="1255" xr:uid="{00000000-0005-0000-0000-000026C00000}"/>
    <cellStyle name="Output 3 2" xfId="13412" xr:uid="{00000000-0005-0000-0000-000027C00000}"/>
    <cellStyle name="Output 3 3" xfId="13561" xr:uid="{00000000-0005-0000-0000-000028C00000}"/>
    <cellStyle name="Output 3 4" xfId="22467" xr:uid="{00000000-0005-0000-0000-000029C00000}"/>
    <cellStyle name="Output 3 5" xfId="23462" xr:uid="{00000000-0005-0000-0000-00002AC00000}"/>
    <cellStyle name="Output 3 6" xfId="52482" xr:uid="{00000000-0005-0000-0000-00002BC00000}"/>
    <cellStyle name="Output 3 7" xfId="12538" xr:uid="{00000000-0005-0000-0000-00002CC00000}"/>
    <cellStyle name="Output 4" xfId="1256" xr:uid="{00000000-0005-0000-0000-00002DC00000}"/>
    <cellStyle name="Output 4 2" xfId="13719" xr:uid="{00000000-0005-0000-0000-00002EC00000}"/>
    <cellStyle name="Output 4 3" xfId="22468" xr:uid="{00000000-0005-0000-0000-00002FC00000}"/>
    <cellStyle name="Output 4 4" xfId="23463" xr:uid="{00000000-0005-0000-0000-000030C00000}"/>
    <cellStyle name="Output 4 5" xfId="12539" xr:uid="{00000000-0005-0000-0000-000031C00000}"/>
    <cellStyle name="Output 5" xfId="1257" xr:uid="{00000000-0005-0000-0000-000032C00000}"/>
    <cellStyle name="Output 5 2" xfId="22469" xr:uid="{00000000-0005-0000-0000-000033C00000}"/>
    <cellStyle name="Output 5 3" xfId="23558" xr:uid="{00000000-0005-0000-0000-000034C00000}"/>
    <cellStyle name="Output 5 4" xfId="12660" xr:uid="{00000000-0005-0000-0000-000035C00000}"/>
    <cellStyle name="Output 6" xfId="1258" xr:uid="{00000000-0005-0000-0000-000036C00000}"/>
    <cellStyle name="Output 6 2" xfId="22470" xr:uid="{00000000-0005-0000-0000-000037C00000}"/>
    <cellStyle name="Output 6 3" xfId="23648" xr:uid="{00000000-0005-0000-0000-000038C00000}"/>
    <cellStyle name="Output 6 4" xfId="12880" xr:uid="{00000000-0005-0000-0000-000039C00000}"/>
    <cellStyle name="Output 7" xfId="1259" xr:uid="{00000000-0005-0000-0000-00003AC00000}"/>
    <cellStyle name="Output 8" xfId="1260" xr:uid="{00000000-0005-0000-0000-00003BC00000}"/>
    <cellStyle name="Output 9" xfId="1261" xr:uid="{00000000-0005-0000-0000-00003CC00000}"/>
    <cellStyle name="Page Heading" xfId="5487" xr:uid="{00000000-0005-0000-0000-00003DC00000}"/>
    <cellStyle name="Page Heading Large" xfId="5488" xr:uid="{00000000-0005-0000-0000-00003EC00000}"/>
    <cellStyle name="Page Heading Small" xfId="5489" xr:uid="{00000000-0005-0000-0000-00003FC00000}"/>
    <cellStyle name="Page Number" xfId="5490" xr:uid="{00000000-0005-0000-0000-000040C00000}"/>
    <cellStyle name="pb_page_heading_LS" xfId="5491" xr:uid="{00000000-0005-0000-0000-000041C00000}"/>
    <cellStyle name="Per aandeel" xfId="5492" xr:uid="{00000000-0005-0000-0000-000042C00000}"/>
    <cellStyle name="Percent" xfId="2" builtinId="5"/>
    <cellStyle name="Percent (1)" xfId="5493" xr:uid="{00000000-0005-0000-0000-000044C00000}"/>
    <cellStyle name="Percent [0]" xfId="5494" xr:uid="{00000000-0005-0000-0000-000045C00000}"/>
    <cellStyle name="Percent [00]" xfId="5495" xr:uid="{00000000-0005-0000-0000-000046C00000}"/>
    <cellStyle name="Percent [1]" xfId="5496" xr:uid="{00000000-0005-0000-0000-000047C00000}"/>
    <cellStyle name="Percent [2]" xfId="1262" xr:uid="{00000000-0005-0000-0000-000048C00000}"/>
    <cellStyle name="Percent [2] 2" xfId="5498" xr:uid="{00000000-0005-0000-0000-000049C00000}"/>
    <cellStyle name="Percent [2] 2 2" xfId="13644" xr:uid="{00000000-0005-0000-0000-00004AC00000}"/>
    <cellStyle name="Percent [2] 2 3" xfId="12542" xr:uid="{00000000-0005-0000-0000-00004BC00000}"/>
    <cellStyle name="Percent [2] 3" xfId="5499" xr:uid="{00000000-0005-0000-0000-00004CC00000}"/>
    <cellStyle name="Percent [2] 4" xfId="5497" xr:uid="{00000000-0005-0000-0000-00004DC00000}"/>
    <cellStyle name="Percent [2] 4 2" xfId="12541" xr:uid="{00000000-0005-0000-0000-00004EC00000}"/>
    <cellStyle name="Percent 1 dec" xfId="5500" xr:uid="{00000000-0005-0000-0000-00004FC00000}"/>
    <cellStyle name="Percent 1 dec - Input" xfId="5501" xr:uid="{00000000-0005-0000-0000-000050C00000}"/>
    <cellStyle name="Percent 1 dec_Data" xfId="5502" xr:uid="{00000000-0005-0000-0000-000051C00000}"/>
    <cellStyle name="Percent 10" xfId="1263" xr:uid="{00000000-0005-0000-0000-000052C00000}"/>
    <cellStyle name="Percent 10 2" xfId="13450" xr:uid="{00000000-0005-0000-0000-000053C00000}"/>
    <cellStyle name="Percent 10 2 10" xfId="52691" xr:uid="{00000000-0005-0000-0000-000054C00000}"/>
    <cellStyle name="Percent 10 2 2" xfId="14307" xr:uid="{00000000-0005-0000-0000-000055C00000}"/>
    <cellStyle name="Percent 10 2 2 2" xfId="16570" xr:uid="{00000000-0005-0000-0000-000056C00000}"/>
    <cellStyle name="Percent 10 2 2 2 2" xfId="21034" xr:uid="{00000000-0005-0000-0000-000057C00000}"/>
    <cellStyle name="Percent 10 2 2 2 2 2" xfId="31402" xr:uid="{00000000-0005-0000-0000-000058C00000}"/>
    <cellStyle name="Percent 10 2 2 2 2 2 2" xfId="50591" xr:uid="{00000000-0005-0000-0000-000059C00000}"/>
    <cellStyle name="Percent 10 2 2 2 2 3" xfId="40893" xr:uid="{00000000-0005-0000-0000-00005AC00000}"/>
    <cellStyle name="Percent 10 2 2 2 3" xfId="26947" xr:uid="{00000000-0005-0000-0000-00005BC00000}"/>
    <cellStyle name="Percent 10 2 2 2 3 2" xfId="46136" xr:uid="{00000000-0005-0000-0000-00005CC00000}"/>
    <cellStyle name="Percent 10 2 2 2 4" xfId="36438" xr:uid="{00000000-0005-0000-0000-00005DC00000}"/>
    <cellStyle name="Percent 10 2 2 2 5" xfId="53972" xr:uid="{00000000-0005-0000-0000-00005EC00000}"/>
    <cellStyle name="Percent 10 2 2 3" xfId="18806" xr:uid="{00000000-0005-0000-0000-00005FC00000}"/>
    <cellStyle name="Percent 10 2 2 3 2" xfId="29174" xr:uid="{00000000-0005-0000-0000-000060C00000}"/>
    <cellStyle name="Percent 10 2 2 3 2 2" xfId="48363" xr:uid="{00000000-0005-0000-0000-000061C00000}"/>
    <cellStyle name="Percent 10 2 2 3 3" xfId="38665" xr:uid="{00000000-0005-0000-0000-000062C00000}"/>
    <cellStyle name="Percent 10 2 2 4" xfId="24714" xr:uid="{00000000-0005-0000-0000-000063C00000}"/>
    <cellStyle name="Percent 10 2 2 4 2" xfId="43908" xr:uid="{00000000-0005-0000-0000-000064C00000}"/>
    <cellStyle name="Percent 10 2 2 5" xfId="34210" xr:uid="{00000000-0005-0000-0000-000065C00000}"/>
    <cellStyle name="Percent 10 2 2 6" xfId="53119" xr:uid="{00000000-0005-0000-0000-000066C00000}"/>
    <cellStyle name="Percent 10 2 3" xfId="14886" xr:uid="{00000000-0005-0000-0000-000067C00000}"/>
    <cellStyle name="Percent 10 2 3 2" xfId="16014" xr:uid="{00000000-0005-0000-0000-000068C00000}"/>
    <cellStyle name="Percent 10 2 3 2 2" xfId="20478" xr:uid="{00000000-0005-0000-0000-000069C00000}"/>
    <cellStyle name="Percent 10 2 3 2 2 2" xfId="30846" xr:uid="{00000000-0005-0000-0000-00006AC00000}"/>
    <cellStyle name="Percent 10 2 3 2 2 2 2" xfId="50035" xr:uid="{00000000-0005-0000-0000-00006BC00000}"/>
    <cellStyle name="Percent 10 2 3 2 2 3" xfId="40337" xr:uid="{00000000-0005-0000-0000-00006CC00000}"/>
    <cellStyle name="Percent 10 2 3 2 3" xfId="26391" xr:uid="{00000000-0005-0000-0000-00006DC00000}"/>
    <cellStyle name="Percent 10 2 3 2 3 2" xfId="45580" xr:uid="{00000000-0005-0000-0000-00006EC00000}"/>
    <cellStyle name="Percent 10 2 3 2 4" xfId="35882" xr:uid="{00000000-0005-0000-0000-00006FC00000}"/>
    <cellStyle name="Percent 10 2 3 3" xfId="19363" xr:uid="{00000000-0005-0000-0000-000070C00000}"/>
    <cellStyle name="Percent 10 2 3 3 2" xfId="29731" xr:uid="{00000000-0005-0000-0000-000071C00000}"/>
    <cellStyle name="Percent 10 2 3 3 2 2" xfId="48920" xr:uid="{00000000-0005-0000-0000-000072C00000}"/>
    <cellStyle name="Percent 10 2 3 3 3" xfId="39222" xr:uid="{00000000-0005-0000-0000-000073C00000}"/>
    <cellStyle name="Percent 10 2 3 4" xfId="25276" xr:uid="{00000000-0005-0000-0000-000074C00000}"/>
    <cellStyle name="Percent 10 2 3 4 2" xfId="44465" xr:uid="{00000000-0005-0000-0000-000075C00000}"/>
    <cellStyle name="Percent 10 2 3 5" xfId="34767" xr:uid="{00000000-0005-0000-0000-000076C00000}"/>
    <cellStyle name="Percent 10 2 3 6" xfId="53576" xr:uid="{00000000-0005-0000-0000-000077C00000}"/>
    <cellStyle name="Percent 10 2 4" xfId="15457" xr:uid="{00000000-0005-0000-0000-000078C00000}"/>
    <cellStyle name="Percent 10 2 4 2" xfId="19921" xr:uid="{00000000-0005-0000-0000-000079C00000}"/>
    <cellStyle name="Percent 10 2 4 2 2" xfId="30289" xr:uid="{00000000-0005-0000-0000-00007AC00000}"/>
    <cellStyle name="Percent 10 2 4 2 2 2" xfId="49478" xr:uid="{00000000-0005-0000-0000-00007BC00000}"/>
    <cellStyle name="Percent 10 2 4 2 3" xfId="39780" xr:uid="{00000000-0005-0000-0000-00007CC00000}"/>
    <cellStyle name="Percent 10 2 4 3" xfId="25834" xr:uid="{00000000-0005-0000-0000-00007DC00000}"/>
    <cellStyle name="Percent 10 2 4 3 2" xfId="45023" xr:uid="{00000000-0005-0000-0000-00007EC00000}"/>
    <cellStyle name="Percent 10 2 4 4" xfId="35325" xr:uid="{00000000-0005-0000-0000-00007FC00000}"/>
    <cellStyle name="Percent 10 2 5" xfId="17127" xr:uid="{00000000-0005-0000-0000-000080C00000}"/>
    <cellStyle name="Percent 10 2 5 2" xfId="21591" xr:uid="{00000000-0005-0000-0000-000081C00000}"/>
    <cellStyle name="Percent 10 2 5 2 2" xfId="31959" xr:uid="{00000000-0005-0000-0000-000082C00000}"/>
    <cellStyle name="Percent 10 2 5 2 2 2" xfId="51148" xr:uid="{00000000-0005-0000-0000-000083C00000}"/>
    <cellStyle name="Percent 10 2 5 2 3" xfId="41450" xr:uid="{00000000-0005-0000-0000-000084C00000}"/>
    <cellStyle name="Percent 10 2 5 3" xfId="27504" xr:uid="{00000000-0005-0000-0000-000085C00000}"/>
    <cellStyle name="Percent 10 2 5 3 2" xfId="46693" xr:uid="{00000000-0005-0000-0000-000086C00000}"/>
    <cellStyle name="Percent 10 2 5 4" xfId="36995" xr:uid="{00000000-0005-0000-0000-000087C00000}"/>
    <cellStyle name="Percent 10 2 6" xfId="17693" xr:uid="{00000000-0005-0000-0000-000088C00000}"/>
    <cellStyle name="Percent 10 2 6 2" xfId="22148" xr:uid="{00000000-0005-0000-0000-000089C00000}"/>
    <cellStyle name="Percent 10 2 6 2 2" xfId="32516" xr:uid="{00000000-0005-0000-0000-00008AC00000}"/>
    <cellStyle name="Percent 10 2 6 2 2 2" xfId="51705" xr:uid="{00000000-0005-0000-0000-00008BC00000}"/>
    <cellStyle name="Percent 10 2 6 2 3" xfId="42007" xr:uid="{00000000-0005-0000-0000-00008CC00000}"/>
    <cellStyle name="Percent 10 2 6 3" xfId="28061" xr:uid="{00000000-0005-0000-0000-00008DC00000}"/>
    <cellStyle name="Percent 10 2 6 3 2" xfId="47250" xr:uid="{00000000-0005-0000-0000-00008EC00000}"/>
    <cellStyle name="Percent 10 2 6 4" xfId="37552" xr:uid="{00000000-0005-0000-0000-00008FC00000}"/>
    <cellStyle name="Percent 10 2 7" xfId="18250" xr:uid="{00000000-0005-0000-0000-000090C00000}"/>
    <cellStyle name="Percent 10 2 7 2" xfId="28618" xr:uid="{00000000-0005-0000-0000-000091C00000}"/>
    <cellStyle name="Percent 10 2 7 2 2" xfId="47807" xr:uid="{00000000-0005-0000-0000-000092C00000}"/>
    <cellStyle name="Percent 10 2 7 3" xfId="38109" xr:uid="{00000000-0005-0000-0000-000093C00000}"/>
    <cellStyle name="Percent 10 2 8" xfId="24132" xr:uid="{00000000-0005-0000-0000-000094C00000}"/>
    <cellStyle name="Percent 10 2 8 2" xfId="43352" xr:uid="{00000000-0005-0000-0000-000095C00000}"/>
    <cellStyle name="Percent 10 2 9" xfId="33654" xr:uid="{00000000-0005-0000-0000-000096C00000}"/>
    <cellStyle name="Percent 10 3" xfId="13614" xr:uid="{00000000-0005-0000-0000-000097C00000}"/>
    <cellStyle name="Percent 10 3 2" xfId="53776" xr:uid="{00000000-0005-0000-0000-000098C00000}"/>
    <cellStyle name="Percent 10 3 3" xfId="52901" xr:uid="{00000000-0005-0000-0000-000099C00000}"/>
    <cellStyle name="Percent 10 4" xfId="23464" xr:uid="{00000000-0005-0000-0000-00009AC00000}"/>
    <cellStyle name="Percent 10 4 2" xfId="53380" xr:uid="{00000000-0005-0000-0000-00009BC00000}"/>
    <cellStyle name="Percent 10 5" xfId="52487" xr:uid="{00000000-0005-0000-0000-00009CC00000}"/>
    <cellStyle name="Percent 10 6" xfId="12543" xr:uid="{00000000-0005-0000-0000-00009DC00000}"/>
    <cellStyle name="Percent 100" xfId="13760" xr:uid="{00000000-0005-0000-0000-00009EC00000}"/>
    <cellStyle name="Percent 101" xfId="13765" xr:uid="{00000000-0005-0000-0000-00009FC00000}"/>
    <cellStyle name="Percent 102" xfId="13751" xr:uid="{00000000-0005-0000-0000-0000A0C00000}"/>
    <cellStyle name="Percent 103" xfId="13767" xr:uid="{00000000-0005-0000-0000-0000A1C00000}"/>
    <cellStyle name="Percent 104" xfId="13766" xr:uid="{00000000-0005-0000-0000-0000A2C00000}"/>
    <cellStyle name="Percent 105" xfId="13752" xr:uid="{00000000-0005-0000-0000-0000A3C00000}"/>
    <cellStyle name="Percent 106" xfId="13755" xr:uid="{00000000-0005-0000-0000-0000A4C00000}"/>
    <cellStyle name="Percent 107" xfId="13772" xr:uid="{00000000-0005-0000-0000-0000A5C00000}"/>
    <cellStyle name="Percent 108" xfId="13756" xr:uid="{00000000-0005-0000-0000-0000A6C00000}"/>
    <cellStyle name="Percent 109" xfId="13771" xr:uid="{00000000-0005-0000-0000-0000A7C00000}"/>
    <cellStyle name="Percent 11" xfId="1264" xr:uid="{00000000-0005-0000-0000-0000A8C00000}"/>
    <cellStyle name="Percent 11 2" xfId="6226" xr:uid="{00000000-0005-0000-0000-0000A9C00000}"/>
    <cellStyle name="Percent 11 2 10" xfId="52725" xr:uid="{00000000-0005-0000-0000-0000AAC00000}"/>
    <cellStyle name="Percent 11 2 11" xfId="13466" xr:uid="{00000000-0005-0000-0000-0000ABC00000}"/>
    <cellStyle name="Percent 11 2 2" xfId="14323" xr:uid="{00000000-0005-0000-0000-0000ACC00000}"/>
    <cellStyle name="Percent 11 2 2 2" xfId="16586" xr:uid="{00000000-0005-0000-0000-0000ADC00000}"/>
    <cellStyle name="Percent 11 2 2 2 2" xfId="21050" xr:uid="{00000000-0005-0000-0000-0000AEC00000}"/>
    <cellStyle name="Percent 11 2 2 2 2 2" xfId="31418" xr:uid="{00000000-0005-0000-0000-0000AFC00000}"/>
    <cellStyle name="Percent 11 2 2 2 2 2 2" xfId="50607" xr:uid="{00000000-0005-0000-0000-0000B0C00000}"/>
    <cellStyle name="Percent 11 2 2 2 2 3" xfId="40909" xr:uid="{00000000-0005-0000-0000-0000B1C00000}"/>
    <cellStyle name="Percent 11 2 2 2 3" xfId="26963" xr:uid="{00000000-0005-0000-0000-0000B2C00000}"/>
    <cellStyle name="Percent 11 2 2 2 3 2" xfId="46152" xr:uid="{00000000-0005-0000-0000-0000B3C00000}"/>
    <cellStyle name="Percent 11 2 2 2 4" xfId="36454" xr:uid="{00000000-0005-0000-0000-0000B4C00000}"/>
    <cellStyle name="Percent 11 2 2 2 5" xfId="54006" xr:uid="{00000000-0005-0000-0000-0000B5C00000}"/>
    <cellStyle name="Percent 11 2 2 3" xfId="18822" xr:uid="{00000000-0005-0000-0000-0000B6C00000}"/>
    <cellStyle name="Percent 11 2 2 3 2" xfId="29190" xr:uid="{00000000-0005-0000-0000-0000B7C00000}"/>
    <cellStyle name="Percent 11 2 2 3 2 2" xfId="48379" xr:uid="{00000000-0005-0000-0000-0000B8C00000}"/>
    <cellStyle name="Percent 11 2 2 3 3" xfId="38681" xr:uid="{00000000-0005-0000-0000-0000B9C00000}"/>
    <cellStyle name="Percent 11 2 2 4" xfId="24730" xr:uid="{00000000-0005-0000-0000-0000BAC00000}"/>
    <cellStyle name="Percent 11 2 2 4 2" xfId="43924" xr:uid="{00000000-0005-0000-0000-0000BBC00000}"/>
    <cellStyle name="Percent 11 2 2 5" xfId="34226" xr:uid="{00000000-0005-0000-0000-0000BCC00000}"/>
    <cellStyle name="Percent 11 2 2 6" xfId="53153" xr:uid="{00000000-0005-0000-0000-0000BDC00000}"/>
    <cellStyle name="Percent 11 2 3" xfId="14902" xr:uid="{00000000-0005-0000-0000-0000BEC00000}"/>
    <cellStyle name="Percent 11 2 3 2" xfId="16030" xr:uid="{00000000-0005-0000-0000-0000BFC00000}"/>
    <cellStyle name="Percent 11 2 3 2 2" xfId="20494" xr:uid="{00000000-0005-0000-0000-0000C0C00000}"/>
    <cellStyle name="Percent 11 2 3 2 2 2" xfId="30862" xr:uid="{00000000-0005-0000-0000-0000C1C00000}"/>
    <cellStyle name="Percent 11 2 3 2 2 2 2" xfId="50051" xr:uid="{00000000-0005-0000-0000-0000C2C00000}"/>
    <cellStyle name="Percent 11 2 3 2 2 3" xfId="40353" xr:uid="{00000000-0005-0000-0000-0000C3C00000}"/>
    <cellStyle name="Percent 11 2 3 2 3" xfId="26407" xr:uid="{00000000-0005-0000-0000-0000C4C00000}"/>
    <cellStyle name="Percent 11 2 3 2 3 2" xfId="45596" xr:uid="{00000000-0005-0000-0000-0000C5C00000}"/>
    <cellStyle name="Percent 11 2 3 2 4" xfId="35898" xr:uid="{00000000-0005-0000-0000-0000C6C00000}"/>
    <cellStyle name="Percent 11 2 3 3" xfId="19379" xr:uid="{00000000-0005-0000-0000-0000C7C00000}"/>
    <cellStyle name="Percent 11 2 3 3 2" xfId="29747" xr:uid="{00000000-0005-0000-0000-0000C8C00000}"/>
    <cellStyle name="Percent 11 2 3 3 2 2" xfId="48936" xr:uid="{00000000-0005-0000-0000-0000C9C00000}"/>
    <cellStyle name="Percent 11 2 3 3 3" xfId="39238" xr:uid="{00000000-0005-0000-0000-0000CAC00000}"/>
    <cellStyle name="Percent 11 2 3 4" xfId="25292" xr:uid="{00000000-0005-0000-0000-0000CBC00000}"/>
    <cellStyle name="Percent 11 2 3 4 2" xfId="44481" xr:uid="{00000000-0005-0000-0000-0000CCC00000}"/>
    <cellStyle name="Percent 11 2 3 5" xfId="34783" xr:uid="{00000000-0005-0000-0000-0000CDC00000}"/>
    <cellStyle name="Percent 11 2 3 6" xfId="53610" xr:uid="{00000000-0005-0000-0000-0000CEC00000}"/>
    <cellStyle name="Percent 11 2 4" xfId="15473" xr:uid="{00000000-0005-0000-0000-0000CFC00000}"/>
    <cellStyle name="Percent 11 2 4 2" xfId="19937" xr:uid="{00000000-0005-0000-0000-0000D0C00000}"/>
    <cellStyle name="Percent 11 2 4 2 2" xfId="30305" xr:uid="{00000000-0005-0000-0000-0000D1C00000}"/>
    <cellStyle name="Percent 11 2 4 2 2 2" xfId="49494" xr:uid="{00000000-0005-0000-0000-0000D2C00000}"/>
    <cellStyle name="Percent 11 2 4 2 3" xfId="39796" xr:uid="{00000000-0005-0000-0000-0000D3C00000}"/>
    <cellStyle name="Percent 11 2 4 3" xfId="25850" xr:uid="{00000000-0005-0000-0000-0000D4C00000}"/>
    <cellStyle name="Percent 11 2 4 3 2" xfId="45039" xr:uid="{00000000-0005-0000-0000-0000D5C00000}"/>
    <cellStyle name="Percent 11 2 4 4" xfId="35341" xr:uid="{00000000-0005-0000-0000-0000D6C00000}"/>
    <cellStyle name="Percent 11 2 5" xfId="17143" xr:uid="{00000000-0005-0000-0000-0000D7C00000}"/>
    <cellStyle name="Percent 11 2 5 2" xfId="21607" xr:uid="{00000000-0005-0000-0000-0000D8C00000}"/>
    <cellStyle name="Percent 11 2 5 2 2" xfId="31975" xr:uid="{00000000-0005-0000-0000-0000D9C00000}"/>
    <cellStyle name="Percent 11 2 5 2 2 2" xfId="51164" xr:uid="{00000000-0005-0000-0000-0000DAC00000}"/>
    <cellStyle name="Percent 11 2 5 2 3" xfId="41466" xr:uid="{00000000-0005-0000-0000-0000DBC00000}"/>
    <cellStyle name="Percent 11 2 5 3" xfId="27520" xr:uid="{00000000-0005-0000-0000-0000DCC00000}"/>
    <cellStyle name="Percent 11 2 5 3 2" xfId="46709" xr:uid="{00000000-0005-0000-0000-0000DDC00000}"/>
    <cellStyle name="Percent 11 2 5 4" xfId="37011" xr:uid="{00000000-0005-0000-0000-0000DEC00000}"/>
    <cellStyle name="Percent 11 2 6" xfId="17709" xr:uid="{00000000-0005-0000-0000-0000DFC00000}"/>
    <cellStyle name="Percent 11 2 6 2" xfId="22164" xr:uid="{00000000-0005-0000-0000-0000E0C00000}"/>
    <cellStyle name="Percent 11 2 6 2 2" xfId="32532" xr:uid="{00000000-0005-0000-0000-0000E1C00000}"/>
    <cellStyle name="Percent 11 2 6 2 2 2" xfId="51721" xr:uid="{00000000-0005-0000-0000-0000E2C00000}"/>
    <cellStyle name="Percent 11 2 6 2 3" xfId="42023" xr:uid="{00000000-0005-0000-0000-0000E3C00000}"/>
    <cellStyle name="Percent 11 2 6 3" xfId="28077" xr:uid="{00000000-0005-0000-0000-0000E4C00000}"/>
    <cellStyle name="Percent 11 2 6 3 2" xfId="47266" xr:uid="{00000000-0005-0000-0000-0000E5C00000}"/>
    <cellStyle name="Percent 11 2 6 4" xfId="37568" xr:uid="{00000000-0005-0000-0000-0000E6C00000}"/>
    <cellStyle name="Percent 11 2 7" xfId="18266" xr:uid="{00000000-0005-0000-0000-0000E7C00000}"/>
    <cellStyle name="Percent 11 2 7 2" xfId="28634" xr:uid="{00000000-0005-0000-0000-0000E8C00000}"/>
    <cellStyle name="Percent 11 2 7 2 2" xfId="47823" xr:uid="{00000000-0005-0000-0000-0000E9C00000}"/>
    <cellStyle name="Percent 11 2 7 3" xfId="38125" xr:uid="{00000000-0005-0000-0000-0000EAC00000}"/>
    <cellStyle name="Percent 11 2 8" xfId="24148" xr:uid="{00000000-0005-0000-0000-0000EBC00000}"/>
    <cellStyle name="Percent 11 2 8 2" xfId="43368" xr:uid="{00000000-0005-0000-0000-0000ECC00000}"/>
    <cellStyle name="Percent 11 2 9" xfId="33670" xr:uid="{00000000-0005-0000-0000-0000EDC00000}"/>
    <cellStyle name="Percent 11 3" xfId="13613" xr:uid="{00000000-0005-0000-0000-0000EEC00000}"/>
    <cellStyle name="Percent 11 3 2" xfId="53810" xr:uid="{00000000-0005-0000-0000-0000EFC00000}"/>
    <cellStyle name="Percent 11 3 3" xfId="52935" xr:uid="{00000000-0005-0000-0000-0000F0C00000}"/>
    <cellStyle name="Percent 11 4" xfId="22671" xr:uid="{00000000-0005-0000-0000-0000F1C00000}"/>
    <cellStyle name="Percent 11 4 2" xfId="53414" xr:uid="{00000000-0005-0000-0000-0000F2C00000}"/>
    <cellStyle name="Percent 11 5" xfId="23465" xr:uid="{00000000-0005-0000-0000-0000F3C00000}"/>
    <cellStyle name="Percent 11 6" xfId="52522" xr:uid="{00000000-0005-0000-0000-0000F4C00000}"/>
    <cellStyle name="Percent 11 7" xfId="12544" xr:uid="{00000000-0005-0000-0000-0000F5C00000}"/>
    <cellStyle name="Percent 110" xfId="13775" xr:uid="{00000000-0005-0000-0000-0000F6C00000}"/>
    <cellStyle name="Percent 111" xfId="13788" xr:uid="{00000000-0005-0000-0000-0000F7C00000}"/>
    <cellStyle name="Percent 112" xfId="13789" xr:uid="{00000000-0005-0000-0000-0000F8C00000}"/>
    <cellStyle name="Percent 112 2" xfId="14935" xr:uid="{00000000-0005-0000-0000-0000F9C00000}"/>
    <cellStyle name="Percent 112 3" xfId="17179" xr:uid="{00000000-0005-0000-0000-0000FAC00000}"/>
    <cellStyle name="Percent 113" xfId="14368" xr:uid="{00000000-0005-0000-0000-0000FBC00000}"/>
    <cellStyle name="Percent 114" xfId="22201" xr:uid="{00000000-0005-0000-0000-0000FCC00000}"/>
    <cellStyle name="Percent 115" xfId="22203" xr:uid="{00000000-0005-0000-0000-0000FDC00000}"/>
    <cellStyle name="Percent 116" xfId="22205" xr:uid="{00000000-0005-0000-0000-0000FEC00000}"/>
    <cellStyle name="Percent 117" xfId="22233" xr:uid="{00000000-0005-0000-0000-0000FFC00000}"/>
    <cellStyle name="Percent 118" xfId="22262" xr:uid="{00000000-0005-0000-0000-000000C10000}"/>
    <cellStyle name="Percent 119" xfId="12540" xr:uid="{00000000-0005-0000-0000-000001C10000}"/>
    <cellStyle name="Percent 12" xfId="1265" xr:uid="{00000000-0005-0000-0000-000002C10000}"/>
    <cellStyle name="Percent 12 2" xfId="6299" xr:uid="{00000000-0005-0000-0000-000003C10000}"/>
    <cellStyle name="Percent 12 2 10" xfId="52729" xr:uid="{00000000-0005-0000-0000-000004C10000}"/>
    <cellStyle name="Percent 12 2 11" xfId="13456" xr:uid="{00000000-0005-0000-0000-000005C10000}"/>
    <cellStyle name="Percent 12 2 2" xfId="14313" xr:uid="{00000000-0005-0000-0000-000006C10000}"/>
    <cellStyle name="Percent 12 2 2 2" xfId="16576" xr:uid="{00000000-0005-0000-0000-000007C10000}"/>
    <cellStyle name="Percent 12 2 2 2 2" xfId="21040" xr:uid="{00000000-0005-0000-0000-000008C10000}"/>
    <cellStyle name="Percent 12 2 2 2 2 2" xfId="31408" xr:uid="{00000000-0005-0000-0000-000009C10000}"/>
    <cellStyle name="Percent 12 2 2 2 2 2 2" xfId="50597" xr:uid="{00000000-0005-0000-0000-00000AC10000}"/>
    <cellStyle name="Percent 12 2 2 2 2 3" xfId="40899" xr:uid="{00000000-0005-0000-0000-00000BC10000}"/>
    <cellStyle name="Percent 12 2 2 2 3" xfId="26953" xr:uid="{00000000-0005-0000-0000-00000CC10000}"/>
    <cellStyle name="Percent 12 2 2 2 3 2" xfId="46142" xr:uid="{00000000-0005-0000-0000-00000DC10000}"/>
    <cellStyle name="Percent 12 2 2 2 4" xfId="36444" xr:uid="{00000000-0005-0000-0000-00000EC10000}"/>
    <cellStyle name="Percent 12 2 2 2 5" xfId="54010" xr:uid="{00000000-0005-0000-0000-00000FC10000}"/>
    <cellStyle name="Percent 12 2 2 3" xfId="18812" xr:uid="{00000000-0005-0000-0000-000010C10000}"/>
    <cellStyle name="Percent 12 2 2 3 2" xfId="29180" xr:uid="{00000000-0005-0000-0000-000011C10000}"/>
    <cellStyle name="Percent 12 2 2 3 2 2" xfId="48369" xr:uid="{00000000-0005-0000-0000-000012C10000}"/>
    <cellStyle name="Percent 12 2 2 3 3" xfId="38671" xr:uid="{00000000-0005-0000-0000-000013C10000}"/>
    <cellStyle name="Percent 12 2 2 4" xfId="24720" xr:uid="{00000000-0005-0000-0000-000014C10000}"/>
    <cellStyle name="Percent 12 2 2 4 2" xfId="43914" xr:uid="{00000000-0005-0000-0000-000015C10000}"/>
    <cellStyle name="Percent 12 2 2 5" xfId="34216" xr:uid="{00000000-0005-0000-0000-000016C10000}"/>
    <cellStyle name="Percent 12 2 2 6" xfId="53157" xr:uid="{00000000-0005-0000-0000-000017C10000}"/>
    <cellStyle name="Percent 12 2 3" xfId="14892" xr:uid="{00000000-0005-0000-0000-000018C10000}"/>
    <cellStyle name="Percent 12 2 3 2" xfId="16020" xr:uid="{00000000-0005-0000-0000-000019C10000}"/>
    <cellStyle name="Percent 12 2 3 2 2" xfId="20484" xr:uid="{00000000-0005-0000-0000-00001AC10000}"/>
    <cellStyle name="Percent 12 2 3 2 2 2" xfId="30852" xr:uid="{00000000-0005-0000-0000-00001BC10000}"/>
    <cellStyle name="Percent 12 2 3 2 2 2 2" xfId="50041" xr:uid="{00000000-0005-0000-0000-00001CC10000}"/>
    <cellStyle name="Percent 12 2 3 2 2 3" xfId="40343" xr:uid="{00000000-0005-0000-0000-00001DC10000}"/>
    <cellStyle name="Percent 12 2 3 2 3" xfId="26397" xr:uid="{00000000-0005-0000-0000-00001EC10000}"/>
    <cellStyle name="Percent 12 2 3 2 3 2" xfId="45586" xr:uid="{00000000-0005-0000-0000-00001FC10000}"/>
    <cellStyle name="Percent 12 2 3 2 4" xfId="35888" xr:uid="{00000000-0005-0000-0000-000020C10000}"/>
    <cellStyle name="Percent 12 2 3 3" xfId="19369" xr:uid="{00000000-0005-0000-0000-000021C10000}"/>
    <cellStyle name="Percent 12 2 3 3 2" xfId="29737" xr:uid="{00000000-0005-0000-0000-000022C10000}"/>
    <cellStyle name="Percent 12 2 3 3 2 2" xfId="48926" xr:uid="{00000000-0005-0000-0000-000023C10000}"/>
    <cellStyle name="Percent 12 2 3 3 3" xfId="39228" xr:uid="{00000000-0005-0000-0000-000024C10000}"/>
    <cellStyle name="Percent 12 2 3 4" xfId="25282" xr:uid="{00000000-0005-0000-0000-000025C10000}"/>
    <cellStyle name="Percent 12 2 3 4 2" xfId="44471" xr:uid="{00000000-0005-0000-0000-000026C10000}"/>
    <cellStyle name="Percent 12 2 3 5" xfId="34773" xr:uid="{00000000-0005-0000-0000-000027C10000}"/>
    <cellStyle name="Percent 12 2 3 6" xfId="53614" xr:uid="{00000000-0005-0000-0000-000028C10000}"/>
    <cellStyle name="Percent 12 2 4" xfId="15463" xr:uid="{00000000-0005-0000-0000-000029C10000}"/>
    <cellStyle name="Percent 12 2 4 2" xfId="19927" xr:uid="{00000000-0005-0000-0000-00002AC10000}"/>
    <cellStyle name="Percent 12 2 4 2 2" xfId="30295" xr:uid="{00000000-0005-0000-0000-00002BC10000}"/>
    <cellStyle name="Percent 12 2 4 2 2 2" xfId="49484" xr:uid="{00000000-0005-0000-0000-00002CC10000}"/>
    <cellStyle name="Percent 12 2 4 2 3" xfId="39786" xr:uid="{00000000-0005-0000-0000-00002DC10000}"/>
    <cellStyle name="Percent 12 2 4 3" xfId="25840" xr:uid="{00000000-0005-0000-0000-00002EC10000}"/>
    <cellStyle name="Percent 12 2 4 3 2" xfId="45029" xr:uid="{00000000-0005-0000-0000-00002FC10000}"/>
    <cellStyle name="Percent 12 2 4 4" xfId="35331" xr:uid="{00000000-0005-0000-0000-000030C10000}"/>
    <cellStyle name="Percent 12 2 5" xfId="17133" xr:uid="{00000000-0005-0000-0000-000031C10000}"/>
    <cellStyle name="Percent 12 2 5 2" xfId="21597" xr:uid="{00000000-0005-0000-0000-000032C10000}"/>
    <cellStyle name="Percent 12 2 5 2 2" xfId="31965" xr:uid="{00000000-0005-0000-0000-000033C10000}"/>
    <cellStyle name="Percent 12 2 5 2 2 2" xfId="51154" xr:uid="{00000000-0005-0000-0000-000034C10000}"/>
    <cellStyle name="Percent 12 2 5 2 3" xfId="41456" xr:uid="{00000000-0005-0000-0000-000035C10000}"/>
    <cellStyle name="Percent 12 2 5 3" xfId="27510" xr:uid="{00000000-0005-0000-0000-000036C10000}"/>
    <cellStyle name="Percent 12 2 5 3 2" xfId="46699" xr:uid="{00000000-0005-0000-0000-000037C10000}"/>
    <cellStyle name="Percent 12 2 5 4" xfId="37001" xr:uid="{00000000-0005-0000-0000-000038C10000}"/>
    <cellStyle name="Percent 12 2 6" xfId="17699" xr:uid="{00000000-0005-0000-0000-000039C10000}"/>
    <cellStyle name="Percent 12 2 6 2" xfId="22154" xr:uid="{00000000-0005-0000-0000-00003AC10000}"/>
    <cellStyle name="Percent 12 2 6 2 2" xfId="32522" xr:uid="{00000000-0005-0000-0000-00003BC10000}"/>
    <cellStyle name="Percent 12 2 6 2 2 2" xfId="51711" xr:uid="{00000000-0005-0000-0000-00003CC10000}"/>
    <cellStyle name="Percent 12 2 6 2 3" xfId="42013" xr:uid="{00000000-0005-0000-0000-00003DC10000}"/>
    <cellStyle name="Percent 12 2 6 3" xfId="28067" xr:uid="{00000000-0005-0000-0000-00003EC10000}"/>
    <cellStyle name="Percent 12 2 6 3 2" xfId="47256" xr:uid="{00000000-0005-0000-0000-00003FC10000}"/>
    <cellStyle name="Percent 12 2 6 4" xfId="37558" xr:uid="{00000000-0005-0000-0000-000040C10000}"/>
    <cellStyle name="Percent 12 2 7" xfId="18256" xr:uid="{00000000-0005-0000-0000-000041C10000}"/>
    <cellStyle name="Percent 12 2 7 2" xfId="28624" xr:uid="{00000000-0005-0000-0000-000042C10000}"/>
    <cellStyle name="Percent 12 2 7 2 2" xfId="47813" xr:uid="{00000000-0005-0000-0000-000043C10000}"/>
    <cellStyle name="Percent 12 2 7 3" xfId="38115" xr:uid="{00000000-0005-0000-0000-000044C10000}"/>
    <cellStyle name="Percent 12 2 8" xfId="24138" xr:uid="{00000000-0005-0000-0000-000045C10000}"/>
    <cellStyle name="Percent 12 2 8 2" xfId="43358" xr:uid="{00000000-0005-0000-0000-000046C10000}"/>
    <cellStyle name="Percent 12 2 9" xfId="33660" xr:uid="{00000000-0005-0000-0000-000047C10000}"/>
    <cellStyle name="Percent 12 3" xfId="13615" xr:uid="{00000000-0005-0000-0000-000048C10000}"/>
    <cellStyle name="Percent 12 3 2" xfId="53814" xr:uid="{00000000-0005-0000-0000-000049C10000}"/>
    <cellStyle name="Percent 12 3 3" xfId="52939" xr:uid="{00000000-0005-0000-0000-00004AC10000}"/>
    <cellStyle name="Percent 12 4" xfId="23466" xr:uid="{00000000-0005-0000-0000-00004BC10000}"/>
    <cellStyle name="Percent 12 4 2" xfId="53418" xr:uid="{00000000-0005-0000-0000-00004CC10000}"/>
    <cellStyle name="Percent 12 5" xfId="52528" xr:uid="{00000000-0005-0000-0000-00004DC10000}"/>
    <cellStyle name="Percent 12 6" xfId="12545" xr:uid="{00000000-0005-0000-0000-00004EC10000}"/>
    <cellStyle name="Percent 120" xfId="22264" xr:uid="{00000000-0005-0000-0000-00004FC10000}"/>
    <cellStyle name="Percent 121" xfId="22266" xr:uid="{00000000-0005-0000-0000-000050C10000}"/>
    <cellStyle name="Percent 122" xfId="22263" xr:uid="{00000000-0005-0000-0000-000051C10000}"/>
    <cellStyle name="Percent 123" xfId="22265" xr:uid="{00000000-0005-0000-0000-000052C10000}"/>
    <cellStyle name="Percent 124" xfId="22471" xr:uid="{00000000-0005-0000-0000-000053C10000}"/>
    <cellStyle name="Percent 125" xfId="23247" xr:uid="{00000000-0005-0000-0000-000054C10000}"/>
    <cellStyle name="Percent 126" xfId="22892" xr:uid="{00000000-0005-0000-0000-000055C10000}"/>
    <cellStyle name="Percent 127" xfId="32618" xr:uid="{00000000-0005-0000-0000-000056C10000}"/>
    <cellStyle name="Percent 128" xfId="32985" xr:uid="{00000000-0005-0000-0000-000057C10000}"/>
    <cellStyle name="Percent 128 2" xfId="52171" xr:uid="{00000000-0005-0000-0000-000058C10000}"/>
    <cellStyle name="Percent 129" xfId="32982" xr:uid="{00000000-0005-0000-0000-000059C10000}"/>
    <cellStyle name="Percent 129 2" xfId="52168" xr:uid="{00000000-0005-0000-0000-00005AC10000}"/>
    <cellStyle name="Percent 13" xfId="1266" xr:uid="{00000000-0005-0000-0000-00005BC10000}"/>
    <cellStyle name="Percent 13 2" xfId="6287" xr:uid="{00000000-0005-0000-0000-00005CC10000}"/>
    <cellStyle name="Percent 13 2 10" xfId="52758" xr:uid="{00000000-0005-0000-0000-00005DC10000}"/>
    <cellStyle name="Percent 13 2 11" xfId="13448" xr:uid="{00000000-0005-0000-0000-00005EC10000}"/>
    <cellStyle name="Percent 13 2 2" xfId="14305" xr:uid="{00000000-0005-0000-0000-00005FC10000}"/>
    <cellStyle name="Percent 13 2 2 2" xfId="16568" xr:uid="{00000000-0005-0000-0000-000060C10000}"/>
    <cellStyle name="Percent 13 2 2 2 2" xfId="21032" xr:uid="{00000000-0005-0000-0000-000061C10000}"/>
    <cellStyle name="Percent 13 2 2 2 2 2" xfId="31400" xr:uid="{00000000-0005-0000-0000-000062C10000}"/>
    <cellStyle name="Percent 13 2 2 2 2 2 2" xfId="50589" xr:uid="{00000000-0005-0000-0000-000063C10000}"/>
    <cellStyle name="Percent 13 2 2 2 2 3" xfId="40891" xr:uid="{00000000-0005-0000-0000-000064C10000}"/>
    <cellStyle name="Percent 13 2 2 2 3" xfId="26945" xr:uid="{00000000-0005-0000-0000-000065C10000}"/>
    <cellStyle name="Percent 13 2 2 2 3 2" xfId="46134" xr:uid="{00000000-0005-0000-0000-000066C10000}"/>
    <cellStyle name="Percent 13 2 2 2 4" xfId="36436" xr:uid="{00000000-0005-0000-0000-000067C10000}"/>
    <cellStyle name="Percent 13 2 2 2 5" xfId="54039" xr:uid="{00000000-0005-0000-0000-000068C10000}"/>
    <cellStyle name="Percent 13 2 2 3" xfId="18804" xr:uid="{00000000-0005-0000-0000-000069C10000}"/>
    <cellStyle name="Percent 13 2 2 3 2" xfId="29172" xr:uid="{00000000-0005-0000-0000-00006AC10000}"/>
    <cellStyle name="Percent 13 2 2 3 2 2" xfId="48361" xr:uid="{00000000-0005-0000-0000-00006BC10000}"/>
    <cellStyle name="Percent 13 2 2 3 3" xfId="38663" xr:uid="{00000000-0005-0000-0000-00006CC10000}"/>
    <cellStyle name="Percent 13 2 2 4" xfId="24712" xr:uid="{00000000-0005-0000-0000-00006DC10000}"/>
    <cellStyle name="Percent 13 2 2 4 2" xfId="43906" xr:uid="{00000000-0005-0000-0000-00006EC10000}"/>
    <cellStyle name="Percent 13 2 2 5" xfId="34208" xr:uid="{00000000-0005-0000-0000-00006FC10000}"/>
    <cellStyle name="Percent 13 2 2 6" xfId="53186" xr:uid="{00000000-0005-0000-0000-000070C10000}"/>
    <cellStyle name="Percent 13 2 3" xfId="14884" xr:uid="{00000000-0005-0000-0000-000071C10000}"/>
    <cellStyle name="Percent 13 2 3 2" xfId="16012" xr:uid="{00000000-0005-0000-0000-000072C10000}"/>
    <cellStyle name="Percent 13 2 3 2 2" xfId="20476" xr:uid="{00000000-0005-0000-0000-000073C10000}"/>
    <cellStyle name="Percent 13 2 3 2 2 2" xfId="30844" xr:uid="{00000000-0005-0000-0000-000074C10000}"/>
    <cellStyle name="Percent 13 2 3 2 2 2 2" xfId="50033" xr:uid="{00000000-0005-0000-0000-000075C10000}"/>
    <cellStyle name="Percent 13 2 3 2 2 3" xfId="40335" xr:uid="{00000000-0005-0000-0000-000076C10000}"/>
    <cellStyle name="Percent 13 2 3 2 3" xfId="26389" xr:uid="{00000000-0005-0000-0000-000077C10000}"/>
    <cellStyle name="Percent 13 2 3 2 3 2" xfId="45578" xr:uid="{00000000-0005-0000-0000-000078C10000}"/>
    <cellStyle name="Percent 13 2 3 2 4" xfId="35880" xr:uid="{00000000-0005-0000-0000-000079C10000}"/>
    <cellStyle name="Percent 13 2 3 3" xfId="19361" xr:uid="{00000000-0005-0000-0000-00007AC10000}"/>
    <cellStyle name="Percent 13 2 3 3 2" xfId="29729" xr:uid="{00000000-0005-0000-0000-00007BC10000}"/>
    <cellStyle name="Percent 13 2 3 3 2 2" xfId="48918" xr:uid="{00000000-0005-0000-0000-00007CC10000}"/>
    <cellStyle name="Percent 13 2 3 3 3" xfId="39220" xr:uid="{00000000-0005-0000-0000-00007DC10000}"/>
    <cellStyle name="Percent 13 2 3 4" xfId="25274" xr:uid="{00000000-0005-0000-0000-00007EC10000}"/>
    <cellStyle name="Percent 13 2 3 4 2" xfId="44463" xr:uid="{00000000-0005-0000-0000-00007FC10000}"/>
    <cellStyle name="Percent 13 2 3 5" xfId="34765" xr:uid="{00000000-0005-0000-0000-000080C10000}"/>
    <cellStyle name="Percent 13 2 3 6" xfId="53643" xr:uid="{00000000-0005-0000-0000-000081C10000}"/>
    <cellStyle name="Percent 13 2 4" xfId="15455" xr:uid="{00000000-0005-0000-0000-000082C10000}"/>
    <cellStyle name="Percent 13 2 4 2" xfId="19919" xr:uid="{00000000-0005-0000-0000-000083C10000}"/>
    <cellStyle name="Percent 13 2 4 2 2" xfId="30287" xr:uid="{00000000-0005-0000-0000-000084C10000}"/>
    <cellStyle name="Percent 13 2 4 2 2 2" xfId="49476" xr:uid="{00000000-0005-0000-0000-000085C10000}"/>
    <cellStyle name="Percent 13 2 4 2 3" xfId="39778" xr:uid="{00000000-0005-0000-0000-000086C10000}"/>
    <cellStyle name="Percent 13 2 4 3" xfId="25832" xr:uid="{00000000-0005-0000-0000-000087C10000}"/>
    <cellStyle name="Percent 13 2 4 3 2" xfId="45021" xr:uid="{00000000-0005-0000-0000-000088C10000}"/>
    <cellStyle name="Percent 13 2 4 4" xfId="35323" xr:uid="{00000000-0005-0000-0000-000089C10000}"/>
    <cellStyle name="Percent 13 2 5" xfId="17125" xr:uid="{00000000-0005-0000-0000-00008AC10000}"/>
    <cellStyle name="Percent 13 2 5 2" xfId="21589" xr:uid="{00000000-0005-0000-0000-00008BC10000}"/>
    <cellStyle name="Percent 13 2 5 2 2" xfId="31957" xr:uid="{00000000-0005-0000-0000-00008CC10000}"/>
    <cellStyle name="Percent 13 2 5 2 2 2" xfId="51146" xr:uid="{00000000-0005-0000-0000-00008DC10000}"/>
    <cellStyle name="Percent 13 2 5 2 3" xfId="41448" xr:uid="{00000000-0005-0000-0000-00008EC10000}"/>
    <cellStyle name="Percent 13 2 5 3" xfId="27502" xr:uid="{00000000-0005-0000-0000-00008FC10000}"/>
    <cellStyle name="Percent 13 2 5 3 2" xfId="46691" xr:uid="{00000000-0005-0000-0000-000090C10000}"/>
    <cellStyle name="Percent 13 2 5 4" xfId="36993" xr:uid="{00000000-0005-0000-0000-000091C10000}"/>
    <cellStyle name="Percent 13 2 6" xfId="17691" xr:uid="{00000000-0005-0000-0000-000092C10000}"/>
    <cellStyle name="Percent 13 2 6 2" xfId="22146" xr:uid="{00000000-0005-0000-0000-000093C10000}"/>
    <cellStyle name="Percent 13 2 6 2 2" xfId="32514" xr:uid="{00000000-0005-0000-0000-000094C10000}"/>
    <cellStyle name="Percent 13 2 6 2 2 2" xfId="51703" xr:uid="{00000000-0005-0000-0000-000095C10000}"/>
    <cellStyle name="Percent 13 2 6 2 3" xfId="42005" xr:uid="{00000000-0005-0000-0000-000096C10000}"/>
    <cellStyle name="Percent 13 2 6 3" xfId="28059" xr:uid="{00000000-0005-0000-0000-000097C10000}"/>
    <cellStyle name="Percent 13 2 6 3 2" xfId="47248" xr:uid="{00000000-0005-0000-0000-000098C10000}"/>
    <cellStyle name="Percent 13 2 6 4" xfId="37550" xr:uid="{00000000-0005-0000-0000-000099C10000}"/>
    <cellStyle name="Percent 13 2 7" xfId="18248" xr:uid="{00000000-0005-0000-0000-00009AC10000}"/>
    <cellStyle name="Percent 13 2 7 2" xfId="28616" xr:uid="{00000000-0005-0000-0000-00009BC10000}"/>
    <cellStyle name="Percent 13 2 7 2 2" xfId="47805" xr:uid="{00000000-0005-0000-0000-00009CC10000}"/>
    <cellStyle name="Percent 13 2 7 3" xfId="38107" xr:uid="{00000000-0005-0000-0000-00009DC10000}"/>
    <cellStyle name="Percent 13 2 8" xfId="24130" xr:uid="{00000000-0005-0000-0000-00009EC10000}"/>
    <cellStyle name="Percent 13 2 8 2" xfId="43350" xr:uid="{00000000-0005-0000-0000-00009FC10000}"/>
    <cellStyle name="Percent 13 2 9" xfId="33652" xr:uid="{00000000-0005-0000-0000-0000A0C10000}"/>
    <cellStyle name="Percent 13 3" xfId="13618" xr:uid="{00000000-0005-0000-0000-0000A1C10000}"/>
    <cellStyle name="Percent 13 3 2" xfId="53843" xr:uid="{00000000-0005-0000-0000-0000A2C10000}"/>
    <cellStyle name="Percent 13 3 3" xfId="52968" xr:uid="{00000000-0005-0000-0000-0000A3C10000}"/>
    <cellStyle name="Percent 13 4" xfId="23467" xr:uid="{00000000-0005-0000-0000-0000A4C10000}"/>
    <cellStyle name="Percent 13 4 2" xfId="53447" xr:uid="{00000000-0005-0000-0000-0000A5C10000}"/>
    <cellStyle name="Percent 13 5" xfId="52558" xr:uid="{00000000-0005-0000-0000-0000A6C10000}"/>
    <cellStyle name="Percent 13 6" xfId="12546" xr:uid="{00000000-0005-0000-0000-0000A7C10000}"/>
    <cellStyle name="Percent 130" xfId="32978" xr:uid="{00000000-0005-0000-0000-0000A8C10000}"/>
    <cellStyle name="Percent 130 2" xfId="52164" xr:uid="{00000000-0005-0000-0000-0000A9C10000}"/>
    <cellStyle name="Percent 131" xfId="33007" xr:uid="{00000000-0005-0000-0000-0000AAC10000}"/>
    <cellStyle name="Percent 131 2" xfId="52193" xr:uid="{00000000-0005-0000-0000-0000ABC10000}"/>
    <cellStyle name="Percent 132" xfId="33031" xr:uid="{00000000-0005-0000-0000-0000ACC10000}"/>
    <cellStyle name="Percent 132 2" xfId="52213" xr:uid="{00000000-0005-0000-0000-0000ADC10000}"/>
    <cellStyle name="Percent 133" xfId="33013" xr:uid="{00000000-0005-0000-0000-0000AEC10000}"/>
    <cellStyle name="Percent 133 2" xfId="52199" xr:uid="{00000000-0005-0000-0000-0000AFC10000}"/>
    <cellStyle name="Percent 134" xfId="33022" xr:uid="{00000000-0005-0000-0000-0000B0C10000}"/>
    <cellStyle name="Percent 134 2" xfId="52207" xr:uid="{00000000-0005-0000-0000-0000B1C10000}"/>
    <cellStyle name="Percent 135" xfId="32983" xr:uid="{00000000-0005-0000-0000-0000B2C10000}"/>
    <cellStyle name="Percent 135 2" xfId="52169" xr:uid="{00000000-0005-0000-0000-0000B3C10000}"/>
    <cellStyle name="Percent 136" xfId="33027" xr:uid="{00000000-0005-0000-0000-0000B4C10000}"/>
    <cellStyle name="Percent 136 2" xfId="52210" xr:uid="{00000000-0005-0000-0000-0000B5C10000}"/>
    <cellStyle name="Percent 137" xfId="33018" xr:uid="{00000000-0005-0000-0000-0000B6C10000}"/>
    <cellStyle name="Percent 137 2" xfId="52203" xr:uid="{00000000-0005-0000-0000-0000B7C10000}"/>
    <cellStyle name="Percent 138" xfId="33030" xr:uid="{00000000-0005-0000-0000-0000B8C10000}"/>
    <cellStyle name="Percent 138 2" xfId="52212" xr:uid="{00000000-0005-0000-0000-0000B9C10000}"/>
    <cellStyle name="Percent 139" xfId="32977" xr:uid="{00000000-0005-0000-0000-0000BAC10000}"/>
    <cellStyle name="Percent 139 2" xfId="52163" xr:uid="{00000000-0005-0000-0000-0000BBC10000}"/>
    <cellStyle name="Percent 14" xfId="1267" xr:uid="{00000000-0005-0000-0000-0000BCC10000}"/>
    <cellStyle name="Percent 14 2" xfId="6289" xr:uid="{00000000-0005-0000-0000-0000BDC10000}"/>
    <cellStyle name="Percent 14 2 10" xfId="52790" xr:uid="{00000000-0005-0000-0000-0000BEC10000}"/>
    <cellStyle name="Percent 14 2 11" xfId="13465" xr:uid="{00000000-0005-0000-0000-0000BFC10000}"/>
    <cellStyle name="Percent 14 2 2" xfId="14322" xr:uid="{00000000-0005-0000-0000-0000C0C10000}"/>
    <cellStyle name="Percent 14 2 2 2" xfId="16585" xr:uid="{00000000-0005-0000-0000-0000C1C10000}"/>
    <cellStyle name="Percent 14 2 2 2 2" xfId="21049" xr:uid="{00000000-0005-0000-0000-0000C2C10000}"/>
    <cellStyle name="Percent 14 2 2 2 2 2" xfId="31417" xr:uid="{00000000-0005-0000-0000-0000C3C10000}"/>
    <cellStyle name="Percent 14 2 2 2 2 2 2" xfId="50606" xr:uid="{00000000-0005-0000-0000-0000C4C10000}"/>
    <cellStyle name="Percent 14 2 2 2 2 3" xfId="40908" xr:uid="{00000000-0005-0000-0000-0000C5C10000}"/>
    <cellStyle name="Percent 14 2 2 2 3" xfId="26962" xr:uid="{00000000-0005-0000-0000-0000C6C10000}"/>
    <cellStyle name="Percent 14 2 2 2 3 2" xfId="46151" xr:uid="{00000000-0005-0000-0000-0000C7C10000}"/>
    <cellStyle name="Percent 14 2 2 2 4" xfId="36453" xr:uid="{00000000-0005-0000-0000-0000C8C10000}"/>
    <cellStyle name="Percent 14 2 2 2 5" xfId="54071" xr:uid="{00000000-0005-0000-0000-0000C9C10000}"/>
    <cellStyle name="Percent 14 2 2 3" xfId="18821" xr:uid="{00000000-0005-0000-0000-0000CAC10000}"/>
    <cellStyle name="Percent 14 2 2 3 2" xfId="29189" xr:uid="{00000000-0005-0000-0000-0000CBC10000}"/>
    <cellStyle name="Percent 14 2 2 3 2 2" xfId="48378" xr:uid="{00000000-0005-0000-0000-0000CCC10000}"/>
    <cellStyle name="Percent 14 2 2 3 3" xfId="38680" xr:uid="{00000000-0005-0000-0000-0000CDC10000}"/>
    <cellStyle name="Percent 14 2 2 4" xfId="24729" xr:uid="{00000000-0005-0000-0000-0000CEC10000}"/>
    <cellStyle name="Percent 14 2 2 4 2" xfId="43923" xr:uid="{00000000-0005-0000-0000-0000CFC10000}"/>
    <cellStyle name="Percent 14 2 2 5" xfId="34225" xr:uid="{00000000-0005-0000-0000-0000D0C10000}"/>
    <cellStyle name="Percent 14 2 2 6" xfId="53218" xr:uid="{00000000-0005-0000-0000-0000D1C10000}"/>
    <cellStyle name="Percent 14 2 3" xfId="14901" xr:uid="{00000000-0005-0000-0000-0000D2C10000}"/>
    <cellStyle name="Percent 14 2 3 2" xfId="16029" xr:uid="{00000000-0005-0000-0000-0000D3C10000}"/>
    <cellStyle name="Percent 14 2 3 2 2" xfId="20493" xr:uid="{00000000-0005-0000-0000-0000D4C10000}"/>
    <cellStyle name="Percent 14 2 3 2 2 2" xfId="30861" xr:uid="{00000000-0005-0000-0000-0000D5C10000}"/>
    <cellStyle name="Percent 14 2 3 2 2 2 2" xfId="50050" xr:uid="{00000000-0005-0000-0000-0000D6C10000}"/>
    <cellStyle name="Percent 14 2 3 2 2 3" xfId="40352" xr:uid="{00000000-0005-0000-0000-0000D7C10000}"/>
    <cellStyle name="Percent 14 2 3 2 3" xfId="26406" xr:uid="{00000000-0005-0000-0000-0000D8C10000}"/>
    <cellStyle name="Percent 14 2 3 2 3 2" xfId="45595" xr:uid="{00000000-0005-0000-0000-0000D9C10000}"/>
    <cellStyle name="Percent 14 2 3 2 4" xfId="35897" xr:uid="{00000000-0005-0000-0000-0000DAC10000}"/>
    <cellStyle name="Percent 14 2 3 3" xfId="19378" xr:uid="{00000000-0005-0000-0000-0000DBC10000}"/>
    <cellStyle name="Percent 14 2 3 3 2" xfId="29746" xr:uid="{00000000-0005-0000-0000-0000DCC10000}"/>
    <cellStyle name="Percent 14 2 3 3 2 2" xfId="48935" xr:uid="{00000000-0005-0000-0000-0000DDC10000}"/>
    <cellStyle name="Percent 14 2 3 3 3" xfId="39237" xr:uid="{00000000-0005-0000-0000-0000DEC10000}"/>
    <cellStyle name="Percent 14 2 3 4" xfId="25291" xr:uid="{00000000-0005-0000-0000-0000DFC10000}"/>
    <cellStyle name="Percent 14 2 3 4 2" xfId="44480" xr:uid="{00000000-0005-0000-0000-0000E0C10000}"/>
    <cellStyle name="Percent 14 2 3 5" xfId="34782" xr:uid="{00000000-0005-0000-0000-0000E1C10000}"/>
    <cellStyle name="Percent 14 2 3 6" xfId="53675" xr:uid="{00000000-0005-0000-0000-0000E2C10000}"/>
    <cellStyle name="Percent 14 2 4" xfId="15472" xr:uid="{00000000-0005-0000-0000-0000E3C10000}"/>
    <cellStyle name="Percent 14 2 4 2" xfId="19936" xr:uid="{00000000-0005-0000-0000-0000E4C10000}"/>
    <cellStyle name="Percent 14 2 4 2 2" xfId="30304" xr:uid="{00000000-0005-0000-0000-0000E5C10000}"/>
    <cellStyle name="Percent 14 2 4 2 2 2" xfId="49493" xr:uid="{00000000-0005-0000-0000-0000E6C10000}"/>
    <cellStyle name="Percent 14 2 4 2 3" xfId="39795" xr:uid="{00000000-0005-0000-0000-0000E7C10000}"/>
    <cellStyle name="Percent 14 2 4 3" xfId="25849" xr:uid="{00000000-0005-0000-0000-0000E8C10000}"/>
    <cellStyle name="Percent 14 2 4 3 2" xfId="45038" xr:uid="{00000000-0005-0000-0000-0000E9C10000}"/>
    <cellStyle name="Percent 14 2 4 4" xfId="35340" xr:uid="{00000000-0005-0000-0000-0000EAC10000}"/>
    <cellStyle name="Percent 14 2 5" xfId="17142" xr:uid="{00000000-0005-0000-0000-0000EBC10000}"/>
    <cellStyle name="Percent 14 2 5 2" xfId="21606" xr:uid="{00000000-0005-0000-0000-0000ECC10000}"/>
    <cellStyle name="Percent 14 2 5 2 2" xfId="31974" xr:uid="{00000000-0005-0000-0000-0000EDC10000}"/>
    <cellStyle name="Percent 14 2 5 2 2 2" xfId="51163" xr:uid="{00000000-0005-0000-0000-0000EEC10000}"/>
    <cellStyle name="Percent 14 2 5 2 3" xfId="41465" xr:uid="{00000000-0005-0000-0000-0000EFC10000}"/>
    <cellStyle name="Percent 14 2 5 3" xfId="27519" xr:uid="{00000000-0005-0000-0000-0000F0C10000}"/>
    <cellStyle name="Percent 14 2 5 3 2" xfId="46708" xr:uid="{00000000-0005-0000-0000-0000F1C10000}"/>
    <cellStyle name="Percent 14 2 5 4" xfId="37010" xr:uid="{00000000-0005-0000-0000-0000F2C10000}"/>
    <cellStyle name="Percent 14 2 6" xfId="17708" xr:uid="{00000000-0005-0000-0000-0000F3C10000}"/>
    <cellStyle name="Percent 14 2 6 2" xfId="22163" xr:uid="{00000000-0005-0000-0000-0000F4C10000}"/>
    <cellStyle name="Percent 14 2 6 2 2" xfId="32531" xr:uid="{00000000-0005-0000-0000-0000F5C10000}"/>
    <cellStyle name="Percent 14 2 6 2 2 2" xfId="51720" xr:uid="{00000000-0005-0000-0000-0000F6C10000}"/>
    <cellStyle name="Percent 14 2 6 2 3" xfId="42022" xr:uid="{00000000-0005-0000-0000-0000F7C10000}"/>
    <cellStyle name="Percent 14 2 6 3" xfId="28076" xr:uid="{00000000-0005-0000-0000-0000F8C10000}"/>
    <cellStyle name="Percent 14 2 6 3 2" xfId="47265" xr:uid="{00000000-0005-0000-0000-0000F9C10000}"/>
    <cellStyle name="Percent 14 2 6 4" xfId="37567" xr:uid="{00000000-0005-0000-0000-0000FAC10000}"/>
    <cellStyle name="Percent 14 2 7" xfId="18265" xr:uid="{00000000-0005-0000-0000-0000FBC10000}"/>
    <cellStyle name="Percent 14 2 7 2" xfId="28633" xr:uid="{00000000-0005-0000-0000-0000FCC10000}"/>
    <cellStyle name="Percent 14 2 7 2 2" xfId="47822" xr:uid="{00000000-0005-0000-0000-0000FDC10000}"/>
    <cellStyle name="Percent 14 2 7 3" xfId="38124" xr:uid="{00000000-0005-0000-0000-0000FEC10000}"/>
    <cellStyle name="Percent 14 2 8" xfId="24147" xr:uid="{00000000-0005-0000-0000-0000FFC10000}"/>
    <cellStyle name="Percent 14 2 8 2" xfId="43367" xr:uid="{00000000-0005-0000-0000-000000C20000}"/>
    <cellStyle name="Percent 14 2 9" xfId="33669" xr:uid="{00000000-0005-0000-0000-000001C20000}"/>
    <cellStyle name="Percent 14 3" xfId="13654" xr:uid="{00000000-0005-0000-0000-000002C20000}"/>
    <cellStyle name="Percent 14 3 2" xfId="53875" xr:uid="{00000000-0005-0000-0000-000003C20000}"/>
    <cellStyle name="Percent 14 3 3" xfId="53000" xr:uid="{00000000-0005-0000-0000-000004C20000}"/>
    <cellStyle name="Percent 14 4" xfId="23468" xr:uid="{00000000-0005-0000-0000-000005C20000}"/>
    <cellStyle name="Percent 14 4 2" xfId="53479" xr:uid="{00000000-0005-0000-0000-000006C20000}"/>
    <cellStyle name="Percent 14 5" xfId="52590" xr:uid="{00000000-0005-0000-0000-000007C20000}"/>
    <cellStyle name="Percent 14 6" xfId="12547" xr:uid="{00000000-0005-0000-0000-000008C20000}"/>
    <cellStyle name="Percent 140" xfId="33019" xr:uid="{00000000-0005-0000-0000-000009C20000}"/>
    <cellStyle name="Percent 140 2" xfId="52204" xr:uid="{00000000-0005-0000-0000-00000AC20000}"/>
    <cellStyle name="Percent 141" xfId="33045" xr:uid="{00000000-0005-0000-0000-00000BC20000}"/>
    <cellStyle name="Percent 141 2" xfId="52227" xr:uid="{00000000-0005-0000-0000-00000CC20000}"/>
    <cellStyle name="Percent 142" xfId="33037" xr:uid="{00000000-0005-0000-0000-00000DC20000}"/>
    <cellStyle name="Percent 142 2" xfId="52219" xr:uid="{00000000-0005-0000-0000-00000EC20000}"/>
    <cellStyle name="Percent 143" xfId="33039" xr:uid="{00000000-0005-0000-0000-00000FC20000}"/>
    <cellStyle name="Percent 143 2" xfId="52221" xr:uid="{00000000-0005-0000-0000-000010C20000}"/>
    <cellStyle name="Percent 144" xfId="33008" xr:uid="{00000000-0005-0000-0000-000011C20000}"/>
    <cellStyle name="Percent 144 2" xfId="52194" xr:uid="{00000000-0005-0000-0000-000012C20000}"/>
    <cellStyle name="Percent 145" xfId="33035" xr:uid="{00000000-0005-0000-0000-000013C20000}"/>
    <cellStyle name="Percent 145 2" xfId="52217" xr:uid="{00000000-0005-0000-0000-000014C20000}"/>
    <cellStyle name="Percent 146" xfId="32989" xr:uid="{00000000-0005-0000-0000-000015C20000}"/>
    <cellStyle name="Percent 146 2" xfId="52175" xr:uid="{00000000-0005-0000-0000-000016C20000}"/>
    <cellStyle name="Percent 147" xfId="33052" xr:uid="{00000000-0005-0000-0000-000017C20000}"/>
    <cellStyle name="Percent 147 2" xfId="52234" xr:uid="{00000000-0005-0000-0000-000018C20000}"/>
    <cellStyle name="Percent 148" xfId="32974" xr:uid="{00000000-0005-0000-0000-000019C20000}"/>
    <cellStyle name="Percent 148 2" xfId="52160" xr:uid="{00000000-0005-0000-0000-00001AC20000}"/>
    <cellStyle name="Percent 149" xfId="33032" xr:uid="{00000000-0005-0000-0000-00001BC20000}"/>
    <cellStyle name="Percent 149 2" xfId="52214" xr:uid="{00000000-0005-0000-0000-00001CC20000}"/>
    <cellStyle name="Percent 15" xfId="1268" xr:uid="{00000000-0005-0000-0000-00001DC20000}"/>
    <cellStyle name="Percent 15 2" xfId="6281" xr:uid="{00000000-0005-0000-0000-00001EC20000}"/>
    <cellStyle name="Percent 15 2 10" xfId="52794" xr:uid="{00000000-0005-0000-0000-00001FC20000}"/>
    <cellStyle name="Percent 15 2 11" xfId="13461" xr:uid="{00000000-0005-0000-0000-000020C20000}"/>
    <cellStyle name="Percent 15 2 2" xfId="14318" xr:uid="{00000000-0005-0000-0000-000021C20000}"/>
    <cellStyle name="Percent 15 2 2 2" xfId="16581" xr:uid="{00000000-0005-0000-0000-000022C20000}"/>
    <cellStyle name="Percent 15 2 2 2 2" xfId="21045" xr:uid="{00000000-0005-0000-0000-000023C20000}"/>
    <cellStyle name="Percent 15 2 2 2 2 2" xfId="31413" xr:uid="{00000000-0005-0000-0000-000024C20000}"/>
    <cellStyle name="Percent 15 2 2 2 2 2 2" xfId="50602" xr:uid="{00000000-0005-0000-0000-000025C20000}"/>
    <cellStyle name="Percent 15 2 2 2 2 3" xfId="40904" xr:uid="{00000000-0005-0000-0000-000026C20000}"/>
    <cellStyle name="Percent 15 2 2 2 3" xfId="26958" xr:uid="{00000000-0005-0000-0000-000027C20000}"/>
    <cellStyle name="Percent 15 2 2 2 3 2" xfId="46147" xr:uid="{00000000-0005-0000-0000-000028C20000}"/>
    <cellStyle name="Percent 15 2 2 2 4" xfId="36449" xr:uid="{00000000-0005-0000-0000-000029C20000}"/>
    <cellStyle name="Percent 15 2 2 2 5" xfId="54075" xr:uid="{00000000-0005-0000-0000-00002AC20000}"/>
    <cellStyle name="Percent 15 2 2 3" xfId="18817" xr:uid="{00000000-0005-0000-0000-00002BC20000}"/>
    <cellStyle name="Percent 15 2 2 3 2" xfId="29185" xr:uid="{00000000-0005-0000-0000-00002CC20000}"/>
    <cellStyle name="Percent 15 2 2 3 2 2" xfId="48374" xr:uid="{00000000-0005-0000-0000-00002DC20000}"/>
    <cellStyle name="Percent 15 2 2 3 3" xfId="38676" xr:uid="{00000000-0005-0000-0000-00002EC20000}"/>
    <cellStyle name="Percent 15 2 2 4" xfId="24725" xr:uid="{00000000-0005-0000-0000-00002FC20000}"/>
    <cellStyle name="Percent 15 2 2 4 2" xfId="43919" xr:uid="{00000000-0005-0000-0000-000030C20000}"/>
    <cellStyle name="Percent 15 2 2 5" xfId="34221" xr:uid="{00000000-0005-0000-0000-000031C20000}"/>
    <cellStyle name="Percent 15 2 2 6" xfId="53222" xr:uid="{00000000-0005-0000-0000-000032C20000}"/>
    <cellStyle name="Percent 15 2 3" xfId="14897" xr:uid="{00000000-0005-0000-0000-000033C20000}"/>
    <cellStyle name="Percent 15 2 3 2" xfId="16025" xr:uid="{00000000-0005-0000-0000-000034C20000}"/>
    <cellStyle name="Percent 15 2 3 2 2" xfId="20489" xr:uid="{00000000-0005-0000-0000-000035C20000}"/>
    <cellStyle name="Percent 15 2 3 2 2 2" xfId="30857" xr:uid="{00000000-0005-0000-0000-000036C20000}"/>
    <cellStyle name="Percent 15 2 3 2 2 2 2" xfId="50046" xr:uid="{00000000-0005-0000-0000-000037C20000}"/>
    <cellStyle name="Percent 15 2 3 2 2 3" xfId="40348" xr:uid="{00000000-0005-0000-0000-000038C20000}"/>
    <cellStyle name="Percent 15 2 3 2 3" xfId="26402" xr:uid="{00000000-0005-0000-0000-000039C20000}"/>
    <cellStyle name="Percent 15 2 3 2 3 2" xfId="45591" xr:uid="{00000000-0005-0000-0000-00003AC20000}"/>
    <cellStyle name="Percent 15 2 3 2 4" xfId="35893" xr:uid="{00000000-0005-0000-0000-00003BC20000}"/>
    <cellStyle name="Percent 15 2 3 3" xfId="19374" xr:uid="{00000000-0005-0000-0000-00003CC20000}"/>
    <cellStyle name="Percent 15 2 3 3 2" xfId="29742" xr:uid="{00000000-0005-0000-0000-00003DC20000}"/>
    <cellStyle name="Percent 15 2 3 3 2 2" xfId="48931" xr:uid="{00000000-0005-0000-0000-00003EC20000}"/>
    <cellStyle name="Percent 15 2 3 3 3" xfId="39233" xr:uid="{00000000-0005-0000-0000-00003FC20000}"/>
    <cellStyle name="Percent 15 2 3 4" xfId="25287" xr:uid="{00000000-0005-0000-0000-000040C20000}"/>
    <cellStyle name="Percent 15 2 3 4 2" xfId="44476" xr:uid="{00000000-0005-0000-0000-000041C20000}"/>
    <cellStyle name="Percent 15 2 3 5" xfId="34778" xr:uid="{00000000-0005-0000-0000-000042C20000}"/>
    <cellStyle name="Percent 15 2 3 6" xfId="53679" xr:uid="{00000000-0005-0000-0000-000043C20000}"/>
    <cellStyle name="Percent 15 2 4" xfId="15468" xr:uid="{00000000-0005-0000-0000-000044C20000}"/>
    <cellStyle name="Percent 15 2 4 2" xfId="19932" xr:uid="{00000000-0005-0000-0000-000045C20000}"/>
    <cellStyle name="Percent 15 2 4 2 2" xfId="30300" xr:uid="{00000000-0005-0000-0000-000046C20000}"/>
    <cellStyle name="Percent 15 2 4 2 2 2" xfId="49489" xr:uid="{00000000-0005-0000-0000-000047C20000}"/>
    <cellStyle name="Percent 15 2 4 2 3" xfId="39791" xr:uid="{00000000-0005-0000-0000-000048C20000}"/>
    <cellStyle name="Percent 15 2 4 3" xfId="25845" xr:uid="{00000000-0005-0000-0000-000049C20000}"/>
    <cellStyle name="Percent 15 2 4 3 2" xfId="45034" xr:uid="{00000000-0005-0000-0000-00004AC20000}"/>
    <cellStyle name="Percent 15 2 4 4" xfId="35336" xr:uid="{00000000-0005-0000-0000-00004BC20000}"/>
    <cellStyle name="Percent 15 2 5" xfId="17138" xr:uid="{00000000-0005-0000-0000-00004CC20000}"/>
    <cellStyle name="Percent 15 2 5 2" xfId="21602" xr:uid="{00000000-0005-0000-0000-00004DC20000}"/>
    <cellStyle name="Percent 15 2 5 2 2" xfId="31970" xr:uid="{00000000-0005-0000-0000-00004EC20000}"/>
    <cellStyle name="Percent 15 2 5 2 2 2" xfId="51159" xr:uid="{00000000-0005-0000-0000-00004FC20000}"/>
    <cellStyle name="Percent 15 2 5 2 3" xfId="41461" xr:uid="{00000000-0005-0000-0000-000050C20000}"/>
    <cellStyle name="Percent 15 2 5 3" xfId="27515" xr:uid="{00000000-0005-0000-0000-000051C20000}"/>
    <cellStyle name="Percent 15 2 5 3 2" xfId="46704" xr:uid="{00000000-0005-0000-0000-000052C20000}"/>
    <cellStyle name="Percent 15 2 5 4" xfId="37006" xr:uid="{00000000-0005-0000-0000-000053C20000}"/>
    <cellStyle name="Percent 15 2 6" xfId="17704" xr:uid="{00000000-0005-0000-0000-000054C20000}"/>
    <cellStyle name="Percent 15 2 6 2" xfId="22159" xr:uid="{00000000-0005-0000-0000-000055C20000}"/>
    <cellStyle name="Percent 15 2 6 2 2" xfId="32527" xr:uid="{00000000-0005-0000-0000-000056C20000}"/>
    <cellStyle name="Percent 15 2 6 2 2 2" xfId="51716" xr:uid="{00000000-0005-0000-0000-000057C20000}"/>
    <cellStyle name="Percent 15 2 6 2 3" xfId="42018" xr:uid="{00000000-0005-0000-0000-000058C20000}"/>
    <cellStyle name="Percent 15 2 6 3" xfId="28072" xr:uid="{00000000-0005-0000-0000-000059C20000}"/>
    <cellStyle name="Percent 15 2 6 3 2" xfId="47261" xr:uid="{00000000-0005-0000-0000-00005AC20000}"/>
    <cellStyle name="Percent 15 2 6 4" xfId="37563" xr:uid="{00000000-0005-0000-0000-00005BC20000}"/>
    <cellStyle name="Percent 15 2 7" xfId="18261" xr:uid="{00000000-0005-0000-0000-00005CC20000}"/>
    <cellStyle name="Percent 15 2 7 2" xfId="28629" xr:uid="{00000000-0005-0000-0000-00005DC20000}"/>
    <cellStyle name="Percent 15 2 7 2 2" xfId="47818" xr:uid="{00000000-0005-0000-0000-00005EC20000}"/>
    <cellStyle name="Percent 15 2 7 3" xfId="38120" xr:uid="{00000000-0005-0000-0000-00005FC20000}"/>
    <cellStyle name="Percent 15 2 8" xfId="24143" xr:uid="{00000000-0005-0000-0000-000060C20000}"/>
    <cellStyle name="Percent 15 2 8 2" xfId="43363" xr:uid="{00000000-0005-0000-0000-000061C20000}"/>
    <cellStyle name="Percent 15 2 9" xfId="33665" xr:uid="{00000000-0005-0000-0000-000062C20000}"/>
    <cellStyle name="Percent 15 3" xfId="13655" xr:uid="{00000000-0005-0000-0000-000063C20000}"/>
    <cellStyle name="Percent 15 3 2" xfId="53879" xr:uid="{00000000-0005-0000-0000-000064C20000}"/>
    <cellStyle name="Percent 15 3 3" xfId="53004" xr:uid="{00000000-0005-0000-0000-000065C20000}"/>
    <cellStyle name="Percent 15 4" xfId="23469" xr:uid="{00000000-0005-0000-0000-000066C20000}"/>
    <cellStyle name="Percent 15 4 2" xfId="53483" xr:uid="{00000000-0005-0000-0000-000067C20000}"/>
    <cellStyle name="Percent 15 5" xfId="52594" xr:uid="{00000000-0005-0000-0000-000068C20000}"/>
    <cellStyle name="Percent 15 6" xfId="12548" xr:uid="{00000000-0005-0000-0000-000069C20000}"/>
    <cellStyle name="Percent 150" xfId="32981" xr:uid="{00000000-0005-0000-0000-00006AC20000}"/>
    <cellStyle name="Percent 150 2" xfId="52167" xr:uid="{00000000-0005-0000-0000-00006BC20000}"/>
    <cellStyle name="Percent 151" xfId="32976" xr:uid="{00000000-0005-0000-0000-00006CC20000}"/>
    <cellStyle name="Percent 151 2" xfId="52162" xr:uid="{00000000-0005-0000-0000-00006DC20000}"/>
    <cellStyle name="Percent 152" xfId="33034" xr:uid="{00000000-0005-0000-0000-00006EC20000}"/>
    <cellStyle name="Percent 152 2" xfId="52216" xr:uid="{00000000-0005-0000-0000-00006FC20000}"/>
    <cellStyle name="Percent 153" xfId="32980" xr:uid="{00000000-0005-0000-0000-000070C20000}"/>
    <cellStyle name="Percent 153 2" xfId="52166" xr:uid="{00000000-0005-0000-0000-000071C20000}"/>
    <cellStyle name="Percent 154" xfId="32988" xr:uid="{00000000-0005-0000-0000-000072C20000}"/>
    <cellStyle name="Percent 154 2" xfId="52174" xr:uid="{00000000-0005-0000-0000-000073C20000}"/>
    <cellStyle name="Percent 155" xfId="33033" xr:uid="{00000000-0005-0000-0000-000074C20000}"/>
    <cellStyle name="Percent 155 2" xfId="52215" xr:uid="{00000000-0005-0000-0000-000075C20000}"/>
    <cellStyle name="Percent 156" xfId="33016" xr:uid="{00000000-0005-0000-0000-000076C20000}"/>
    <cellStyle name="Percent 156 2" xfId="52201" xr:uid="{00000000-0005-0000-0000-000077C20000}"/>
    <cellStyle name="Percent 157" xfId="32986" xr:uid="{00000000-0005-0000-0000-000078C20000}"/>
    <cellStyle name="Percent 157 2" xfId="52172" xr:uid="{00000000-0005-0000-0000-000079C20000}"/>
    <cellStyle name="Percent 158" xfId="33023" xr:uid="{00000000-0005-0000-0000-00007AC20000}"/>
    <cellStyle name="Percent 158 2" xfId="52208" xr:uid="{00000000-0005-0000-0000-00007BC20000}"/>
    <cellStyle name="Percent 159" xfId="33017" xr:uid="{00000000-0005-0000-0000-00007CC20000}"/>
    <cellStyle name="Percent 159 2" xfId="52202" xr:uid="{00000000-0005-0000-0000-00007DC20000}"/>
    <cellStyle name="Percent 16" xfId="1269" xr:uid="{00000000-0005-0000-0000-00007EC20000}"/>
    <cellStyle name="Percent 16 2" xfId="6770" xr:uid="{00000000-0005-0000-0000-00007FC20000}"/>
    <cellStyle name="Percent 16 2 10" xfId="52823" xr:uid="{00000000-0005-0000-0000-000080C20000}"/>
    <cellStyle name="Percent 16 2 11" xfId="13469" xr:uid="{00000000-0005-0000-0000-000081C20000}"/>
    <cellStyle name="Percent 16 2 2" xfId="14326" xr:uid="{00000000-0005-0000-0000-000082C20000}"/>
    <cellStyle name="Percent 16 2 2 2" xfId="16589" xr:uid="{00000000-0005-0000-0000-000083C20000}"/>
    <cellStyle name="Percent 16 2 2 2 2" xfId="21053" xr:uid="{00000000-0005-0000-0000-000084C20000}"/>
    <cellStyle name="Percent 16 2 2 2 2 2" xfId="31421" xr:uid="{00000000-0005-0000-0000-000085C20000}"/>
    <cellStyle name="Percent 16 2 2 2 2 2 2" xfId="50610" xr:uid="{00000000-0005-0000-0000-000086C20000}"/>
    <cellStyle name="Percent 16 2 2 2 2 3" xfId="40912" xr:uid="{00000000-0005-0000-0000-000087C20000}"/>
    <cellStyle name="Percent 16 2 2 2 3" xfId="26966" xr:uid="{00000000-0005-0000-0000-000088C20000}"/>
    <cellStyle name="Percent 16 2 2 2 3 2" xfId="46155" xr:uid="{00000000-0005-0000-0000-000089C20000}"/>
    <cellStyle name="Percent 16 2 2 2 4" xfId="36457" xr:uid="{00000000-0005-0000-0000-00008AC20000}"/>
    <cellStyle name="Percent 16 2 2 2 5" xfId="54104" xr:uid="{00000000-0005-0000-0000-00008BC20000}"/>
    <cellStyle name="Percent 16 2 2 3" xfId="18825" xr:uid="{00000000-0005-0000-0000-00008CC20000}"/>
    <cellStyle name="Percent 16 2 2 3 2" xfId="29193" xr:uid="{00000000-0005-0000-0000-00008DC20000}"/>
    <cellStyle name="Percent 16 2 2 3 2 2" xfId="48382" xr:uid="{00000000-0005-0000-0000-00008EC20000}"/>
    <cellStyle name="Percent 16 2 2 3 3" xfId="38684" xr:uid="{00000000-0005-0000-0000-00008FC20000}"/>
    <cellStyle name="Percent 16 2 2 4" xfId="24733" xr:uid="{00000000-0005-0000-0000-000090C20000}"/>
    <cellStyle name="Percent 16 2 2 4 2" xfId="43927" xr:uid="{00000000-0005-0000-0000-000091C20000}"/>
    <cellStyle name="Percent 16 2 2 5" xfId="34229" xr:uid="{00000000-0005-0000-0000-000092C20000}"/>
    <cellStyle name="Percent 16 2 2 6" xfId="53251" xr:uid="{00000000-0005-0000-0000-000093C20000}"/>
    <cellStyle name="Percent 16 2 3" xfId="14905" xr:uid="{00000000-0005-0000-0000-000094C20000}"/>
    <cellStyle name="Percent 16 2 3 2" xfId="16033" xr:uid="{00000000-0005-0000-0000-000095C20000}"/>
    <cellStyle name="Percent 16 2 3 2 2" xfId="20497" xr:uid="{00000000-0005-0000-0000-000096C20000}"/>
    <cellStyle name="Percent 16 2 3 2 2 2" xfId="30865" xr:uid="{00000000-0005-0000-0000-000097C20000}"/>
    <cellStyle name="Percent 16 2 3 2 2 2 2" xfId="50054" xr:uid="{00000000-0005-0000-0000-000098C20000}"/>
    <cellStyle name="Percent 16 2 3 2 2 3" xfId="40356" xr:uid="{00000000-0005-0000-0000-000099C20000}"/>
    <cellStyle name="Percent 16 2 3 2 3" xfId="26410" xr:uid="{00000000-0005-0000-0000-00009AC20000}"/>
    <cellStyle name="Percent 16 2 3 2 3 2" xfId="45599" xr:uid="{00000000-0005-0000-0000-00009BC20000}"/>
    <cellStyle name="Percent 16 2 3 2 4" xfId="35901" xr:uid="{00000000-0005-0000-0000-00009CC20000}"/>
    <cellStyle name="Percent 16 2 3 3" xfId="19382" xr:uid="{00000000-0005-0000-0000-00009DC20000}"/>
    <cellStyle name="Percent 16 2 3 3 2" xfId="29750" xr:uid="{00000000-0005-0000-0000-00009EC20000}"/>
    <cellStyle name="Percent 16 2 3 3 2 2" xfId="48939" xr:uid="{00000000-0005-0000-0000-00009FC20000}"/>
    <cellStyle name="Percent 16 2 3 3 3" xfId="39241" xr:uid="{00000000-0005-0000-0000-0000A0C20000}"/>
    <cellStyle name="Percent 16 2 3 4" xfId="25295" xr:uid="{00000000-0005-0000-0000-0000A1C20000}"/>
    <cellStyle name="Percent 16 2 3 4 2" xfId="44484" xr:uid="{00000000-0005-0000-0000-0000A2C20000}"/>
    <cellStyle name="Percent 16 2 3 5" xfId="34786" xr:uid="{00000000-0005-0000-0000-0000A3C20000}"/>
    <cellStyle name="Percent 16 2 3 6" xfId="53708" xr:uid="{00000000-0005-0000-0000-0000A4C20000}"/>
    <cellStyle name="Percent 16 2 4" xfId="15476" xr:uid="{00000000-0005-0000-0000-0000A5C20000}"/>
    <cellStyle name="Percent 16 2 4 2" xfId="19940" xr:uid="{00000000-0005-0000-0000-0000A6C20000}"/>
    <cellStyle name="Percent 16 2 4 2 2" xfId="30308" xr:uid="{00000000-0005-0000-0000-0000A7C20000}"/>
    <cellStyle name="Percent 16 2 4 2 2 2" xfId="49497" xr:uid="{00000000-0005-0000-0000-0000A8C20000}"/>
    <cellStyle name="Percent 16 2 4 2 3" xfId="39799" xr:uid="{00000000-0005-0000-0000-0000A9C20000}"/>
    <cellStyle name="Percent 16 2 4 3" xfId="25853" xr:uid="{00000000-0005-0000-0000-0000AAC20000}"/>
    <cellStyle name="Percent 16 2 4 3 2" xfId="45042" xr:uid="{00000000-0005-0000-0000-0000ABC20000}"/>
    <cellStyle name="Percent 16 2 4 4" xfId="35344" xr:uid="{00000000-0005-0000-0000-0000ACC20000}"/>
    <cellStyle name="Percent 16 2 5" xfId="17146" xr:uid="{00000000-0005-0000-0000-0000ADC20000}"/>
    <cellStyle name="Percent 16 2 5 2" xfId="21610" xr:uid="{00000000-0005-0000-0000-0000AEC20000}"/>
    <cellStyle name="Percent 16 2 5 2 2" xfId="31978" xr:uid="{00000000-0005-0000-0000-0000AFC20000}"/>
    <cellStyle name="Percent 16 2 5 2 2 2" xfId="51167" xr:uid="{00000000-0005-0000-0000-0000B0C20000}"/>
    <cellStyle name="Percent 16 2 5 2 3" xfId="41469" xr:uid="{00000000-0005-0000-0000-0000B1C20000}"/>
    <cellStyle name="Percent 16 2 5 3" xfId="27523" xr:uid="{00000000-0005-0000-0000-0000B2C20000}"/>
    <cellStyle name="Percent 16 2 5 3 2" xfId="46712" xr:uid="{00000000-0005-0000-0000-0000B3C20000}"/>
    <cellStyle name="Percent 16 2 5 4" xfId="37014" xr:uid="{00000000-0005-0000-0000-0000B4C20000}"/>
    <cellStyle name="Percent 16 2 6" xfId="17712" xr:uid="{00000000-0005-0000-0000-0000B5C20000}"/>
    <cellStyle name="Percent 16 2 6 2" xfId="22167" xr:uid="{00000000-0005-0000-0000-0000B6C20000}"/>
    <cellStyle name="Percent 16 2 6 2 2" xfId="32535" xr:uid="{00000000-0005-0000-0000-0000B7C20000}"/>
    <cellStyle name="Percent 16 2 6 2 2 2" xfId="51724" xr:uid="{00000000-0005-0000-0000-0000B8C20000}"/>
    <cellStyle name="Percent 16 2 6 2 3" xfId="42026" xr:uid="{00000000-0005-0000-0000-0000B9C20000}"/>
    <cellStyle name="Percent 16 2 6 3" xfId="28080" xr:uid="{00000000-0005-0000-0000-0000BAC20000}"/>
    <cellStyle name="Percent 16 2 6 3 2" xfId="47269" xr:uid="{00000000-0005-0000-0000-0000BBC20000}"/>
    <cellStyle name="Percent 16 2 6 4" xfId="37571" xr:uid="{00000000-0005-0000-0000-0000BCC20000}"/>
    <cellStyle name="Percent 16 2 7" xfId="18269" xr:uid="{00000000-0005-0000-0000-0000BDC20000}"/>
    <cellStyle name="Percent 16 2 7 2" xfId="28637" xr:uid="{00000000-0005-0000-0000-0000BEC20000}"/>
    <cellStyle name="Percent 16 2 7 2 2" xfId="47826" xr:uid="{00000000-0005-0000-0000-0000BFC20000}"/>
    <cellStyle name="Percent 16 2 7 3" xfId="38128" xr:uid="{00000000-0005-0000-0000-0000C0C20000}"/>
    <cellStyle name="Percent 16 2 8" xfId="24151" xr:uid="{00000000-0005-0000-0000-0000C1C20000}"/>
    <cellStyle name="Percent 16 2 8 2" xfId="43371" xr:uid="{00000000-0005-0000-0000-0000C2C20000}"/>
    <cellStyle name="Percent 16 2 9" xfId="33673" xr:uid="{00000000-0005-0000-0000-0000C3C20000}"/>
    <cellStyle name="Percent 16 3" xfId="13665" xr:uid="{00000000-0005-0000-0000-0000C4C20000}"/>
    <cellStyle name="Percent 16 3 2" xfId="53908" xr:uid="{00000000-0005-0000-0000-0000C5C20000}"/>
    <cellStyle name="Percent 16 3 3" xfId="53033" xr:uid="{00000000-0005-0000-0000-0000C6C20000}"/>
    <cellStyle name="Percent 16 4" xfId="23470" xr:uid="{00000000-0005-0000-0000-0000C7C20000}"/>
    <cellStyle name="Percent 16 4 2" xfId="53512" xr:uid="{00000000-0005-0000-0000-0000C8C20000}"/>
    <cellStyle name="Percent 16 5" xfId="52627" xr:uid="{00000000-0005-0000-0000-0000C9C20000}"/>
    <cellStyle name="Percent 16 6" xfId="12549" xr:uid="{00000000-0005-0000-0000-0000CAC20000}"/>
    <cellStyle name="Percent 160" xfId="33061" xr:uid="{00000000-0005-0000-0000-0000CBC20000}"/>
    <cellStyle name="Percent 160 2" xfId="52243" xr:uid="{00000000-0005-0000-0000-0000CCC20000}"/>
    <cellStyle name="Percent 161" xfId="33075" xr:uid="{00000000-0005-0000-0000-0000CDC20000}"/>
    <cellStyle name="Percent 162" xfId="33117" xr:uid="{00000000-0005-0000-0000-0000CEC20000}"/>
    <cellStyle name="Percent 163" xfId="33135" xr:uid="{00000000-0005-0000-0000-0000CFC20000}"/>
    <cellStyle name="Percent 164" xfId="52248" xr:uid="{00000000-0005-0000-0000-0000D0C20000}"/>
    <cellStyle name="Percent 165" xfId="52255" xr:uid="{00000000-0005-0000-0000-0000D1C20000}"/>
    <cellStyle name="Percent 166" xfId="52260" xr:uid="{00000000-0005-0000-0000-0000D2C20000}"/>
    <cellStyle name="Percent 167" xfId="52252" xr:uid="{00000000-0005-0000-0000-0000D3C20000}"/>
    <cellStyle name="Percent 168" xfId="52259" xr:uid="{00000000-0005-0000-0000-0000D4C20000}"/>
    <cellStyle name="Percent 169" xfId="52268" xr:uid="{00000000-0005-0000-0000-0000D5C20000}"/>
    <cellStyle name="Percent 17" xfId="1270" xr:uid="{00000000-0005-0000-0000-0000D6C20000}"/>
    <cellStyle name="Percent 17 2" xfId="6294" xr:uid="{00000000-0005-0000-0000-0000D7C20000}"/>
    <cellStyle name="Percent 17 2 10" xfId="52827" xr:uid="{00000000-0005-0000-0000-0000D8C20000}"/>
    <cellStyle name="Percent 17 2 11" xfId="13455" xr:uid="{00000000-0005-0000-0000-0000D9C20000}"/>
    <cellStyle name="Percent 17 2 2" xfId="14312" xr:uid="{00000000-0005-0000-0000-0000DAC20000}"/>
    <cellStyle name="Percent 17 2 2 2" xfId="16575" xr:uid="{00000000-0005-0000-0000-0000DBC20000}"/>
    <cellStyle name="Percent 17 2 2 2 2" xfId="21039" xr:uid="{00000000-0005-0000-0000-0000DCC20000}"/>
    <cellStyle name="Percent 17 2 2 2 2 2" xfId="31407" xr:uid="{00000000-0005-0000-0000-0000DDC20000}"/>
    <cellStyle name="Percent 17 2 2 2 2 2 2" xfId="50596" xr:uid="{00000000-0005-0000-0000-0000DEC20000}"/>
    <cellStyle name="Percent 17 2 2 2 2 3" xfId="40898" xr:uid="{00000000-0005-0000-0000-0000DFC20000}"/>
    <cellStyle name="Percent 17 2 2 2 3" xfId="26952" xr:uid="{00000000-0005-0000-0000-0000E0C20000}"/>
    <cellStyle name="Percent 17 2 2 2 3 2" xfId="46141" xr:uid="{00000000-0005-0000-0000-0000E1C20000}"/>
    <cellStyle name="Percent 17 2 2 2 4" xfId="36443" xr:uid="{00000000-0005-0000-0000-0000E2C20000}"/>
    <cellStyle name="Percent 17 2 2 2 5" xfId="54108" xr:uid="{00000000-0005-0000-0000-0000E3C20000}"/>
    <cellStyle name="Percent 17 2 2 3" xfId="18811" xr:uid="{00000000-0005-0000-0000-0000E4C20000}"/>
    <cellStyle name="Percent 17 2 2 3 2" xfId="29179" xr:uid="{00000000-0005-0000-0000-0000E5C20000}"/>
    <cellStyle name="Percent 17 2 2 3 2 2" xfId="48368" xr:uid="{00000000-0005-0000-0000-0000E6C20000}"/>
    <cellStyle name="Percent 17 2 2 3 3" xfId="38670" xr:uid="{00000000-0005-0000-0000-0000E7C20000}"/>
    <cellStyle name="Percent 17 2 2 4" xfId="24719" xr:uid="{00000000-0005-0000-0000-0000E8C20000}"/>
    <cellStyle name="Percent 17 2 2 4 2" xfId="43913" xr:uid="{00000000-0005-0000-0000-0000E9C20000}"/>
    <cellStyle name="Percent 17 2 2 5" xfId="34215" xr:uid="{00000000-0005-0000-0000-0000EAC20000}"/>
    <cellStyle name="Percent 17 2 2 6" xfId="53255" xr:uid="{00000000-0005-0000-0000-0000EBC20000}"/>
    <cellStyle name="Percent 17 2 3" xfId="14891" xr:uid="{00000000-0005-0000-0000-0000ECC20000}"/>
    <cellStyle name="Percent 17 2 3 2" xfId="16019" xr:uid="{00000000-0005-0000-0000-0000EDC20000}"/>
    <cellStyle name="Percent 17 2 3 2 2" xfId="20483" xr:uid="{00000000-0005-0000-0000-0000EEC20000}"/>
    <cellStyle name="Percent 17 2 3 2 2 2" xfId="30851" xr:uid="{00000000-0005-0000-0000-0000EFC20000}"/>
    <cellStyle name="Percent 17 2 3 2 2 2 2" xfId="50040" xr:uid="{00000000-0005-0000-0000-0000F0C20000}"/>
    <cellStyle name="Percent 17 2 3 2 2 3" xfId="40342" xr:uid="{00000000-0005-0000-0000-0000F1C20000}"/>
    <cellStyle name="Percent 17 2 3 2 3" xfId="26396" xr:uid="{00000000-0005-0000-0000-0000F2C20000}"/>
    <cellStyle name="Percent 17 2 3 2 3 2" xfId="45585" xr:uid="{00000000-0005-0000-0000-0000F3C20000}"/>
    <cellStyle name="Percent 17 2 3 2 4" xfId="35887" xr:uid="{00000000-0005-0000-0000-0000F4C20000}"/>
    <cellStyle name="Percent 17 2 3 3" xfId="19368" xr:uid="{00000000-0005-0000-0000-0000F5C20000}"/>
    <cellStyle name="Percent 17 2 3 3 2" xfId="29736" xr:uid="{00000000-0005-0000-0000-0000F6C20000}"/>
    <cellStyle name="Percent 17 2 3 3 2 2" xfId="48925" xr:uid="{00000000-0005-0000-0000-0000F7C20000}"/>
    <cellStyle name="Percent 17 2 3 3 3" xfId="39227" xr:uid="{00000000-0005-0000-0000-0000F8C20000}"/>
    <cellStyle name="Percent 17 2 3 4" xfId="25281" xr:uid="{00000000-0005-0000-0000-0000F9C20000}"/>
    <cellStyle name="Percent 17 2 3 4 2" xfId="44470" xr:uid="{00000000-0005-0000-0000-0000FAC20000}"/>
    <cellStyle name="Percent 17 2 3 5" xfId="34772" xr:uid="{00000000-0005-0000-0000-0000FBC20000}"/>
    <cellStyle name="Percent 17 2 3 6" xfId="53712" xr:uid="{00000000-0005-0000-0000-0000FCC20000}"/>
    <cellStyle name="Percent 17 2 4" xfId="15462" xr:uid="{00000000-0005-0000-0000-0000FDC20000}"/>
    <cellStyle name="Percent 17 2 4 2" xfId="19926" xr:uid="{00000000-0005-0000-0000-0000FEC20000}"/>
    <cellStyle name="Percent 17 2 4 2 2" xfId="30294" xr:uid="{00000000-0005-0000-0000-0000FFC20000}"/>
    <cellStyle name="Percent 17 2 4 2 2 2" xfId="49483" xr:uid="{00000000-0005-0000-0000-000000C30000}"/>
    <cellStyle name="Percent 17 2 4 2 3" xfId="39785" xr:uid="{00000000-0005-0000-0000-000001C30000}"/>
    <cellStyle name="Percent 17 2 4 3" xfId="25839" xr:uid="{00000000-0005-0000-0000-000002C30000}"/>
    <cellStyle name="Percent 17 2 4 3 2" xfId="45028" xr:uid="{00000000-0005-0000-0000-000003C30000}"/>
    <cellStyle name="Percent 17 2 4 4" xfId="35330" xr:uid="{00000000-0005-0000-0000-000004C30000}"/>
    <cellStyle name="Percent 17 2 5" xfId="17132" xr:uid="{00000000-0005-0000-0000-000005C30000}"/>
    <cellStyle name="Percent 17 2 5 2" xfId="21596" xr:uid="{00000000-0005-0000-0000-000006C30000}"/>
    <cellStyle name="Percent 17 2 5 2 2" xfId="31964" xr:uid="{00000000-0005-0000-0000-000007C30000}"/>
    <cellStyle name="Percent 17 2 5 2 2 2" xfId="51153" xr:uid="{00000000-0005-0000-0000-000008C30000}"/>
    <cellStyle name="Percent 17 2 5 2 3" xfId="41455" xr:uid="{00000000-0005-0000-0000-000009C30000}"/>
    <cellStyle name="Percent 17 2 5 3" xfId="27509" xr:uid="{00000000-0005-0000-0000-00000AC30000}"/>
    <cellStyle name="Percent 17 2 5 3 2" xfId="46698" xr:uid="{00000000-0005-0000-0000-00000BC30000}"/>
    <cellStyle name="Percent 17 2 5 4" xfId="37000" xr:uid="{00000000-0005-0000-0000-00000CC30000}"/>
    <cellStyle name="Percent 17 2 6" xfId="17698" xr:uid="{00000000-0005-0000-0000-00000DC30000}"/>
    <cellStyle name="Percent 17 2 6 2" xfId="22153" xr:uid="{00000000-0005-0000-0000-00000EC30000}"/>
    <cellStyle name="Percent 17 2 6 2 2" xfId="32521" xr:uid="{00000000-0005-0000-0000-00000FC30000}"/>
    <cellStyle name="Percent 17 2 6 2 2 2" xfId="51710" xr:uid="{00000000-0005-0000-0000-000010C30000}"/>
    <cellStyle name="Percent 17 2 6 2 3" xfId="42012" xr:uid="{00000000-0005-0000-0000-000011C30000}"/>
    <cellStyle name="Percent 17 2 6 3" xfId="28066" xr:uid="{00000000-0005-0000-0000-000012C30000}"/>
    <cellStyle name="Percent 17 2 6 3 2" xfId="47255" xr:uid="{00000000-0005-0000-0000-000013C30000}"/>
    <cellStyle name="Percent 17 2 6 4" xfId="37557" xr:uid="{00000000-0005-0000-0000-000014C30000}"/>
    <cellStyle name="Percent 17 2 7" xfId="18255" xr:uid="{00000000-0005-0000-0000-000015C30000}"/>
    <cellStyle name="Percent 17 2 7 2" xfId="28623" xr:uid="{00000000-0005-0000-0000-000016C30000}"/>
    <cellStyle name="Percent 17 2 7 2 2" xfId="47812" xr:uid="{00000000-0005-0000-0000-000017C30000}"/>
    <cellStyle name="Percent 17 2 7 3" xfId="38114" xr:uid="{00000000-0005-0000-0000-000018C30000}"/>
    <cellStyle name="Percent 17 2 8" xfId="24137" xr:uid="{00000000-0005-0000-0000-000019C30000}"/>
    <cellStyle name="Percent 17 2 8 2" xfId="43357" xr:uid="{00000000-0005-0000-0000-00001AC30000}"/>
    <cellStyle name="Percent 17 2 9" xfId="33659" xr:uid="{00000000-0005-0000-0000-00001BC30000}"/>
    <cellStyle name="Percent 17 3" xfId="13645" xr:uid="{00000000-0005-0000-0000-00001CC30000}"/>
    <cellStyle name="Percent 17 3 2" xfId="53912" xr:uid="{00000000-0005-0000-0000-00001DC30000}"/>
    <cellStyle name="Percent 17 3 3" xfId="53037" xr:uid="{00000000-0005-0000-0000-00001EC30000}"/>
    <cellStyle name="Percent 17 4" xfId="22773" xr:uid="{00000000-0005-0000-0000-00001FC30000}"/>
    <cellStyle name="Percent 17 4 2" xfId="32857" xr:uid="{00000000-0005-0000-0000-000020C30000}"/>
    <cellStyle name="Percent 17 4 2 2" xfId="52043" xr:uid="{00000000-0005-0000-0000-000021C30000}"/>
    <cellStyle name="Percent 17 4 3" xfId="42345" xr:uid="{00000000-0005-0000-0000-000022C30000}"/>
    <cellStyle name="Percent 17 4 4" xfId="53516" xr:uid="{00000000-0005-0000-0000-000023C30000}"/>
    <cellStyle name="Percent 17 5" xfId="23471" xr:uid="{00000000-0005-0000-0000-000024C30000}"/>
    <cellStyle name="Percent 17 6" xfId="23130" xr:uid="{00000000-0005-0000-0000-000025C30000}"/>
    <cellStyle name="Percent 17 6 2" xfId="42698" xr:uid="{00000000-0005-0000-0000-000026C30000}"/>
    <cellStyle name="Percent 17 7" xfId="52631" xr:uid="{00000000-0005-0000-0000-000027C30000}"/>
    <cellStyle name="Percent 17 8" xfId="12550" xr:uid="{00000000-0005-0000-0000-000028C30000}"/>
    <cellStyle name="Percent 170" xfId="52289" xr:uid="{00000000-0005-0000-0000-000029C30000}"/>
    <cellStyle name="Percent 171" xfId="52265" xr:uid="{00000000-0005-0000-0000-00002AC30000}"/>
    <cellStyle name="Percent 172" xfId="52283" xr:uid="{00000000-0005-0000-0000-00002BC30000}"/>
    <cellStyle name="Percent 173" xfId="52307" xr:uid="{00000000-0005-0000-0000-00002CC30000}"/>
    <cellStyle name="Percent 174" xfId="52262" xr:uid="{00000000-0005-0000-0000-00002DC30000}"/>
    <cellStyle name="Percent 175" xfId="52296" xr:uid="{00000000-0005-0000-0000-00002EC30000}"/>
    <cellStyle name="Percent 176" xfId="52300" xr:uid="{00000000-0005-0000-0000-00002FC30000}"/>
    <cellStyle name="Percent 177" xfId="52287" xr:uid="{00000000-0005-0000-0000-000030C30000}"/>
    <cellStyle name="Percent 178" xfId="52299" xr:uid="{00000000-0005-0000-0000-000031C30000}"/>
    <cellStyle name="Percent 179" xfId="52263" xr:uid="{00000000-0005-0000-0000-000032C30000}"/>
    <cellStyle name="Percent 18" xfId="1271" xr:uid="{00000000-0005-0000-0000-000033C30000}"/>
    <cellStyle name="Percent 18 2" xfId="6301" xr:uid="{00000000-0005-0000-0000-000034C30000}"/>
    <cellStyle name="Percent 18 2 10" xfId="13471" xr:uid="{00000000-0005-0000-0000-000035C30000}"/>
    <cellStyle name="Percent 18 2 2" xfId="14328" xr:uid="{00000000-0005-0000-0000-000036C30000}"/>
    <cellStyle name="Percent 18 2 2 2" xfId="16591" xr:uid="{00000000-0005-0000-0000-000037C30000}"/>
    <cellStyle name="Percent 18 2 2 2 2" xfId="21055" xr:uid="{00000000-0005-0000-0000-000038C30000}"/>
    <cellStyle name="Percent 18 2 2 2 2 2" xfId="31423" xr:uid="{00000000-0005-0000-0000-000039C30000}"/>
    <cellStyle name="Percent 18 2 2 2 2 2 2" xfId="50612" xr:uid="{00000000-0005-0000-0000-00003AC30000}"/>
    <cellStyle name="Percent 18 2 2 2 2 3" xfId="40914" xr:uid="{00000000-0005-0000-0000-00003BC30000}"/>
    <cellStyle name="Percent 18 2 2 2 3" xfId="26968" xr:uid="{00000000-0005-0000-0000-00003CC30000}"/>
    <cellStyle name="Percent 18 2 2 2 3 2" xfId="46157" xr:uid="{00000000-0005-0000-0000-00003DC30000}"/>
    <cellStyle name="Percent 18 2 2 2 4" xfId="36459" xr:uid="{00000000-0005-0000-0000-00003EC30000}"/>
    <cellStyle name="Percent 18 2 2 3" xfId="18827" xr:uid="{00000000-0005-0000-0000-00003FC30000}"/>
    <cellStyle name="Percent 18 2 2 3 2" xfId="29195" xr:uid="{00000000-0005-0000-0000-000040C30000}"/>
    <cellStyle name="Percent 18 2 2 3 2 2" xfId="48384" xr:uid="{00000000-0005-0000-0000-000041C30000}"/>
    <cellStyle name="Percent 18 2 2 3 3" xfId="38686" xr:uid="{00000000-0005-0000-0000-000042C30000}"/>
    <cellStyle name="Percent 18 2 2 4" xfId="24735" xr:uid="{00000000-0005-0000-0000-000043C30000}"/>
    <cellStyle name="Percent 18 2 2 4 2" xfId="43929" xr:uid="{00000000-0005-0000-0000-000044C30000}"/>
    <cellStyle name="Percent 18 2 2 5" xfId="34231" xr:uid="{00000000-0005-0000-0000-000045C30000}"/>
    <cellStyle name="Percent 18 2 3" xfId="14907" xr:uid="{00000000-0005-0000-0000-000046C30000}"/>
    <cellStyle name="Percent 18 2 3 2" xfId="16035" xr:uid="{00000000-0005-0000-0000-000047C30000}"/>
    <cellStyle name="Percent 18 2 3 2 2" xfId="20499" xr:uid="{00000000-0005-0000-0000-000048C30000}"/>
    <cellStyle name="Percent 18 2 3 2 2 2" xfId="30867" xr:uid="{00000000-0005-0000-0000-000049C30000}"/>
    <cellStyle name="Percent 18 2 3 2 2 2 2" xfId="50056" xr:uid="{00000000-0005-0000-0000-00004AC30000}"/>
    <cellStyle name="Percent 18 2 3 2 2 3" xfId="40358" xr:uid="{00000000-0005-0000-0000-00004BC30000}"/>
    <cellStyle name="Percent 18 2 3 2 3" xfId="26412" xr:uid="{00000000-0005-0000-0000-00004CC30000}"/>
    <cellStyle name="Percent 18 2 3 2 3 2" xfId="45601" xr:uid="{00000000-0005-0000-0000-00004DC30000}"/>
    <cellStyle name="Percent 18 2 3 2 4" xfId="35903" xr:uid="{00000000-0005-0000-0000-00004EC30000}"/>
    <cellStyle name="Percent 18 2 3 3" xfId="19384" xr:uid="{00000000-0005-0000-0000-00004FC30000}"/>
    <cellStyle name="Percent 18 2 3 3 2" xfId="29752" xr:uid="{00000000-0005-0000-0000-000050C30000}"/>
    <cellStyle name="Percent 18 2 3 3 2 2" xfId="48941" xr:uid="{00000000-0005-0000-0000-000051C30000}"/>
    <cellStyle name="Percent 18 2 3 3 3" xfId="39243" xr:uid="{00000000-0005-0000-0000-000052C30000}"/>
    <cellStyle name="Percent 18 2 3 4" xfId="25297" xr:uid="{00000000-0005-0000-0000-000053C30000}"/>
    <cellStyle name="Percent 18 2 3 4 2" xfId="44486" xr:uid="{00000000-0005-0000-0000-000054C30000}"/>
    <cellStyle name="Percent 18 2 3 5" xfId="34788" xr:uid="{00000000-0005-0000-0000-000055C30000}"/>
    <cellStyle name="Percent 18 2 4" xfId="15478" xr:uid="{00000000-0005-0000-0000-000056C30000}"/>
    <cellStyle name="Percent 18 2 4 2" xfId="19942" xr:uid="{00000000-0005-0000-0000-000057C30000}"/>
    <cellStyle name="Percent 18 2 4 2 2" xfId="30310" xr:uid="{00000000-0005-0000-0000-000058C30000}"/>
    <cellStyle name="Percent 18 2 4 2 2 2" xfId="49499" xr:uid="{00000000-0005-0000-0000-000059C30000}"/>
    <cellStyle name="Percent 18 2 4 2 3" xfId="39801" xr:uid="{00000000-0005-0000-0000-00005AC30000}"/>
    <cellStyle name="Percent 18 2 4 3" xfId="25855" xr:uid="{00000000-0005-0000-0000-00005BC30000}"/>
    <cellStyle name="Percent 18 2 4 3 2" xfId="45044" xr:uid="{00000000-0005-0000-0000-00005CC30000}"/>
    <cellStyle name="Percent 18 2 4 4" xfId="35346" xr:uid="{00000000-0005-0000-0000-00005DC30000}"/>
    <cellStyle name="Percent 18 2 5" xfId="17148" xr:uid="{00000000-0005-0000-0000-00005EC30000}"/>
    <cellStyle name="Percent 18 2 5 2" xfId="21612" xr:uid="{00000000-0005-0000-0000-00005FC30000}"/>
    <cellStyle name="Percent 18 2 5 2 2" xfId="31980" xr:uid="{00000000-0005-0000-0000-000060C30000}"/>
    <cellStyle name="Percent 18 2 5 2 2 2" xfId="51169" xr:uid="{00000000-0005-0000-0000-000061C30000}"/>
    <cellStyle name="Percent 18 2 5 2 3" xfId="41471" xr:uid="{00000000-0005-0000-0000-000062C30000}"/>
    <cellStyle name="Percent 18 2 5 3" xfId="27525" xr:uid="{00000000-0005-0000-0000-000063C30000}"/>
    <cellStyle name="Percent 18 2 5 3 2" xfId="46714" xr:uid="{00000000-0005-0000-0000-000064C30000}"/>
    <cellStyle name="Percent 18 2 5 4" xfId="37016" xr:uid="{00000000-0005-0000-0000-000065C30000}"/>
    <cellStyle name="Percent 18 2 6" xfId="17714" xr:uid="{00000000-0005-0000-0000-000066C30000}"/>
    <cellStyle name="Percent 18 2 6 2" xfId="22169" xr:uid="{00000000-0005-0000-0000-000067C30000}"/>
    <cellStyle name="Percent 18 2 6 2 2" xfId="32537" xr:uid="{00000000-0005-0000-0000-000068C30000}"/>
    <cellStyle name="Percent 18 2 6 2 2 2" xfId="51726" xr:uid="{00000000-0005-0000-0000-000069C30000}"/>
    <cellStyle name="Percent 18 2 6 2 3" xfId="42028" xr:uid="{00000000-0005-0000-0000-00006AC30000}"/>
    <cellStyle name="Percent 18 2 6 3" xfId="28082" xr:uid="{00000000-0005-0000-0000-00006BC30000}"/>
    <cellStyle name="Percent 18 2 6 3 2" xfId="47271" xr:uid="{00000000-0005-0000-0000-00006CC30000}"/>
    <cellStyle name="Percent 18 2 6 4" xfId="37573" xr:uid="{00000000-0005-0000-0000-00006DC30000}"/>
    <cellStyle name="Percent 18 2 7" xfId="18271" xr:uid="{00000000-0005-0000-0000-00006EC30000}"/>
    <cellStyle name="Percent 18 2 7 2" xfId="28639" xr:uid="{00000000-0005-0000-0000-00006FC30000}"/>
    <cellStyle name="Percent 18 2 7 2 2" xfId="47828" xr:uid="{00000000-0005-0000-0000-000070C30000}"/>
    <cellStyle name="Percent 18 2 7 3" xfId="38130" xr:uid="{00000000-0005-0000-0000-000071C30000}"/>
    <cellStyle name="Percent 18 2 8" xfId="24153" xr:uid="{00000000-0005-0000-0000-000072C30000}"/>
    <cellStyle name="Percent 18 2 8 2" xfId="43373" xr:uid="{00000000-0005-0000-0000-000073C30000}"/>
    <cellStyle name="Percent 18 2 9" xfId="33675" xr:uid="{00000000-0005-0000-0000-000074C30000}"/>
    <cellStyle name="Percent 18 3" xfId="13656" xr:uid="{00000000-0005-0000-0000-000075C30000}"/>
    <cellStyle name="Percent 18 4" xfId="22784" xr:uid="{00000000-0005-0000-0000-000076C30000}"/>
    <cellStyle name="Percent 18 4 2" xfId="32868" xr:uid="{00000000-0005-0000-0000-000077C30000}"/>
    <cellStyle name="Percent 18 4 2 2" xfId="52054" xr:uid="{00000000-0005-0000-0000-000078C30000}"/>
    <cellStyle name="Percent 18 4 3" xfId="42356" xr:uid="{00000000-0005-0000-0000-000079C30000}"/>
    <cellStyle name="Percent 18 5" xfId="23472" xr:uid="{00000000-0005-0000-0000-00007AC30000}"/>
    <cellStyle name="Percent 18 6" xfId="23141" xr:uid="{00000000-0005-0000-0000-00007BC30000}"/>
    <cellStyle name="Percent 18 6 2" xfId="42709" xr:uid="{00000000-0005-0000-0000-00007CC30000}"/>
    <cellStyle name="Percent 18 7" xfId="12551" xr:uid="{00000000-0005-0000-0000-00007DC30000}"/>
    <cellStyle name="Percent 180" xfId="52302" xr:uid="{00000000-0005-0000-0000-00007EC30000}"/>
    <cellStyle name="Percent 181" xfId="52297" xr:uid="{00000000-0005-0000-0000-00007FC30000}"/>
    <cellStyle name="Percent 182" xfId="52266" xr:uid="{00000000-0005-0000-0000-000080C30000}"/>
    <cellStyle name="Percent 183" xfId="52303" xr:uid="{00000000-0005-0000-0000-000081C30000}"/>
    <cellStyle name="Percent 184" xfId="52308" xr:uid="{00000000-0005-0000-0000-000082C30000}"/>
    <cellStyle name="Percent 185" xfId="52295" xr:uid="{00000000-0005-0000-0000-000083C30000}"/>
    <cellStyle name="Percent 186" xfId="52322" xr:uid="{00000000-0005-0000-0000-000084C30000}"/>
    <cellStyle name="Percent 187" xfId="52351" xr:uid="{00000000-0005-0000-0000-000085C30000}"/>
    <cellStyle name="Percent 188" xfId="52325" xr:uid="{00000000-0005-0000-0000-000086C30000}"/>
    <cellStyle name="Percent 189" xfId="52320" xr:uid="{00000000-0005-0000-0000-000087C30000}"/>
    <cellStyle name="Percent 19" xfId="1272" xr:uid="{00000000-0005-0000-0000-000088C30000}"/>
    <cellStyle name="Percent 19 2" xfId="6283" xr:uid="{00000000-0005-0000-0000-000089C30000}"/>
    <cellStyle name="Percent 19 2 10" xfId="13462" xr:uid="{00000000-0005-0000-0000-00008AC30000}"/>
    <cellStyle name="Percent 19 2 2" xfId="14319" xr:uid="{00000000-0005-0000-0000-00008BC30000}"/>
    <cellStyle name="Percent 19 2 2 2" xfId="16582" xr:uid="{00000000-0005-0000-0000-00008CC30000}"/>
    <cellStyle name="Percent 19 2 2 2 2" xfId="21046" xr:uid="{00000000-0005-0000-0000-00008DC30000}"/>
    <cellStyle name="Percent 19 2 2 2 2 2" xfId="31414" xr:uid="{00000000-0005-0000-0000-00008EC30000}"/>
    <cellStyle name="Percent 19 2 2 2 2 2 2" xfId="50603" xr:uid="{00000000-0005-0000-0000-00008FC30000}"/>
    <cellStyle name="Percent 19 2 2 2 2 3" xfId="40905" xr:uid="{00000000-0005-0000-0000-000090C30000}"/>
    <cellStyle name="Percent 19 2 2 2 3" xfId="26959" xr:uid="{00000000-0005-0000-0000-000091C30000}"/>
    <cellStyle name="Percent 19 2 2 2 3 2" xfId="46148" xr:uid="{00000000-0005-0000-0000-000092C30000}"/>
    <cellStyle name="Percent 19 2 2 2 4" xfId="36450" xr:uid="{00000000-0005-0000-0000-000093C30000}"/>
    <cellStyle name="Percent 19 2 2 3" xfId="18818" xr:uid="{00000000-0005-0000-0000-000094C30000}"/>
    <cellStyle name="Percent 19 2 2 3 2" xfId="29186" xr:uid="{00000000-0005-0000-0000-000095C30000}"/>
    <cellStyle name="Percent 19 2 2 3 2 2" xfId="48375" xr:uid="{00000000-0005-0000-0000-000096C30000}"/>
    <cellStyle name="Percent 19 2 2 3 3" xfId="38677" xr:uid="{00000000-0005-0000-0000-000097C30000}"/>
    <cellStyle name="Percent 19 2 2 4" xfId="24726" xr:uid="{00000000-0005-0000-0000-000098C30000}"/>
    <cellStyle name="Percent 19 2 2 4 2" xfId="43920" xr:uid="{00000000-0005-0000-0000-000099C30000}"/>
    <cellStyle name="Percent 19 2 2 5" xfId="34222" xr:uid="{00000000-0005-0000-0000-00009AC30000}"/>
    <cellStyle name="Percent 19 2 3" xfId="14898" xr:uid="{00000000-0005-0000-0000-00009BC30000}"/>
    <cellStyle name="Percent 19 2 3 2" xfId="16026" xr:uid="{00000000-0005-0000-0000-00009CC30000}"/>
    <cellStyle name="Percent 19 2 3 2 2" xfId="20490" xr:uid="{00000000-0005-0000-0000-00009DC30000}"/>
    <cellStyle name="Percent 19 2 3 2 2 2" xfId="30858" xr:uid="{00000000-0005-0000-0000-00009EC30000}"/>
    <cellStyle name="Percent 19 2 3 2 2 2 2" xfId="50047" xr:uid="{00000000-0005-0000-0000-00009FC30000}"/>
    <cellStyle name="Percent 19 2 3 2 2 3" xfId="40349" xr:uid="{00000000-0005-0000-0000-0000A0C30000}"/>
    <cellStyle name="Percent 19 2 3 2 3" xfId="26403" xr:uid="{00000000-0005-0000-0000-0000A1C30000}"/>
    <cellStyle name="Percent 19 2 3 2 3 2" xfId="45592" xr:uid="{00000000-0005-0000-0000-0000A2C30000}"/>
    <cellStyle name="Percent 19 2 3 2 4" xfId="35894" xr:uid="{00000000-0005-0000-0000-0000A3C30000}"/>
    <cellStyle name="Percent 19 2 3 3" xfId="19375" xr:uid="{00000000-0005-0000-0000-0000A4C30000}"/>
    <cellStyle name="Percent 19 2 3 3 2" xfId="29743" xr:uid="{00000000-0005-0000-0000-0000A5C30000}"/>
    <cellStyle name="Percent 19 2 3 3 2 2" xfId="48932" xr:uid="{00000000-0005-0000-0000-0000A6C30000}"/>
    <cellStyle name="Percent 19 2 3 3 3" xfId="39234" xr:uid="{00000000-0005-0000-0000-0000A7C30000}"/>
    <cellStyle name="Percent 19 2 3 4" xfId="25288" xr:uid="{00000000-0005-0000-0000-0000A8C30000}"/>
    <cellStyle name="Percent 19 2 3 4 2" xfId="44477" xr:uid="{00000000-0005-0000-0000-0000A9C30000}"/>
    <cellStyle name="Percent 19 2 3 5" xfId="34779" xr:uid="{00000000-0005-0000-0000-0000AAC30000}"/>
    <cellStyle name="Percent 19 2 4" xfId="15469" xr:uid="{00000000-0005-0000-0000-0000ABC30000}"/>
    <cellStyle name="Percent 19 2 4 2" xfId="19933" xr:uid="{00000000-0005-0000-0000-0000ACC30000}"/>
    <cellStyle name="Percent 19 2 4 2 2" xfId="30301" xr:uid="{00000000-0005-0000-0000-0000ADC30000}"/>
    <cellStyle name="Percent 19 2 4 2 2 2" xfId="49490" xr:uid="{00000000-0005-0000-0000-0000AEC30000}"/>
    <cellStyle name="Percent 19 2 4 2 3" xfId="39792" xr:uid="{00000000-0005-0000-0000-0000AFC30000}"/>
    <cellStyle name="Percent 19 2 4 3" xfId="25846" xr:uid="{00000000-0005-0000-0000-0000B0C30000}"/>
    <cellStyle name="Percent 19 2 4 3 2" xfId="45035" xr:uid="{00000000-0005-0000-0000-0000B1C30000}"/>
    <cellStyle name="Percent 19 2 4 4" xfId="35337" xr:uid="{00000000-0005-0000-0000-0000B2C30000}"/>
    <cellStyle name="Percent 19 2 5" xfId="17139" xr:uid="{00000000-0005-0000-0000-0000B3C30000}"/>
    <cellStyle name="Percent 19 2 5 2" xfId="21603" xr:uid="{00000000-0005-0000-0000-0000B4C30000}"/>
    <cellStyle name="Percent 19 2 5 2 2" xfId="31971" xr:uid="{00000000-0005-0000-0000-0000B5C30000}"/>
    <cellStyle name="Percent 19 2 5 2 2 2" xfId="51160" xr:uid="{00000000-0005-0000-0000-0000B6C30000}"/>
    <cellStyle name="Percent 19 2 5 2 3" xfId="41462" xr:uid="{00000000-0005-0000-0000-0000B7C30000}"/>
    <cellStyle name="Percent 19 2 5 3" xfId="27516" xr:uid="{00000000-0005-0000-0000-0000B8C30000}"/>
    <cellStyle name="Percent 19 2 5 3 2" xfId="46705" xr:uid="{00000000-0005-0000-0000-0000B9C30000}"/>
    <cellStyle name="Percent 19 2 5 4" xfId="37007" xr:uid="{00000000-0005-0000-0000-0000BAC30000}"/>
    <cellStyle name="Percent 19 2 6" xfId="17705" xr:uid="{00000000-0005-0000-0000-0000BBC30000}"/>
    <cellStyle name="Percent 19 2 6 2" xfId="22160" xr:uid="{00000000-0005-0000-0000-0000BCC30000}"/>
    <cellStyle name="Percent 19 2 6 2 2" xfId="32528" xr:uid="{00000000-0005-0000-0000-0000BDC30000}"/>
    <cellStyle name="Percent 19 2 6 2 2 2" xfId="51717" xr:uid="{00000000-0005-0000-0000-0000BEC30000}"/>
    <cellStyle name="Percent 19 2 6 2 3" xfId="42019" xr:uid="{00000000-0005-0000-0000-0000BFC30000}"/>
    <cellStyle name="Percent 19 2 6 3" xfId="28073" xr:uid="{00000000-0005-0000-0000-0000C0C30000}"/>
    <cellStyle name="Percent 19 2 6 3 2" xfId="47262" xr:uid="{00000000-0005-0000-0000-0000C1C30000}"/>
    <cellStyle name="Percent 19 2 6 4" xfId="37564" xr:uid="{00000000-0005-0000-0000-0000C2C30000}"/>
    <cellStyle name="Percent 19 2 7" xfId="18262" xr:uid="{00000000-0005-0000-0000-0000C3C30000}"/>
    <cellStyle name="Percent 19 2 7 2" xfId="28630" xr:uid="{00000000-0005-0000-0000-0000C4C30000}"/>
    <cellStyle name="Percent 19 2 7 2 2" xfId="47819" xr:uid="{00000000-0005-0000-0000-0000C5C30000}"/>
    <cellStyle name="Percent 19 2 7 3" xfId="38121" xr:uid="{00000000-0005-0000-0000-0000C6C30000}"/>
    <cellStyle name="Percent 19 2 8" xfId="24144" xr:uid="{00000000-0005-0000-0000-0000C7C30000}"/>
    <cellStyle name="Percent 19 2 8 2" xfId="43364" xr:uid="{00000000-0005-0000-0000-0000C8C30000}"/>
    <cellStyle name="Percent 19 2 9" xfId="33666" xr:uid="{00000000-0005-0000-0000-0000C9C30000}"/>
    <cellStyle name="Percent 19 3" xfId="13658" xr:uid="{00000000-0005-0000-0000-0000CAC30000}"/>
    <cellStyle name="Percent 19 4" xfId="22794" xr:uid="{00000000-0005-0000-0000-0000CBC30000}"/>
    <cellStyle name="Percent 19 4 2" xfId="32878" xr:uid="{00000000-0005-0000-0000-0000CCC30000}"/>
    <cellStyle name="Percent 19 4 2 2" xfId="52064" xr:uid="{00000000-0005-0000-0000-0000CDC30000}"/>
    <cellStyle name="Percent 19 4 3" xfId="42366" xr:uid="{00000000-0005-0000-0000-0000CEC30000}"/>
    <cellStyle name="Percent 19 5" xfId="23473" xr:uid="{00000000-0005-0000-0000-0000CFC30000}"/>
    <cellStyle name="Percent 19 6" xfId="23151" xr:uid="{00000000-0005-0000-0000-0000D0C30000}"/>
    <cellStyle name="Percent 19 6 2" xfId="42719" xr:uid="{00000000-0005-0000-0000-0000D1C30000}"/>
    <cellStyle name="Percent 19 7" xfId="12552" xr:uid="{00000000-0005-0000-0000-0000D2C30000}"/>
    <cellStyle name="Percent 190" xfId="52357" xr:uid="{00000000-0005-0000-0000-0000D3C30000}"/>
    <cellStyle name="Percent 191" xfId="52354" xr:uid="{00000000-0005-0000-0000-0000D4C30000}"/>
    <cellStyle name="Percent 192" xfId="52359" xr:uid="{00000000-0005-0000-0000-0000D5C30000}"/>
    <cellStyle name="Percent 193" xfId="52318" xr:uid="{00000000-0005-0000-0000-0000D6C30000}"/>
    <cellStyle name="Percent 194" xfId="52361" xr:uid="{00000000-0005-0000-0000-0000D7C30000}"/>
    <cellStyle name="Percent 195" xfId="52365" xr:uid="{00000000-0005-0000-0000-0000D8C30000}"/>
    <cellStyle name="Percent 196" xfId="52319" xr:uid="{00000000-0005-0000-0000-0000D9C30000}"/>
    <cellStyle name="Percent 197" xfId="52366" xr:uid="{00000000-0005-0000-0000-0000DAC30000}"/>
    <cellStyle name="Percent 198" xfId="52358" xr:uid="{00000000-0005-0000-0000-0000DBC30000}"/>
    <cellStyle name="Percent 199" xfId="52362" xr:uid="{00000000-0005-0000-0000-0000DCC30000}"/>
    <cellStyle name="Percent 2" xfId="14" xr:uid="{00000000-0005-0000-0000-0000DDC30000}"/>
    <cellStyle name="Percent 2 10" xfId="5505" xr:uid="{00000000-0005-0000-0000-0000DEC30000}"/>
    <cellStyle name="Percent 2 10 2" xfId="5506" xr:uid="{00000000-0005-0000-0000-0000DFC30000}"/>
    <cellStyle name="Percent 2 10 2 2" xfId="5507" xr:uid="{00000000-0005-0000-0000-0000E0C30000}"/>
    <cellStyle name="Percent 2 10 2 3" xfId="54187" xr:uid="{00000000-0005-0000-0000-0000E1C30000}"/>
    <cellStyle name="Percent 2 10 3" xfId="5508" xr:uid="{00000000-0005-0000-0000-0000E2C30000}"/>
    <cellStyle name="Percent 2 10 3 2" xfId="53335" xr:uid="{00000000-0005-0000-0000-0000E3C30000}"/>
    <cellStyle name="Percent 2 10 4" xfId="22472" xr:uid="{00000000-0005-0000-0000-0000E4C30000}"/>
    <cellStyle name="Percent 2 11" xfId="5509" xr:uid="{00000000-0005-0000-0000-0000E5C30000}"/>
    <cellStyle name="Percent 2 11 2" xfId="42830" xr:uid="{00000000-0005-0000-0000-0000E6C30000}"/>
    <cellStyle name="Percent 2 11 3" xfId="53362" xr:uid="{00000000-0005-0000-0000-0000E7C30000}"/>
    <cellStyle name="Percent 2 11 4" xfId="23264" xr:uid="{00000000-0005-0000-0000-0000E8C30000}"/>
    <cellStyle name="Percent 2 12" xfId="5510" xr:uid="{00000000-0005-0000-0000-0000E9C30000}"/>
    <cellStyle name="Percent 2 12 2" xfId="5511" xr:uid="{00000000-0005-0000-0000-0000EAC30000}"/>
    <cellStyle name="Percent 2 12 2 2" xfId="5512" xr:uid="{00000000-0005-0000-0000-0000EBC30000}"/>
    <cellStyle name="Percent 2 12 3" xfId="5513" xr:uid="{00000000-0005-0000-0000-0000ECC30000}"/>
    <cellStyle name="Percent 2 12 4" xfId="33084" xr:uid="{00000000-0005-0000-0000-0000EDC30000}"/>
    <cellStyle name="Percent 2 13" xfId="5514" xr:uid="{00000000-0005-0000-0000-0000EEC30000}"/>
    <cellStyle name="Percent 2 13 2" xfId="5515" xr:uid="{00000000-0005-0000-0000-0000EFC30000}"/>
    <cellStyle name="Percent 2 13 3" xfId="12114" xr:uid="{00000000-0005-0000-0000-0000F0C30000}"/>
    <cellStyle name="Percent 2 14" xfId="5516" xr:uid="{00000000-0005-0000-0000-0000F1C30000}"/>
    <cellStyle name="Percent 2 14 2" xfId="52460" xr:uid="{00000000-0005-0000-0000-0000F2C30000}"/>
    <cellStyle name="Percent 2 15" xfId="5517" xr:uid="{00000000-0005-0000-0000-0000F3C30000}"/>
    <cellStyle name="Percent 2 16" xfId="5518" xr:uid="{00000000-0005-0000-0000-0000F4C30000}"/>
    <cellStyle name="Percent 2 17" xfId="5519" xr:uid="{00000000-0005-0000-0000-0000F5C30000}"/>
    <cellStyle name="Percent 2 18" xfId="5520" xr:uid="{00000000-0005-0000-0000-0000F6C30000}"/>
    <cellStyle name="Percent 2 19" xfId="5521" xr:uid="{00000000-0005-0000-0000-0000F7C30000}"/>
    <cellStyle name="Percent 2 2" xfId="1273" xr:uid="{00000000-0005-0000-0000-0000F8C30000}"/>
    <cellStyle name="Percent 2 2 10" xfId="7520" xr:uid="{00000000-0005-0000-0000-0000F9C30000}"/>
    <cellStyle name="Percent 2 2 10 2" xfId="8992" xr:uid="{00000000-0005-0000-0000-0000FAC30000}"/>
    <cellStyle name="Percent 2 2 10 2 2" xfId="11889" xr:uid="{00000000-0005-0000-0000-0000FBC30000}"/>
    <cellStyle name="Percent 2 2 10 3" xfId="10449" xr:uid="{00000000-0005-0000-0000-0000FCC30000}"/>
    <cellStyle name="Percent 2 2 10 4" xfId="12211" xr:uid="{00000000-0005-0000-0000-0000FDC30000}"/>
    <cellStyle name="Percent 2 2 11" xfId="6791" xr:uid="{00000000-0005-0000-0000-0000FEC30000}"/>
    <cellStyle name="Percent 2 2 11 2" xfId="8272" xr:uid="{00000000-0005-0000-0000-0000FFC30000}"/>
    <cellStyle name="Percent 2 2 11 2 2" xfId="11169" xr:uid="{00000000-0005-0000-0000-000000C40000}"/>
    <cellStyle name="Percent 2 2 11 3" xfId="9729" xr:uid="{00000000-0005-0000-0000-000001C40000}"/>
    <cellStyle name="Percent 2 2 11 4" xfId="52502" xr:uid="{00000000-0005-0000-0000-000002C40000}"/>
    <cellStyle name="Percent 2 2 12" xfId="7591" xr:uid="{00000000-0005-0000-0000-000003C40000}"/>
    <cellStyle name="Percent 2 2 12 2" xfId="10503" xr:uid="{00000000-0005-0000-0000-000004C40000}"/>
    <cellStyle name="Percent 2 2 13" xfId="9061" xr:uid="{00000000-0005-0000-0000-000005C40000}"/>
    <cellStyle name="Percent 2 2 14" xfId="6054" xr:uid="{00000000-0005-0000-0000-000006C40000}"/>
    <cellStyle name="Percent 2 2 15" xfId="12082" xr:uid="{00000000-0005-0000-0000-000007C40000}"/>
    <cellStyle name="Percent 2 2 2" xfId="1274" xr:uid="{00000000-0005-0000-0000-000008C40000}"/>
    <cellStyle name="Percent 2 2 2 10" xfId="7619" xr:uid="{00000000-0005-0000-0000-000009C40000}"/>
    <cellStyle name="Percent 2 2 2 10 2" xfId="10519" xr:uid="{00000000-0005-0000-0000-00000AC40000}"/>
    <cellStyle name="Percent 2 2 2 11" xfId="9079" xr:uid="{00000000-0005-0000-0000-00000BC40000}"/>
    <cellStyle name="Percent 2 2 2 12" xfId="6084" xr:uid="{00000000-0005-0000-0000-00000CC40000}"/>
    <cellStyle name="Percent 2 2 2 13" xfId="13413" xr:uid="{00000000-0005-0000-0000-00000DC40000}"/>
    <cellStyle name="Percent 2 2 2 2" xfId="1275" xr:uid="{00000000-0005-0000-0000-00000EC40000}"/>
    <cellStyle name="Percent 2 2 2 2 10" xfId="9109" xr:uid="{00000000-0005-0000-0000-00000FC40000}"/>
    <cellStyle name="Percent 2 2 2 2 11" xfId="6121" xr:uid="{00000000-0005-0000-0000-000010C40000}"/>
    <cellStyle name="Percent 2 2 2 2 12" xfId="22543" xr:uid="{00000000-0005-0000-0000-000011C40000}"/>
    <cellStyle name="Percent 2 2 2 2 2" xfId="1276" xr:uid="{00000000-0005-0000-0000-000012C40000}"/>
    <cellStyle name="Percent 2 2 2 2 2 2" xfId="1277" xr:uid="{00000000-0005-0000-0000-000013C40000}"/>
    <cellStyle name="Percent 2 2 2 2 2 2 2" xfId="1278" xr:uid="{00000000-0005-0000-0000-000014C40000}"/>
    <cellStyle name="Percent 2 2 2 2 2 2 2 2" xfId="7434" xr:uid="{00000000-0005-0000-0000-000015C40000}"/>
    <cellStyle name="Percent 2 2 2 2 2 2 2 2 2" xfId="8911" xr:uid="{00000000-0005-0000-0000-000016C40000}"/>
    <cellStyle name="Percent 2 2 2 2 2 2 2 2 2 2" xfId="11808" xr:uid="{00000000-0005-0000-0000-000017C40000}"/>
    <cellStyle name="Percent 2 2 2 2 2 2 2 2 3" xfId="10368" xr:uid="{00000000-0005-0000-0000-000018C40000}"/>
    <cellStyle name="Percent 2 2 2 2 2 2 2 3" xfId="8253" xr:uid="{00000000-0005-0000-0000-000019C40000}"/>
    <cellStyle name="Percent 2 2 2 2 2 2 2 3 2" xfId="11150" xr:uid="{00000000-0005-0000-0000-00001AC40000}"/>
    <cellStyle name="Percent 2 2 2 2 2 2 2 4" xfId="9710" xr:uid="{00000000-0005-0000-0000-00001BC40000}"/>
    <cellStyle name="Percent 2 2 2 2 2 2 2 5" xfId="6758" xr:uid="{00000000-0005-0000-0000-00001CC40000}"/>
    <cellStyle name="Percent 2 2 2 2 2 2 2 6" xfId="51933" xr:uid="{00000000-0005-0000-0000-00001DC40000}"/>
    <cellStyle name="Percent 2 2 2 2 2 2 3" xfId="7201" xr:uid="{00000000-0005-0000-0000-00001EC40000}"/>
    <cellStyle name="Percent 2 2 2 2 2 2 3 2" xfId="8678" xr:uid="{00000000-0005-0000-0000-00001FC40000}"/>
    <cellStyle name="Percent 2 2 2 2 2 2 3 2 2" xfId="11575" xr:uid="{00000000-0005-0000-0000-000020C40000}"/>
    <cellStyle name="Percent 2 2 2 2 2 2 3 3" xfId="10135" xr:uid="{00000000-0005-0000-0000-000021C40000}"/>
    <cellStyle name="Percent 2 2 2 2 2 2 4" xfId="8020" xr:uid="{00000000-0005-0000-0000-000022C40000}"/>
    <cellStyle name="Percent 2 2 2 2 2 2 4 2" xfId="10917" xr:uid="{00000000-0005-0000-0000-000023C40000}"/>
    <cellStyle name="Percent 2 2 2 2 2 2 5" xfId="9477" xr:uid="{00000000-0005-0000-0000-000024C40000}"/>
    <cellStyle name="Percent 2 2 2 2 2 2 6" xfId="6525" xr:uid="{00000000-0005-0000-0000-000025C40000}"/>
    <cellStyle name="Percent 2 2 2 2 2 2 7" xfId="32746" xr:uid="{00000000-0005-0000-0000-000026C40000}"/>
    <cellStyle name="Percent 2 2 2 2 2 3" xfId="1279" xr:uid="{00000000-0005-0000-0000-000027C40000}"/>
    <cellStyle name="Percent 2 2 2 2 2 3 2" xfId="7318" xr:uid="{00000000-0005-0000-0000-000028C40000}"/>
    <cellStyle name="Percent 2 2 2 2 2 3 2 2" xfId="8795" xr:uid="{00000000-0005-0000-0000-000029C40000}"/>
    <cellStyle name="Percent 2 2 2 2 2 3 2 2 2" xfId="11692" xr:uid="{00000000-0005-0000-0000-00002AC40000}"/>
    <cellStyle name="Percent 2 2 2 2 2 3 2 3" xfId="10252" xr:uid="{00000000-0005-0000-0000-00002BC40000}"/>
    <cellStyle name="Percent 2 2 2 2 2 3 2 4" xfId="42588" xr:uid="{00000000-0005-0000-0000-00002CC40000}"/>
    <cellStyle name="Percent 2 2 2 2 2 3 3" xfId="8137" xr:uid="{00000000-0005-0000-0000-00002DC40000}"/>
    <cellStyle name="Percent 2 2 2 2 2 3 3 2" xfId="11034" xr:uid="{00000000-0005-0000-0000-00002EC40000}"/>
    <cellStyle name="Percent 2 2 2 2 2 3 4" xfId="9594" xr:uid="{00000000-0005-0000-0000-00002FC40000}"/>
    <cellStyle name="Percent 2 2 2 2 2 3 5" xfId="6642" xr:uid="{00000000-0005-0000-0000-000030C40000}"/>
    <cellStyle name="Percent 2 2 2 2 2 3 6" xfId="23019" xr:uid="{00000000-0005-0000-0000-000031C40000}"/>
    <cellStyle name="Percent 2 2 2 2 2 4" xfId="1280" xr:uid="{00000000-0005-0000-0000-000032C40000}"/>
    <cellStyle name="Percent 2 2 2 2 2 4 2" xfId="7085" xr:uid="{00000000-0005-0000-0000-000033C40000}"/>
    <cellStyle name="Percent 2 2 2 2 2 4 2 2" xfId="8562" xr:uid="{00000000-0005-0000-0000-000034C40000}"/>
    <cellStyle name="Percent 2 2 2 2 2 4 2 2 2" xfId="11459" xr:uid="{00000000-0005-0000-0000-000035C40000}"/>
    <cellStyle name="Percent 2 2 2 2 2 4 2 3" xfId="10019" xr:uid="{00000000-0005-0000-0000-000036C40000}"/>
    <cellStyle name="Percent 2 2 2 2 2 4 3" xfId="7903" xr:uid="{00000000-0005-0000-0000-000037C40000}"/>
    <cellStyle name="Percent 2 2 2 2 2 4 3 2" xfId="10801" xr:uid="{00000000-0005-0000-0000-000038C40000}"/>
    <cellStyle name="Percent 2 2 2 2 2 4 4" xfId="9361" xr:uid="{00000000-0005-0000-0000-000039C40000}"/>
    <cellStyle name="Percent 2 2 2 2 2 4 5" xfId="6406" xr:uid="{00000000-0005-0000-0000-00003AC40000}"/>
    <cellStyle name="Percent 2 2 2 2 2 4 6" xfId="42235" xr:uid="{00000000-0005-0000-0000-00003BC40000}"/>
    <cellStyle name="Percent 2 2 2 2 2 5" xfId="6913" xr:uid="{00000000-0005-0000-0000-00003CC40000}"/>
    <cellStyle name="Percent 2 2 2 2 2 5 2" xfId="8391" xr:uid="{00000000-0005-0000-0000-00003DC40000}"/>
    <cellStyle name="Percent 2 2 2 2 2 5 2 2" xfId="11288" xr:uid="{00000000-0005-0000-0000-00003EC40000}"/>
    <cellStyle name="Percent 2 2 2 2 2 5 3" xfId="9848" xr:uid="{00000000-0005-0000-0000-00003FC40000}"/>
    <cellStyle name="Percent 2 2 2 2 2 5 4" xfId="53987" xr:uid="{00000000-0005-0000-0000-000040C40000}"/>
    <cellStyle name="Percent 2 2 2 2 2 6" xfId="7730" xr:uid="{00000000-0005-0000-0000-000041C40000}"/>
    <cellStyle name="Percent 2 2 2 2 2 6 2" xfId="10630" xr:uid="{00000000-0005-0000-0000-000042C40000}"/>
    <cellStyle name="Percent 2 2 2 2 2 7" xfId="9190" xr:uid="{00000000-0005-0000-0000-000043C40000}"/>
    <cellStyle name="Percent 2 2 2 2 2 8" xfId="6209" xr:uid="{00000000-0005-0000-0000-000044C40000}"/>
    <cellStyle name="Percent 2 2 2 2 2 9" xfId="22658" xr:uid="{00000000-0005-0000-0000-000045C40000}"/>
    <cellStyle name="Percent 2 2 2 2 3" xfId="1281" xr:uid="{00000000-0005-0000-0000-000046C40000}"/>
    <cellStyle name="Percent 2 2 2 2 3 2" xfId="1282" xr:uid="{00000000-0005-0000-0000-000047C40000}"/>
    <cellStyle name="Percent 2 2 2 2 3 2 2" xfId="7378" xr:uid="{00000000-0005-0000-0000-000048C40000}"/>
    <cellStyle name="Percent 2 2 2 2 3 2 2 2" xfId="8855" xr:uid="{00000000-0005-0000-0000-000049C40000}"/>
    <cellStyle name="Percent 2 2 2 2 3 2 2 2 2" xfId="11752" xr:uid="{00000000-0005-0000-0000-00004AC40000}"/>
    <cellStyle name="Percent 2 2 2 2 3 2 2 3" xfId="10312" xr:uid="{00000000-0005-0000-0000-00004BC40000}"/>
    <cellStyle name="Percent 2 2 2 2 3 2 2 4" xfId="51989" xr:uid="{00000000-0005-0000-0000-00004CC40000}"/>
    <cellStyle name="Percent 2 2 2 2 3 2 3" xfId="8197" xr:uid="{00000000-0005-0000-0000-00004DC40000}"/>
    <cellStyle name="Percent 2 2 2 2 3 2 3 2" xfId="11094" xr:uid="{00000000-0005-0000-0000-00004EC40000}"/>
    <cellStyle name="Percent 2 2 2 2 3 2 4" xfId="9654" xr:uid="{00000000-0005-0000-0000-00004FC40000}"/>
    <cellStyle name="Percent 2 2 2 2 3 2 5" xfId="6702" xr:uid="{00000000-0005-0000-0000-000050C40000}"/>
    <cellStyle name="Percent 2 2 2 2 3 2 6" xfId="32802" xr:uid="{00000000-0005-0000-0000-000051C40000}"/>
    <cellStyle name="Percent 2 2 2 2 3 3" xfId="1283" xr:uid="{00000000-0005-0000-0000-000052C40000}"/>
    <cellStyle name="Percent 2 2 2 2 3 3 2" xfId="7145" xr:uid="{00000000-0005-0000-0000-000053C40000}"/>
    <cellStyle name="Percent 2 2 2 2 3 3 2 2" xfId="8622" xr:uid="{00000000-0005-0000-0000-000054C40000}"/>
    <cellStyle name="Percent 2 2 2 2 3 3 2 2 2" xfId="11519" xr:uid="{00000000-0005-0000-0000-000055C40000}"/>
    <cellStyle name="Percent 2 2 2 2 3 3 2 3" xfId="10079" xr:uid="{00000000-0005-0000-0000-000056C40000}"/>
    <cellStyle name="Percent 2 2 2 2 3 3 2 4" xfId="42644" xr:uid="{00000000-0005-0000-0000-000057C40000}"/>
    <cellStyle name="Percent 2 2 2 2 3 3 3" xfId="7964" xr:uid="{00000000-0005-0000-0000-000058C40000}"/>
    <cellStyle name="Percent 2 2 2 2 3 3 3 2" xfId="10861" xr:uid="{00000000-0005-0000-0000-000059C40000}"/>
    <cellStyle name="Percent 2 2 2 2 3 3 4" xfId="9421" xr:uid="{00000000-0005-0000-0000-00005AC40000}"/>
    <cellStyle name="Percent 2 2 2 2 3 3 5" xfId="6469" xr:uid="{00000000-0005-0000-0000-00005BC40000}"/>
    <cellStyle name="Percent 2 2 2 2 3 3 6" xfId="23075" xr:uid="{00000000-0005-0000-0000-00005CC40000}"/>
    <cellStyle name="Percent 2 2 2 2 3 4" xfId="6970" xr:uid="{00000000-0005-0000-0000-00005DC40000}"/>
    <cellStyle name="Percent 2 2 2 2 3 4 2" xfId="8447" xr:uid="{00000000-0005-0000-0000-00005EC40000}"/>
    <cellStyle name="Percent 2 2 2 2 3 4 2 2" xfId="11344" xr:uid="{00000000-0005-0000-0000-00005FC40000}"/>
    <cellStyle name="Percent 2 2 2 2 3 4 3" xfId="9904" xr:uid="{00000000-0005-0000-0000-000060C40000}"/>
    <cellStyle name="Percent 2 2 2 2 3 4 4" xfId="42291" xr:uid="{00000000-0005-0000-0000-000061C40000}"/>
    <cellStyle name="Percent 2 2 2 2 3 5" xfId="7787" xr:uid="{00000000-0005-0000-0000-000062C40000}"/>
    <cellStyle name="Percent 2 2 2 2 3 5 2" xfId="10686" xr:uid="{00000000-0005-0000-0000-000063C40000}"/>
    <cellStyle name="Percent 2 2 2 2 3 6" xfId="9246" xr:uid="{00000000-0005-0000-0000-000064C40000}"/>
    <cellStyle name="Percent 2 2 2 2 3 7" xfId="6271" xr:uid="{00000000-0005-0000-0000-000065C40000}"/>
    <cellStyle name="Percent 2 2 2 2 3 8" xfId="22716" xr:uid="{00000000-0005-0000-0000-000066C40000}"/>
    <cellStyle name="Percent 2 2 2 2 4" xfId="1284" xr:uid="{00000000-0005-0000-0000-000067C40000}"/>
    <cellStyle name="Percent 2 2 2 2 4 2" xfId="7262" xr:uid="{00000000-0005-0000-0000-000068C40000}"/>
    <cellStyle name="Percent 2 2 2 2 4 2 2" xfId="8739" xr:uid="{00000000-0005-0000-0000-000069C40000}"/>
    <cellStyle name="Percent 2 2 2 2 4 2 2 2" xfId="11636" xr:uid="{00000000-0005-0000-0000-00006AC40000}"/>
    <cellStyle name="Percent 2 2 2 2 4 2 3" xfId="10196" xr:uid="{00000000-0005-0000-0000-00006BC40000}"/>
    <cellStyle name="Percent 2 2 2 2 4 2 4" xfId="51852" xr:uid="{00000000-0005-0000-0000-00006CC40000}"/>
    <cellStyle name="Percent 2 2 2 2 4 3" xfId="8081" xr:uid="{00000000-0005-0000-0000-00006DC40000}"/>
    <cellStyle name="Percent 2 2 2 2 4 3 2" xfId="10978" xr:uid="{00000000-0005-0000-0000-00006EC40000}"/>
    <cellStyle name="Percent 2 2 2 2 4 4" xfId="9538" xr:uid="{00000000-0005-0000-0000-00006FC40000}"/>
    <cellStyle name="Percent 2 2 2 2 4 5" xfId="6586" xr:uid="{00000000-0005-0000-0000-000070C40000}"/>
    <cellStyle name="Percent 2 2 2 2 4 6" xfId="32665" xr:uid="{00000000-0005-0000-0000-000071C40000}"/>
    <cellStyle name="Percent 2 2 2 2 5" xfId="1285" xr:uid="{00000000-0005-0000-0000-000072C40000}"/>
    <cellStyle name="Percent 2 2 2 2 5 2" xfId="7029" xr:uid="{00000000-0005-0000-0000-000073C40000}"/>
    <cellStyle name="Percent 2 2 2 2 5 2 2" xfId="8506" xr:uid="{00000000-0005-0000-0000-000074C40000}"/>
    <cellStyle name="Percent 2 2 2 2 5 2 2 2" xfId="11403" xr:uid="{00000000-0005-0000-0000-000075C40000}"/>
    <cellStyle name="Percent 2 2 2 2 5 2 3" xfId="9963" xr:uid="{00000000-0005-0000-0000-000076C40000}"/>
    <cellStyle name="Percent 2 2 2 2 5 2 4" xfId="42507" xr:uid="{00000000-0005-0000-0000-000077C40000}"/>
    <cellStyle name="Percent 2 2 2 2 5 3" xfId="7847" xr:uid="{00000000-0005-0000-0000-000078C40000}"/>
    <cellStyle name="Percent 2 2 2 2 5 3 2" xfId="10745" xr:uid="{00000000-0005-0000-0000-000079C40000}"/>
    <cellStyle name="Percent 2 2 2 2 5 4" xfId="9305" xr:uid="{00000000-0005-0000-0000-00007AC40000}"/>
    <cellStyle name="Percent 2 2 2 2 5 5" xfId="6350" xr:uid="{00000000-0005-0000-0000-00007BC40000}"/>
    <cellStyle name="Percent 2 2 2 2 5 6" xfId="22938" xr:uid="{00000000-0005-0000-0000-00007CC40000}"/>
    <cellStyle name="Percent 2 2 2 2 6" xfId="7495" xr:uid="{00000000-0005-0000-0000-00007DC40000}"/>
    <cellStyle name="Percent 2 2 2 2 6 2" xfId="8969" xr:uid="{00000000-0005-0000-0000-00007EC40000}"/>
    <cellStyle name="Percent 2 2 2 2 6 2 2" xfId="11866" xr:uid="{00000000-0005-0000-0000-00007FC40000}"/>
    <cellStyle name="Percent 2 2 2 2 6 3" xfId="10426" xr:uid="{00000000-0005-0000-0000-000080C40000}"/>
    <cellStyle name="Percent 2 2 2 2 6 4" xfId="42154" xr:uid="{00000000-0005-0000-0000-000081C40000}"/>
    <cellStyle name="Percent 2 2 2 2 7" xfId="7554" xr:uid="{00000000-0005-0000-0000-000082C40000}"/>
    <cellStyle name="Percent 2 2 2 2 7 2" xfId="9026" xr:uid="{00000000-0005-0000-0000-000083C40000}"/>
    <cellStyle name="Percent 2 2 2 2 7 2 2" xfId="11923" xr:uid="{00000000-0005-0000-0000-000084C40000}"/>
    <cellStyle name="Percent 2 2 2 2 7 3" xfId="10483" xr:uid="{00000000-0005-0000-0000-000085C40000}"/>
    <cellStyle name="Percent 2 2 2 2 7 4" xfId="53134" xr:uid="{00000000-0005-0000-0000-000086C40000}"/>
    <cellStyle name="Percent 2 2 2 2 8" xfId="6830" xr:uid="{00000000-0005-0000-0000-000087C40000}"/>
    <cellStyle name="Percent 2 2 2 2 8 2" xfId="8310" xr:uid="{00000000-0005-0000-0000-000088C40000}"/>
    <cellStyle name="Percent 2 2 2 2 8 2 2" xfId="11207" xr:uid="{00000000-0005-0000-0000-000089C40000}"/>
    <cellStyle name="Percent 2 2 2 2 8 3" xfId="9767" xr:uid="{00000000-0005-0000-0000-00008AC40000}"/>
    <cellStyle name="Percent 2 2 2 2 9" xfId="7649" xr:uid="{00000000-0005-0000-0000-00008BC40000}"/>
    <cellStyle name="Percent 2 2 2 2 9 2" xfId="10549" xr:uid="{00000000-0005-0000-0000-00008CC40000}"/>
    <cellStyle name="Percent 2 2 2 3" xfId="1286" xr:uid="{00000000-0005-0000-0000-00008DC40000}"/>
    <cellStyle name="Percent 2 2 2 3 2" xfId="1287" xr:uid="{00000000-0005-0000-0000-00008EC40000}"/>
    <cellStyle name="Percent 2 2 2 3 2 2" xfId="1288" xr:uid="{00000000-0005-0000-0000-00008FC40000}"/>
    <cellStyle name="Percent 2 2 2 3 2 2 2" xfId="7404" xr:uid="{00000000-0005-0000-0000-000090C40000}"/>
    <cellStyle name="Percent 2 2 2 3 2 2 2 2" xfId="8881" xr:uid="{00000000-0005-0000-0000-000091C40000}"/>
    <cellStyle name="Percent 2 2 2 3 2 2 2 2 2" xfId="11778" xr:uid="{00000000-0005-0000-0000-000092C40000}"/>
    <cellStyle name="Percent 2 2 2 3 2 2 2 3" xfId="10338" xr:uid="{00000000-0005-0000-0000-000093C40000}"/>
    <cellStyle name="Percent 2 2 2 3 2 2 3" xfId="8223" xr:uid="{00000000-0005-0000-0000-000094C40000}"/>
    <cellStyle name="Percent 2 2 2 3 2 2 3 2" xfId="11120" xr:uid="{00000000-0005-0000-0000-000095C40000}"/>
    <cellStyle name="Percent 2 2 2 3 2 2 4" xfId="9680" xr:uid="{00000000-0005-0000-0000-000096C40000}"/>
    <cellStyle name="Percent 2 2 2 3 2 2 5" xfId="6728" xr:uid="{00000000-0005-0000-0000-000097C40000}"/>
    <cellStyle name="Percent 2 2 2 3 2 2 6" xfId="51903" xr:uid="{00000000-0005-0000-0000-000098C40000}"/>
    <cellStyle name="Percent 2 2 2 3 2 3" xfId="7171" xr:uid="{00000000-0005-0000-0000-000099C40000}"/>
    <cellStyle name="Percent 2 2 2 3 2 3 2" xfId="8648" xr:uid="{00000000-0005-0000-0000-00009AC40000}"/>
    <cellStyle name="Percent 2 2 2 3 2 3 2 2" xfId="11545" xr:uid="{00000000-0005-0000-0000-00009BC40000}"/>
    <cellStyle name="Percent 2 2 2 3 2 3 3" xfId="10105" xr:uid="{00000000-0005-0000-0000-00009CC40000}"/>
    <cellStyle name="Percent 2 2 2 3 2 4" xfId="7990" xr:uid="{00000000-0005-0000-0000-00009DC40000}"/>
    <cellStyle name="Percent 2 2 2 3 2 4 2" xfId="10887" xr:uid="{00000000-0005-0000-0000-00009EC40000}"/>
    <cellStyle name="Percent 2 2 2 3 2 5" xfId="9447" xr:uid="{00000000-0005-0000-0000-00009FC40000}"/>
    <cellStyle name="Percent 2 2 2 3 2 6" xfId="6495" xr:uid="{00000000-0005-0000-0000-0000A0C40000}"/>
    <cellStyle name="Percent 2 2 2 3 2 7" xfId="32716" xr:uid="{00000000-0005-0000-0000-0000A1C40000}"/>
    <cellStyle name="Percent 2 2 2 3 3" xfId="1289" xr:uid="{00000000-0005-0000-0000-0000A2C40000}"/>
    <cellStyle name="Percent 2 2 2 3 3 2" xfId="7288" xr:uid="{00000000-0005-0000-0000-0000A3C40000}"/>
    <cellStyle name="Percent 2 2 2 3 3 2 2" xfId="8765" xr:uid="{00000000-0005-0000-0000-0000A4C40000}"/>
    <cellStyle name="Percent 2 2 2 3 3 2 2 2" xfId="11662" xr:uid="{00000000-0005-0000-0000-0000A5C40000}"/>
    <cellStyle name="Percent 2 2 2 3 3 2 3" xfId="10222" xr:uid="{00000000-0005-0000-0000-0000A6C40000}"/>
    <cellStyle name="Percent 2 2 2 3 3 2 4" xfId="42558" xr:uid="{00000000-0005-0000-0000-0000A7C40000}"/>
    <cellStyle name="Percent 2 2 2 3 3 3" xfId="8107" xr:uid="{00000000-0005-0000-0000-0000A8C40000}"/>
    <cellStyle name="Percent 2 2 2 3 3 3 2" xfId="11004" xr:uid="{00000000-0005-0000-0000-0000A9C40000}"/>
    <cellStyle name="Percent 2 2 2 3 3 4" xfId="9564" xr:uid="{00000000-0005-0000-0000-0000AAC40000}"/>
    <cellStyle name="Percent 2 2 2 3 3 5" xfId="6612" xr:uid="{00000000-0005-0000-0000-0000ABC40000}"/>
    <cellStyle name="Percent 2 2 2 3 3 6" xfId="22989" xr:uid="{00000000-0005-0000-0000-0000ACC40000}"/>
    <cellStyle name="Percent 2 2 2 3 4" xfId="1290" xr:uid="{00000000-0005-0000-0000-0000ADC40000}"/>
    <cellStyle name="Percent 2 2 2 3 4 2" xfId="7055" xr:uid="{00000000-0005-0000-0000-0000AEC40000}"/>
    <cellStyle name="Percent 2 2 2 3 4 2 2" xfId="8532" xr:uid="{00000000-0005-0000-0000-0000AFC40000}"/>
    <cellStyle name="Percent 2 2 2 3 4 2 2 2" xfId="11429" xr:uid="{00000000-0005-0000-0000-0000B0C40000}"/>
    <cellStyle name="Percent 2 2 2 3 4 2 3" xfId="9989" xr:uid="{00000000-0005-0000-0000-0000B1C40000}"/>
    <cellStyle name="Percent 2 2 2 3 4 3" xfId="7873" xr:uid="{00000000-0005-0000-0000-0000B2C40000}"/>
    <cellStyle name="Percent 2 2 2 3 4 3 2" xfId="10771" xr:uid="{00000000-0005-0000-0000-0000B3C40000}"/>
    <cellStyle name="Percent 2 2 2 3 4 4" xfId="9331" xr:uid="{00000000-0005-0000-0000-0000B4C40000}"/>
    <cellStyle name="Percent 2 2 2 3 4 5" xfId="6376" xr:uid="{00000000-0005-0000-0000-0000B5C40000}"/>
    <cellStyle name="Percent 2 2 2 3 4 6" xfId="42205" xr:uid="{00000000-0005-0000-0000-0000B6C40000}"/>
    <cellStyle name="Percent 2 2 2 3 5" xfId="6883" xr:uid="{00000000-0005-0000-0000-0000B7C40000}"/>
    <cellStyle name="Percent 2 2 2 3 5 2" xfId="8361" xr:uid="{00000000-0005-0000-0000-0000B8C40000}"/>
    <cellStyle name="Percent 2 2 2 3 5 2 2" xfId="11258" xr:uid="{00000000-0005-0000-0000-0000B9C40000}"/>
    <cellStyle name="Percent 2 2 2 3 5 3" xfId="9818" xr:uid="{00000000-0005-0000-0000-0000BAC40000}"/>
    <cellStyle name="Percent 2 2 2 3 5 4" xfId="53591" xr:uid="{00000000-0005-0000-0000-0000BBC40000}"/>
    <cellStyle name="Percent 2 2 2 3 6" xfId="7700" xr:uid="{00000000-0005-0000-0000-0000BCC40000}"/>
    <cellStyle name="Percent 2 2 2 3 6 2" xfId="10600" xr:uid="{00000000-0005-0000-0000-0000BDC40000}"/>
    <cellStyle name="Percent 2 2 2 3 7" xfId="9160" xr:uid="{00000000-0005-0000-0000-0000BEC40000}"/>
    <cellStyle name="Percent 2 2 2 3 8" xfId="6178" xr:uid="{00000000-0005-0000-0000-0000BFC40000}"/>
    <cellStyle name="Percent 2 2 2 3 9" xfId="22627" xr:uid="{00000000-0005-0000-0000-0000C0C40000}"/>
    <cellStyle name="Percent 2 2 2 4" xfId="1291" xr:uid="{00000000-0005-0000-0000-0000C1C40000}"/>
    <cellStyle name="Percent 2 2 2 4 2" xfId="1292" xr:uid="{00000000-0005-0000-0000-0000C2C40000}"/>
    <cellStyle name="Percent 2 2 2 4 2 2" xfId="7352" xr:uid="{00000000-0005-0000-0000-0000C3C40000}"/>
    <cellStyle name="Percent 2 2 2 4 2 2 2" xfId="8829" xr:uid="{00000000-0005-0000-0000-0000C4C40000}"/>
    <cellStyle name="Percent 2 2 2 4 2 2 2 2" xfId="11726" xr:uid="{00000000-0005-0000-0000-0000C5C40000}"/>
    <cellStyle name="Percent 2 2 2 4 2 2 3" xfId="10286" xr:uid="{00000000-0005-0000-0000-0000C6C40000}"/>
    <cellStyle name="Percent 2 2 2 4 2 2 4" xfId="51959" xr:uid="{00000000-0005-0000-0000-0000C7C40000}"/>
    <cellStyle name="Percent 2 2 2 4 2 3" xfId="8171" xr:uid="{00000000-0005-0000-0000-0000C8C40000}"/>
    <cellStyle name="Percent 2 2 2 4 2 3 2" xfId="11068" xr:uid="{00000000-0005-0000-0000-0000C9C40000}"/>
    <cellStyle name="Percent 2 2 2 4 2 4" xfId="9628" xr:uid="{00000000-0005-0000-0000-0000CAC40000}"/>
    <cellStyle name="Percent 2 2 2 4 2 5" xfId="6676" xr:uid="{00000000-0005-0000-0000-0000CBC40000}"/>
    <cellStyle name="Percent 2 2 2 4 2 6" xfId="32772" xr:uid="{00000000-0005-0000-0000-0000CCC40000}"/>
    <cellStyle name="Percent 2 2 2 4 3" xfId="1293" xr:uid="{00000000-0005-0000-0000-0000CDC40000}"/>
    <cellStyle name="Percent 2 2 2 4 3 2" xfId="7119" xr:uid="{00000000-0005-0000-0000-0000CEC40000}"/>
    <cellStyle name="Percent 2 2 2 4 3 2 2" xfId="8596" xr:uid="{00000000-0005-0000-0000-0000CFC40000}"/>
    <cellStyle name="Percent 2 2 2 4 3 2 2 2" xfId="11493" xr:uid="{00000000-0005-0000-0000-0000D0C40000}"/>
    <cellStyle name="Percent 2 2 2 4 3 2 3" xfId="10053" xr:uid="{00000000-0005-0000-0000-0000D1C40000}"/>
    <cellStyle name="Percent 2 2 2 4 3 2 4" xfId="42614" xr:uid="{00000000-0005-0000-0000-0000D2C40000}"/>
    <cellStyle name="Percent 2 2 2 4 3 3" xfId="7938" xr:uid="{00000000-0005-0000-0000-0000D3C40000}"/>
    <cellStyle name="Percent 2 2 2 4 3 3 2" xfId="10835" xr:uid="{00000000-0005-0000-0000-0000D4C40000}"/>
    <cellStyle name="Percent 2 2 2 4 3 4" xfId="9395" xr:uid="{00000000-0005-0000-0000-0000D5C40000}"/>
    <cellStyle name="Percent 2 2 2 4 3 5" xfId="6443" xr:uid="{00000000-0005-0000-0000-0000D6C40000}"/>
    <cellStyle name="Percent 2 2 2 4 3 6" xfId="23045" xr:uid="{00000000-0005-0000-0000-0000D7C40000}"/>
    <cellStyle name="Percent 2 2 2 4 4" xfId="6940" xr:uid="{00000000-0005-0000-0000-0000D8C40000}"/>
    <cellStyle name="Percent 2 2 2 4 4 2" xfId="8417" xr:uid="{00000000-0005-0000-0000-0000D9C40000}"/>
    <cellStyle name="Percent 2 2 2 4 4 2 2" xfId="11314" xr:uid="{00000000-0005-0000-0000-0000DAC40000}"/>
    <cellStyle name="Percent 2 2 2 4 4 3" xfId="9874" xr:uid="{00000000-0005-0000-0000-0000DBC40000}"/>
    <cellStyle name="Percent 2 2 2 4 4 4" xfId="42261" xr:uid="{00000000-0005-0000-0000-0000DCC40000}"/>
    <cellStyle name="Percent 2 2 2 4 5" xfId="7757" xr:uid="{00000000-0005-0000-0000-0000DDC40000}"/>
    <cellStyle name="Percent 2 2 2 4 5 2" xfId="10656" xr:uid="{00000000-0005-0000-0000-0000DEC40000}"/>
    <cellStyle name="Percent 2 2 2 4 6" xfId="9216" xr:uid="{00000000-0005-0000-0000-0000DFC40000}"/>
    <cellStyle name="Percent 2 2 2 4 7" xfId="6241" xr:uid="{00000000-0005-0000-0000-0000E0C40000}"/>
    <cellStyle name="Percent 2 2 2 4 8" xfId="22686" xr:uid="{00000000-0005-0000-0000-0000E1C40000}"/>
    <cellStyle name="Percent 2 2 2 5" xfId="1294" xr:uid="{00000000-0005-0000-0000-0000E2C40000}"/>
    <cellStyle name="Percent 2 2 2 5 2" xfId="7236" xr:uid="{00000000-0005-0000-0000-0000E3C40000}"/>
    <cellStyle name="Percent 2 2 2 5 2 2" xfId="8713" xr:uid="{00000000-0005-0000-0000-0000E4C40000}"/>
    <cellStyle name="Percent 2 2 2 5 2 2 2" xfId="11610" xr:uid="{00000000-0005-0000-0000-0000E5C40000}"/>
    <cellStyle name="Percent 2 2 2 5 2 2 3" xfId="51822" xr:uid="{00000000-0005-0000-0000-0000E6C40000}"/>
    <cellStyle name="Percent 2 2 2 5 2 3" xfId="10170" xr:uid="{00000000-0005-0000-0000-0000E7C40000}"/>
    <cellStyle name="Percent 2 2 2 5 2 4" xfId="32635" xr:uid="{00000000-0005-0000-0000-0000E8C40000}"/>
    <cellStyle name="Percent 2 2 2 5 3" xfId="8055" xr:uid="{00000000-0005-0000-0000-0000E9C40000}"/>
    <cellStyle name="Percent 2 2 2 5 3 2" xfId="10952" xr:uid="{00000000-0005-0000-0000-0000EAC40000}"/>
    <cellStyle name="Percent 2 2 2 5 3 3" xfId="42124" xr:uid="{00000000-0005-0000-0000-0000EBC40000}"/>
    <cellStyle name="Percent 2 2 2 5 4" xfId="9512" xr:uid="{00000000-0005-0000-0000-0000ECC40000}"/>
    <cellStyle name="Percent 2 2 2 5 5" xfId="6560" xr:uid="{00000000-0005-0000-0000-0000EDC40000}"/>
    <cellStyle name="Percent 2 2 2 5 6" xfId="22508" xr:uid="{00000000-0005-0000-0000-0000EEC40000}"/>
    <cellStyle name="Percent 2 2 2 6" xfId="1295" xr:uid="{00000000-0005-0000-0000-0000EFC40000}"/>
    <cellStyle name="Percent 2 2 2 6 2" xfId="7003" xr:uid="{00000000-0005-0000-0000-0000F0C40000}"/>
    <cellStyle name="Percent 2 2 2 6 2 2" xfId="8480" xr:uid="{00000000-0005-0000-0000-0000F1C40000}"/>
    <cellStyle name="Percent 2 2 2 6 2 2 2" xfId="11377" xr:uid="{00000000-0005-0000-0000-0000F2C40000}"/>
    <cellStyle name="Percent 2 2 2 6 2 3" xfId="9937" xr:uid="{00000000-0005-0000-0000-0000F3C40000}"/>
    <cellStyle name="Percent 2 2 2 6 3" xfId="7821" xr:uid="{00000000-0005-0000-0000-0000F4C40000}"/>
    <cellStyle name="Percent 2 2 2 6 3 2" xfId="10719" xr:uid="{00000000-0005-0000-0000-0000F5C40000}"/>
    <cellStyle name="Percent 2 2 2 6 4" xfId="9279" xr:uid="{00000000-0005-0000-0000-0000F6C40000}"/>
    <cellStyle name="Percent 2 2 2 6 5" xfId="6324" xr:uid="{00000000-0005-0000-0000-0000F7C40000}"/>
    <cellStyle name="Percent 2 2 2 6 6" xfId="24109" xr:uid="{00000000-0005-0000-0000-0000F8C40000}"/>
    <cellStyle name="Percent 2 2 2 7" xfId="5523" xr:uid="{00000000-0005-0000-0000-0000F9C40000}"/>
    <cellStyle name="Percent 2 2 2 7 2" xfId="8943" xr:uid="{00000000-0005-0000-0000-0000FAC40000}"/>
    <cellStyle name="Percent 2 2 2 7 2 2" xfId="11840" xr:uid="{00000000-0005-0000-0000-0000FBC40000}"/>
    <cellStyle name="Percent 2 2 2 7 2 3" xfId="42477" xr:uid="{00000000-0005-0000-0000-0000FCC40000}"/>
    <cellStyle name="Percent 2 2 2 7 3" xfId="10400" xr:uid="{00000000-0005-0000-0000-0000FDC40000}"/>
    <cellStyle name="Percent 2 2 2 7 4" xfId="7469" xr:uid="{00000000-0005-0000-0000-0000FEC40000}"/>
    <cellStyle name="Percent 2 2 2 7 5" xfId="22908" xr:uid="{00000000-0005-0000-0000-0000FFC40000}"/>
    <cellStyle name="Percent 2 2 2 8" xfId="7528" xr:uid="{00000000-0005-0000-0000-000000C50000}"/>
    <cellStyle name="Percent 2 2 2 8 2" xfId="9000" xr:uid="{00000000-0005-0000-0000-000001C50000}"/>
    <cellStyle name="Percent 2 2 2 8 2 2" xfId="11897" xr:uid="{00000000-0005-0000-0000-000002C50000}"/>
    <cellStyle name="Percent 2 2 2 8 3" xfId="10457" xr:uid="{00000000-0005-0000-0000-000003C50000}"/>
    <cellStyle name="Percent 2 2 2 8 4" xfId="52706" xr:uid="{00000000-0005-0000-0000-000004C50000}"/>
    <cellStyle name="Percent 2 2 2 9" xfId="6799" xr:uid="{00000000-0005-0000-0000-000005C50000}"/>
    <cellStyle name="Percent 2 2 2 9 2" xfId="8280" xr:uid="{00000000-0005-0000-0000-000006C50000}"/>
    <cellStyle name="Percent 2 2 2 9 2 2" xfId="11177" xr:uid="{00000000-0005-0000-0000-000007C50000}"/>
    <cellStyle name="Percent 2 2 2 9 3" xfId="9737" xr:uid="{00000000-0005-0000-0000-000008C50000}"/>
    <cellStyle name="Percent 2 2 3" xfId="1296" xr:uid="{00000000-0005-0000-0000-000009C50000}"/>
    <cellStyle name="Percent 2 2 3 10" xfId="7627" xr:uid="{00000000-0005-0000-0000-00000AC50000}"/>
    <cellStyle name="Percent 2 2 3 10 2" xfId="10527" xr:uid="{00000000-0005-0000-0000-00000BC50000}"/>
    <cellStyle name="Percent 2 2 3 11" xfId="9087" xr:uid="{00000000-0005-0000-0000-00000CC50000}"/>
    <cellStyle name="Percent 2 2 3 12" xfId="6092" xr:uid="{00000000-0005-0000-0000-00000DC50000}"/>
    <cellStyle name="Percent 2 2 3 2" xfId="1297" xr:uid="{00000000-0005-0000-0000-00000EC50000}"/>
    <cellStyle name="Percent 2 2 3 2 10" xfId="9117" xr:uid="{00000000-0005-0000-0000-00000FC50000}"/>
    <cellStyle name="Percent 2 2 3 2 11" xfId="6129" xr:uid="{00000000-0005-0000-0000-000010C50000}"/>
    <cellStyle name="Percent 2 2 3 2 12" xfId="22551" xr:uid="{00000000-0005-0000-0000-000011C50000}"/>
    <cellStyle name="Percent 2 2 3 2 2" xfId="1298" xr:uid="{00000000-0005-0000-0000-000012C50000}"/>
    <cellStyle name="Percent 2 2 3 2 2 2" xfId="1299" xr:uid="{00000000-0005-0000-0000-000013C50000}"/>
    <cellStyle name="Percent 2 2 3 2 2 2 2" xfId="1300" xr:uid="{00000000-0005-0000-0000-000014C50000}"/>
    <cellStyle name="Percent 2 2 3 2 2 2 2 2" xfId="7442" xr:uid="{00000000-0005-0000-0000-000015C50000}"/>
    <cellStyle name="Percent 2 2 3 2 2 2 2 2 2" xfId="8919" xr:uid="{00000000-0005-0000-0000-000016C50000}"/>
    <cellStyle name="Percent 2 2 3 2 2 2 2 2 2 2" xfId="11816" xr:uid="{00000000-0005-0000-0000-000017C50000}"/>
    <cellStyle name="Percent 2 2 3 2 2 2 2 2 3" xfId="10376" xr:uid="{00000000-0005-0000-0000-000018C50000}"/>
    <cellStyle name="Percent 2 2 3 2 2 2 2 3" xfId="8261" xr:uid="{00000000-0005-0000-0000-000019C50000}"/>
    <cellStyle name="Percent 2 2 3 2 2 2 2 3 2" xfId="11158" xr:uid="{00000000-0005-0000-0000-00001AC50000}"/>
    <cellStyle name="Percent 2 2 3 2 2 2 2 4" xfId="9718" xr:uid="{00000000-0005-0000-0000-00001BC50000}"/>
    <cellStyle name="Percent 2 2 3 2 2 2 2 5" xfId="6766" xr:uid="{00000000-0005-0000-0000-00001CC50000}"/>
    <cellStyle name="Percent 2 2 3 2 2 2 2 6" xfId="51941" xr:uid="{00000000-0005-0000-0000-00001DC50000}"/>
    <cellStyle name="Percent 2 2 3 2 2 2 3" xfId="7209" xr:uid="{00000000-0005-0000-0000-00001EC50000}"/>
    <cellStyle name="Percent 2 2 3 2 2 2 3 2" xfId="8686" xr:uid="{00000000-0005-0000-0000-00001FC50000}"/>
    <cellStyle name="Percent 2 2 3 2 2 2 3 2 2" xfId="11583" xr:uid="{00000000-0005-0000-0000-000020C50000}"/>
    <cellStyle name="Percent 2 2 3 2 2 2 3 3" xfId="10143" xr:uid="{00000000-0005-0000-0000-000021C50000}"/>
    <cellStyle name="Percent 2 2 3 2 2 2 4" xfId="8028" xr:uid="{00000000-0005-0000-0000-000022C50000}"/>
    <cellStyle name="Percent 2 2 3 2 2 2 4 2" xfId="10925" xr:uid="{00000000-0005-0000-0000-000023C50000}"/>
    <cellStyle name="Percent 2 2 3 2 2 2 5" xfId="9485" xr:uid="{00000000-0005-0000-0000-000024C50000}"/>
    <cellStyle name="Percent 2 2 3 2 2 2 6" xfId="6533" xr:uid="{00000000-0005-0000-0000-000025C50000}"/>
    <cellStyle name="Percent 2 2 3 2 2 2 7" xfId="32754" xr:uid="{00000000-0005-0000-0000-000026C50000}"/>
    <cellStyle name="Percent 2 2 3 2 2 3" xfId="1301" xr:uid="{00000000-0005-0000-0000-000027C50000}"/>
    <cellStyle name="Percent 2 2 3 2 2 3 2" xfId="7326" xr:uid="{00000000-0005-0000-0000-000028C50000}"/>
    <cellStyle name="Percent 2 2 3 2 2 3 2 2" xfId="8803" xr:uid="{00000000-0005-0000-0000-000029C50000}"/>
    <cellStyle name="Percent 2 2 3 2 2 3 2 2 2" xfId="11700" xr:uid="{00000000-0005-0000-0000-00002AC50000}"/>
    <cellStyle name="Percent 2 2 3 2 2 3 2 3" xfId="10260" xr:uid="{00000000-0005-0000-0000-00002BC50000}"/>
    <cellStyle name="Percent 2 2 3 2 2 3 2 4" xfId="42596" xr:uid="{00000000-0005-0000-0000-00002CC50000}"/>
    <cellStyle name="Percent 2 2 3 2 2 3 3" xfId="8145" xr:uid="{00000000-0005-0000-0000-00002DC50000}"/>
    <cellStyle name="Percent 2 2 3 2 2 3 3 2" xfId="11042" xr:uid="{00000000-0005-0000-0000-00002EC50000}"/>
    <cellStyle name="Percent 2 2 3 2 2 3 4" xfId="9602" xr:uid="{00000000-0005-0000-0000-00002FC50000}"/>
    <cellStyle name="Percent 2 2 3 2 2 3 5" xfId="6650" xr:uid="{00000000-0005-0000-0000-000030C50000}"/>
    <cellStyle name="Percent 2 2 3 2 2 3 6" xfId="23027" xr:uid="{00000000-0005-0000-0000-000031C50000}"/>
    <cellStyle name="Percent 2 2 3 2 2 4" xfId="1302" xr:uid="{00000000-0005-0000-0000-000032C50000}"/>
    <cellStyle name="Percent 2 2 3 2 2 4 2" xfId="7093" xr:uid="{00000000-0005-0000-0000-000033C50000}"/>
    <cellStyle name="Percent 2 2 3 2 2 4 2 2" xfId="8570" xr:uid="{00000000-0005-0000-0000-000034C50000}"/>
    <cellStyle name="Percent 2 2 3 2 2 4 2 2 2" xfId="11467" xr:uid="{00000000-0005-0000-0000-000035C50000}"/>
    <cellStyle name="Percent 2 2 3 2 2 4 2 3" xfId="10027" xr:uid="{00000000-0005-0000-0000-000036C50000}"/>
    <cellStyle name="Percent 2 2 3 2 2 4 3" xfId="7911" xr:uid="{00000000-0005-0000-0000-000037C50000}"/>
    <cellStyle name="Percent 2 2 3 2 2 4 3 2" xfId="10809" xr:uid="{00000000-0005-0000-0000-000038C50000}"/>
    <cellStyle name="Percent 2 2 3 2 2 4 4" xfId="9369" xr:uid="{00000000-0005-0000-0000-000039C50000}"/>
    <cellStyle name="Percent 2 2 3 2 2 4 5" xfId="6414" xr:uid="{00000000-0005-0000-0000-00003AC50000}"/>
    <cellStyle name="Percent 2 2 3 2 2 4 6" xfId="42243" xr:uid="{00000000-0005-0000-0000-00003BC50000}"/>
    <cellStyle name="Percent 2 2 3 2 2 5" xfId="6921" xr:uid="{00000000-0005-0000-0000-00003CC50000}"/>
    <cellStyle name="Percent 2 2 3 2 2 5 2" xfId="8399" xr:uid="{00000000-0005-0000-0000-00003DC50000}"/>
    <cellStyle name="Percent 2 2 3 2 2 5 2 2" xfId="11296" xr:uid="{00000000-0005-0000-0000-00003EC50000}"/>
    <cellStyle name="Percent 2 2 3 2 2 5 3" xfId="9856" xr:uid="{00000000-0005-0000-0000-00003FC50000}"/>
    <cellStyle name="Percent 2 2 3 2 2 6" xfId="7738" xr:uid="{00000000-0005-0000-0000-000040C50000}"/>
    <cellStyle name="Percent 2 2 3 2 2 6 2" xfId="10638" xr:uid="{00000000-0005-0000-0000-000041C50000}"/>
    <cellStyle name="Percent 2 2 3 2 2 7" xfId="9198" xr:uid="{00000000-0005-0000-0000-000042C50000}"/>
    <cellStyle name="Percent 2 2 3 2 2 8" xfId="6217" xr:uid="{00000000-0005-0000-0000-000043C50000}"/>
    <cellStyle name="Percent 2 2 3 2 2 9" xfId="22666" xr:uid="{00000000-0005-0000-0000-000044C50000}"/>
    <cellStyle name="Percent 2 2 3 2 3" xfId="1303" xr:uid="{00000000-0005-0000-0000-000045C50000}"/>
    <cellStyle name="Percent 2 2 3 2 3 2" xfId="1304" xr:uid="{00000000-0005-0000-0000-000046C50000}"/>
    <cellStyle name="Percent 2 2 3 2 3 2 2" xfId="7386" xr:uid="{00000000-0005-0000-0000-000047C50000}"/>
    <cellStyle name="Percent 2 2 3 2 3 2 2 2" xfId="8863" xr:uid="{00000000-0005-0000-0000-000048C50000}"/>
    <cellStyle name="Percent 2 2 3 2 3 2 2 2 2" xfId="11760" xr:uid="{00000000-0005-0000-0000-000049C50000}"/>
    <cellStyle name="Percent 2 2 3 2 3 2 2 3" xfId="10320" xr:uid="{00000000-0005-0000-0000-00004AC50000}"/>
    <cellStyle name="Percent 2 2 3 2 3 2 2 4" xfId="51997" xr:uid="{00000000-0005-0000-0000-00004BC50000}"/>
    <cellStyle name="Percent 2 2 3 2 3 2 3" xfId="8205" xr:uid="{00000000-0005-0000-0000-00004CC50000}"/>
    <cellStyle name="Percent 2 2 3 2 3 2 3 2" xfId="11102" xr:uid="{00000000-0005-0000-0000-00004DC50000}"/>
    <cellStyle name="Percent 2 2 3 2 3 2 4" xfId="9662" xr:uid="{00000000-0005-0000-0000-00004EC50000}"/>
    <cellStyle name="Percent 2 2 3 2 3 2 5" xfId="6710" xr:uid="{00000000-0005-0000-0000-00004FC50000}"/>
    <cellStyle name="Percent 2 2 3 2 3 2 6" xfId="32810" xr:uid="{00000000-0005-0000-0000-000050C50000}"/>
    <cellStyle name="Percent 2 2 3 2 3 3" xfId="1305" xr:uid="{00000000-0005-0000-0000-000051C50000}"/>
    <cellStyle name="Percent 2 2 3 2 3 3 2" xfId="7153" xr:uid="{00000000-0005-0000-0000-000052C50000}"/>
    <cellStyle name="Percent 2 2 3 2 3 3 2 2" xfId="8630" xr:uid="{00000000-0005-0000-0000-000053C50000}"/>
    <cellStyle name="Percent 2 2 3 2 3 3 2 2 2" xfId="11527" xr:uid="{00000000-0005-0000-0000-000054C50000}"/>
    <cellStyle name="Percent 2 2 3 2 3 3 2 3" xfId="10087" xr:uid="{00000000-0005-0000-0000-000055C50000}"/>
    <cellStyle name="Percent 2 2 3 2 3 3 2 4" xfId="42652" xr:uid="{00000000-0005-0000-0000-000056C50000}"/>
    <cellStyle name="Percent 2 2 3 2 3 3 3" xfId="7972" xr:uid="{00000000-0005-0000-0000-000057C50000}"/>
    <cellStyle name="Percent 2 2 3 2 3 3 3 2" xfId="10869" xr:uid="{00000000-0005-0000-0000-000058C50000}"/>
    <cellStyle name="Percent 2 2 3 2 3 3 4" xfId="9429" xr:uid="{00000000-0005-0000-0000-000059C50000}"/>
    <cellStyle name="Percent 2 2 3 2 3 3 5" xfId="6477" xr:uid="{00000000-0005-0000-0000-00005AC50000}"/>
    <cellStyle name="Percent 2 2 3 2 3 3 6" xfId="23083" xr:uid="{00000000-0005-0000-0000-00005BC50000}"/>
    <cellStyle name="Percent 2 2 3 2 3 4" xfId="6978" xr:uid="{00000000-0005-0000-0000-00005CC50000}"/>
    <cellStyle name="Percent 2 2 3 2 3 4 2" xfId="8455" xr:uid="{00000000-0005-0000-0000-00005DC50000}"/>
    <cellStyle name="Percent 2 2 3 2 3 4 2 2" xfId="11352" xr:uid="{00000000-0005-0000-0000-00005EC50000}"/>
    <cellStyle name="Percent 2 2 3 2 3 4 3" xfId="9912" xr:uid="{00000000-0005-0000-0000-00005FC50000}"/>
    <cellStyle name="Percent 2 2 3 2 3 4 4" xfId="42299" xr:uid="{00000000-0005-0000-0000-000060C50000}"/>
    <cellStyle name="Percent 2 2 3 2 3 5" xfId="7795" xr:uid="{00000000-0005-0000-0000-000061C50000}"/>
    <cellStyle name="Percent 2 2 3 2 3 5 2" xfId="10694" xr:uid="{00000000-0005-0000-0000-000062C50000}"/>
    <cellStyle name="Percent 2 2 3 2 3 6" xfId="9254" xr:uid="{00000000-0005-0000-0000-000063C50000}"/>
    <cellStyle name="Percent 2 2 3 2 3 7" xfId="6279" xr:uid="{00000000-0005-0000-0000-000064C50000}"/>
    <cellStyle name="Percent 2 2 3 2 3 8" xfId="22724" xr:uid="{00000000-0005-0000-0000-000065C50000}"/>
    <cellStyle name="Percent 2 2 3 2 4" xfId="1306" xr:uid="{00000000-0005-0000-0000-000066C50000}"/>
    <cellStyle name="Percent 2 2 3 2 4 2" xfId="7270" xr:uid="{00000000-0005-0000-0000-000067C50000}"/>
    <cellStyle name="Percent 2 2 3 2 4 2 2" xfId="8747" xr:uid="{00000000-0005-0000-0000-000068C50000}"/>
    <cellStyle name="Percent 2 2 3 2 4 2 2 2" xfId="11644" xr:uid="{00000000-0005-0000-0000-000069C50000}"/>
    <cellStyle name="Percent 2 2 3 2 4 2 3" xfId="10204" xr:uid="{00000000-0005-0000-0000-00006AC50000}"/>
    <cellStyle name="Percent 2 2 3 2 4 2 4" xfId="51860" xr:uid="{00000000-0005-0000-0000-00006BC50000}"/>
    <cellStyle name="Percent 2 2 3 2 4 3" xfId="8089" xr:uid="{00000000-0005-0000-0000-00006CC50000}"/>
    <cellStyle name="Percent 2 2 3 2 4 3 2" xfId="10986" xr:uid="{00000000-0005-0000-0000-00006DC50000}"/>
    <cellStyle name="Percent 2 2 3 2 4 4" xfId="9546" xr:uid="{00000000-0005-0000-0000-00006EC50000}"/>
    <cellStyle name="Percent 2 2 3 2 4 5" xfId="6594" xr:uid="{00000000-0005-0000-0000-00006FC50000}"/>
    <cellStyle name="Percent 2 2 3 2 4 6" xfId="32673" xr:uid="{00000000-0005-0000-0000-000070C50000}"/>
    <cellStyle name="Percent 2 2 3 2 5" xfId="1307" xr:uid="{00000000-0005-0000-0000-000071C50000}"/>
    <cellStyle name="Percent 2 2 3 2 5 2" xfId="7037" xr:uid="{00000000-0005-0000-0000-000072C50000}"/>
    <cellStyle name="Percent 2 2 3 2 5 2 2" xfId="8514" xr:uid="{00000000-0005-0000-0000-000073C50000}"/>
    <cellStyle name="Percent 2 2 3 2 5 2 2 2" xfId="11411" xr:uid="{00000000-0005-0000-0000-000074C50000}"/>
    <cellStyle name="Percent 2 2 3 2 5 2 3" xfId="9971" xr:uid="{00000000-0005-0000-0000-000075C50000}"/>
    <cellStyle name="Percent 2 2 3 2 5 2 4" xfId="42515" xr:uid="{00000000-0005-0000-0000-000076C50000}"/>
    <cellStyle name="Percent 2 2 3 2 5 3" xfId="7855" xr:uid="{00000000-0005-0000-0000-000077C50000}"/>
    <cellStyle name="Percent 2 2 3 2 5 3 2" xfId="10753" xr:uid="{00000000-0005-0000-0000-000078C50000}"/>
    <cellStyle name="Percent 2 2 3 2 5 4" xfId="9313" xr:uid="{00000000-0005-0000-0000-000079C50000}"/>
    <cellStyle name="Percent 2 2 3 2 5 5" xfId="6358" xr:uid="{00000000-0005-0000-0000-00007AC50000}"/>
    <cellStyle name="Percent 2 2 3 2 5 6" xfId="22946" xr:uid="{00000000-0005-0000-0000-00007BC50000}"/>
    <cellStyle name="Percent 2 2 3 2 6" xfId="7503" xr:uid="{00000000-0005-0000-0000-00007CC50000}"/>
    <cellStyle name="Percent 2 2 3 2 6 2" xfId="8977" xr:uid="{00000000-0005-0000-0000-00007DC50000}"/>
    <cellStyle name="Percent 2 2 3 2 6 2 2" xfId="11874" xr:uid="{00000000-0005-0000-0000-00007EC50000}"/>
    <cellStyle name="Percent 2 2 3 2 6 3" xfId="10434" xr:uid="{00000000-0005-0000-0000-00007FC50000}"/>
    <cellStyle name="Percent 2 2 3 2 6 4" xfId="42162" xr:uid="{00000000-0005-0000-0000-000080C50000}"/>
    <cellStyle name="Percent 2 2 3 2 7" xfId="7562" xr:uid="{00000000-0005-0000-0000-000081C50000}"/>
    <cellStyle name="Percent 2 2 3 2 7 2" xfId="9034" xr:uid="{00000000-0005-0000-0000-000082C50000}"/>
    <cellStyle name="Percent 2 2 3 2 7 2 2" xfId="11931" xr:uid="{00000000-0005-0000-0000-000083C50000}"/>
    <cellStyle name="Percent 2 2 3 2 7 3" xfId="10491" xr:uid="{00000000-0005-0000-0000-000084C50000}"/>
    <cellStyle name="Percent 2 2 3 2 7 4" xfId="53791" xr:uid="{00000000-0005-0000-0000-000085C50000}"/>
    <cellStyle name="Percent 2 2 3 2 8" xfId="6838" xr:uid="{00000000-0005-0000-0000-000086C50000}"/>
    <cellStyle name="Percent 2 2 3 2 8 2" xfId="8318" xr:uid="{00000000-0005-0000-0000-000087C50000}"/>
    <cellStyle name="Percent 2 2 3 2 8 2 2" xfId="11215" xr:uid="{00000000-0005-0000-0000-000088C50000}"/>
    <cellStyle name="Percent 2 2 3 2 8 3" xfId="9775" xr:uid="{00000000-0005-0000-0000-000089C50000}"/>
    <cellStyle name="Percent 2 2 3 2 9" xfId="7657" xr:uid="{00000000-0005-0000-0000-00008AC50000}"/>
    <cellStyle name="Percent 2 2 3 2 9 2" xfId="10557" xr:uid="{00000000-0005-0000-0000-00008BC50000}"/>
    <cellStyle name="Percent 2 2 3 3" xfId="1308" xr:uid="{00000000-0005-0000-0000-00008CC50000}"/>
    <cellStyle name="Percent 2 2 3 3 2" xfId="1309" xr:uid="{00000000-0005-0000-0000-00008DC50000}"/>
    <cellStyle name="Percent 2 2 3 3 2 2" xfId="1310" xr:uid="{00000000-0005-0000-0000-00008EC50000}"/>
    <cellStyle name="Percent 2 2 3 3 2 2 2" xfId="7412" xr:uid="{00000000-0005-0000-0000-00008FC50000}"/>
    <cellStyle name="Percent 2 2 3 3 2 2 2 2" xfId="8889" xr:uid="{00000000-0005-0000-0000-000090C50000}"/>
    <cellStyle name="Percent 2 2 3 3 2 2 2 2 2" xfId="11786" xr:uid="{00000000-0005-0000-0000-000091C50000}"/>
    <cellStyle name="Percent 2 2 3 3 2 2 2 3" xfId="10346" xr:uid="{00000000-0005-0000-0000-000092C50000}"/>
    <cellStyle name="Percent 2 2 3 3 2 2 3" xfId="8231" xr:uid="{00000000-0005-0000-0000-000093C50000}"/>
    <cellStyle name="Percent 2 2 3 3 2 2 3 2" xfId="11128" xr:uid="{00000000-0005-0000-0000-000094C50000}"/>
    <cellStyle name="Percent 2 2 3 3 2 2 4" xfId="9688" xr:uid="{00000000-0005-0000-0000-000095C50000}"/>
    <cellStyle name="Percent 2 2 3 3 2 2 5" xfId="6736" xr:uid="{00000000-0005-0000-0000-000096C50000}"/>
    <cellStyle name="Percent 2 2 3 3 2 2 6" xfId="51911" xr:uid="{00000000-0005-0000-0000-000097C50000}"/>
    <cellStyle name="Percent 2 2 3 3 2 3" xfId="7179" xr:uid="{00000000-0005-0000-0000-000098C50000}"/>
    <cellStyle name="Percent 2 2 3 3 2 3 2" xfId="8656" xr:uid="{00000000-0005-0000-0000-000099C50000}"/>
    <cellStyle name="Percent 2 2 3 3 2 3 2 2" xfId="11553" xr:uid="{00000000-0005-0000-0000-00009AC50000}"/>
    <cellStyle name="Percent 2 2 3 3 2 3 3" xfId="10113" xr:uid="{00000000-0005-0000-0000-00009BC50000}"/>
    <cellStyle name="Percent 2 2 3 3 2 4" xfId="7998" xr:uid="{00000000-0005-0000-0000-00009CC50000}"/>
    <cellStyle name="Percent 2 2 3 3 2 4 2" xfId="10895" xr:uid="{00000000-0005-0000-0000-00009DC50000}"/>
    <cellStyle name="Percent 2 2 3 3 2 5" xfId="9455" xr:uid="{00000000-0005-0000-0000-00009EC50000}"/>
    <cellStyle name="Percent 2 2 3 3 2 6" xfId="6503" xr:uid="{00000000-0005-0000-0000-00009FC50000}"/>
    <cellStyle name="Percent 2 2 3 3 2 7" xfId="32724" xr:uid="{00000000-0005-0000-0000-0000A0C50000}"/>
    <cellStyle name="Percent 2 2 3 3 3" xfId="1311" xr:uid="{00000000-0005-0000-0000-0000A1C50000}"/>
    <cellStyle name="Percent 2 2 3 3 3 2" xfId="7296" xr:uid="{00000000-0005-0000-0000-0000A2C50000}"/>
    <cellStyle name="Percent 2 2 3 3 3 2 2" xfId="8773" xr:uid="{00000000-0005-0000-0000-0000A3C50000}"/>
    <cellStyle name="Percent 2 2 3 3 3 2 2 2" xfId="11670" xr:uid="{00000000-0005-0000-0000-0000A4C50000}"/>
    <cellStyle name="Percent 2 2 3 3 3 2 3" xfId="10230" xr:uid="{00000000-0005-0000-0000-0000A5C50000}"/>
    <cellStyle name="Percent 2 2 3 3 3 2 4" xfId="42566" xr:uid="{00000000-0005-0000-0000-0000A6C50000}"/>
    <cellStyle name="Percent 2 2 3 3 3 3" xfId="8115" xr:uid="{00000000-0005-0000-0000-0000A7C50000}"/>
    <cellStyle name="Percent 2 2 3 3 3 3 2" xfId="11012" xr:uid="{00000000-0005-0000-0000-0000A8C50000}"/>
    <cellStyle name="Percent 2 2 3 3 3 4" xfId="9572" xr:uid="{00000000-0005-0000-0000-0000A9C50000}"/>
    <cellStyle name="Percent 2 2 3 3 3 5" xfId="6620" xr:uid="{00000000-0005-0000-0000-0000AAC50000}"/>
    <cellStyle name="Percent 2 2 3 3 3 6" xfId="22997" xr:uid="{00000000-0005-0000-0000-0000ABC50000}"/>
    <cellStyle name="Percent 2 2 3 3 4" xfId="1312" xr:uid="{00000000-0005-0000-0000-0000ACC50000}"/>
    <cellStyle name="Percent 2 2 3 3 4 2" xfId="7063" xr:uid="{00000000-0005-0000-0000-0000ADC50000}"/>
    <cellStyle name="Percent 2 2 3 3 4 2 2" xfId="8540" xr:uid="{00000000-0005-0000-0000-0000AEC50000}"/>
    <cellStyle name="Percent 2 2 3 3 4 2 2 2" xfId="11437" xr:uid="{00000000-0005-0000-0000-0000AFC50000}"/>
    <cellStyle name="Percent 2 2 3 3 4 2 3" xfId="9997" xr:uid="{00000000-0005-0000-0000-0000B0C50000}"/>
    <cellStyle name="Percent 2 2 3 3 4 3" xfId="7881" xr:uid="{00000000-0005-0000-0000-0000B1C50000}"/>
    <cellStyle name="Percent 2 2 3 3 4 3 2" xfId="10779" xr:uid="{00000000-0005-0000-0000-0000B2C50000}"/>
    <cellStyle name="Percent 2 2 3 3 4 4" xfId="9339" xr:uid="{00000000-0005-0000-0000-0000B3C50000}"/>
    <cellStyle name="Percent 2 2 3 3 4 5" xfId="6384" xr:uid="{00000000-0005-0000-0000-0000B4C50000}"/>
    <cellStyle name="Percent 2 2 3 3 4 6" xfId="42213" xr:uid="{00000000-0005-0000-0000-0000B5C50000}"/>
    <cellStyle name="Percent 2 2 3 3 5" xfId="6891" xr:uid="{00000000-0005-0000-0000-0000B6C50000}"/>
    <cellStyle name="Percent 2 2 3 3 5 2" xfId="8369" xr:uid="{00000000-0005-0000-0000-0000B7C50000}"/>
    <cellStyle name="Percent 2 2 3 3 5 2 2" xfId="11266" xr:uid="{00000000-0005-0000-0000-0000B8C50000}"/>
    <cellStyle name="Percent 2 2 3 3 5 3" xfId="9826" xr:uid="{00000000-0005-0000-0000-0000B9C50000}"/>
    <cellStyle name="Percent 2 2 3 3 6" xfId="7708" xr:uid="{00000000-0005-0000-0000-0000BAC50000}"/>
    <cellStyle name="Percent 2 2 3 3 6 2" xfId="10608" xr:uid="{00000000-0005-0000-0000-0000BBC50000}"/>
    <cellStyle name="Percent 2 2 3 3 7" xfId="9168" xr:uid="{00000000-0005-0000-0000-0000BCC50000}"/>
    <cellStyle name="Percent 2 2 3 3 8" xfId="6186" xr:uid="{00000000-0005-0000-0000-0000BDC50000}"/>
    <cellStyle name="Percent 2 2 3 3 9" xfId="22635" xr:uid="{00000000-0005-0000-0000-0000BEC50000}"/>
    <cellStyle name="Percent 2 2 3 4" xfId="1313" xr:uid="{00000000-0005-0000-0000-0000BFC50000}"/>
    <cellStyle name="Percent 2 2 3 4 2" xfId="1314" xr:uid="{00000000-0005-0000-0000-0000C0C50000}"/>
    <cellStyle name="Percent 2 2 3 4 2 2" xfId="7360" xr:uid="{00000000-0005-0000-0000-0000C1C50000}"/>
    <cellStyle name="Percent 2 2 3 4 2 2 2" xfId="8837" xr:uid="{00000000-0005-0000-0000-0000C2C50000}"/>
    <cellStyle name="Percent 2 2 3 4 2 2 2 2" xfId="11734" xr:uid="{00000000-0005-0000-0000-0000C3C50000}"/>
    <cellStyle name="Percent 2 2 3 4 2 2 3" xfId="10294" xr:uid="{00000000-0005-0000-0000-0000C4C50000}"/>
    <cellStyle name="Percent 2 2 3 4 2 2 4" xfId="51967" xr:uid="{00000000-0005-0000-0000-0000C5C50000}"/>
    <cellStyle name="Percent 2 2 3 4 2 3" xfId="8179" xr:uid="{00000000-0005-0000-0000-0000C6C50000}"/>
    <cellStyle name="Percent 2 2 3 4 2 3 2" xfId="11076" xr:uid="{00000000-0005-0000-0000-0000C7C50000}"/>
    <cellStyle name="Percent 2 2 3 4 2 4" xfId="9636" xr:uid="{00000000-0005-0000-0000-0000C8C50000}"/>
    <cellStyle name="Percent 2 2 3 4 2 5" xfId="6684" xr:uid="{00000000-0005-0000-0000-0000C9C50000}"/>
    <cellStyle name="Percent 2 2 3 4 2 6" xfId="32780" xr:uid="{00000000-0005-0000-0000-0000CAC50000}"/>
    <cellStyle name="Percent 2 2 3 4 3" xfId="1315" xr:uid="{00000000-0005-0000-0000-0000CBC50000}"/>
    <cellStyle name="Percent 2 2 3 4 3 2" xfId="7127" xr:uid="{00000000-0005-0000-0000-0000CCC50000}"/>
    <cellStyle name="Percent 2 2 3 4 3 2 2" xfId="8604" xr:uid="{00000000-0005-0000-0000-0000CDC50000}"/>
    <cellStyle name="Percent 2 2 3 4 3 2 2 2" xfId="11501" xr:uid="{00000000-0005-0000-0000-0000CEC50000}"/>
    <cellStyle name="Percent 2 2 3 4 3 2 3" xfId="10061" xr:uid="{00000000-0005-0000-0000-0000CFC50000}"/>
    <cellStyle name="Percent 2 2 3 4 3 2 4" xfId="42622" xr:uid="{00000000-0005-0000-0000-0000D0C50000}"/>
    <cellStyle name="Percent 2 2 3 4 3 3" xfId="7946" xr:uid="{00000000-0005-0000-0000-0000D1C50000}"/>
    <cellStyle name="Percent 2 2 3 4 3 3 2" xfId="10843" xr:uid="{00000000-0005-0000-0000-0000D2C50000}"/>
    <cellStyle name="Percent 2 2 3 4 3 4" xfId="9403" xr:uid="{00000000-0005-0000-0000-0000D3C50000}"/>
    <cellStyle name="Percent 2 2 3 4 3 5" xfId="6451" xr:uid="{00000000-0005-0000-0000-0000D4C50000}"/>
    <cellStyle name="Percent 2 2 3 4 3 6" xfId="23053" xr:uid="{00000000-0005-0000-0000-0000D5C50000}"/>
    <cellStyle name="Percent 2 2 3 4 4" xfId="6948" xr:uid="{00000000-0005-0000-0000-0000D6C50000}"/>
    <cellStyle name="Percent 2 2 3 4 4 2" xfId="8425" xr:uid="{00000000-0005-0000-0000-0000D7C50000}"/>
    <cellStyle name="Percent 2 2 3 4 4 2 2" xfId="11322" xr:uid="{00000000-0005-0000-0000-0000D8C50000}"/>
    <cellStyle name="Percent 2 2 3 4 4 3" xfId="9882" xr:uid="{00000000-0005-0000-0000-0000D9C50000}"/>
    <cellStyle name="Percent 2 2 3 4 4 4" xfId="42269" xr:uid="{00000000-0005-0000-0000-0000DAC50000}"/>
    <cellStyle name="Percent 2 2 3 4 5" xfId="7765" xr:uid="{00000000-0005-0000-0000-0000DBC50000}"/>
    <cellStyle name="Percent 2 2 3 4 5 2" xfId="10664" xr:uid="{00000000-0005-0000-0000-0000DCC50000}"/>
    <cellStyle name="Percent 2 2 3 4 6" xfId="9224" xr:uid="{00000000-0005-0000-0000-0000DDC50000}"/>
    <cellStyle name="Percent 2 2 3 4 7" xfId="6249" xr:uid="{00000000-0005-0000-0000-0000DEC50000}"/>
    <cellStyle name="Percent 2 2 3 4 8" xfId="22694" xr:uid="{00000000-0005-0000-0000-0000DFC50000}"/>
    <cellStyle name="Percent 2 2 3 5" xfId="1316" xr:uid="{00000000-0005-0000-0000-0000E0C50000}"/>
    <cellStyle name="Percent 2 2 3 5 2" xfId="7244" xr:uid="{00000000-0005-0000-0000-0000E1C50000}"/>
    <cellStyle name="Percent 2 2 3 5 2 2" xfId="8721" xr:uid="{00000000-0005-0000-0000-0000E2C50000}"/>
    <cellStyle name="Percent 2 2 3 5 2 2 2" xfId="11618" xr:uid="{00000000-0005-0000-0000-0000E3C50000}"/>
    <cellStyle name="Percent 2 2 3 5 2 2 3" xfId="51830" xr:uid="{00000000-0005-0000-0000-0000E4C50000}"/>
    <cellStyle name="Percent 2 2 3 5 2 3" xfId="10178" xr:uid="{00000000-0005-0000-0000-0000E5C50000}"/>
    <cellStyle name="Percent 2 2 3 5 2 4" xfId="32643" xr:uid="{00000000-0005-0000-0000-0000E6C50000}"/>
    <cellStyle name="Percent 2 2 3 5 3" xfId="8063" xr:uid="{00000000-0005-0000-0000-0000E7C50000}"/>
    <cellStyle name="Percent 2 2 3 5 3 2" xfId="10960" xr:uid="{00000000-0005-0000-0000-0000E8C50000}"/>
    <cellStyle name="Percent 2 2 3 5 3 3" xfId="42132" xr:uid="{00000000-0005-0000-0000-0000E9C50000}"/>
    <cellStyle name="Percent 2 2 3 5 4" xfId="9520" xr:uid="{00000000-0005-0000-0000-0000EAC50000}"/>
    <cellStyle name="Percent 2 2 3 5 5" xfId="6568" xr:uid="{00000000-0005-0000-0000-0000EBC50000}"/>
    <cellStyle name="Percent 2 2 3 5 6" xfId="22516" xr:uid="{00000000-0005-0000-0000-0000ECC50000}"/>
    <cellStyle name="Percent 2 2 3 6" xfId="1317" xr:uid="{00000000-0005-0000-0000-0000EDC50000}"/>
    <cellStyle name="Percent 2 2 3 6 2" xfId="7011" xr:uid="{00000000-0005-0000-0000-0000EEC50000}"/>
    <cellStyle name="Percent 2 2 3 6 2 2" xfId="8488" xr:uid="{00000000-0005-0000-0000-0000EFC50000}"/>
    <cellStyle name="Percent 2 2 3 6 2 2 2" xfId="11385" xr:uid="{00000000-0005-0000-0000-0000F0C50000}"/>
    <cellStyle name="Percent 2 2 3 6 2 3" xfId="9945" xr:uid="{00000000-0005-0000-0000-0000F1C50000}"/>
    <cellStyle name="Percent 2 2 3 6 3" xfId="7829" xr:uid="{00000000-0005-0000-0000-0000F2C50000}"/>
    <cellStyle name="Percent 2 2 3 6 3 2" xfId="10727" xr:uid="{00000000-0005-0000-0000-0000F3C50000}"/>
    <cellStyle name="Percent 2 2 3 6 4" xfId="9287" xr:uid="{00000000-0005-0000-0000-0000F4C50000}"/>
    <cellStyle name="Percent 2 2 3 6 5" xfId="6332" xr:uid="{00000000-0005-0000-0000-0000F5C50000}"/>
    <cellStyle name="Percent 2 2 3 6 6" xfId="24183" xr:uid="{00000000-0005-0000-0000-0000F6C50000}"/>
    <cellStyle name="Percent 2 2 3 7" xfId="5524" xr:uid="{00000000-0005-0000-0000-0000F7C50000}"/>
    <cellStyle name="Percent 2 2 3 7 2" xfId="8951" xr:uid="{00000000-0005-0000-0000-0000F8C50000}"/>
    <cellStyle name="Percent 2 2 3 7 2 2" xfId="11848" xr:uid="{00000000-0005-0000-0000-0000F9C50000}"/>
    <cellStyle name="Percent 2 2 3 7 2 3" xfId="42485" xr:uid="{00000000-0005-0000-0000-0000FAC50000}"/>
    <cellStyle name="Percent 2 2 3 7 3" xfId="10408" xr:uid="{00000000-0005-0000-0000-0000FBC50000}"/>
    <cellStyle name="Percent 2 2 3 7 4" xfId="7477" xr:uid="{00000000-0005-0000-0000-0000FCC50000}"/>
    <cellStyle name="Percent 2 2 3 7 5" xfId="22916" xr:uid="{00000000-0005-0000-0000-0000FDC50000}"/>
    <cellStyle name="Percent 2 2 3 8" xfId="7536" xr:uid="{00000000-0005-0000-0000-0000FEC50000}"/>
    <cellStyle name="Percent 2 2 3 8 2" xfId="9008" xr:uid="{00000000-0005-0000-0000-0000FFC50000}"/>
    <cellStyle name="Percent 2 2 3 8 2 2" xfId="11905" xr:uid="{00000000-0005-0000-0000-000000C60000}"/>
    <cellStyle name="Percent 2 2 3 8 3" xfId="10465" xr:uid="{00000000-0005-0000-0000-000001C60000}"/>
    <cellStyle name="Percent 2 2 3 8 4" xfId="52916" xr:uid="{00000000-0005-0000-0000-000002C60000}"/>
    <cellStyle name="Percent 2 2 3 9" xfId="6807" xr:uid="{00000000-0005-0000-0000-000003C60000}"/>
    <cellStyle name="Percent 2 2 3 9 2" xfId="8288" xr:uid="{00000000-0005-0000-0000-000004C60000}"/>
    <cellStyle name="Percent 2 2 3 9 2 2" xfId="11185" xr:uid="{00000000-0005-0000-0000-000005C60000}"/>
    <cellStyle name="Percent 2 2 3 9 3" xfId="9745" xr:uid="{00000000-0005-0000-0000-000006C60000}"/>
    <cellStyle name="Percent 2 2 4" xfId="1318" xr:uid="{00000000-0005-0000-0000-000007C60000}"/>
    <cellStyle name="Percent 2 2 4 10" xfId="9101" xr:uid="{00000000-0005-0000-0000-000008C60000}"/>
    <cellStyle name="Percent 2 2 4 11" xfId="6113" xr:uid="{00000000-0005-0000-0000-000009C60000}"/>
    <cellStyle name="Percent 2 2 4 12" xfId="12554" xr:uid="{00000000-0005-0000-0000-00000AC60000}"/>
    <cellStyle name="Percent 2 2 4 2" xfId="1319" xr:uid="{00000000-0005-0000-0000-00000BC60000}"/>
    <cellStyle name="Percent 2 2 4 2 2" xfId="1320" xr:uid="{00000000-0005-0000-0000-00000CC60000}"/>
    <cellStyle name="Percent 2 2 4 2 2 2" xfId="1321" xr:uid="{00000000-0005-0000-0000-00000DC60000}"/>
    <cellStyle name="Percent 2 2 4 2 2 2 2" xfId="5528" xr:uid="{00000000-0005-0000-0000-00000EC60000}"/>
    <cellStyle name="Percent 2 2 4 2 2 2 2 2" xfId="8903" xr:uid="{00000000-0005-0000-0000-00000FC60000}"/>
    <cellStyle name="Percent 2 2 4 2 2 2 2 2 2" xfId="11800" xr:uid="{00000000-0005-0000-0000-000010C60000}"/>
    <cellStyle name="Percent 2 2 4 2 2 2 2 3" xfId="10360" xr:uid="{00000000-0005-0000-0000-000011C60000}"/>
    <cellStyle name="Percent 2 2 4 2 2 2 2 4" xfId="7426" xr:uid="{00000000-0005-0000-0000-000012C60000}"/>
    <cellStyle name="Percent 2 2 4 2 2 2 3" xfId="8245" xr:uid="{00000000-0005-0000-0000-000013C60000}"/>
    <cellStyle name="Percent 2 2 4 2 2 2 3 2" xfId="11142" xr:uid="{00000000-0005-0000-0000-000014C60000}"/>
    <cellStyle name="Percent 2 2 4 2 2 2 4" xfId="9702" xr:uid="{00000000-0005-0000-0000-000015C60000}"/>
    <cellStyle name="Percent 2 2 4 2 2 2 5" xfId="6750" xr:uid="{00000000-0005-0000-0000-000016C60000}"/>
    <cellStyle name="Percent 2 2 4 2 2 2 6" xfId="51925" xr:uid="{00000000-0005-0000-0000-000017C60000}"/>
    <cellStyle name="Percent 2 2 4 2 2 3" xfId="5527" xr:uid="{00000000-0005-0000-0000-000018C60000}"/>
    <cellStyle name="Percent 2 2 4 2 2 3 2" xfId="8670" xr:uid="{00000000-0005-0000-0000-000019C60000}"/>
    <cellStyle name="Percent 2 2 4 2 2 3 2 2" xfId="11567" xr:uid="{00000000-0005-0000-0000-00001AC60000}"/>
    <cellStyle name="Percent 2 2 4 2 2 3 3" xfId="10127" xr:uid="{00000000-0005-0000-0000-00001BC60000}"/>
    <cellStyle name="Percent 2 2 4 2 2 3 4" xfId="7193" xr:uid="{00000000-0005-0000-0000-00001CC60000}"/>
    <cellStyle name="Percent 2 2 4 2 2 4" xfId="8012" xr:uid="{00000000-0005-0000-0000-00001DC60000}"/>
    <cellStyle name="Percent 2 2 4 2 2 4 2" xfId="10909" xr:uid="{00000000-0005-0000-0000-00001EC60000}"/>
    <cellStyle name="Percent 2 2 4 2 2 5" xfId="9469" xr:uid="{00000000-0005-0000-0000-00001FC60000}"/>
    <cellStyle name="Percent 2 2 4 2 2 6" xfId="6517" xr:uid="{00000000-0005-0000-0000-000020C60000}"/>
    <cellStyle name="Percent 2 2 4 2 2 7" xfId="32738" xr:uid="{00000000-0005-0000-0000-000021C60000}"/>
    <cellStyle name="Percent 2 2 4 2 3" xfId="1322" xr:uid="{00000000-0005-0000-0000-000022C60000}"/>
    <cellStyle name="Percent 2 2 4 2 3 2" xfId="5529" xr:uid="{00000000-0005-0000-0000-000023C60000}"/>
    <cellStyle name="Percent 2 2 4 2 3 2 2" xfId="8787" xr:uid="{00000000-0005-0000-0000-000024C60000}"/>
    <cellStyle name="Percent 2 2 4 2 3 2 2 2" xfId="11684" xr:uid="{00000000-0005-0000-0000-000025C60000}"/>
    <cellStyle name="Percent 2 2 4 2 3 2 3" xfId="10244" xr:uid="{00000000-0005-0000-0000-000026C60000}"/>
    <cellStyle name="Percent 2 2 4 2 3 2 4" xfId="7310" xr:uid="{00000000-0005-0000-0000-000027C60000}"/>
    <cellStyle name="Percent 2 2 4 2 3 2 5" xfId="42580" xr:uid="{00000000-0005-0000-0000-000028C60000}"/>
    <cellStyle name="Percent 2 2 4 2 3 3" xfId="8129" xr:uid="{00000000-0005-0000-0000-000029C60000}"/>
    <cellStyle name="Percent 2 2 4 2 3 3 2" xfId="11026" xr:uid="{00000000-0005-0000-0000-00002AC60000}"/>
    <cellStyle name="Percent 2 2 4 2 3 4" xfId="9586" xr:uid="{00000000-0005-0000-0000-00002BC60000}"/>
    <cellStyle name="Percent 2 2 4 2 3 5" xfId="6634" xr:uid="{00000000-0005-0000-0000-00002CC60000}"/>
    <cellStyle name="Percent 2 2 4 2 3 6" xfId="23011" xr:uid="{00000000-0005-0000-0000-00002DC60000}"/>
    <cellStyle name="Percent 2 2 4 2 4" xfId="1323" xr:uid="{00000000-0005-0000-0000-00002EC60000}"/>
    <cellStyle name="Percent 2 2 4 2 4 2" xfId="7077" xr:uid="{00000000-0005-0000-0000-00002FC60000}"/>
    <cellStyle name="Percent 2 2 4 2 4 2 2" xfId="8554" xr:uid="{00000000-0005-0000-0000-000030C60000}"/>
    <cellStyle name="Percent 2 2 4 2 4 2 2 2" xfId="11451" xr:uid="{00000000-0005-0000-0000-000031C60000}"/>
    <cellStyle name="Percent 2 2 4 2 4 2 3" xfId="10011" xr:uid="{00000000-0005-0000-0000-000032C60000}"/>
    <cellStyle name="Percent 2 2 4 2 4 3" xfId="7895" xr:uid="{00000000-0005-0000-0000-000033C60000}"/>
    <cellStyle name="Percent 2 2 4 2 4 3 2" xfId="10793" xr:uid="{00000000-0005-0000-0000-000034C60000}"/>
    <cellStyle name="Percent 2 2 4 2 4 4" xfId="9353" xr:uid="{00000000-0005-0000-0000-000035C60000}"/>
    <cellStyle name="Percent 2 2 4 2 4 5" xfId="6398" xr:uid="{00000000-0005-0000-0000-000036C60000}"/>
    <cellStyle name="Percent 2 2 4 2 4 6" xfId="42227" xr:uid="{00000000-0005-0000-0000-000037C60000}"/>
    <cellStyle name="Percent 2 2 4 2 5" xfId="5526" xr:uid="{00000000-0005-0000-0000-000038C60000}"/>
    <cellStyle name="Percent 2 2 4 2 5 2" xfId="8383" xr:uid="{00000000-0005-0000-0000-000039C60000}"/>
    <cellStyle name="Percent 2 2 4 2 5 2 2" xfId="11280" xr:uid="{00000000-0005-0000-0000-00003AC60000}"/>
    <cellStyle name="Percent 2 2 4 2 5 3" xfId="9840" xr:uid="{00000000-0005-0000-0000-00003BC60000}"/>
    <cellStyle name="Percent 2 2 4 2 5 4" xfId="6905" xr:uid="{00000000-0005-0000-0000-00003CC60000}"/>
    <cellStyle name="Percent 2 2 4 2 6" xfId="7722" xr:uid="{00000000-0005-0000-0000-00003DC60000}"/>
    <cellStyle name="Percent 2 2 4 2 6 2" xfId="10622" xr:uid="{00000000-0005-0000-0000-00003EC60000}"/>
    <cellStyle name="Percent 2 2 4 2 7" xfId="9182" xr:uid="{00000000-0005-0000-0000-00003FC60000}"/>
    <cellStyle name="Percent 2 2 4 2 8" xfId="6201" xr:uid="{00000000-0005-0000-0000-000040C60000}"/>
    <cellStyle name="Percent 2 2 4 2 9" xfId="22650" xr:uid="{00000000-0005-0000-0000-000041C60000}"/>
    <cellStyle name="Percent 2 2 4 3" xfId="1324" xr:uid="{00000000-0005-0000-0000-000042C60000}"/>
    <cellStyle name="Percent 2 2 4 3 2" xfId="1325" xr:uid="{00000000-0005-0000-0000-000043C60000}"/>
    <cellStyle name="Percent 2 2 4 3 2 2" xfId="5531" xr:uid="{00000000-0005-0000-0000-000044C60000}"/>
    <cellStyle name="Percent 2 2 4 3 2 2 2" xfId="8847" xr:uid="{00000000-0005-0000-0000-000045C60000}"/>
    <cellStyle name="Percent 2 2 4 3 2 2 2 2" xfId="11744" xr:uid="{00000000-0005-0000-0000-000046C60000}"/>
    <cellStyle name="Percent 2 2 4 3 2 2 3" xfId="10304" xr:uid="{00000000-0005-0000-0000-000047C60000}"/>
    <cellStyle name="Percent 2 2 4 3 2 2 4" xfId="7370" xr:uid="{00000000-0005-0000-0000-000048C60000}"/>
    <cellStyle name="Percent 2 2 4 3 2 2 5" xfId="51981" xr:uid="{00000000-0005-0000-0000-000049C60000}"/>
    <cellStyle name="Percent 2 2 4 3 2 3" xfId="8189" xr:uid="{00000000-0005-0000-0000-00004AC60000}"/>
    <cellStyle name="Percent 2 2 4 3 2 3 2" xfId="11086" xr:uid="{00000000-0005-0000-0000-00004BC60000}"/>
    <cellStyle name="Percent 2 2 4 3 2 4" xfId="9646" xr:uid="{00000000-0005-0000-0000-00004CC60000}"/>
    <cellStyle name="Percent 2 2 4 3 2 5" xfId="6694" xr:uid="{00000000-0005-0000-0000-00004DC60000}"/>
    <cellStyle name="Percent 2 2 4 3 2 6" xfId="32794" xr:uid="{00000000-0005-0000-0000-00004EC60000}"/>
    <cellStyle name="Percent 2 2 4 3 3" xfId="1326" xr:uid="{00000000-0005-0000-0000-00004FC60000}"/>
    <cellStyle name="Percent 2 2 4 3 3 2" xfId="7137" xr:uid="{00000000-0005-0000-0000-000050C60000}"/>
    <cellStyle name="Percent 2 2 4 3 3 2 2" xfId="8614" xr:uid="{00000000-0005-0000-0000-000051C60000}"/>
    <cellStyle name="Percent 2 2 4 3 3 2 2 2" xfId="11511" xr:uid="{00000000-0005-0000-0000-000052C60000}"/>
    <cellStyle name="Percent 2 2 4 3 3 2 3" xfId="10071" xr:uid="{00000000-0005-0000-0000-000053C60000}"/>
    <cellStyle name="Percent 2 2 4 3 3 2 4" xfId="42636" xr:uid="{00000000-0005-0000-0000-000054C60000}"/>
    <cellStyle name="Percent 2 2 4 3 3 3" xfId="7956" xr:uid="{00000000-0005-0000-0000-000055C60000}"/>
    <cellStyle name="Percent 2 2 4 3 3 3 2" xfId="10853" xr:uid="{00000000-0005-0000-0000-000056C60000}"/>
    <cellStyle name="Percent 2 2 4 3 3 4" xfId="9413" xr:uid="{00000000-0005-0000-0000-000057C60000}"/>
    <cellStyle name="Percent 2 2 4 3 3 5" xfId="6461" xr:uid="{00000000-0005-0000-0000-000058C60000}"/>
    <cellStyle name="Percent 2 2 4 3 3 6" xfId="23067" xr:uid="{00000000-0005-0000-0000-000059C60000}"/>
    <cellStyle name="Percent 2 2 4 3 4" xfId="5530" xr:uid="{00000000-0005-0000-0000-00005AC60000}"/>
    <cellStyle name="Percent 2 2 4 3 4 2" xfId="8439" xr:uid="{00000000-0005-0000-0000-00005BC60000}"/>
    <cellStyle name="Percent 2 2 4 3 4 2 2" xfId="11336" xr:uid="{00000000-0005-0000-0000-00005CC60000}"/>
    <cellStyle name="Percent 2 2 4 3 4 3" xfId="9896" xr:uid="{00000000-0005-0000-0000-00005DC60000}"/>
    <cellStyle name="Percent 2 2 4 3 4 4" xfId="6962" xr:uid="{00000000-0005-0000-0000-00005EC60000}"/>
    <cellStyle name="Percent 2 2 4 3 4 5" xfId="42283" xr:uid="{00000000-0005-0000-0000-00005FC60000}"/>
    <cellStyle name="Percent 2 2 4 3 5" xfId="7779" xr:uid="{00000000-0005-0000-0000-000060C60000}"/>
    <cellStyle name="Percent 2 2 4 3 5 2" xfId="10678" xr:uid="{00000000-0005-0000-0000-000061C60000}"/>
    <cellStyle name="Percent 2 2 4 3 6" xfId="9238" xr:uid="{00000000-0005-0000-0000-000062C60000}"/>
    <cellStyle name="Percent 2 2 4 3 7" xfId="6263" xr:uid="{00000000-0005-0000-0000-000063C60000}"/>
    <cellStyle name="Percent 2 2 4 3 8" xfId="22708" xr:uid="{00000000-0005-0000-0000-000064C60000}"/>
    <cellStyle name="Percent 2 2 4 4" xfId="1327" xr:uid="{00000000-0005-0000-0000-000065C60000}"/>
    <cellStyle name="Percent 2 2 4 4 2" xfId="5532" xr:uid="{00000000-0005-0000-0000-000066C60000}"/>
    <cellStyle name="Percent 2 2 4 4 2 2" xfId="8731" xr:uid="{00000000-0005-0000-0000-000067C60000}"/>
    <cellStyle name="Percent 2 2 4 4 2 2 2" xfId="11628" xr:uid="{00000000-0005-0000-0000-000068C60000}"/>
    <cellStyle name="Percent 2 2 4 4 2 2 3" xfId="51844" xr:uid="{00000000-0005-0000-0000-000069C60000}"/>
    <cellStyle name="Percent 2 2 4 4 2 3" xfId="10188" xr:uid="{00000000-0005-0000-0000-00006AC60000}"/>
    <cellStyle name="Percent 2 2 4 4 2 4" xfId="7254" xr:uid="{00000000-0005-0000-0000-00006BC60000}"/>
    <cellStyle name="Percent 2 2 4 4 2 5" xfId="32657" xr:uid="{00000000-0005-0000-0000-00006CC60000}"/>
    <cellStyle name="Percent 2 2 4 4 3" xfId="8073" xr:uid="{00000000-0005-0000-0000-00006DC60000}"/>
    <cellStyle name="Percent 2 2 4 4 3 2" xfId="10970" xr:uid="{00000000-0005-0000-0000-00006EC60000}"/>
    <cellStyle name="Percent 2 2 4 4 3 3" xfId="42146" xr:uid="{00000000-0005-0000-0000-00006FC60000}"/>
    <cellStyle name="Percent 2 2 4 4 4" xfId="9530" xr:uid="{00000000-0005-0000-0000-000070C60000}"/>
    <cellStyle name="Percent 2 2 4 4 5" xfId="6578" xr:uid="{00000000-0005-0000-0000-000071C60000}"/>
    <cellStyle name="Percent 2 2 4 4 6" xfId="22535" xr:uid="{00000000-0005-0000-0000-000072C60000}"/>
    <cellStyle name="Percent 2 2 4 5" xfId="1328" xr:uid="{00000000-0005-0000-0000-000073C60000}"/>
    <cellStyle name="Percent 2 2 4 5 2" xfId="7021" xr:uid="{00000000-0005-0000-0000-000074C60000}"/>
    <cellStyle name="Percent 2 2 4 5 2 2" xfId="8498" xr:uid="{00000000-0005-0000-0000-000075C60000}"/>
    <cellStyle name="Percent 2 2 4 5 2 2 2" xfId="11395" xr:uid="{00000000-0005-0000-0000-000076C60000}"/>
    <cellStyle name="Percent 2 2 4 5 2 3" xfId="9955" xr:uid="{00000000-0005-0000-0000-000077C60000}"/>
    <cellStyle name="Percent 2 2 4 5 3" xfId="7839" xr:uid="{00000000-0005-0000-0000-000078C60000}"/>
    <cellStyle name="Percent 2 2 4 5 3 2" xfId="10737" xr:uid="{00000000-0005-0000-0000-000079C60000}"/>
    <cellStyle name="Percent 2 2 4 5 4" xfId="9297" xr:uid="{00000000-0005-0000-0000-00007AC60000}"/>
    <cellStyle name="Percent 2 2 4 5 5" xfId="6342" xr:uid="{00000000-0005-0000-0000-00007BC60000}"/>
    <cellStyle name="Percent 2 2 4 5 6" xfId="23474" xr:uid="{00000000-0005-0000-0000-00007CC60000}"/>
    <cellStyle name="Percent 2 2 4 6" xfId="5525" xr:uid="{00000000-0005-0000-0000-00007DC60000}"/>
    <cellStyle name="Percent 2 2 4 6 2" xfId="8961" xr:uid="{00000000-0005-0000-0000-00007EC60000}"/>
    <cellStyle name="Percent 2 2 4 6 2 2" xfId="11858" xr:uid="{00000000-0005-0000-0000-00007FC60000}"/>
    <cellStyle name="Percent 2 2 4 6 2 3" xfId="42499" xr:uid="{00000000-0005-0000-0000-000080C60000}"/>
    <cellStyle name="Percent 2 2 4 6 3" xfId="10418" xr:uid="{00000000-0005-0000-0000-000081C60000}"/>
    <cellStyle name="Percent 2 2 4 6 4" xfId="7487" xr:uid="{00000000-0005-0000-0000-000082C60000}"/>
    <cellStyle name="Percent 2 2 4 6 5" xfId="22930" xr:uid="{00000000-0005-0000-0000-000083C60000}"/>
    <cellStyle name="Percent 2 2 4 7" xfId="7546" xr:uid="{00000000-0005-0000-0000-000084C60000}"/>
    <cellStyle name="Percent 2 2 4 7 2" xfId="9018" xr:uid="{00000000-0005-0000-0000-000085C60000}"/>
    <cellStyle name="Percent 2 2 4 7 2 2" xfId="11915" xr:uid="{00000000-0005-0000-0000-000086C60000}"/>
    <cellStyle name="Percent 2 2 4 7 3" xfId="10475" xr:uid="{00000000-0005-0000-0000-000087C60000}"/>
    <cellStyle name="Percent 2 2 4 7 4" xfId="53395" xr:uid="{00000000-0005-0000-0000-000088C60000}"/>
    <cellStyle name="Percent 2 2 4 8" xfId="6822" xr:uid="{00000000-0005-0000-0000-000089C60000}"/>
    <cellStyle name="Percent 2 2 4 8 2" xfId="8302" xr:uid="{00000000-0005-0000-0000-00008AC60000}"/>
    <cellStyle name="Percent 2 2 4 8 2 2" xfId="11199" xr:uid="{00000000-0005-0000-0000-00008BC60000}"/>
    <cellStyle name="Percent 2 2 4 8 3" xfId="9759" xr:uid="{00000000-0005-0000-0000-00008CC60000}"/>
    <cellStyle name="Percent 2 2 4 9" xfId="7641" xr:uid="{00000000-0005-0000-0000-00008DC60000}"/>
    <cellStyle name="Percent 2 2 4 9 2" xfId="10541" xr:uid="{00000000-0005-0000-0000-00008EC60000}"/>
    <cellStyle name="Percent 2 2 5" xfId="1329" xr:uid="{00000000-0005-0000-0000-00008FC60000}"/>
    <cellStyle name="Percent 2 2 5 2" xfId="1330" xr:uid="{00000000-0005-0000-0000-000090C60000}"/>
    <cellStyle name="Percent 2 2 5 2 2" xfId="1331" xr:uid="{00000000-0005-0000-0000-000091C60000}"/>
    <cellStyle name="Percent 2 2 5 2 2 2" xfId="7396" xr:uid="{00000000-0005-0000-0000-000092C60000}"/>
    <cellStyle name="Percent 2 2 5 2 2 2 2" xfId="8873" xr:uid="{00000000-0005-0000-0000-000093C60000}"/>
    <cellStyle name="Percent 2 2 5 2 2 2 2 2" xfId="11770" xr:uid="{00000000-0005-0000-0000-000094C60000}"/>
    <cellStyle name="Percent 2 2 5 2 2 2 3" xfId="10330" xr:uid="{00000000-0005-0000-0000-000095C60000}"/>
    <cellStyle name="Percent 2 2 5 2 2 3" xfId="8215" xr:uid="{00000000-0005-0000-0000-000096C60000}"/>
    <cellStyle name="Percent 2 2 5 2 2 3 2" xfId="11112" xr:uid="{00000000-0005-0000-0000-000097C60000}"/>
    <cellStyle name="Percent 2 2 5 2 2 4" xfId="9672" xr:uid="{00000000-0005-0000-0000-000098C60000}"/>
    <cellStyle name="Percent 2 2 5 2 2 5" xfId="6720" xr:uid="{00000000-0005-0000-0000-000099C60000}"/>
    <cellStyle name="Percent 2 2 5 2 2 6" xfId="51895" xr:uid="{00000000-0005-0000-0000-00009AC60000}"/>
    <cellStyle name="Percent 2 2 5 2 3" xfId="7163" xr:uid="{00000000-0005-0000-0000-00009BC60000}"/>
    <cellStyle name="Percent 2 2 5 2 3 2" xfId="8640" xr:uid="{00000000-0005-0000-0000-00009CC60000}"/>
    <cellStyle name="Percent 2 2 5 2 3 2 2" xfId="11537" xr:uid="{00000000-0005-0000-0000-00009DC60000}"/>
    <cellStyle name="Percent 2 2 5 2 3 3" xfId="10097" xr:uid="{00000000-0005-0000-0000-00009EC60000}"/>
    <cellStyle name="Percent 2 2 5 2 4" xfId="7982" xr:uid="{00000000-0005-0000-0000-00009FC60000}"/>
    <cellStyle name="Percent 2 2 5 2 4 2" xfId="10879" xr:uid="{00000000-0005-0000-0000-0000A0C60000}"/>
    <cellStyle name="Percent 2 2 5 2 5" xfId="9439" xr:uid="{00000000-0005-0000-0000-0000A1C60000}"/>
    <cellStyle name="Percent 2 2 5 2 6" xfId="6487" xr:uid="{00000000-0005-0000-0000-0000A2C60000}"/>
    <cellStyle name="Percent 2 2 5 2 7" xfId="32708" xr:uid="{00000000-0005-0000-0000-0000A3C60000}"/>
    <cellStyle name="Percent 2 2 5 3" xfId="1332" xr:uid="{00000000-0005-0000-0000-0000A4C60000}"/>
    <cellStyle name="Percent 2 2 5 3 2" xfId="7280" xr:uid="{00000000-0005-0000-0000-0000A5C60000}"/>
    <cellStyle name="Percent 2 2 5 3 2 2" xfId="8757" xr:uid="{00000000-0005-0000-0000-0000A6C60000}"/>
    <cellStyle name="Percent 2 2 5 3 2 2 2" xfId="11654" xr:uid="{00000000-0005-0000-0000-0000A7C60000}"/>
    <cellStyle name="Percent 2 2 5 3 2 3" xfId="10214" xr:uid="{00000000-0005-0000-0000-0000A8C60000}"/>
    <cellStyle name="Percent 2 2 5 3 2 4" xfId="42550" xr:uid="{00000000-0005-0000-0000-0000A9C60000}"/>
    <cellStyle name="Percent 2 2 5 3 3" xfId="8099" xr:uid="{00000000-0005-0000-0000-0000AAC60000}"/>
    <cellStyle name="Percent 2 2 5 3 3 2" xfId="10996" xr:uid="{00000000-0005-0000-0000-0000ABC60000}"/>
    <cellStyle name="Percent 2 2 5 3 4" xfId="9556" xr:uid="{00000000-0005-0000-0000-0000ACC60000}"/>
    <cellStyle name="Percent 2 2 5 3 5" xfId="6604" xr:uid="{00000000-0005-0000-0000-0000ADC60000}"/>
    <cellStyle name="Percent 2 2 5 3 6" xfId="22981" xr:uid="{00000000-0005-0000-0000-0000AEC60000}"/>
    <cellStyle name="Percent 2 2 5 4" xfId="1333" xr:uid="{00000000-0005-0000-0000-0000AFC60000}"/>
    <cellStyle name="Percent 2 2 5 4 2" xfId="7047" xr:uid="{00000000-0005-0000-0000-0000B0C60000}"/>
    <cellStyle name="Percent 2 2 5 4 2 2" xfId="8524" xr:uid="{00000000-0005-0000-0000-0000B1C60000}"/>
    <cellStyle name="Percent 2 2 5 4 2 2 2" xfId="11421" xr:uid="{00000000-0005-0000-0000-0000B2C60000}"/>
    <cellStyle name="Percent 2 2 5 4 2 3" xfId="9981" xr:uid="{00000000-0005-0000-0000-0000B3C60000}"/>
    <cellStyle name="Percent 2 2 5 4 3" xfId="7865" xr:uid="{00000000-0005-0000-0000-0000B4C60000}"/>
    <cellStyle name="Percent 2 2 5 4 3 2" xfId="10763" xr:uid="{00000000-0005-0000-0000-0000B5C60000}"/>
    <cellStyle name="Percent 2 2 5 4 4" xfId="9323" xr:uid="{00000000-0005-0000-0000-0000B6C60000}"/>
    <cellStyle name="Percent 2 2 5 4 5" xfId="6368" xr:uid="{00000000-0005-0000-0000-0000B7C60000}"/>
    <cellStyle name="Percent 2 2 5 4 6" xfId="42197" xr:uid="{00000000-0005-0000-0000-0000B8C60000}"/>
    <cellStyle name="Percent 2 2 5 5" xfId="5533" xr:uid="{00000000-0005-0000-0000-0000B9C60000}"/>
    <cellStyle name="Percent 2 2 5 5 2" xfId="8353" xr:uid="{00000000-0005-0000-0000-0000BAC60000}"/>
    <cellStyle name="Percent 2 2 5 5 2 2" xfId="11250" xr:uid="{00000000-0005-0000-0000-0000BBC60000}"/>
    <cellStyle name="Percent 2 2 5 5 3" xfId="9810" xr:uid="{00000000-0005-0000-0000-0000BCC60000}"/>
    <cellStyle name="Percent 2 2 5 5 4" xfId="6875" xr:uid="{00000000-0005-0000-0000-0000BDC60000}"/>
    <cellStyle name="Percent 2 2 5 6" xfId="7692" xr:uid="{00000000-0005-0000-0000-0000BEC60000}"/>
    <cellStyle name="Percent 2 2 5 6 2" xfId="10592" xr:uid="{00000000-0005-0000-0000-0000BFC60000}"/>
    <cellStyle name="Percent 2 2 5 7" xfId="9152" xr:uid="{00000000-0005-0000-0000-0000C0C60000}"/>
    <cellStyle name="Percent 2 2 5 8" xfId="6170" xr:uid="{00000000-0005-0000-0000-0000C1C60000}"/>
    <cellStyle name="Percent 2 2 5 9" xfId="22619" xr:uid="{00000000-0005-0000-0000-0000C2C60000}"/>
    <cellStyle name="Percent 2 2 6" xfId="1334" xr:uid="{00000000-0005-0000-0000-0000C3C60000}"/>
    <cellStyle name="Percent 2 2 6 2" xfId="1335" xr:uid="{00000000-0005-0000-0000-0000C4C60000}"/>
    <cellStyle name="Percent 2 2 6 2 2" xfId="7344" xr:uid="{00000000-0005-0000-0000-0000C5C60000}"/>
    <cellStyle name="Percent 2 2 6 2 2 2" xfId="8821" xr:uid="{00000000-0005-0000-0000-0000C6C60000}"/>
    <cellStyle name="Percent 2 2 6 2 2 2 2" xfId="11718" xr:uid="{00000000-0005-0000-0000-0000C7C60000}"/>
    <cellStyle name="Percent 2 2 6 2 2 3" xfId="10278" xr:uid="{00000000-0005-0000-0000-0000C8C60000}"/>
    <cellStyle name="Percent 2 2 6 2 2 4" xfId="51951" xr:uid="{00000000-0005-0000-0000-0000C9C60000}"/>
    <cellStyle name="Percent 2 2 6 2 3" xfId="8163" xr:uid="{00000000-0005-0000-0000-0000CAC60000}"/>
    <cellStyle name="Percent 2 2 6 2 3 2" xfId="11060" xr:uid="{00000000-0005-0000-0000-0000CBC60000}"/>
    <cellStyle name="Percent 2 2 6 2 4" xfId="9620" xr:uid="{00000000-0005-0000-0000-0000CCC60000}"/>
    <cellStyle name="Percent 2 2 6 2 5" xfId="6668" xr:uid="{00000000-0005-0000-0000-0000CDC60000}"/>
    <cellStyle name="Percent 2 2 6 2 6" xfId="32764" xr:uid="{00000000-0005-0000-0000-0000CEC60000}"/>
    <cellStyle name="Percent 2 2 6 3" xfId="1336" xr:uid="{00000000-0005-0000-0000-0000CFC60000}"/>
    <cellStyle name="Percent 2 2 6 3 2" xfId="7111" xr:uid="{00000000-0005-0000-0000-0000D0C60000}"/>
    <cellStyle name="Percent 2 2 6 3 2 2" xfId="8588" xr:uid="{00000000-0005-0000-0000-0000D1C60000}"/>
    <cellStyle name="Percent 2 2 6 3 2 2 2" xfId="11485" xr:uid="{00000000-0005-0000-0000-0000D2C60000}"/>
    <cellStyle name="Percent 2 2 6 3 2 3" xfId="10045" xr:uid="{00000000-0005-0000-0000-0000D3C60000}"/>
    <cellStyle name="Percent 2 2 6 3 2 4" xfId="42606" xr:uid="{00000000-0005-0000-0000-0000D4C60000}"/>
    <cellStyle name="Percent 2 2 6 3 3" xfId="7930" xr:uid="{00000000-0005-0000-0000-0000D5C60000}"/>
    <cellStyle name="Percent 2 2 6 3 3 2" xfId="10827" xr:uid="{00000000-0005-0000-0000-0000D6C60000}"/>
    <cellStyle name="Percent 2 2 6 3 4" xfId="9387" xr:uid="{00000000-0005-0000-0000-0000D7C60000}"/>
    <cellStyle name="Percent 2 2 6 3 5" xfId="6435" xr:uid="{00000000-0005-0000-0000-0000D8C60000}"/>
    <cellStyle name="Percent 2 2 6 3 6" xfId="23037" xr:uid="{00000000-0005-0000-0000-0000D9C60000}"/>
    <cellStyle name="Percent 2 2 6 4" xfId="5534" xr:uid="{00000000-0005-0000-0000-0000DAC60000}"/>
    <cellStyle name="Percent 2 2 6 4 2" xfId="8409" xr:uid="{00000000-0005-0000-0000-0000DBC60000}"/>
    <cellStyle name="Percent 2 2 6 4 2 2" xfId="11306" xr:uid="{00000000-0005-0000-0000-0000DCC60000}"/>
    <cellStyle name="Percent 2 2 6 4 3" xfId="9866" xr:uid="{00000000-0005-0000-0000-0000DDC60000}"/>
    <cellStyle name="Percent 2 2 6 4 4" xfId="6932" xr:uid="{00000000-0005-0000-0000-0000DEC60000}"/>
    <cellStyle name="Percent 2 2 6 4 5" xfId="42253" xr:uid="{00000000-0005-0000-0000-0000DFC60000}"/>
    <cellStyle name="Percent 2 2 6 5" xfId="7749" xr:uid="{00000000-0005-0000-0000-0000E0C60000}"/>
    <cellStyle name="Percent 2 2 6 5 2" xfId="10648" xr:uid="{00000000-0005-0000-0000-0000E1C60000}"/>
    <cellStyle name="Percent 2 2 6 6" xfId="9208" xr:uid="{00000000-0005-0000-0000-0000E2C60000}"/>
    <cellStyle name="Percent 2 2 6 7" xfId="6233" xr:uid="{00000000-0005-0000-0000-0000E3C60000}"/>
    <cellStyle name="Percent 2 2 6 8" xfId="22678" xr:uid="{00000000-0005-0000-0000-0000E4C60000}"/>
    <cellStyle name="Percent 2 2 7" xfId="1337" xr:uid="{00000000-0005-0000-0000-0000E5C60000}"/>
    <cellStyle name="Percent 2 2 7 2" xfId="7228" xr:uid="{00000000-0005-0000-0000-0000E6C60000}"/>
    <cellStyle name="Percent 2 2 7 2 2" xfId="8705" xr:uid="{00000000-0005-0000-0000-0000E7C60000}"/>
    <cellStyle name="Percent 2 2 7 2 2 2" xfId="11602" xr:uid="{00000000-0005-0000-0000-0000E8C60000}"/>
    <cellStyle name="Percent 2 2 7 2 2 3" xfId="51814" xr:uid="{00000000-0005-0000-0000-0000E9C60000}"/>
    <cellStyle name="Percent 2 2 7 2 3" xfId="10162" xr:uid="{00000000-0005-0000-0000-0000EAC60000}"/>
    <cellStyle name="Percent 2 2 7 2 4" xfId="32627" xr:uid="{00000000-0005-0000-0000-0000EBC60000}"/>
    <cellStyle name="Percent 2 2 7 3" xfId="8047" xr:uid="{00000000-0005-0000-0000-0000ECC60000}"/>
    <cellStyle name="Percent 2 2 7 3 2" xfId="10944" xr:uid="{00000000-0005-0000-0000-0000EDC60000}"/>
    <cellStyle name="Percent 2 2 7 3 3" xfId="42116" xr:uid="{00000000-0005-0000-0000-0000EEC60000}"/>
    <cellStyle name="Percent 2 2 7 4" xfId="9504" xr:uid="{00000000-0005-0000-0000-0000EFC60000}"/>
    <cellStyle name="Percent 2 2 7 5" xfId="6552" xr:uid="{00000000-0005-0000-0000-0000F0C60000}"/>
    <cellStyle name="Percent 2 2 7 6" xfId="22497" xr:uid="{00000000-0005-0000-0000-0000F1C60000}"/>
    <cellStyle name="Percent 2 2 8" xfId="1338" xr:uid="{00000000-0005-0000-0000-0000F2C60000}"/>
    <cellStyle name="Percent 2 2 8 2" xfId="6995" xr:uid="{00000000-0005-0000-0000-0000F3C60000}"/>
    <cellStyle name="Percent 2 2 8 2 2" xfId="8472" xr:uid="{00000000-0005-0000-0000-0000F4C60000}"/>
    <cellStyle name="Percent 2 2 8 2 2 2" xfId="11369" xr:uid="{00000000-0005-0000-0000-0000F5C60000}"/>
    <cellStyle name="Percent 2 2 8 2 3" xfId="9929" xr:uid="{00000000-0005-0000-0000-0000F6C60000}"/>
    <cellStyle name="Percent 2 2 8 3" xfId="7813" xr:uid="{00000000-0005-0000-0000-0000F7C60000}"/>
    <cellStyle name="Percent 2 2 8 3 2" xfId="10711" xr:uid="{00000000-0005-0000-0000-0000F8C60000}"/>
    <cellStyle name="Percent 2 2 8 4" xfId="9271" xr:uid="{00000000-0005-0000-0000-0000F9C60000}"/>
    <cellStyle name="Percent 2 2 8 5" xfId="6316" xr:uid="{00000000-0005-0000-0000-0000FAC60000}"/>
    <cellStyle name="Percent 2 2 8 6" xfId="23334" xr:uid="{00000000-0005-0000-0000-0000FBC60000}"/>
    <cellStyle name="Percent 2 2 9" xfId="5522" xr:uid="{00000000-0005-0000-0000-0000FCC60000}"/>
    <cellStyle name="Percent 2 2 9 2" xfId="8935" xr:uid="{00000000-0005-0000-0000-0000FDC60000}"/>
    <cellStyle name="Percent 2 2 9 2 2" xfId="11832" xr:uid="{00000000-0005-0000-0000-0000FEC60000}"/>
    <cellStyle name="Percent 2 2 9 2 3" xfId="42469" xr:uid="{00000000-0005-0000-0000-0000FFC60000}"/>
    <cellStyle name="Percent 2 2 9 3" xfId="10392" xr:uid="{00000000-0005-0000-0000-000000C70000}"/>
    <cellStyle name="Percent 2 2 9 4" xfId="7461" xr:uid="{00000000-0005-0000-0000-000001C70000}"/>
    <cellStyle name="Percent 2 2 9 5" xfId="22900" xr:uid="{00000000-0005-0000-0000-000002C70000}"/>
    <cellStyle name="Percent 2 20" xfId="6051" xr:uid="{00000000-0005-0000-0000-000003C70000}"/>
    <cellStyle name="Percent 2 21" xfId="11971" xr:uid="{00000000-0005-0000-0000-000004C70000}"/>
    <cellStyle name="Percent 2 3" xfId="1339" xr:uid="{00000000-0005-0000-0000-000005C70000}"/>
    <cellStyle name="Percent 2 3 10" xfId="7521" xr:uid="{00000000-0005-0000-0000-000006C70000}"/>
    <cellStyle name="Percent 2 3 10 2" xfId="8993" xr:uid="{00000000-0005-0000-0000-000007C70000}"/>
    <cellStyle name="Percent 2 3 10 2 2" xfId="11890" xr:uid="{00000000-0005-0000-0000-000008C70000}"/>
    <cellStyle name="Percent 2 3 10 3" xfId="10450" xr:uid="{00000000-0005-0000-0000-000009C70000}"/>
    <cellStyle name="Percent 2 3 10 4" xfId="12555" xr:uid="{00000000-0005-0000-0000-00000AC70000}"/>
    <cellStyle name="Percent 2 3 11" xfId="6792" xr:uid="{00000000-0005-0000-0000-00000BC70000}"/>
    <cellStyle name="Percent 2 3 11 2" xfId="8273" xr:uid="{00000000-0005-0000-0000-00000CC70000}"/>
    <cellStyle name="Percent 2 3 11 2 2" xfId="11170" xr:uid="{00000000-0005-0000-0000-00000DC70000}"/>
    <cellStyle name="Percent 2 3 11 3" xfId="9730" xr:uid="{00000000-0005-0000-0000-00000EC70000}"/>
    <cellStyle name="Percent 2 3 11 4" xfId="52543" xr:uid="{00000000-0005-0000-0000-00000FC70000}"/>
    <cellStyle name="Percent 2 3 12" xfId="7612" xr:uid="{00000000-0005-0000-0000-000010C70000}"/>
    <cellStyle name="Percent 2 3 12 2" xfId="10512" xr:uid="{00000000-0005-0000-0000-000011C70000}"/>
    <cellStyle name="Percent 2 3 13" xfId="9072" xr:uid="{00000000-0005-0000-0000-000012C70000}"/>
    <cellStyle name="Percent 2 3 14" xfId="6077" xr:uid="{00000000-0005-0000-0000-000013C70000}"/>
    <cellStyle name="Percent 2 3 15" xfId="12083" xr:uid="{00000000-0005-0000-0000-000014C70000}"/>
    <cellStyle name="Percent 2 3 2" xfId="1340" xr:uid="{00000000-0005-0000-0000-000015C70000}"/>
    <cellStyle name="Percent 2 3 2 10" xfId="7620" xr:uid="{00000000-0005-0000-0000-000016C70000}"/>
    <cellStyle name="Percent 2 3 2 10 2" xfId="10520" xr:uid="{00000000-0005-0000-0000-000017C70000}"/>
    <cellStyle name="Percent 2 3 2 10 2 2" xfId="42478" xr:uid="{00000000-0005-0000-0000-000018C70000}"/>
    <cellStyle name="Percent 2 3 2 10 3" xfId="22909" xr:uid="{00000000-0005-0000-0000-000019C70000}"/>
    <cellStyle name="Percent 2 3 2 11" xfId="9080" xr:uid="{00000000-0005-0000-0000-00001AC70000}"/>
    <cellStyle name="Percent 2 3 2 11 2" xfId="33662" xr:uid="{00000000-0005-0000-0000-00001BC70000}"/>
    <cellStyle name="Percent 2 3 2 12" xfId="6085" xr:uid="{00000000-0005-0000-0000-00001CC70000}"/>
    <cellStyle name="Percent 2 3 2 12 2" xfId="52744" xr:uid="{00000000-0005-0000-0000-00001DC70000}"/>
    <cellStyle name="Percent 2 3 2 13" xfId="13458" xr:uid="{00000000-0005-0000-0000-00001EC70000}"/>
    <cellStyle name="Percent 2 3 2 2" xfId="1341" xr:uid="{00000000-0005-0000-0000-00001FC70000}"/>
    <cellStyle name="Percent 2 3 2 2 10" xfId="9110" xr:uid="{00000000-0005-0000-0000-000020C70000}"/>
    <cellStyle name="Percent 2 3 2 2 11" xfId="6122" xr:uid="{00000000-0005-0000-0000-000021C70000}"/>
    <cellStyle name="Percent 2 3 2 2 12" xfId="14315" xr:uid="{00000000-0005-0000-0000-000022C70000}"/>
    <cellStyle name="Percent 2 3 2 2 2" xfId="1342" xr:uid="{00000000-0005-0000-0000-000023C70000}"/>
    <cellStyle name="Percent 2 3 2 2 2 2" xfId="1343" xr:uid="{00000000-0005-0000-0000-000024C70000}"/>
    <cellStyle name="Percent 2 3 2 2 2 2 2" xfId="1344" xr:uid="{00000000-0005-0000-0000-000025C70000}"/>
    <cellStyle name="Percent 2 3 2 2 2 2 2 2" xfId="7435" xr:uid="{00000000-0005-0000-0000-000026C70000}"/>
    <cellStyle name="Percent 2 3 2 2 2 2 2 2 2" xfId="8912" xr:uid="{00000000-0005-0000-0000-000027C70000}"/>
    <cellStyle name="Percent 2 3 2 2 2 2 2 2 2 2" xfId="11809" xr:uid="{00000000-0005-0000-0000-000028C70000}"/>
    <cellStyle name="Percent 2 3 2 2 2 2 2 2 3" xfId="10369" xr:uid="{00000000-0005-0000-0000-000029C70000}"/>
    <cellStyle name="Percent 2 3 2 2 2 2 2 2 4" xfId="50599" xr:uid="{00000000-0005-0000-0000-00002AC70000}"/>
    <cellStyle name="Percent 2 3 2 2 2 2 2 3" xfId="8254" xr:uid="{00000000-0005-0000-0000-00002BC70000}"/>
    <cellStyle name="Percent 2 3 2 2 2 2 2 3 2" xfId="11151" xr:uid="{00000000-0005-0000-0000-00002CC70000}"/>
    <cellStyle name="Percent 2 3 2 2 2 2 2 4" xfId="9711" xr:uid="{00000000-0005-0000-0000-00002DC70000}"/>
    <cellStyle name="Percent 2 3 2 2 2 2 2 5" xfId="6759" xr:uid="{00000000-0005-0000-0000-00002EC70000}"/>
    <cellStyle name="Percent 2 3 2 2 2 2 2 6" xfId="31410" xr:uid="{00000000-0005-0000-0000-00002FC70000}"/>
    <cellStyle name="Percent 2 3 2 2 2 2 3" xfId="7202" xr:uid="{00000000-0005-0000-0000-000030C70000}"/>
    <cellStyle name="Percent 2 3 2 2 2 2 3 2" xfId="8679" xr:uid="{00000000-0005-0000-0000-000031C70000}"/>
    <cellStyle name="Percent 2 3 2 2 2 2 3 2 2" xfId="11576" xr:uid="{00000000-0005-0000-0000-000032C70000}"/>
    <cellStyle name="Percent 2 3 2 2 2 2 3 3" xfId="10136" xr:uid="{00000000-0005-0000-0000-000033C70000}"/>
    <cellStyle name="Percent 2 3 2 2 2 2 3 4" xfId="40901" xr:uid="{00000000-0005-0000-0000-000034C70000}"/>
    <cellStyle name="Percent 2 3 2 2 2 2 4" xfId="8021" xr:uid="{00000000-0005-0000-0000-000035C70000}"/>
    <cellStyle name="Percent 2 3 2 2 2 2 4 2" xfId="10918" xr:uid="{00000000-0005-0000-0000-000036C70000}"/>
    <cellStyle name="Percent 2 3 2 2 2 2 5" xfId="9478" xr:uid="{00000000-0005-0000-0000-000037C70000}"/>
    <cellStyle name="Percent 2 3 2 2 2 2 6" xfId="6526" xr:uid="{00000000-0005-0000-0000-000038C70000}"/>
    <cellStyle name="Percent 2 3 2 2 2 2 7" xfId="21042" xr:uid="{00000000-0005-0000-0000-000039C70000}"/>
    <cellStyle name="Percent 2 3 2 2 2 3" xfId="1345" xr:uid="{00000000-0005-0000-0000-00003AC70000}"/>
    <cellStyle name="Percent 2 3 2 2 2 3 2" xfId="7319" xr:uid="{00000000-0005-0000-0000-00003BC70000}"/>
    <cellStyle name="Percent 2 3 2 2 2 3 2 2" xfId="8796" xr:uid="{00000000-0005-0000-0000-00003CC70000}"/>
    <cellStyle name="Percent 2 3 2 2 2 3 2 2 2" xfId="11693" xr:uid="{00000000-0005-0000-0000-00003DC70000}"/>
    <cellStyle name="Percent 2 3 2 2 2 3 2 2 3" xfId="51934" xr:uid="{00000000-0005-0000-0000-00003EC70000}"/>
    <cellStyle name="Percent 2 3 2 2 2 3 2 3" xfId="10253" xr:uid="{00000000-0005-0000-0000-00003FC70000}"/>
    <cellStyle name="Percent 2 3 2 2 2 3 2 4" xfId="32747" xr:uid="{00000000-0005-0000-0000-000040C70000}"/>
    <cellStyle name="Percent 2 3 2 2 2 3 3" xfId="8138" xr:uid="{00000000-0005-0000-0000-000041C70000}"/>
    <cellStyle name="Percent 2 3 2 2 2 3 3 2" xfId="11035" xr:uid="{00000000-0005-0000-0000-000042C70000}"/>
    <cellStyle name="Percent 2 3 2 2 2 3 3 3" xfId="42236" xr:uid="{00000000-0005-0000-0000-000043C70000}"/>
    <cellStyle name="Percent 2 3 2 2 2 3 4" xfId="9595" xr:uid="{00000000-0005-0000-0000-000044C70000}"/>
    <cellStyle name="Percent 2 3 2 2 2 3 5" xfId="6643" xr:uid="{00000000-0005-0000-0000-000045C70000}"/>
    <cellStyle name="Percent 2 3 2 2 2 3 6" xfId="22659" xr:uid="{00000000-0005-0000-0000-000046C70000}"/>
    <cellStyle name="Percent 2 3 2 2 2 4" xfId="1346" xr:uid="{00000000-0005-0000-0000-000047C70000}"/>
    <cellStyle name="Percent 2 3 2 2 2 4 2" xfId="7086" xr:uid="{00000000-0005-0000-0000-000048C70000}"/>
    <cellStyle name="Percent 2 3 2 2 2 4 2 2" xfId="8563" xr:uid="{00000000-0005-0000-0000-000049C70000}"/>
    <cellStyle name="Percent 2 3 2 2 2 4 2 2 2" xfId="11460" xr:uid="{00000000-0005-0000-0000-00004AC70000}"/>
    <cellStyle name="Percent 2 3 2 2 2 4 2 3" xfId="10020" xr:uid="{00000000-0005-0000-0000-00004BC70000}"/>
    <cellStyle name="Percent 2 3 2 2 2 4 2 4" xfId="46144" xr:uid="{00000000-0005-0000-0000-00004CC70000}"/>
    <cellStyle name="Percent 2 3 2 2 2 4 3" xfId="7904" xr:uid="{00000000-0005-0000-0000-00004DC70000}"/>
    <cellStyle name="Percent 2 3 2 2 2 4 3 2" xfId="10802" xr:uid="{00000000-0005-0000-0000-00004EC70000}"/>
    <cellStyle name="Percent 2 3 2 2 2 4 4" xfId="9362" xr:uid="{00000000-0005-0000-0000-00004FC70000}"/>
    <cellStyle name="Percent 2 3 2 2 2 4 5" xfId="6407" xr:uid="{00000000-0005-0000-0000-000050C70000}"/>
    <cellStyle name="Percent 2 3 2 2 2 4 6" xfId="26955" xr:uid="{00000000-0005-0000-0000-000051C70000}"/>
    <cellStyle name="Percent 2 3 2 2 2 5" xfId="6914" xr:uid="{00000000-0005-0000-0000-000052C70000}"/>
    <cellStyle name="Percent 2 3 2 2 2 5 2" xfId="8392" xr:uid="{00000000-0005-0000-0000-000053C70000}"/>
    <cellStyle name="Percent 2 3 2 2 2 5 2 2" xfId="11289" xr:uid="{00000000-0005-0000-0000-000054C70000}"/>
    <cellStyle name="Percent 2 3 2 2 2 5 2 3" xfId="42589" xr:uid="{00000000-0005-0000-0000-000055C70000}"/>
    <cellStyle name="Percent 2 3 2 2 2 5 3" xfId="9849" xr:uid="{00000000-0005-0000-0000-000056C70000}"/>
    <cellStyle name="Percent 2 3 2 2 2 5 4" xfId="23020" xr:uid="{00000000-0005-0000-0000-000057C70000}"/>
    <cellStyle name="Percent 2 3 2 2 2 6" xfId="7731" xr:uid="{00000000-0005-0000-0000-000058C70000}"/>
    <cellStyle name="Percent 2 3 2 2 2 6 2" xfId="10631" xr:uid="{00000000-0005-0000-0000-000059C70000}"/>
    <cellStyle name="Percent 2 3 2 2 2 6 3" xfId="36446" xr:uid="{00000000-0005-0000-0000-00005AC70000}"/>
    <cellStyle name="Percent 2 3 2 2 2 7" xfId="9191" xr:uid="{00000000-0005-0000-0000-00005BC70000}"/>
    <cellStyle name="Percent 2 3 2 2 2 7 2" xfId="54025" xr:uid="{00000000-0005-0000-0000-00005CC70000}"/>
    <cellStyle name="Percent 2 3 2 2 2 8" xfId="6210" xr:uid="{00000000-0005-0000-0000-00005DC70000}"/>
    <cellStyle name="Percent 2 3 2 2 2 9" xfId="16578" xr:uid="{00000000-0005-0000-0000-00005EC70000}"/>
    <cellStyle name="Percent 2 3 2 2 3" xfId="1347" xr:uid="{00000000-0005-0000-0000-00005FC70000}"/>
    <cellStyle name="Percent 2 3 2 2 3 2" xfId="1348" xr:uid="{00000000-0005-0000-0000-000060C70000}"/>
    <cellStyle name="Percent 2 3 2 2 3 2 2" xfId="7379" xr:uid="{00000000-0005-0000-0000-000061C70000}"/>
    <cellStyle name="Percent 2 3 2 2 3 2 2 2" xfId="8856" xr:uid="{00000000-0005-0000-0000-000062C70000}"/>
    <cellStyle name="Percent 2 3 2 2 3 2 2 2 2" xfId="11753" xr:uid="{00000000-0005-0000-0000-000063C70000}"/>
    <cellStyle name="Percent 2 3 2 2 3 2 2 2 3" xfId="51990" xr:uid="{00000000-0005-0000-0000-000064C70000}"/>
    <cellStyle name="Percent 2 3 2 2 3 2 2 3" xfId="10313" xr:uid="{00000000-0005-0000-0000-000065C70000}"/>
    <cellStyle name="Percent 2 3 2 2 3 2 2 4" xfId="32803" xr:uid="{00000000-0005-0000-0000-000066C70000}"/>
    <cellStyle name="Percent 2 3 2 2 3 2 3" xfId="8198" xr:uid="{00000000-0005-0000-0000-000067C70000}"/>
    <cellStyle name="Percent 2 3 2 2 3 2 3 2" xfId="11095" xr:uid="{00000000-0005-0000-0000-000068C70000}"/>
    <cellStyle name="Percent 2 3 2 2 3 2 3 3" xfId="42292" xr:uid="{00000000-0005-0000-0000-000069C70000}"/>
    <cellStyle name="Percent 2 3 2 2 3 2 4" xfId="9655" xr:uid="{00000000-0005-0000-0000-00006AC70000}"/>
    <cellStyle name="Percent 2 3 2 2 3 2 5" xfId="6703" xr:uid="{00000000-0005-0000-0000-00006BC70000}"/>
    <cellStyle name="Percent 2 3 2 2 3 2 6" xfId="22717" xr:uid="{00000000-0005-0000-0000-00006CC70000}"/>
    <cellStyle name="Percent 2 3 2 2 3 3" xfId="1349" xr:uid="{00000000-0005-0000-0000-00006DC70000}"/>
    <cellStyle name="Percent 2 3 2 2 3 3 2" xfId="7146" xr:uid="{00000000-0005-0000-0000-00006EC70000}"/>
    <cellStyle name="Percent 2 3 2 2 3 3 2 2" xfId="8623" xr:uid="{00000000-0005-0000-0000-00006FC70000}"/>
    <cellStyle name="Percent 2 3 2 2 3 3 2 2 2" xfId="11520" xr:uid="{00000000-0005-0000-0000-000070C70000}"/>
    <cellStyle name="Percent 2 3 2 2 3 3 2 3" xfId="10080" xr:uid="{00000000-0005-0000-0000-000071C70000}"/>
    <cellStyle name="Percent 2 3 2 2 3 3 2 4" xfId="48371" xr:uid="{00000000-0005-0000-0000-000072C70000}"/>
    <cellStyle name="Percent 2 3 2 2 3 3 3" xfId="7965" xr:uid="{00000000-0005-0000-0000-000073C70000}"/>
    <cellStyle name="Percent 2 3 2 2 3 3 3 2" xfId="10862" xr:uid="{00000000-0005-0000-0000-000074C70000}"/>
    <cellStyle name="Percent 2 3 2 2 3 3 4" xfId="9422" xr:uid="{00000000-0005-0000-0000-000075C70000}"/>
    <cellStyle name="Percent 2 3 2 2 3 3 5" xfId="6470" xr:uid="{00000000-0005-0000-0000-000076C70000}"/>
    <cellStyle name="Percent 2 3 2 2 3 3 6" xfId="29182" xr:uid="{00000000-0005-0000-0000-000077C70000}"/>
    <cellStyle name="Percent 2 3 2 2 3 4" xfId="6971" xr:uid="{00000000-0005-0000-0000-000078C70000}"/>
    <cellStyle name="Percent 2 3 2 2 3 4 2" xfId="8448" xr:uid="{00000000-0005-0000-0000-000079C70000}"/>
    <cellStyle name="Percent 2 3 2 2 3 4 2 2" xfId="11345" xr:uid="{00000000-0005-0000-0000-00007AC70000}"/>
    <cellStyle name="Percent 2 3 2 2 3 4 2 3" xfId="42645" xr:uid="{00000000-0005-0000-0000-00007BC70000}"/>
    <cellStyle name="Percent 2 3 2 2 3 4 3" xfId="9905" xr:uid="{00000000-0005-0000-0000-00007CC70000}"/>
    <cellStyle name="Percent 2 3 2 2 3 4 4" xfId="23076" xr:uid="{00000000-0005-0000-0000-00007DC70000}"/>
    <cellStyle name="Percent 2 3 2 2 3 5" xfId="7788" xr:uid="{00000000-0005-0000-0000-00007EC70000}"/>
    <cellStyle name="Percent 2 3 2 2 3 5 2" xfId="10687" xr:uid="{00000000-0005-0000-0000-00007FC70000}"/>
    <cellStyle name="Percent 2 3 2 2 3 5 3" xfId="38673" xr:uid="{00000000-0005-0000-0000-000080C70000}"/>
    <cellStyle name="Percent 2 3 2 2 3 6" xfId="9247" xr:uid="{00000000-0005-0000-0000-000081C70000}"/>
    <cellStyle name="Percent 2 3 2 2 3 7" xfId="6272" xr:uid="{00000000-0005-0000-0000-000082C70000}"/>
    <cellStyle name="Percent 2 3 2 2 3 8" xfId="18814" xr:uid="{00000000-0005-0000-0000-000083C70000}"/>
    <cellStyle name="Percent 2 3 2 2 4" xfId="1350" xr:uid="{00000000-0005-0000-0000-000084C70000}"/>
    <cellStyle name="Percent 2 3 2 2 4 2" xfId="7263" xr:uid="{00000000-0005-0000-0000-000085C70000}"/>
    <cellStyle name="Percent 2 3 2 2 4 2 2" xfId="8740" xr:uid="{00000000-0005-0000-0000-000086C70000}"/>
    <cellStyle name="Percent 2 3 2 2 4 2 2 2" xfId="11637" xr:uid="{00000000-0005-0000-0000-000087C70000}"/>
    <cellStyle name="Percent 2 3 2 2 4 2 2 3" xfId="51853" xr:uid="{00000000-0005-0000-0000-000088C70000}"/>
    <cellStyle name="Percent 2 3 2 2 4 2 3" xfId="10197" xr:uid="{00000000-0005-0000-0000-000089C70000}"/>
    <cellStyle name="Percent 2 3 2 2 4 2 4" xfId="32666" xr:uid="{00000000-0005-0000-0000-00008AC70000}"/>
    <cellStyle name="Percent 2 3 2 2 4 3" xfId="8082" xr:uid="{00000000-0005-0000-0000-00008BC70000}"/>
    <cellStyle name="Percent 2 3 2 2 4 3 2" xfId="10979" xr:uid="{00000000-0005-0000-0000-00008CC70000}"/>
    <cellStyle name="Percent 2 3 2 2 4 3 3" xfId="42155" xr:uid="{00000000-0005-0000-0000-00008DC70000}"/>
    <cellStyle name="Percent 2 3 2 2 4 4" xfId="9539" xr:uid="{00000000-0005-0000-0000-00008EC70000}"/>
    <cellStyle name="Percent 2 3 2 2 4 5" xfId="6587" xr:uid="{00000000-0005-0000-0000-00008FC70000}"/>
    <cellStyle name="Percent 2 3 2 2 4 6" xfId="22544" xr:uid="{00000000-0005-0000-0000-000090C70000}"/>
    <cellStyle name="Percent 2 3 2 2 5" xfId="1351" xr:uid="{00000000-0005-0000-0000-000091C70000}"/>
    <cellStyle name="Percent 2 3 2 2 5 2" xfId="7030" xr:uid="{00000000-0005-0000-0000-000092C70000}"/>
    <cellStyle name="Percent 2 3 2 2 5 2 2" xfId="8507" xr:uid="{00000000-0005-0000-0000-000093C70000}"/>
    <cellStyle name="Percent 2 3 2 2 5 2 2 2" xfId="11404" xr:uid="{00000000-0005-0000-0000-000094C70000}"/>
    <cellStyle name="Percent 2 3 2 2 5 2 3" xfId="9964" xr:uid="{00000000-0005-0000-0000-000095C70000}"/>
    <cellStyle name="Percent 2 3 2 2 5 2 4" xfId="43916" xr:uid="{00000000-0005-0000-0000-000096C70000}"/>
    <cellStyle name="Percent 2 3 2 2 5 3" xfId="7848" xr:uid="{00000000-0005-0000-0000-000097C70000}"/>
    <cellStyle name="Percent 2 3 2 2 5 3 2" xfId="10746" xr:uid="{00000000-0005-0000-0000-000098C70000}"/>
    <cellStyle name="Percent 2 3 2 2 5 4" xfId="9306" xr:uid="{00000000-0005-0000-0000-000099C70000}"/>
    <cellStyle name="Percent 2 3 2 2 5 5" xfId="6351" xr:uid="{00000000-0005-0000-0000-00009AC70000}"/>
    <cellStyle name="Percent 2 3 2 2 5 6" xfId="24722" xr:uid="{00000000-0005-0000-0000-00009BC70000}"/>
    <cellStyle name="Percent 2 3 2 2 6" xfId="7496" xr:uid="{00000000-0005-0000-0000-00009CC70000}"/>
    <cellStyle name="Percent 2 3 2 2 6 2" xfId="8970" xr:uid="{00000000-0005-0000-0000-00009DC70000}"/>
    <cellStyle name="Percent 2 3 2 2 6 2 2" xfId="11867" xr:uid="{00000000-0005-0000-0000-00009EC70000}"/>
    <cellStyle name="Percent 2 3 2 2 6 2 3" xfId="42508" xr:uid="{00000000-0005-0000-0000-00009FC70000}"/>
    <cellStyle name="Percent 2 3 2 2 6 3" xfId="10427" xr:uid="{00000000-0005-0000-0000-0000A0C70000}"/>
    <cellStyle name="Percent 2 3 2 2 6 4" xfId="22939" xr:uid="{00000000-0005-0000-0000-0000A1C70000}"/>
    <cellStyle name="Percent 2 3 2 2 7" xfId="7555" xr:uid="{00000000-0005-0000-0000-0000A2C70000}"/>
    <cellStyle name="Percent 2 3 2 2 7 2" xfId="9027" xr:uid="{00000000-0005-0000-0000-0000A3C70000}"/>
    <cellStyle name="Percent 2 3 2 2 7 2 2" xfId="11924" xr:uid="{00000000-0005-0000-0000-0000A4C70000}"/>
    <cellStyle name="Percent 2 3 2 2 7 3" xfId="10484" xr:uid="{00000000-0005-0000-0000-0000A5C70000}"/>
    <cellStyle name="Percent 2 3 2 2 7 4" xfId="34218" xr:uid="{00000000-0005-0000-0000-0000A6C70000}"/>
    <cellStyle name="Percent 2 3 2 2 8" xfId="6831" xr:uid="{00000000-0005-0000-0000-0000A7C70000}"/>
    <cellStyle name="Percent 2 3 2 2 8 2" xfId="8311" xr:uid="{00000000-0005-0000-0000-0000A8C70000}"/>
    <cellStyle name="Percent 2 3 2 2 8 2 2" xfId="11208" xr:uid="{00000000-0005-0000-0000-0000A9C70000}"/>
    <cellStyle name="Percent 2 3 2 2 8 3" xfId="9768" xr:uid="{00000000-0005-0000-0000-0000AAC70000}"/>
    <cellStyle name="Percent 2 3 2 2 8 4" xfId="53172" xr:uid="{00000000-0005-0000-0000-0000ABC70000}"/>
    <cellStyle name="Percent 2 3 2 2 9" xfId="7650" xr:uid="{00000000-0005-0000-0000-0000ACC70000}"/>
    <cellStyle name="Percent 2 3 2 2 9 2" xfId="10550" xr:uid="{00000000-0005-0000-0000-0000ADC70000}"/>
    <cellStyle name="Percent 2 3 2 3" xfId="1352" xr:uid="{00000000-0005-0000-0000-0000AEC70000}"/>
    <cellStyle name="Percent 2 3 2 3 2" xfId="1353" xr:uid="{00000000-0005-0000-0000-0000AFC70000}"/>
    <cellStyle name="Percent 2 3 2 3 2 2" xfId="1354" xr:uid="{00000000-0005-0000-0000-0000B0C70000}"/>
    <cellStyle name="Percent 2 3 2 3 2 2 2" xfId="7405" xr:uid="{00000000-0005-0000-0000-0000B1C70000}"/>
    <cellStyle name="Percent 2 3 2 3 2 2 2 2" xfId="8882" xr:uid="{00000000-0005-0000-0000-0000B2C70000}"/>
    <cellStyle name="Percent 2 3 2 3 2 2 2 2 2" xfId="11779" xr:uid="{00000000-0005-0000-0000-0000B3C70000}"/>
    <cellStyle name="Percent 2 3 2 3 2 2 2 2 3" xfId="50043" xr:uid="{00000000-0005-0000-0000-0000B4C70000}"/>
    <cellStyle name="Percent 2 3 2 3 2 2 2 3" xfId="10339" xr:uid="{00000000-0005-0000-0000-0000B5C70000}"/>
    <cellStyle name="Percent 2 3 2 3 2 2 2 4" xfId="30854" xr:uid="{00000000-0005-0000-0000-0000B6C70000}"/>
    <cellStyle name="Percent 2 3 2 3 2 2 3" xfId="8224" xr:uid="{00000000-0005-0000-0000-0000B7C70000}"/>
    <cellStyle name="Percent 2 3 2 3 2 2 3 2" xfId="11121" xr:uid="{00000000-0005-0000-0000-0000B8C70000}"/>
    <cellStyle name="Percent 2 3 2 3 2 2 3 3" xfId="40345" xr:uid="{00000000-0005-0000-0000-0000B9C70000}"/>
    <cellStyle name="Percent 2 3 2 3 2 2 4" xfId="9681" xr:uid="{00000000-0005-0000-0000-0000BAC70000}"/>
    <cellStyle name="Percent 2 3 2 3 2 2 5" xfId="6729" xr:uid="{00000000-0005-0000-0000-0000BBC70000}"/>
    <cellStyle name="Percent 2 3 2 3 2 2 6" xfId="20486" xr:uid="{00000000-0005-0000-0000-0000BCC70000}"/>
    <cellStyle name="Percent 2 3 2 3 2 3" xfId="7172" xr:uid="{00000000-0005-0000-0000-0000BDC70000}"/>
    <cellStyle name="Percent 2 3 2 3 2 3 2" xfId="8649" xr:uid="{00000000-0005-0000-0000-0000BEC70000}"/>
    <cellStyle name="Percent 2 3 2 3 2 3 2 2" xfId="11546" xr:uid="{00000000-0005-0000-0000-0000BFC70000}"/>
    <cellStyle name="Percent 2 3 2 3 2 3 2 3" xfId="45588" xr:uid="{00000000-0005-0000-0000-0000C0C70000}"/>
    <cellStyle name="Percent 2 3 2 3 2 3 3" xfId="10106" xr:uid="{00000000-0005-0000-0000-0000C1C70000}"/>
    <cellStyle name="Percent 2 3 2 3 2 3 4" xfId="26399" xr:uid="{00000000-0005-0000-0000-0000C2C70000}"/>
    <cellStyle name="Percent 2 3 2 3 2 4" xfId="7991" xr:uid="{00000000-0005-0000-0000-0000C3C70000}"/>
    <cellStyle name="Percent 2 3 2 3 2 4 2" xfId="10888" xr:uid="{00000000-0005-0000-0000-0000C4C70000}"/>
    <cellStyle name="Percent 2 3 2 3 2 4 3" xfId="35890" xr:uid="{00000000-0005-0000-0000-0000C5C70000}"/>
    <cellStyle name="Percent 2 3 2 3 2 5" xfId="9448" xr:uid="{00000000-0005-0000-0000-0000C6C70000}"/>
    <cellStyle name="Percent 2 3 2 3 2 6" xfId="6496" xr:uid="{00000000-0005-0000-0000-0000C7C70000}"/>
    <cellStyle name="Percent 2 3 2 3 2 7" xfId="16022" xr:uid="{00000000-0005-0000-0000-0000C8C70000}"/>
    <cellStyle name="Percent 2 3 2 3 3" xfId="1355" xr:uid="{00000000-0005-0000-0000-0000C9C70000}"/>
    <cellStyle name="Percent 2 3 2 3 3 2" xfId="7289" xr:uid="{00000000-0005-0000-0000-0000CAC70000}"/>
    <cellStyle name="Percent 2 3 2 3 3 2 2" xfId="8766" xr:uid="{00000000-0005-0000-0000-0000CBC70000}"/>
    <cellStyle name="Percent 2 3 2 3 3 2 2 2" xfId="11663" xr:uid="{00000000-0005-0000-0000-0000CCC70000}"/>
    <cellStyle name="Percent 2 3 2 3 3 2 2 3" xfId="48928" xr:uid="{00000000-0005-0000-0000-0000CDC70000}"/>
    <cellStyle name="Percent 2 3 2 3 3 2 3" xfId="10223" xr:uid="{00000000-0005-0000-0000-0000CEC70000}"/>
    <cellStyle name="Percent 2 3 2 3 3 2 4" xfId="29739" xr:uid="{00000000-0005-0000-0000-0000CFC70000}"/>
    <cellStyle name="Percent 2 3 2 3 3 3" xfId="8108" xr:uid="{00000000-0005-0000-0000-0000D0C70000}"/>
    <cellStyle name="Percent 2 3 2 3 3 3 2" xfId="11005" xr:uid="{00000000-0005-0000-0000-0000D1C70000}"/>
    <cellStyle name="Percent 2 3 2 3 3 3 3" xfId="39230" xr:uid="{00000000-0005-0000-0000-0000D2C70000}"/>
    <cellStyle name="Percent 2 3 2 3 3 4" xfId="9565" xr:uid="{00000000-0005-0000-0000-0000D3C70000}"/>
    <cellStyle name="Percent 2 3 2 3 3 5" xfId="6613" xr:uid="{00000000-0005-0000-0000-0000D4C70000}"/>
    <cellStyle name="Percent 2 3 2 3 3 6" xfId="19371" xr:uid="{00000000-0005-0000-0000-0000D5C70000}"/>
    <cellStyle name="Percent 2 3 2 3 4" xfId="1356" xr:uid="{00000000-0005-0000-0000-0000D6C70000}"/>
    <cellStyle name="Percent 2 3 2 3 4 2" xfId="7056" xr:uid="{00000000-0005-0000-0000-0000D7C70000}"/>
    <cellStyle name="Percent 2 3 2 3 4 2 2" xfId="8533" xr:uid="{00000000-0005-0000-0000-0000D8C70000}"/>
    <cellStyle name="Percent 2 3 2 3 4 2 2 2" xfId="11430" xr:uid="{00000000-0005-0000-0000-0000D9C70000}"/>
    <cellStyle name="Percent 2 3 2 3 4 2 2 3" xfId="51904" xr:uid="{00000000-0005-0000-0000-0000DAC70000}"/>
    <cellStyle name="Percent 2 3 2 3 4 2 3" xfId="9990" xr:uid="{00000000-0005-0000-0000-0000DBC70000}"/>
    <cellStyle name="Percent 2 3 2 3 4 2 4" xfId="32717" xr:uid="{00000000-0005-0000-0000-0000DCC70000}"/>
    <cellStyle name="Percent 2 3 2 3 4 3" xfId="7874" xr:uid="{00000000-0005-0000-0000-0000DDC70000}"/>
    <cellStyle name="Percent 2 3 2 3 4 3 2" xfId="10772" xr:uid="{00000000-0005-0000-0000-0000DEC70000}"/>
    <cellStyle name="Percent 2 3 2 3 4 3 3" xfId="42206" xr:uid="{00000000-0005-0000-0000-0000DFC70000}"/>
    <cellStyle name="Percent 2 3 2 3 4 4" xfId="9332" xr:uid="{00000000-0005-0000-0000-0000E0C70000}"/>
    <cellStyle name="Percent 2 3 2 3 4 5" xfId="6377" xr:uid="{00000000-0005-0000-0000-0000E1C70000}"/>
    <cellStyle name="Percent 2 3 2 3 4 6" xfId="22628" xr:uid="{00000000-0005-0000-0000-0000E2C70000}"/>
    <cellStyle name="Percent 2 3 2 3 5" xfId="6884" xr:uid="{00000000-0005-0000-0000-0000E3C70000}"/>
    <cellStyle name="Percent 2 3 2 3 5 2" xfId="8362" xr:uid="{00000000-0005-0000-0000-0000E4C70000}"/>
    <cellStyle name="Percent 2 3 2 3 5 2 2" xfId="11259" xr:uid="{00000000-0005-0000-0000-0000E5C70000}"/>
    <cellStyle name="Percent 2 3 2 3 5 2 3" xfId="44473" xr:uid="{00000000-0005-0000-0000-0000E6C70000}"/>
    <cellStyle name="Percent 2 3 2 3 5 3" xfId="9819" xr:uid="{00000000-0005-0000-0000-0000E7C70000}"/>
    <cellStyle name="Percent 2 3 2 3 5 4" xfId="25284" xr:uid="{00000000-0005-0000-0000-0000E8C70000}"/>
    <cellStyle name="Percent 2 3 2 3 6" xfId="7701" xr:uid="{00000000-0005-0000-0000-0000E9C70000}"/>
    <cellStyle name="Percent 2 3 2 3 6 2" xfId="10601" xr:uid="{00000000-0005-0000-0000-0000EAC70000}"/>
    <cellStyle name="Percent 2 3 2 3 6 2 2" xfId="42559" xr:uid="{00000000-0005-0000-0000-0000EBC70000}"/>
    <cellStyle name="Percent 2 3 2 3 6 3" xfId="22990" xr:uid="{00000000-0005-0000-0000-0000ECC70000}"/>
    <cellStyle name="Percent 2 3 2 3 7" xfId="9161" xr:uid="{00000000-0005-0000-0000-0000EDC70000}"/>
    <cellStyle name="Percent 2 3 2 3 7 2" xfId="34775" xr:uid="{00000000-0005-0000-0000-0000EEC70000}"/>
    <cellStyle name="Percent 2 3 2 3 8" xfId="6179" xr:uid="{00000000-0005-0000-0000-0000EFC70000}"/>
    <cellStyle name="Percent 2 3 2 3 8 2" xfId="53629" xr:uid="{00000000-0005-0000-0000-0000F0C70000}"/>
    <cellStyle name="Percent 2 3 2 3 9" xfId="14894" xr:uid="{00000000-0005-0000-0000-0000F1C70000}"/>
    <cellStyle name="Percent 2 3 2 4" xfId="1357" xr:uid="{00000000-0005-0000-0000-0000F2C70000}"/>
    <cellStyle name="Percent 2 3 2 4 2" xfId="1358" xr:uid="{00000000-0005-0000-0000-0000F3C70000}"/>
    <cellStyle name="Percent 2 3 2 4 2 2" xfId="7353" xr:uid="{00000000-0005-0000-0000-0000F4C70000}"/>
    <cellStyle name="Percent 2 3 2 4 2 2 2" xfId="8830" xr:uid="{00000000-0005-0000-0000-0000F5C70000}"/>
    <cellStyle name="Percent 2 3 2 4 2 2 2 2" xfId="11727" xr:uid="{00000000-0005-0000-0000-0000F6C70000}"/>
    <cellStyle name="Percent 2 3 2 4 2 2 2 3" xfId="49486" xr:uid="{00000000-0005-0000-0000-0000F7C70000}"/>
    <cellStyle name="Percent 2 3 2 4 2 2 3" xfId="10287" xr:uid="{00000000-0005-0000-0000-0000F8C70000}"/>
    <cellStyle name="Percent 2 3 2 4 2 2 4" xfId="30297" xr:uid="{00000000-0005-0000-0000-0000F9C70000}"/>
    <cellStyle name="Percent 2 3 2 4 2 3" xfId="8172" xr:uid="{00000000-0005-0000-0000-0000FAC70000}"/>
    <cellStyle name="Percent 2 3 2 4 2 3 2" xfId="11069" xr:uid="{00000000-0005-0000-0000-0000FBC70000}"/>
    <cellStyle name="Percent 2 3 2 4 2 3 3" xfId="39788" xr:uid="{00000000-0005-0000-0000-0000FCC70000}"/>
    <cellStyle name="Percent 2 3 2 4 2 4" xfId="9629" xr:uid="{00000000-0005-0000-0000-0000FDC70000}"/>
    <cellStyle name="Percent 2 3 2 4 2 5" xfId="6677" xr:uid="{00000000-0005-0000-0000-0000FEC70000}"/>
    <cellStyle name="Percent 2 3 2 4 2 6" xfId="19929" xr:uid="{00000000-0005-0000-0000-0000FFC70000}"/>
    <cellStyle name="Percent 2 3 2 4 3" xfId="1359" xr:uid="{00000000-0005-0000-0000-000000C80000}"/>
    <cellStyle name="Percent 2 3 2 4 3 2" xfId="7120" xr:uid="{00000000-0005-0000-0000-000001C80000}"/>
    <cellStyle name="Percent 2 3 2 4 3 2 2" xfId="8597" xr:uid="{00000000-0005-0000-0000-000002C80000}"/>
    <cellStyle name="Percent 2 3 2 4 3 2 2 2" xfId="11494" xr:uid="{00000000-0005-0000-0000-000003C80000}"/>
    <cellStyle name="Percent 2 3 2 4 3 2 2 3" xfId="51960" xr:uid="{00000000-0005-0000-0000-000004C80000}"/>
    <cellStyle name="Percent 2 3 2 4 3 2 3" xfId="10054" xr:uid="{00000000-0005-0000-0000-000005C80000}"/>
    <cellStyle name="Percent 2 3 2 4 3 2 4" xfId="32773" xr:uid="{00000000-0005-0000-0000-000006C80000}"/>
    <cellStyle name="Percent 2 3 2 4 3 3" xfId="7939" xr:uid="{00000000-0005-0000-0000-000007C80000}"/>
    <cellStyle name="Percent 2 3 2 4 3 3 2" xfId="10836" xr:uid="{00000000-0005-0000-0000-000008C80000}"/>
    <cellStyle name="Percent 2 3 2 4 3 3 3" xfId="42262" xr:uid="{00000000-0005-0000-0000-000009C80000}"/>
    <cellStyle name="Percent 2 3 2 4 3 4" xfId="9396" xr:uid="{00000000-0005-0000-0000-00000AC80000}"/>
    <cellStyle name="Percent 2 3 2 4 3 5" xfId="6444" xr:uid="{00000000-0005-0000-0000-00000BC80000}"/>
    <cellStyle name="Percent 2 3 2 4 3 6" xfId="22687" xr:uid="{00000000-0005-0000-0000-00000CC80000}"/>
    <cellStyle name="Percent 2 3 2 4 4" xfId="6941" xr:uid="{00000000-0005-0000-0000-00000DC80000}"/>
    <cellStyle name="Percent 2 3 2 4 4 2" xfId="8418" xr:uid="{00000000-0005-0000-0000-00000EC80000}"/>
    <cellStyle name="Percent 2 3 2 4 4 2 2" xfId="11315" xr:uid="{00000000-0005-0000-0000-00000FC80000}"/>
    <cellStyle name="Percent 2 3 2 4 4 2 3" xfId="45031" xr:uid="{00000000-0005-0000-0000-000010C80000}"/>
    <cellStyle name="Percent 2 3 2 4 4 3" xfId="9875" xr:uid="{00000000-0005-0000-0000-000011C80000}"/>
    <cellStyle name="Percent 2 3 2 4 4 4" xfId="25842" xr:uid="{00000000-0005-0000-0000-000012C80000}"/>
    <cellStyle name="Percent 2 3 2 4 5" xfId="7758" xr:uid="{00000000-0005-0000-0000-000013C80000}"/>
    <cellStyle name="Percent 2 3 2 4 5 2" xfId="10657" xr:uid="{00000000-0005-0000-0000-000014C80000}"/>
    <cellStyle name="Percent 2 3 2 4 5 2 2" xfId="42615" xr:uid="{00000000-0005-0000-0000-000015C80000}"/>
    <cellStyle name="Percent 2 3 2 4 5 3" xfId="23046" xr:uid="{00000000-0005-0000-0000-000016C80000}"/>
    <cellStyle name="Percent 2 3 2 4 6" xfId="9217" xr:uid="{00000000-0005-0000-0000-000017C80000}"/>
    <cellStyle name="Percent 2 3 2 4 6 2" xfId="35333" xr:uid="{00000000-0005-0000-0000-000018C80000}"/>
    <cellStyle name="Percent 2 3 2 4 7" xfId="6242" xr:uid="{00000000-0005-0000-0000-000019C80000}"/>
    <cellStyle name="Percent 2 3 2 4 8" xfId="15465" xr:uid="{00000000-0005-0000-0000-00001AC80000}"/>
    <cellStyle name="Percent 2 3 2 5" xfId="1360" xr:uid="{00000000-0005-0000-0000-00001BC80000}"/>
    <cellStyle name="Percent 2 3 2 5 2" xfId="7237" xr:uid="{00000000-0005-0000-0000-00001CC80000}"/>
    <cellStyle name="Percent 2 3 2 5 2 2" xfId="8714" xr:uid="{00000000-0005-0000-0000-00001DC80000}"/>
    <cellStyle name="Percent 2 3 2 5 2 2 2" xfId="11611" xr:uid="{00000000-0005-0000-0000-00001EC80000}"/>
    <cellStyle name="Percent 2 3 2 5 2 2 2 2" xfId="51156" xr:uid="{00000000-0005-0000-0000-00001FC80000}"/>
    <cellStyle name="Percent 2 3 2 5 2 2 3" xfId="31967" xr:uid="{00000000-0005-0000-0000-000020C80000}"/>
    <cellStyle name="Percent 2 3 2 5 2 3" xfId="10171" xr:uid="{00000000-0005-0000-0000-000021C80000}"/>
    <cellStyle name="Percent 2 3 2 5 2 3 2" xfId="41458" xr:uid="{00000000-0005-0000-0000-000022C80000}"/>
    <cellStyle name="Percent 2 3 2 5 2 4" xfId="21599" xr:uid="{00000000-0005-0000-0000-000023C80000}"/>
    <cellStyle name="Percent 2 3 2 5 3" xfId="8056" xr:uid="{00000000-0005-0000-0000-000024C80000}"/>
    <cellStyle name="Percent 2 3 2 5 3 2" xfId="10953" xr:uid="{00000000-0005-0000-0000-000025C80000}"/>
    <cellStyle name="Percent 2 3 2 5 3 2 2" xfId="46701" xr:uid="{00000000-0005-0000-0000-000026C80000}"/>
    <cellStyle name="Percent 2 3 2 5 3 3" xfId="27512" xr:uid="{00000000-0005-0000-0000-000027C80000}"/>
    <cellStyle name="Percent 2 3 2 5 4" xfId="9513" xr:uid="{00000000-0005-0000-0000-000028C80000}"/>
    <cellStyle name="Percent 2 3 2 5 4 2" xfId="37003" xr:uid="{00000000-0005-0000-0000-000029C80000}"/>
    <cellStyle name="Percent 2 3 2 5 5" xfId="6561" xr:uid="{00000000-0005-0000-0000-00002AC80000}"/>
    <cellStyle name="Percent 2 3 2 5 6" xfId="17135" xr:uid="{00000000-0005-0000-0000-00002BC80000}"/>
    <cellStyle name="Percent 2 3 2 6" xfId="1361" xr:uid="{00000000-0005-0000-0000-00002CC80000}"/>
    <cellStyle name="Percent 2 3 2 6 2" xfId="7004" xr:uid="{00000000-0005-0000-0000-00002DC80000}"/>
    <cellStyle name="Percent 2 3 2 6 2 2" xfId="8481" xr:uid="{00000000-0005-0000-0000-00002EC80000}"/>
    <cellStyle name="Percent 2 3 2 6 2 2 2" xfId="11378" xr:uid="{00000000-0005-0000-0000-00002FC80000}"/>
    <cellStyle name="Percent 2 3 2 6 2 2 2 2" xfId="51713" xr:uid="{00000000-0005-0000-0000-000030C80000}"/>
    <cellStyle name="Percent 2 3 2 6 2 2 3" xfId="32524" xr:uid="{00000000-0005-0000-0000-000031C80000}"/>
    <cellStyle name="Percent 2 3 2 6 2 3" xfId="9938" xr:uid="{00000000-0005-0000-0000-000032C80000}"/>
    <cellStyle name="Percent 2 3 2 6 2 3 2" xfId="42015" xr:uid="{00000000-0005-0000-0000-000033C80000}"/>
    <cellStyle name="Percent 2 3 2 6 2 4" xfId="22156" xr:uid="{00000000-0005-0000-0000-000034C80000}"/>
    <cellStyle name="Percent 2 3 2 6 3" xfId="7822" xr:uid="{00000000-0005-0000-0000-000035C80000}"/>
    <cellStyle name="Percent 2 3 2 6 3 2" xfId="10720" xr:uid="{00000000-0005-0000-0000-000036C80000}"/>
    <cellStyle name="Percent 2 3 2 6 3 2 2" xfId="47258" xr:uid="{00000000-0005-0000-0000-000037C80000}"/>
    <cellStyle name="Percent 2 3 2 6 3 3" xfId="28069" xr:uid="{00000000-0005-0000-0000-000038C80000}"/>
    <cellStyle name="Percent 2 3 2 6 4" xfId="9280" xr:uid="{00000000-0005-0000-0000-000039C80000}"/>
    <cellStyle name="Percent 2 3 2 6 4 2" xfId="37560" xr:uid="{00000000-0005-0000-0000-00003AC80000}"/>
    <cellStyle name="Percent 2 3 2 6 5" xfId="6325" xr:uid="{00000000-0005-0000-0000-00003BC80000}"/>
    <cellStyle name="Percent 2 3 2 6 6" xfId="17701" xr:uid="{00000000-0005-0000-0000-00003CC80000}"/>
    <cellStyle name="Percent 2 3 2 7" xfId="7470" xr:uid="{00000000-0005-0000-0000-00003DC80000}"/>
    <cellStyle name="Percent 2 3 2 7 2" xfId="8944" xr:uid="{00000000-0005-0000-0000-00003EC80000}"/>
    <cellStyle name="Percent 2 3 2 7 2 2" xfId="11841" xr:uid="{00000000-0005-0000-0000-00003FC80000}"/>
    <cellStyle name="Percent 2 3 2 7 2 2 2" xfId="47815" xr:uid="{00000000-0005-0000-0000-000040C80000}"/>
    <cellStyle name="Percent 2 3 2 7 2 3" xfId="28626" xr:uid="{00000000-0005-0000-0000-000041C80000}"/>
    <cellStyle name="Percent 2 3 2 7 3" xfId="10401" xr:uid="{00000000-0005-0000-0000-000042C80000}"/>
    <cellStyle name="Percent 2 3 2 7 3 2" xfId="38117" xr:uid="{00000000-0005-0000-0000-000043C80000}"/>
    <cellStyle name="Percent 2 3 2 7 4" xfId="18258" xr:uid="{00000000-0005-0000-0000-000044C80000}"/>
    <cellStyle name="Percent 2 3 2 8" xfId="7529" xr:uid="{00000000-0005-0000-0000-000045C80000}"/>
    <cellStyle name="Percent 2 3 2 8 2" xfId="9001" xr:uid="{00000000-0005-0000-0000-000046C80000}"/>
    <cellStyle name="Percent 2 3 2 8 2 2" xfId="11898" xr:uid="{00000000-0005-0000-0000-000047C80000}"/>
    <cellStyle name="Percent 2 3 2 8 2 2 2" xfId="51823" xr:uid="{00000000-0005-0000-0000-000048C80000}"/>
    <cellStyle name="Percent 2 3 2 8 2 3" xfId="32636" xr:uid="{00000000-0005-0000-0000-000049C80000}"/>
    <cellStyle name="Percent 2 3 2 8 3" xfId="10458" xr:uid="{00000000-0005-0000-0000-00004AC80000}"/>
    <cellStyle name="Percent 2 3 2 8 3 2" xfId="42125" xr:uid="{00000000-0005-0000-0000-00004BC80000}"/>
    <cellStyle name="Percent 2 3 2 8 4" xfId="22509" xr:uid="{00000000-0005-0000-0000-00004CC80000}"/>
    <cellStyle name="Percent 2 3 2 9" xfId="6800" xr:uid="{00000000-0005-0000-0000-00004DC80000}"/>
    <cellStyle name="Percent 2 3 2 9 2" xfId="8281" xr:uid="{00000000-0005-0000-0000-00004EC80000}"/>
    <cellStyle name="Percent 2 3 2 9 2 2" xfId="11178" xr:uid="{00000000-0005-0000-0000-00004FC80000}"/>
    <cellStyle name="Percent 2 3 2 9 2 3" xfId="43360" xr:uid="{00000000-0005-0000-0000-000050C80000}"/>
    <cellStyle name="Percent 2 3 2 9 3" xfId="9738" xr:uid="{00000000-0005-0000-0000-000051C80000}"/>
    <cellStyle name="Percent 2 3 2 9 4" xfId="24140" xr:uid="{00000000-0005-0000-0000-000052C80000}"/>
    <cellStyle name="Percent 2 3 3" xfId="1362" xr:uid="{00000000-0005-0000-0000-000053C80000}"/>
    <cellStyle name="Percent 2 3 3 10" xfId="7628" xr:uid="{00000000-0005-0000-0000-000054C80000}"/>
    <cellStyle name="Percent 2 3 3 10 2" xfId="10528" xr:uid="{00000000-0005-0000-0000-000055C80000}"/>
    <cellStyle name="Percent 2 3 3 11" xfId="9088" xr:uid="{00000000-0005-0000-0000-000056C80000}"/>
    <cellStyle name="Percent 2 3 3 12" xfId="6093" xr:uid="{00000000-0005-0000-0000-000057C80000}"/>
    <cellStyle name="Percent 2 3 3 13" xfId="22517" xr:uid="{00000000-0005-0000-0000-000058C80000}"/>
    <cellStyle name="Percent 2 3 3 2" xfId="1363" xr:uid="{00000000-0005-0000-0000-000059C80000}"/>
    <cellStyle name="Percent 2 3 3 2 10" xfId="9118" xr:uid="{00000000-0005-0000-0000-00005AC80000}"/>
    <cellStyle name="Percent 2 3 3 2 11" xfId="6130" xr:uid="{00000000-0005-0000-0000-00005BC80000}"/>
    <cellStyle name="Percent 2 3 3 2 12" xfId="22552" xr:uid="{00000000-0005-0000-0000-00005CC80000}"/>
    <cellStyle name="Percent 2 3 3 2 2" xfId="1364" xr:uid="{00000000-0005-0000-0000-00005DC80000}"/>
    <cellStyle name="Percent 2 3 3 2 2 2" xfId="1365" xr:uid="{00000000-0005-0000-0000-00005EC80000}"/>
    <cellStyle name="Percent 2 3 3 2 2 2 2" xfId="1366" xr:uid="{00000000-0005-0000-0000-00005FC80000}"/>
    <cellStyle name="Percent 2 3 3 2 2 2 2 2" xfId="7443" xr:uid="{00000000-0005-0000-0000-000060C80000}"/>
    <cellStyle name="Percent 2 3 3 2 2 2 2 2 2" xfId="8920" xr:uid="{00000000-0005-0000-0000-000061C80000}"/>
    <cellStyle name="Percent 2 3 3 2 2 2 2 2 2 2" xfId="11817" xr:uid="{00000000-0005-0000-0000-000062C80000}"/>
    <cellStyle name="Percent 2 3 3 2 2 2 2 2 3" xfId="10377" xr:uid="{00000000-0005-0000-0000-000063C80000}"/>
    <cellStyle name="Percent 2 3 3 2 2 2 2 3" xfId="8262" xr:uid="{00000000-0005-0000-0000-000064C80000}"/>
    <cellStyle name="Percent 2 3 3 2 2 2 2 3 2" xfId="11159" xr:uid="{00000000-0005-0000-0000-000065C80000}"/>
    <cellStyle name="Percent 2 3 3 2 2 2 2 4" xfId="9719" xr:uid="{00000000-0005-0000-0000-000066C80000}"/>
    <cellStyle name="Percent 2 3 3 2 2 2 2 5" xfId="6767" xr:uid="{00000000-0005-0000-0000-000067C80000}"/>
    <cellStyle name="Percent 2 3 3 2 2 2 2 6" xfId="51942" xr:uid="{00000000-0005-0000-0000-000068C80000}"/>
    <cellStyle name="Percent 2 3 3 2 2 2 3" xfId="7210" xr:uid="{00000000-0005-0000-0000-000069C80000}"/>
    <cellStyle name="Percent 2 3 3 2 2 2 3 2" xfId="8687" xr:uid="{00000000-0005-0000-0000-00006AC80000}"/>
    <cellStyle name="Percent 2 3 3 2 2 2 3 2 2" xfId="11584" xr:uid="{00000000-0005-0000-0000-00006BC80000}"/>
    <cellStyle name="Percent 2 3 3 2 2 2 3 3" xfId="10144" xr:uid="{00000000-0005-0000-0000-00006CC80000}"/>
    <cellStyle name="Percent 2 3 3 2 2 2 4" xfId="8029" xr:uid="{00000000-0005-0000-0000-00006DC80000}"/>
    <cellStyle name="Percent 2 3 3 2 2 2 4 2" xfId="10926" xr:uid="{00000000-0005-0000-0000-00006EC80000}"/>
    <cellStyle name="Percent 2 3 3 2 2 2 5" xfId="9486" xr:uid="{00000000-0005-0000-0000-00006FC80000}"/>
    <cellStyle name="Percent 2 3 3 2 2 2 6" xfId="6534" xr:uid="{00000000-0005-0000-0000-000070C80000}"/>
    <cellStyle name="Percent 2 3 3 2 2 2 7" xfId="32755" xr:uid="{00000000-0005-0000-0000-000071C80000}"/>
    <cellStyle name="Percent 2 3 3 2 2 3" xfId="1367" xr:uid="{00000000-0005-0000-0000-000072C80000}"/>
    <cellStyle name="Percent 2 3 3 2 2 3 2" xfId="7327" xr:uid="{00000000-0005-0000-0000-000073C80000}"/>
    <cellStyle name="Percent 2 3 3 2 2 3 2 2" xfId="8804" xr:uid="{00000000-0005-0000-0000-000074C80000}"/>
    <cellStyle name="Percent 2 3 3 2 2 3 2 2 2" xfId="11701" xr:uid="{00000000-0005-0000-0000-000075C80000}"/>
    <cellStyle name="Percent 2 3 3 2 2 3 2 3" xfId="10261" xr:uid="{00000000-0005-0000-0000-000076C80000}"/>
    <cellStyle name="Percent 2 3 3 2 2 3 2 4" xfId="42597" xr:uid="{00000000-0005-0000-0000-000077C80000}"/>
    <cellStyle name="Percent 2 3 3 2 2 3 3" xfId="8146" xr:uid="{00000000-0005-0000-0000-000078C80000}"/>
    <cellStyle name="Percent 2 3 3 2 2 3 3 2" xfId="11043" xr:uid="{00000000-0005-0000-0000-000079C80000}"/>
    <cellStyle name="Percent 2 3 3 2 2 3 4" xfId="9603" xr:uid="{00000000-0005-0000-0000-00007AC80000}"/>
    <cellStyle name="Percent 2 3 3 2 2 3 5" xfId="6651" xr:uid="{00000000-0005-0000-0000-00007BC80000}"/>
    <cellStyle name="Percent 2 3 3 2 2 3 6" xfId="23028" xr:uid="{00000000-0005-0000-0000-00007CC80000}"/>
    <cellStyle name="Percent 2 3 3 2 2 4" xfId="1368" xr:uid="{00000000-0005-0000-0000-00007DC80000}"/>
    <cellStyle name="Percent 2 3 3 2 2 4 2" xfId="7094" xr:uid="{00000000-0005-0000-0000-00007EC80000}"/>
    <cellStyle name="Percent 2 3 3 2 2 4 2 2" xfId="8571" xr:uid="{00000000-0005-0000-0000-00007FC80000}"/>
    <cellStyle name="Percent 2 3 3 2 2 4 2 2 2" xfId="11468" xr:uid="{00000000-0005-0000-0000-000080C80000}"/>
    <cellStyle name="Percent 2 3 3 2 2 4 2 3" xfId="10028" xr:uid="{00000000-0005-0000-0000-000081C80000}"/>
    <cellStyle name="Percent 2 3 3 2 2 4 3" xfId="7912" xr:uid="{00000000-0005-0000-0000-000082C80000}"/>
    <cellStyle name="Percent 2 3 3 2 2 4 3 2" xfId="10810" xr:uid="{00000000-0005-0000-0000-000083C80000}"/>
    <cellStyle name="Percent 2 3 3 2 2 4 4" xfId="9370" xr:uid="{00000000-0005-0000-0000-000084C80000}"/>
    <cellStyle name="Percent 2 3 3 2 2 4 5" xfId="6415" xr:uid="{00000000-0005-0000-0000-000085C80000}"/>
    <cellStyle name="Percent 2 3 3 2 2 4 6" xfId="42244" xr:uid="{00000000-0005-0000-0000-000086C80000}"/>
    <cellStyle name="Percent 2 3 3 2 2 5" xfId="6922" xr:uid="{00000000-0005-0000-0000-000087C80000}"/>
    <cellStyle name="Percent 2 3 3 2 2 5 2" xfId="8400" xr:uid="{00000000-0005-0000-0000-000088C80000}"/>
    <cellStyle name="Percent 2 3 3 2 2 5 2 2" xfId="11297" xr:uid="{00000000-0005-0000-0000-000089C80000}"/>
    <cellStyle name="Percent 2 3 3 2 2 5 3" xfId="9857" xr:uid="{00000000-0005-0000-0000-00008AC80000}"/>
    <cellStyle name="Percent 2 3 3 2 2 6" xfId="7739" xr:uid="{00000000-0005-0000-0000-00008BC80000}"/>
    <cellStyle name="Percent 2 3 3 2 2 6 2" xfId="10639" xr:uid="{00000000-0005-0000-0000-00008CC80000}"/>
    <cellStyle name="Percent 2 3 3 2 2 7" xfId="9199" xr:uid="{00000000-0005-0000-0000-00008DC80000}"/>
    <cellStyle name="Percent 2 3 3 2 2 8" xfId="6218" xr:uid="{00000000-0005-0000-0000-00008EC80000}"/>
    <cellStyle name="Percent 2 3 3 2 2 9" xfId="22667" xr:uid="{00000000-0005-0000-0000-00008FC80000}"/>
    <cellStyle name="Percent 2 3 3 2 3" xfId="1369" xr:uid="{00000000-0005-0000-0000-000090C80000}"/>
    <cellStyle name="Percent 2 3 3 2 3 2" xfId="1370" xr:uid="{00000000-0005-0000-0000-000091C80000}"/>
    <cellStyle name="Percent 2 3 3 2 3 2 2" xfId="7387" xr:uid="{00000000-0005-0000-0000-000092C80000}"/>
    <cellStyle name="Percent 2 3 3 2 3 2 2 2" xfId="8864" xr:uid="{00000000-0005-0000-0000-000093C80000}"/>
    <cellStyle name="Percent 2 3 3 2 3 2 2 2 2" xfId="11761" xr:uid="{00000000-0005-0000-0000-000094C80000}"/>
    <cellStyle name="Percent 2 3 3 2 3 2 2 3" xfId="10321" xr:uid="{00000000-0005-0000-0000-000095C80000}"/>
    <cellStyle name="Percent 2 3 3 2 3 2 2 4" xfId="51998" xr:uid="{00000000-0005-0000-0000-000096C80000}"/>
    <cellStyle name="Percent 2 3 3 2 3 2 3" xfId="8206" xr:uid="{00000000-0005-0000-0000-000097C80000}"/>
    <cellStyle name="Percent 2 3 3 2 3 2 3 2" xfId="11103" xr:uid="{00000000-0005-0000-0000-000098C80000}"/>
    <cellStyle name="Percent 2 3 3 2 3 2 4" xfId="9663" xr:uid="{00000000-0005-0000-0000-000099C80000}"/>
    <cellStyle name="Percent 2 3 3 2 3 2 5" xfId="6711" xr:uid="{00000000-0005-0000-0000-00009AC80000}"/>
    <cellStyle name="Percent 2 3 3 2 3 2 6" xfId="32811" xr:uid="{00000000-0005-0000-0000-00009BC80000}"/>
    <cellStyle name="Percent 2 3 3 2 3 3" xfId="1371" xr:uid="{00000000-0005-0000-0000-00009CC80000}"/>
    <cellStyle name="Percent 2 3 3 2 3 3 2" xfId="7154" xr:uid="{00000000-0005-0000-0000-00009DC80000}"/>
    <cellStyle name="Percent 2 3 3 2 3 3 2 2" xfId="8631" xr:uid="{00000000-0005-0000-0000-00009EC80000}"/>
    <cellStyle name="Percent 2 3 3 2 3 3 2 2 2" xfId="11528" xr:uid="{00000000-0005-0000-0000-00009FC80000}"/>
    <cellStyle name="Percent 2 3 3 2 3 3 2 3" xfId="10088" xr:uid="{00000000-0005-0000-0000-0000A0C80000}"/>
    <cellStyle name="Percent 2 3 3 2 3 3 2 4" xfId="42653" xr:uid="{00000000-0005-0000-0000-0000A1C80000}"/>
    <cellStyle name="Percent 2 3 3 2 3 3 3" xfId="7973" xr:uid="{00000000-0005-0000-0000-0000A2C80000}"/>
    <cellStyle name="Percent 2 3 3 2 3 3 3 2" xfId="10870" xr:uid="{00000000-0005-0000-0000-0000A3C80000}"/>
    <cellStyle name="Percent 2 3 3 2 3 3 4" xfId="9430" xr:uid="{00000000-0005-0000-0000-0000A4C80000}"/>
    <cellStyle name="Percent 2 3 3 2 3 3 5" xfId="6478" xr:uid="{00000000-0005-0000-0000-0000A5C80000}"/>
    <cellStyle name="Percent 2 3 3 2 3 3 6" xfId="23084" xr:uid="{00000000-0005-0000-0000-0000A6C80000}"/>
    <cellStyle name="Percent 2 3 3 2 3 4" xfId="6979" xr:uid="{00000000-0005-0000-0000-0000A7C80000}"/>
    <cellStyle name="Percent 2 3 3 2 3 4 2" xfId="8456" xr:uid="{00000000-0005-0000-0000-0000A8C80000}"/>
    <cellStyle name="Percent 2 3 3 2 3 4 2 2" xfId="11353" xr:uid="{00000000-0005-0000-0000-0000A9C80000}"/>
    <cellStyle name="Percent 2 3 3 2 3 4 3" xfId="9913" xr:uid="{00000000-0005-0000-0000-0000AAC80000}"/>
    <cellStyle name="Percent 2 3 3 2 3 4 4" xfId="42300" xr:uid="{00000000-0005-0000-0000-0000ABC80000}"/>
    <cellStyle name="Percent 2 3 3 2 3 5" xfId="7796" xr:uid="{00000000-0005-0000-0000-0000ACC80000}"/>
    <cellStyle name="Percent 2 3 3 2 3 5 2" xfId="10695" xr:uid="{00000000-0005-0000-0000-0000ADC80000}"/>
    <cellStyle name="Percent 2 3 3 2 3 6" xfId="9255" xr:uid="{00000000-0005-0000-0000-0000AEC80000}"/>
    <cellStyle name="Percent 2 3 3 2 3 7" xfId="6280" xr:uid="{00000000-0005-0000-0000-0000AFC80000}"/>
    <cellStyle name="Percent 2 3 3 2 3 8" xfId="22725" xr:uid="{00000000-0005-0000-0000-0000B0C80000}"/>
    <cellStyle name="Percent 2 3 3 2 4" xfId="1372" xr:uid="{00000000-0005-0000-0000-0000B1C80000}"/>
    <cellStyle name="Percent 2 3 3 2 4 2" xfId="7271" xr:uid="{00000000-0005-0000-0000-0000B2C80000}"/>
    <cellStyle name="Percent 2 3 3 2 4 2 2" xfId="8748" xr:uid="{00000000-0005-0000-0000-0000B3C80000}"/>
    <cellStyle name="Percent 2 3 3 2 4 2 2 2" xfId="11645" xr:uid="{00000000-0005-0000-0000-0000B4C80000}"/>
    <cellStyle name="Percent 2 3 3 2 4 2 3" xfId="10205" xr:uid="{00000000-0005-0000-0000-0000B5C80000}"/>
    <cellStyle name="Percent 2 3 3 2 4 2 4" xfId="51861" xr:uid="{00000000-0005-0000-0000-0000B6C80000}"/>
    <cellStyle name="Percent 2 3 3 2 4 3" xfId="8090" xr:uid="{00000000-0005-0000-0000-0000B7C80000}"/>
    <cellStyle name="Percent 2 3 3 2 4 3 2" xfId="10987" xr:uid="{00000000-0005-0000-0000-0000B8C80000}"/>
    <cellStyle name="Percent 2 3 3 2 4 4" xfId="9547" xr:uid="{00000000-0005-0000-0000-0000B9C80000}"/>
    <cellStyle name="Percent 2 3 3 2 4 5" xfId="6595" xr:uid="{00000000-0005-0000-0000-0000BAC80000}"/>
    <cellStyle name="Percent 2 3 3 2 4 6" xfId="32674" xr:uid="{00000000-0005-0000-0000-0000BBC80000}"/>
    <cellStyle name="Percent 2 3 3 2 5" xfId="1373" xr:uid="{00000000-0005-0000-0000-0000BCC80000}"/>
    <cellStyle name="Percent 2 3 3 2 5 2" xfId="7038" xr:uid="{00000000-0005-0000-0000-0000BDC80000}"/>
    <cellStyle name="Percent 2 3 3 2 5 2 2" xfId="8515" xr:uid="{00000000-0005-0000-0000-0000BEC80000}"/>
    <cellStyle name="Percent 2 3 3 2 5 2 2 2" xfId="11412" xr:uid="{00000000-0005-0000-0000-0000BFC80000}"/>
    <cellStyle name="Percent 2 3 3 2 5 2 3" xfId="9972" xr:uid="{00000000-0005-0000-0000-0000C0C80000}"/>
    <cellStyle name="Percent 2 3 3 2 5 2 4" xfId="42516" xr:uid="{00000000-0005-0000-0000-0000C1C80000}"/>
    <cellStyle name="Percent 2 3 3 2 5 3" xfId="7856" xr:uid="{00000000-0005-0000-0000-0000C2C80000}"/>
    <cellStyle name="Percent 2 3 3 2 5 3 2" xfId="10754" xr:uid="{00000000-0005-0000-0000-0000C3C80000}"/>
    <cellStyle name="Percent 2 3 3 2 5 4" xfId="9314" xr:uid="{00000000-0005-0000-0000-0000C4C80000}"/>
    <cellStyle name="Percent 2 3 3 2 5 5" xfId="6359" xr:uid="{00000000-0005-0000-0000-0000C5C80000}"/>
    <cellStyle name="Percent 2 3 3 2 5 6" xfId="22947" xr:uid="{00000000-0005-0000-0000-0000C6C80000}"/>
    <cellStyle name="Percent 2 3 3 2 6" xfId="7504" xr:uid="{00000000-0005-0000-0000-0000C7C80000}"/>
    <cellStyle name="Percent 2 3 3 2 6 2" xfId="8978" xr:uid="{00000000-0005-0000-0000-0000C8C80000}"/>
    <cellStyle name="Percent 2 3 3 2 6 2 2" xfId="11875" xr:uid="{00000000-0005-0000-0000-0000C9C80000}"/>
    <cellStyle name="Percent 2 3 3 2 6 3" xfId="10435" xr:uid="{00000000-0005-0000-0000-0000CAC80000}"/>
    <cellStyle name="Percent 2 3 3 2 6 4" xfId="42163" xr:uid="{00000000-0005-0000-0000-0000CBC80000}"/>
    <cellStyle name="Percent 2 3 3 2 7" xfId="7563" xr:uid="{00000000-0005-0000-0000-0000CCC80000}"/>
    <cellStyle name="Percent 2 3 3 2 7 2" xfId="9035" xr:uid="{00000000-0005-0000-0000-0000CDC80000}"/>
    <cellStyle name="Percent 2 3 3 2 7 2 2" xfId="11932" xr:uid="{00000000-0005-0000-0000-0000CEC80000}"/>
    <cellStyle name="Percent 2 3 3 2 7 3" xfId="10492" xr:uid="{00000000-0005-0000-0000-0000CFC80000}"/>
    <cellStyle name="Percent 2 3 3 2 7 4" xfId="53829" xr:uid="{00000000-0005-0000-0000-0000D0C80000}"/>
    <cellStyle name="Percent 2 3 3 2 8" xfId="6839" xr:uid="{00000000-0005-0000-0000-0000D1C80000}"/>
    <cellStyle name="Percent 2 3 3 2 8 2" xfId="8319" xr:uid="{00000000-0005-0000-0000-0000D2C80000}"/>
    <cellStyle name="Percent 2 3 3 2 8 2 2" xfId="11216" xr:uid="{00000000-0005-0000-0000-0000D3C80000}"/>
    <cellStyle name="Percent 2 3 3 2 8 3" xfId="9776" xr:uid="{00000000-0005-0000-0000-0000D4C80000}"/>
    <cellStyle name="Percent 2 3 3 2 9" xfId="7658" xr:uid="{00000000-0005-0000-0000-0000D5C80000}"/>
    <cellStyle name="Percent 2 3 3 2 9 2" xfId="10558" xr:uid="{00000000-0005-0000-0000-0000D6C80000}"/>
    <cellStyle name="Percent 2 3 3 3" xfId="1374" xr:uid="{00000000-0005-0000-0000-0000D7C80000}"/>
    <cellStyle name="Percent 2 3 3 3 2" xfId="1375" xr:uid="{00000000-0005-0000-0000-0000D8C80000}"/>
    <cellStyle name="Percent 2 3 3 3 2 2" xfId="1376" xr:uid="{00000000-0005-0000-0000-0000D9C80000}"/>
    <cellStyle name="Percent 2 3 3 3 2 2 2" xfId="7413" xr:uid="{00000000-0005-0000-0000-0000DAC80000}"/>
    <cellStyle name="Percent 2 3 3 3 2 2 2 2" xfId="8890" xr:uid="{00000000-0005-0000-0000-0000DBC80000}"/>
    <cellStyle name="Percent 2 3 3 3 2 2 2 2 2" xfId="11787" xr:uid="{00000000-0005-0000-0000-0000DCC80000}"/>
    <cellStyle name="Percent 2 3 3 3 2 2 2 3" xfId="10347" xr:uid="{00000000-0005-0000-0000-0000DDC80000}"/>
    <cellStyle name="Percent 2 3 3 3 2 2 3" xfId="8232" xr:uid="{00000000-0005-0000-0000-0000DEC80000}"/>
    <cellStyle name="Percent 2 3 3 3 2 2 3 2" xfId="11129" xr:uid="{00000000-0005-0000-0000-0000DFC80000}"/>
    <cellStyle name="Percent 2 3 3 3 2 2 4" xfId="9689" xr:uid="{00000000-0005-0000-0000-0000E0C80000}"/>
    <cellStyle name="Percent 2 3 3 3 2 2 5" xfId="6737" xr:uid="{00000000-0005-0000-0000-0000E1C80000}"/>
    <cellStyle name="Percent 2 3 3 3 2 2 6" xfId="51912" xr:uid="{00000000-0005-0000-0000-0000E2C80000}"/>
    <cellStyle name="Percent 2 3 3 3 2 3" xfId="7180" xr:uid="{00000000-0005-0000-0000-0000E3C80000}"/>
    <cellStyle name="Percent 2 3 3 3 2 3 2" xfId="8657" xr:uid="{00000000-0005-0000-0000-0000E4C80000}"/>
    <cellStyle name="Percent 2 3 3 3 2 3 2 2" xfId="11554" xr:uid="{00000000-0005-0000-0000-0000E5C80000}"/>
    <cellStyle name="Percent 2 3 3 3 2 3 3" xfId="10114" xr:uid="{00000000-0005-0000-0000-0000E6C80000}"/>
    <cellStyle name="Percent 2 3 3 3 2 4" xfId="7999" xr:uid="{00000000-0005-0000-0000-0000E7C80000}"/>
    <cellStyle name="Percent 2 3 3 3 2 4 2" xfId="10896" xr:uid="{00000000-0005-0000-0000-0000E8C80000}"/>
    <cellStyle name="Percent 2 3 3 3 2 5" xfId="9456" xr:uid="{00000000-0005-0000-0000-0000E9C80000}"/>
    <cellStyle name="Percent 2 3 3 3 2 6" xfId="6504" xr:uid="{00000000-0005-0000-0000-0000EAC80000}"/>
    <cellStyle name="Percent 2 3 3 3 2 7" xfId="32725" xr:uid="{00000000-0005-0000-0000-0000EBC80000}"/>
    <cellStyle name="Percent 2 3 3 3 3" xfId="1377" xr:uid="{00000000-0005-0000-0000-0000ECC80000}"/>
    <cellStyle name="Percent 2 3 3 3 3 2" xfId="7297" xr:uid="{00000000-0005-0000-0000-0000EDC80000}"/>
    <cellStyle name="Percent 2 3 3 3 3 2 2" xfId="8774" xr:uid="{00000000-0005-0000-0000-0000EEC80000}"/>
    <cellStyle name="Percent 2 3 3 3 3 2 2 2" xfId="11671" xr:uid="{00000000-0005-0000-0000-0000EFC80000}"/>
    <cellStyle name="Percent 2 3 3 3 3 2 3" xfId="10231" xr:uid="{00000000-0005-0000-0000-0000F0C80000}"/>
    <cellStyle name="Percent 2 3 3 3 3 2 4" xfId="42567" xr:uid="{00000000-0005-0000-0000-0000F1C80000}"/>
    <cellStyle name="Percent 2 3 3 3 3 3" xfId="8116" xr:uid="{00000000-0005-0000-0000-0000F2C80000}"/>
    <cellStyle name="Percent 2 3 3 3 3 3 2" xfId="11013" xr:uid="{00000000-0005-0000-0000-0000F3C80000}"/>
    <cellStyle name="Percent 2 3 3 3 3 4" xfId="9573" xr:uid="{00000000-0005-0000-0000-0000F4C80000}"/>
    <cellStyle name="Percent 2 3 3 3 3 5" xfId="6621" xr:uid="{00000000-0005-0000-0000-0000F5C80000}"/>
    <cellStyle name="Percent 2 3 3 3 3 6" xfId="22998" xr:uid="{00000000-0005-0000-0000-0000F6C80000}"/>
    <cellStyle name="Percent 2 3 3 3 4" xfId="1378" xr:uid="{00000000-0005-0000-0000-0000F7C80000}"/>
    <cellStyle name="Percent 2 3 3 3 4 2" xfId="7064" xr:uid="{00000000-0005-0000-0000-0000F8C80000}"/>
    <cellStyle name="Percent 2 3 3 3 4 2 2" xfId="8541" xr:uid="{00000000-0005-0000-0000-0000F9C80000}"/>
    <cellStyle name="Percent 2 3 3 3 4 2 2 2" xfId="11438" xr:uid="{00000000-0005-0000-0000-0000FAC80000}"/>
    <cellStyle name="Percent 2 3 3 3 4 2 3" xfId="9998" xr:uid="{00000000-0005-0000-0000-0000FBC80000}"/>
    <cellStyle name="Percent 2 3 3 3 4 3" xfId="7882" xr:uid="{00000000-0005-0000-0000-0000FCC80000}"/>
    <cellStyle name="Percent 2 3 3 3 4 3 2" xfId="10780" xr:uid="{00000000-0005-0000-0000-0000FDC80000}"/>
    <cellStyle name="Percent 2 3 3 3 4 4" xfId="9340" xr:uid="{00000000-0005-0000-0000-0000FEC80000}"/>
    <cellStyle name="Percent 2 3 3 3 4 5" xfId="6385" xr:uid="{00000000-0005-0000-0000-0000FFC80000}"/>
    <cellStyle name="Percent 2 3 3 3 4 6" xfId="42214" xr:uid="{00000000-0005-0000-0000-000000C90000}"/>
    <cellStyle name="Percent 2 3 3 3 5" xfId="6892" xr:uid="{00000000-0005-0000-0000-000001C90000}"/>
    <cellStyle name="Percent 2 3 3 3 5 2" xfId="8370" xr:uid="{00000000-0005-0000-0000-000002C90000}"/>
    <cellStyle name="Percent 2 3 3 3 5 2 2" xfId="11267" xr:uid="{00000000-0005-0000-0000-000003C90000}"/>
    <cellStyle name="Percent 2 3 3 3 5 3" xfId="9827" xr:uid="{00000000-0005-0000-0000-000004C90000}"/>
    <cellStyle name="Percent 2 3 3 3 6" xfId="7709" xr:uid="{00000000-0005-0000-0000-000005C90000}"/>
    <cellStyle name="Percent 2 3 3 3 6 2" xfId="10609" xr:uid="{00000000-0005-0000-0000-000006C90000}"/>
    <cellStyle name="Percent 2 3 3 3 7" xfId="9169" xr:uid="{00000000-0005-0000-0000-000007C90000}"/>
    <cellStyle name="Percent 2 3 3 3 8" xfId="6187" xr:uid="{00000000-0005-0000-0000-000008C90000}"/>
    <cellStyle name="Percent 2 3 3 3 9" xfId="22636" xr:uid="{00000000-0005-0000-0000-000009C90000}"/>
    <cellStyle name="Percent 2 3 3 4" xfId="1379" xr:uid="{00000000-0005-0000-0000-00000AC90000}"/>
    <cellStyle name="Percent 2 3 3 4 2" xfId="1380" xr:uid="{00000000-0005-0000-0000-00000BC90000}"/>
    <cellStyle name="Percent 2 3 3 4 2 2" xfId="7361" xr:uid="{00000000-0005-0000-0000-00000CC90000}"/>
    <cellStyle name="Percent 2 3 3 4 2 2 2" xfId="8838" xr:uid="{00000000-0005-0000-0000-00000DC90000}"/>
    <cellStyle name="Percent 2 3 3 4 2 2 2 2" xfId="11735" xr:uid="{00000000-0005-0000-0000-00000EC90000}"/>
    <cellStyle name="Percent 2 3 3 4 2 2 3" xfId="10295" xr:uid="{00000000-0005-0000-0000-00000FC90000}"/>
    <cellStyle name="Percent 2 3 3 4 2 2 4" xfId="51968" xr:uid="{00000000-0005-0000-0000-000010C90000}"/>
    <cellStyle name="Percent 2 3 3 4 2 3" xfId="8180" xr:uid="{00000000-0005-0000-0000-000011C90000}"/>
    <cellStyle name="Percent 2 3 3 4 2 3 2" xfId="11077" xr:uid="{00000000-0005-0000-0000-000012C90000}"/>
    <cellStyle name="Percent 2 3 3 4 2 4" xfId="9637" xr:uid="{00000000-0005-0000-0000-000013C90000}"/>
    <cellStyle name="Percent 2 3 3 4 2 5" xfId="6685" xr:uid="{00000000-0005-0000-0000-000014C90000}"/>
    <cellStyle name="Percent 2 3 3 4 2 6" xfId="32781" xr:uid="{00000000-0005-0000-0000-000015C90000}"/>
    <cellStyle name="Percent 2 3 3 4 3" xfId="1381" xr:uid="{00000000-0005-0000-0000-000016C90000}"/>
    <cellStyle name="Percent 2 3 3 4 3 2" xfId="7128" xr:uid="{00000000-0005-0000-0000-000017C90000}"/>
    <cellStyle name="Percent 2 3 3 4 3 2 2" xfId="8605" xr:uid="{00000000-0005-0000-0000-000018C90000}"/>
    <cellStyle name="Percent 2 3 3 4 3 2 2 2" xfId="11502" xr:uid="{00000000-0005-0000-0000-000019C90000}"/>
    <cellStyle name="Percent 2 3 3 4 3 2 3" xfId="10062" xr:uid="{00000000-0005-0000-0000-00001AC90000}"/>
    <cellStyle name="Percent 2 3 3 4 3 2 4" xfId="42623" xr:uid="{00000000-0005-0000-0000-00001BC90000}"/>
    <cellStyle name="Percent 2 3 3 4 3 3" xfId="7947" xr:uid="{00000000-0005-0000-0000-00001CC90000}"/>
    <cellStyle name="Percent 2 3 3 4 3 3 2" xfId="10844" xr:uid="{00000000-0005-0000-0000-00001DC90000}"/>
    <cellStyle name="Percent 2 3 3 4 3 4" xfId="9404" xr:uid="{00000000-0005-0000-0000-00001EC90000}"/>
    <cellStyle name="Percent 2 3 3 4 3 5" xfId="6452" xr:uid="{00000000-0005-0000-0000-00001FC90000}"/>
    <cellStyle name="Percent 2 3 3 4 3 6" xfId="23054" xr:uid="{00000000-0005-0000-0000-000020C90000}"/>
    <cellStyle name="Percent 2 3 3 4 4" xfId="6949" xr:uid="{00000000-0005-0000-0000-000021C90000}"/>
    <cellStyle name="Percent 2 3 3 4 4 2" xfId="8426" xr:uid="{00000000-0005-0000-0000-000022C90000}"/>
    <cellStyle name="Percent 2 3 3 4 4 2 2" xfId="11323" xr:uid="{00000000-0005-0000-0000-000023C90000}"/>
    <cellStyle name="Percent 2 3 3 4 4 3" xfId="9883" xr:uid="{00000000-0005-0000-0000-000024C90000}"/>
    <cellStyle name="Percent 2 3 3 4 4 4" xfId="42270" xr:uid="{00000000-0005-0000-0000-000025C90000}"/>
    <cellStyle name="Percent 2 3 3 4 5" xfId="7766" xr:uid="{00000000-0005-0000-0000-000026C90000}"/>
    <cellStyle name="Percent 2 3 3 4 5 2" xfId="10665" xr:uid="{00000000-0005-0000-0000-000027C90000}"/>
    <cellStyle name="Percent 2 3 3 4 6" xfId="9225" xr:uid="{00000000-0005-0000-0000-000028C90000}"/>
    <cellStyle name="Percent 2 3 3 4 7" xfId="6250" xr:uid="{00000000-0005-0000-0000-000029C90000}"/>
    <cellStyle name="Percent 2 3 3 4 8" xfId="22695" xr:uid="{00000000-0005-0000-0000-00002AC90000}"/>
    <cellStyle name="Percent 2 3 3 5" xfId="1382" xr:uid="{00000000-0005-0000-0000-00002BC90000}"/>
    <cellStyle name="Percent 2 3 3 5 2" xfId="7245" xr:uid="{00000000-0005-0000-0000-00002CC90000}"/>
    <cellStyle name="Percent 2 3 3 5 2 2" xfId="8722" xr:uid="{00000000-0005-0000-0000-00002DC90000}"/>
    <cellStyle name="Percent 2 3 3 5 2 2 2" xfId="11619" xr:uid="{00000000-0005-0000-0000-00002EC90000}"/>
    <cellStyle name="Percent 2 3 3 5 2 3" xfId="10179" xr:uid="{00000000-0005-0000-0000-00002FC90000}"/>
    <cellStyle name="Percent 2 3 3 5 2 4" xfId="51831" xr:uid="{00000000-0005-0000-0000-000030C90000}"/>
    <cellStyle name="Percent 2 3 3 5 3" xfId="8064" xr:uid="{00000000-0005-0000-0000-000031C90000}"/>
    <cellStyle name="Percent 2 3 3 5 3 2" xfId="10961" xr:uid="{00000000-0005-0000-0000-000032C90000}"/>
    <cellStyle name="Percent 2 3 3 5 4" xfId="9521" xr:uid="{00000000-0005-0000-0000-000033C90000}"/>
    <cellStyle name="Percent 2 3 3 5 5" xfId="6569" xr:uid="{00000000-0005-0000-0000-000034C90000}"/>
    <cellStyle name="Percent 2 3 3 5 6" xfId="32644" xr:uid="{00000000-0005-0000-0000-000035C90000}"/>
    <cellStyle name="Percent 2 3 3 6" xfId="1383" xr:uid="{00000000-0005-0000-0000-000036C90000}"/>
    <cellStyle name="Percent 2 3 3 6 2" xfId="7012" xr:uid="{00000000-0005-0000-0000-000037C90000}"/>
    <cellStyle name="Percent 2 3 3 6 2 2" xfId="8489" xr:uid="{00000000-0005-0000-0000-000038C90000}"/>
    <cellStyle name="Percent 2 3 3 6 2 2 2" xfId="11386" xr:uid="{00000000-0005-0000-0000-000039C90000}"/>
    <cellStyle name="Percent 2 3 3 6 2 3" xfId="9946" xr:uid="{00000000-0005-0000-0000-00003AC90000}"/>
    <cellStyle name="Percent 2 3 3 6 2 4" xfId="42486" xr:uid="{00000000-0005-0000-0000-00003BC90000}"/>
    <cellStyle name="Percent 2 3 3 6 3" xfId="7830" xr:uid="{00000000-0005-0000-0000-00003CC90000}"/>
    <cellStyle name="Percent 2 3 3 6 3 2" xfId="10728" xr:uid="{00000000-0005-0000-0000-00003DC90000}"/>
    <cellStyle name="Percent 2 3 3 6 4" xfId="9288" xr:uid="{00000000-0005-0000-0000-00003EC90000}"/>
    <cellStyle name="Percent 2 3 3 6 5" xfId="6333" xr:uid="{00000000-0005-0000-0000-00003FC90000}"/>
    <cellStyle name="Percent 2 3 3 6 6" xfId="22917" xr:uid="{00000000-0005-0000-0000-000040C90000}"/>
    <cellStyle name="Percent 2 3 3 7" xfId="7478" xr:uid="{00000000-0005-0000-0000-000041C90000}"/>
    <cellStyle name="Percent 2 3 3 7 2" xfId="8952" xr:uid="{00000000-0005-0000-0000-000042C90000}"/>
    <cellStyle name="Percent 2 3 3 7 2 2" xfId="11849" xr:uid="{00000000-0005-0000-0000-000043C90000}"/>
    <cellStyle name="Percent 2 3 3 7 3" xfId="10409" xr:uid="{00000000-0005-0000-0000-000044C90000}"/>
    <cellStyle name="Percent 2 3 3 7 4" xfId="42133" xr:uid="{00000000-0005-0000-0000-000045C90000}"/>
    <cellStyle name="Percent 2 3 3 8" xfId="7537" xr:uid="{00000000-0005-0000-0000-000046C90000}"/>
    <cellStyle name="Percent 2 3 3 8 2" xfId="9009" xr:uid="{00000000-0005-0000-0000-000047C90000}"/>
    <cellStyle name="Percent 2 3 3 8 2 2" xfId="11906" xr:uid="{00000000-0005-0000-0000-000048C90000}"/>
    <cellStyle name="Percent 2 3 3 8 3" xfId="10466" xr:uid="{00000000-0005-0000-0000-000049C90000}"/>
    <cellStyle name="Percent 2 3 3 8 4" xfId="52954" xr:uid="{00000000-0005-0000-0000-00004AC90000}"/>
    <cellStyle name="Percent 2 3 3 9" xfId="6808" xr:uid="{00000000-0005-0000-0000-00004BC90000}"/>
    <cellStyle name="Percent 2 3 3 9 2" xfId="8289" xr:uid="{00000000-0005-0000-0000-00004CC90000}"/>
    <cellStyle name="Percent 2 3 3 9 2 2" xfId="11186" xr:uid="{00000000-0005-0000-0000-00004DC90000}"/>
    <cellStyle name="Percent 2 3 3 9 3" xfId="9746" xr:uid="{00000000-0005-0000-0000-00004EC90000}"/>
    <cellStyle name="Percent 2 3 4" xfId="1384" xr:uid="{00000000-0005-0000-0000-00004FC90000}"/>
    <cellStyle name="Percent 2 3 4 10" xfId="9102" xr:uid="{00000000-0005-0000-0000-000050C90000}"/>
    <cellStyle name="Percent 2 3 4 11" xfId="6114" xr:uid="{00000000-0005-0000-0000-000051C90000}"/>
    <cellStyle name="Percent 2 3 4 12" xfId="22536" xr:uid="{00000000-0005-0000-0000-000052C90000}"/>
    <cellStyle name="Percent 2 3 4 2" xfId="1385" xr:uid="{00000000-0005-0000-0000-000053C90000}"/>
    <cellStyle name="Percent 2 3 4 2 2" xfId="1386" xr:uid="{00000000-0005-0000-0000-000054C90000}"/>
    <cellStyle name="Percent 2 3 4 2 2 2" xfId="1387" xr:uid="{00000000-0005-0000-0000-000055C90000}"/>
    <cellStyle name="Percent 2 3 4 2 2 2 2" xfId="7427" xr:uid="{00000000-0005-0000-0000-000056C90000}"/>
    <cellStyle name="Percent 2 3 4 2 2 2 2 2" xfId="8904" xr:uid="{00000000-0005-0000-0000-000057C90000}"/>
    <cellStyle name="Percent 2 3 4 2 2 2 2 2 2" xfId="11801" xr:uid="{00000000-0005-0000-0000-000058C90000}"/>
    <cellStyle name="Percent 2 3 4 2 2 2 2 3" xfId="10361" xr:uid="{00000000-0005-0000-0000-000059C90000}"/>
    <cellStyle name="Percent 2 3 4 2 2 2 3" xfId="8246" xr:uid="{00000000-0005-0000-0000-00005AC90000}"/>
    <cellStyle name="Percent 2 3 4 2 2 2 3 2" xfId="11143" xr:uid="{00000000-0005-0000-0000-00005BC90000}"/>
    <cellStyle name="Percent 2 3 4 2 2 2 4" xfId="9703" xr:uid="{00000000-0005-0000-0000-00005CC90000}"/>
    <cellStyle name="Percent 2 3 4 2 2 2 5" xfId="6751" xr:uid="{00000000-0005-0000-0000-00005DC90000}"/>
    <cellStyle name="Percent 2 3 4 2 2 2 6" xfId="51926" xr:uid="{00000000-0005-0000-0000-00005EC90000}"/>
    <cellStyle name="Percent 2 3 4 2 2 3" xfId="7194" xr:uid="{00000000-0005-0000-0000-00005FC90000}"/>
    <cellStyle name="Percent 2 3 4 2 2 3 2" xfId="8671" xr:uid="{00000000-0005-0000-0000-000060C90000}"/>
    <cellStyle name="Percent 2 3 4 2 2 3 2 2" xfId="11568" xr:uid="{00000000-0005-0000-0000-000061C90000}"/>
    <cellStyle name="Percent 2 3 4 2 2 3 3" xfId="10128" xr:uid="{00000000-0005-0000-0000-000062C90000}"/>
    <cellStyle name="Percent 2 3 4 2 2 4" xfId="8013" xr:uid="{00000000-0005-0000-0000-000063C90000}"/>
    <cellStyle name="Percent 2 3 4 2 2 4 2" xfId="10910" xr:uid="{00000000-0005-0000-0000-000064C90000}"/>
    <cellStyle name="Percent 2 3 4 2 2 5" xfId="9470" xr:uid="{00000000-0005-0000-0000-000065C90000}"/>
    <cellStyle name="Percent 2 3 4 2 2 6" xfId="6518" xr:uid="{00000000-0005-0000-0000-000066C90000}"/>
    <cellStyle name="Percent 2 3 4 2 2 7" xfId="32739" xr:uid="{00000000-0005-0000-0000-000067C90000}"/>
    <cellStyle name="Percent 2 3 4 2 3" xfId="1388" xr:uid="{00000000-0005-0000-0000-000068C90000}"/>
    <cellStyle name="Percent 2 3 4 2 3 2" xfId="7311" xr:uid="{00000000-0005-0000-0000-000069C90000}"/>
    <cellStyle name="Percent 2 3 4 2 3 2 2" xfId="8788" xr:uid="{00000000-0005-0000-0000-00006AC90000}"/>
    <cellStyle name="Percent 2 3 4 2 3 2 2 2" xfId="11685" xr:uid="{00000000-0005-0000-0000-00006BC90000}"/>
    <cellStyle name="Percent 2 3 4 2 3 2 3" xfId="10245" xr:uid="{00000000-0005-0000-0000-00006CC90000}"/>
    <cellStyle name="Percent 2 3 4 2 3 2 4" xfId="42581" xr:uid="{00000000-0005-0000-0000-00006DC90000}"/>
    <cellStyle name="Percent 2 3 4 2 3 3" xfId="8130" xr:uid="{00000000-0005-0000-0000-00006EC90000}"/>
    <cellStyle name="Percent 2 3 4 2 3 3 2" xfId="11027" xr:uid="{00000000-0005-0000-0000-00006FC90000}"/>
    <cellStyle name="Percent 2 3 4 2 3 4" xfId="9587" xr:uid="{00000000-0005-0000-0000-000070C90000}"/>
    <cellStyle name="Percent 2 3 4 2 3 5" xfId="6635" xr:uid="{00000000-0005-0000-0000-000071C90000}"/>
    <cellStyle name="Percent 2 3 4 2 3 6" xfId="23012" xr:uid="{00000000-0005-0000-0000-000072C90000}"/>
    <cellStyle name="Percent 2 3 4 2 4" xfId="1389" xr:uid="{00000000-0005-0000-0000-000073C90000}"/>
    <cellStyle name="Percent 2 3 4 2 4 2" xfId="7078" xr:uid="{00000000-0005-0000-0000-000074C90000}"/>
    <cellStyle name="Percent 2 3 4 2 4 2 2" xfId="8555" xr:uid="{00000000-0005-0000-0000-000075C90000}"/>
    <cellStyle name="Percent 2 3 4 2 4 2 2 2" xfId="11452" xr:uid="{00000000-0005-0000-0000-000076C90000}"/>
    <cellStyle name="Percent 2 3 4 2 4 2 3" xfId="10012" xr:uid="{00000000-0005-0000-0000-000077C90000}"/>
    <cellStyle name="Percent 2 3 4 2 4 3" xfId="7896" xr:uid="{00000000-0005-0000-0000-000078C90000}"/>
    <cellStyle name="Percent 2 3 4 2 4 3 2" xfId="10794" xr:uid="{00000000-0005-0000-0000-000079C90000}"/>
    <cellStyle name="Percent 2 3 4 2 4 4" xfId="9354" xr:uid="{00000000-0005-0000-0000-00007AC90000}"/>
    <cellStyle name="Percent 2 3 4 2 4 5" xfId="6399" xr:uid="{00000000-0005-0000-0000-00007BC90000}"/>
    <cellStyle name="Percent 2 3 4 2 4 6" xfId="42228" xr:uid="{00000000-0005-0000-0000-00007CC90000}"/>
    <cellStyle name="Percent 2 3 4 2 5" xfId="6906" xr:uid="{00000000-0005-0000-0000-00007DC90000}"/>
    <cellStyle name="Percent 2 3 4 2 5 2" xfId="8384" xr:uid="{00000000-0005-0000-0000-00007EC90000}"/>
    <cellStyle name="Percent 2 3 4 2 5 2 2" xfId="11281" xr:uid="{00000000-0005-0000-0000-00007FC90000}"/>
    <cellStyle name="Percent 2 3 4 2 5 3" xfId="9841" xr:uid="{00000000-0005-0000-0000-000080C90000}"/>
    <cellStyle name="Percent 2 3 4 2 6" xfId="7723" xr:uid="{00000000-0005-0000-0000-000081C90000}"/>
    <cellStyle name="Percent 2 3 4 2 6 2" xfId="10623" xr:uid="{00000000-0005-0000-0000-000082C90000}"/>
    <cellStyle name="Percent 2 3 4 2 7" xfId="9183" xr:uid="{00000000-0005-0000-0000-000083C90000}"/>
    <cellStyle name="Percent 2 3 4 2 8" xfId="6202" xr:uid="{00000000-0005-0000-0000-000084C90000}"/>
    <cellStyle name="Percent 2 3 4 2 9" xfId="22651" xr:uid="{00000000-0005-0000-0000-000085C90000}"/>
    <cellStyle name="Percent 2 3 4 3" xfId="1390" xr:uid="{00000000-0005-0000-0000-000086C90000}"/>
    <cellStyle name="Percent 2 3 4 3 2" xfId="1391" xr:uid="{00000000-0005-0000-0000-000087C90000}"/>
    <cellStyle name="Percent 2 3 4 3 2 2" xfId="7371" xr:uid="{00000000-0005-0000-0000-000088C90000}"/>
    <cellStyle name="Percent 2 3 4 3 2 2 2" xfId="8848" xr:uid="{00000000-0005-0000-0000-000089C90000}"/>
    <cellStyle name="Percent 2 3 4 3 2 2 2 2" xfId="11745" xr:uid="{00000000-0005-0000-0000-00008AC90000}"/>
    <cellStyle name="Percent 2 3 4 3 2 2 3" xfId="10305" xr:uid="{00000000-0005-0000-0000-00008BC90000}"/>
    <cellStyle name="Percent 2 3 4 3 2 2 4" xfId="51982" xr:uid="{00000000-0005-0000-0000-00008CC90000}"/>
    <cellStyle name="Percent 2 3 4 3 2 3" xfId="8190" xr:uid="{00000000-0005-0000-0000-00008DC90000}"/>
    <cellStyle name="Percent 2 3 4 3 2 3 2" xfId="11087" xr:uid="{00000000-0005-0000-0000-00008EC90000}"/>
    <cellStyle name="Percent 2 3 4 3 2 4" xfId="9647" xr:uid="{00000000-0005-0000-0000-00008FC90000}"/>
    <cellStyle name="Percent 2 3 4 3 2 5" xfId="6695" xr:uid="{00000000-0005-0000-0000-000090C90000}"/>
    <cellStyle name="Percent 2 3 4 3 2 6" xfId="32795" xr:uid="{00000000-0005-0000-0000-000091C90000}"/>
    <cellStyle name="Percent 2 3 4 3 3" xfId="1392" xr:uid="{00000000-0005-0000-0000-000092C90000}"/>
    <cellStyle name="Percent 2 3 4 3 3 2" xfId="7138" xr:uid="{00000000-0005-0000-0000-000093C90000}"/>
    <cellStyle name="Percent 2 3 4 3 3 2 2" xfId="8615" xr:uid="{00000000-0005-0000-0000-000094C90000}"/>
    <cellStyle name="Percent 2 3 4 3 3 2 2 2" xfId="11512" xr:uid="{00000000-0005-0000-0000-000095C90000}"/>
    <cellStyle name="Percent 2 3 4 3 3 2 3" xfId="10072" xr:uid="{00000000-0005-0000-0000-000096C90000}"/>
    <cellStyle name="Percent 2 3 4 3 3 2 4" xfId="42637" xr:uid="{00000000-0005-0000-0000-000097C90000}"/>
    <cellStyle name="Percent 2 3 4 3 3 3" xfId="7957" xr:uid="{00000000-0005-0000-0000-000098C90000}"/>
    <cellStyle name="Percent 2 3 4 3 3 3 2" xfId="10854" xr:uid="{00000000-0005-0000-0000-000099C90000}"/>
    <cellStyle name="Percent 2 3 4 3 3 4" xfId="9414" xr:uid="{00000000-0005-0000-0000-00009AC90000}"/>
    <cellStyle name="Percent 2 3 4 3 3 5" xfId="6462" xr:uid="{00000000-0005-0000-0000-00009BC90000}"/>
    <cellStyle name="Percent 2 3 4 3 3 6" xfId="23068" xr:uid="{00000000-0005-0000-0000-00009CC90000}"/>
    <cellStyle name="Percent 2 3 4 3 4" xfId="6963" xr:uid="{00000000-0005-0000-0000-00009DC90000}"/>
    <cellStyle name="Percent 2 3 4 3 4 2" xfId="8440" xr:uid="{00000000-0005-0000-0000-00009EC90000}"/>
    <cellStyle name="Percent 2 3 4 3 4 2 2" xfId="11337" xr:uid="{00000000-0005-0000-0000-00009FC90000}"/>
    <cellStyle name="Percent 2 3 4 3 4 3" xfId="9897" xr:uid="{00000000-0005-0000-0000-0000A0C90000}"/>
    <cellStyle name="Percent 2 3 4 3 4 4" xfId="42284" xr:uid="{00000000-0005-0000-0000-0000A1C90000}"/>
    <cellStyle name="Percent 2 3 4 3 5" xfId="7780" xr:uid="{00000000-0005-0000-0000-0000A2C90000}"/>
    <cellStyle name="Percent 2 3 4 3 5 2" xfId="10679" xr:uid="{00000000-0005-0000-0000-0000A3C90000}"/>
    <cellStyle name="Percent 2 3 4 3 6" xfId="9239" xr:uid="{00000000-0005-0000-0000-0000A4C90000}"/>
    <cellStyle name="Percent 2 3 4 3 7" xfId="6264" xr:uid="{00000000-0005-0000-0000-0000A5C90000}"/>
    <cellStyle name="Percent 2 3 4 3 8" xfId="22709" xr:uid="{00000000-0005-0000-0000-0000A6C90000}"/>
    <cellStyle name="Percent 2 3 4 4" xfId="1393" xr:uid="{00000000-0005-0000-0000-0000A7C90000}"/>
    <cellStyle name="Percent 2 3 4 4 2" xfId="7255" xr:uid="{00000000-0005-0000-0000-0000A8C90000}"/>
    <cellStyle name="Percent 2 3 4 4 2 2" xfId="8732" xr:uid="{00000000-0005-0000-0000-0000A9C90000}"/>
    <cellStyle name="Percent 2 3 4 4 2 2 2" xfId="11629" xr:uid="{00000000-0005-0000-0000-0000AAC90000}"/>
    <cellStyle name="Percent 2 3 4 4 2 3" xfId="10189" xr:uid="{00000000-0005-0000-0000-0000ABC90000}"/>
    <cellStyle name="Percent 2 3 4 4 2 4" xfId="51845" xr:uid="{00000000-0005-0000-0000-0000ACC90000}"/>
    <cellStyle name="Percent 2 3 4 4 3" xfId="8074" xr:uid="{00000000-0005-0000-0000-0000ADC90000}"/>
    <cellStyle name="Percent 2 3 4 4 3 2" xfId="10971" xr:uid="{00000000-0005-0000-0000-0000AEC90000}"/>
    <cellStyle name="Percent 2 3 4 4 4" xfId="9531" xr:uid="{00000000-0005-0000-0000-0000AFC90000}"/>
    <cellStyle name="Percent 2 3 4 4 5" xfId="6579" xr:uid="{00000000-0005-0000-0000-0000B0C90000}"/>
    <cellStyle name="Percent 2 3 4 4 6" xfId="32658" xr:uid="{00000000-0005-0000-0000-0000B1C90000}"/>
    <cellStyle name="Percent 2 3 4 5" xfId="1394" xr:uid="{00000000-0005-0000-0000-0000B2C90000}"/>
    <cellStyle name="Percent 2 3 4 5 2" xfId="7022" xr:uid="{00000000-0005-0000-0000-0000B3C90000}"/>
    <cellStyle name="Percent 2 3 4 5 2 2" xfId="8499" xr:uid="{00000000-0005-0000-0000-0000B4C90000}"/>
    <cellStyle name="Percent 2 3 4 5 2 2 2" xfId="11396" xr:uid="{00000000-0005-0000-0000-0000B5C90000}"/>
    <cellStyle name="Percent 2 3 4 5 2 3" xfId="9956" xr:uid="{00000000-0005-0000-0000-0000B6C90000}"/>
    <cellStyle name="Percent 2 3 4 5 2 4" xfId="42500" xr:uid="{00000000-0005-0000-0000-0000B7C90000}"/>
    <cellStyle name="Percent 2 3 4 5 3" xfId="7840" xr:uid="{00000000-0005-0000-0000-0000B8C90000}"/>
    <cellStyle name="Percent 2 3 4 5 3 2" xfId="10738" xr:uid="{00000000-0005-0000-0000-0000B9C90000}"/>
    <cellStyle name="Percent 2 3 4 5 4" xfId="9298" xr:uid="{00000000-0005-0000-0000-0000BAC90000}"/>
    <cellStyle name="Percent 2 3 4 5 5" xfId="6343" xr:uid="{00000000-0005-0000-0000-0000BBC90000}"/>
    <cellStyle name="Percent 2 3 4 5 6" xfId="22931" xr:uid="{00000000-0005-0000-0000-0000BCC90000}"/>
    <cellStyle name="Percent 2 3 4 6" xfId="7488" xr:uid="{00000000-0005-0000-0000-0000BDC90000}"/>
    <cellStyle name="Percent 2 3 4 6 2" xfId="8962" xr:uid="{00000000-0005-0000-0000-0000BEC90000}"/>
    <cellStyle name="Percent 2 3 4 6 2 2" xfId="11859" xr:uid="{00000000-0005-0000-0000-0000BFC90000}"/>
    <cellStyle name="Percent 2 3 4 6 3" xfId="10419" xr:uid="{00000000-0005-0000-0000-0000C0C90000}"/>
    <cellStyle name="Percent 2 3 4 6 4" xfId="42147" xr:uid="{00000000-0005-0000-0000-0000C1C90000}"/>
    <cellStyle name="Percent 2 3 4 7" xfId="7547" xr:uid="{00000000-0005-0000-0000-0000C2C90000}"/>
    <cellStyle name="Percent 2 3 4 7 2" xfId="9019" xr:uid="{00000000-0005-0000-0000-0000C3C90000}"/>
    <cellStyle name="Percent 2 3 4 7 2 2" xfId="11916" xr:uid="{00000000-0005-0000-0000-0000C4C90000}"/>
    <cellStyle name="Percent 2 3 4 7 3" xfId="10476" xr:uid="{00000000-0005-0000-0000-0000C5C90000}"/>
    <cellStyle name="Percent 2 3 4 7 4" xfId="53433" xr:uid="{00000000-0005-0000-0000-0000C6C90000}"/>
    <cellStyle name="Percent 2 3 4 8" xfId="6823" xr:uid="{00000000-0005-0000-0000-0000C7C90000}"/>
    <cellStyle name="Percent 2 3 4 8 2" xfId="8303" xr:uid="{00000000-0005-0000-0000-0000C8C90000}"/>
    <cellStyle name="Percent 2 3 4 8 2 2" xfId="11200" xr:uid="{00000000-0005-0000-0000-0000C9C90000}"/>
    <cellStyle name="Percent 2 3 4 8 3" xfId="9760" xr:uid="{00000000-0005-0000-0000-0000CAC90000}"/>
    <cellStyle name="Percent 2 3 4 9" xfId="7642" xr:uid="{00000000-0005-0000-0000-0000CBC90000}"/>
    <cellStyle name="Percent 2 3 4 9 2" xfId="10542" xr:uid="{00000000-0005-0000-0000-0000CCC90000}"/>
    <cellStyle name="Percent 2 3 5" xfId="1395" xr:uid="{00000000-0005-0000-0000-0000CDC90000}"/>
    <cellStyle name="Percent 2 3 5 2" xfId="1396" xr:uid="{00000000-0005-0000-0000-0000CEC90000}"/>
    <cellStyle name="Percent 2 3 5 2 2" xfId="1397" xr:uid="{00000000-0005-0000-0000-0000CFC90000}"/>
    <cellStyle name="Percent 2 3 5 2 2 2" xfId="7397" xr:uid="{00000000-0005-0000-0000-0000D0C90000}"/>
    <cellStyle name="Percent 2 3 5 2 2 2 2" xfId="8874" xr:uid="{00000000-0005-0000-0000-0000D1C90000}"/>
    <cellStyle name="Percent 2 3 5 2 2 2 2 2" xfId="11771" xr:uid="{00000000-0005-0000-0000-0000D2C90000}"/>
    <cellStyle name="Percent 2 3 5 2 2 2 3" xfId="10331" xr:uid="{00000000-0005-0000-0000-0000D3C90000}"/>
    <cellStyle name="Percent 2 3 5 2 2 3" xfId="8216" xr:uid="{00000000-0005-0000-0000-0000D4C90000}"/>
    <cellStyle name="Percent 2 3 5 2 2 3 2" xfId="11113" xr:uid="{00000000-0005-0000-0000-0000D5C90000}"/>
    <cellStyle name="Percent 2 3 5 2 2 4" xfId="9673" xr:uid="{00000000-0005-0000-0000-0000D6C90000}"/>
    <cellStyle name="Percent 2 3 5 2 2 5" xfId="6721" xr:uid="{00000000-0005-0000-0000-0000D7C90000}"/>
    <cellStyle name="Percent 2 3 5 2 2 6" xfId="51896" xr:uid="{00000000-0005-0000-0000-0000D8C90000}"/>
    <cellStyle name="Percent 2 3 5 2 3" xfId="7164" xr:uid="{00000000-0005-0000-0000-0000D9C90000}"/>
    <cellStyle name="Percent 2 3 5 2 3 2" xfId="8641" xr:uid="{00000000-0005-0000-0000-0000DAC90000}"/>
    <cellStyle name="Percent 2 3 5 2 3 2 2" xfId="11538" xr:uid="{00000000-0005-0000-0000-0000DBC90000}"/>
    <cellStyle name="Percent 2 3 5 2 3 3" xfId="10098" xr:uid="{00000000-0005-0000-0000-0000DCC90000}"/>
    <cellStyle name="Percent 2 3 5 2 4" xfId="7983" xr:uid="{00000000-0005-0000-0000-0000DDC90000}"/>
    <cellStyle name="Percent 2 3 5 2 4 2" xfId="10880" xr:uid="{00000000-0005-0000-0000-0000DEC90000}"/>
    <cellStyle name="Percent 2 3 5 2 5" xfId="9440" xr:uid="{00000000-0005-0000-0000-0000DFC90000}"/>
    <cellStyle name="Percent 2 3 5 2 6" xfId="6488" xr:uid="{00000000-0005-0000-0000-0000E0C90000}"/>
    <cellStyle name="Percent 2 3 5 2 7" xfId="32709" xr:uid="{00000000-0005-0000-0000-0000E1C90000}"/>
    <cellStyle name="Percent 2 3 5 3" xfId="1398" xr:uid="{00000000-0005-0000-0000-0000E2C90000}"/>
    <cellStyle name="Percent 2 3 5 3 2" xfId="7281" xr:uid="{00000000-0005-0000-0000-0000E3C90000}"/>
    <cellStyle name="Percent 2 3 5 3 2 2" xfId="8758" xr:uid="{00000000-0005-0000-0000-0000E4C90000}"/>
    <cellStyle name="Percent 2 3 5 3 2 2 2" xfId="11655" xr:uid="{00000000-0005-0000-0000-0000E5C90000}"/>
    <cellStyle name="Percent 2 3 5 3 2 3" xfId="10215" xr:uid="{00000000-0005-0000-0000-0000E6C90000}"/>
    <cellStyle name="Percent 2 3 5 3 2 4" xfId="42551" xr:uid="{00000000-0005-0000-0000-0000E7C90000}"/>
    <cellStyle name="Percent 2 3 5 3 3" xfId="8100" xr:uid="{00000000-0005-0000-0000-0000E8C90000}"/>
    <cellStyle name="Percent 2 3 5 3 3 2" xfId="10997" xr:uid="{00000000-0005-0000-0000-0000E9C90000}"/>
    <cellStyle name="Percent 2 3 5 3 4" xfId="9557" xr:uid="{00000000-0005-0000-0000-0000EAC90000}"/>
    <cellStyle name="Percent 2 3 5 3 5" xfId="6605" xr:uid="{00000000-0005-0000-0000-0000EBC90000}"/>
    <cellStyle name="Percent 2 3 5 3 6" xfId="22982" xr:uid="{00000000-0005-0000-0000-0000ECC90000}"/>
    <cellStyle name="Percent 2 3 5 4" xfId="1399" xr:uid="{00000000-0005-0000-0000-0000EDC90000}"/>
    <cellStyle name="Percent 2 3 5 4 2" xfId="7048" xr:uid="{00000000-0005-0000-0000-0000EEC90000}"/>
    <cellStyle name="Percent 2 3 5 4 2 2" xfId="8525" xr:uid="{00000000-0005-0000-0000-0000EFC90000}"/>
    <cellStyle name="Percent 2 3 5 4 2 2 2" xfId="11422" xr:uid="{00000000-0005-0000-0000-0000F0C90000}"/>
    <cellStyle name="Percent 2 3 5 4 2 3" xfId="9982" xr:uid="{00000000-0005-0000-0000-0000F1C90000}"/>
    <cellStyle name="Percent 2 3 5 4 3" xfId="7866" xr:uid="{00000000-0005-0000-0000-0000F2C90000}"/>
    <cellStyle name="Percent 2 3 5 4 3 2" xfId="10764" xr:uid="{00000000-0005-0000-0000-0000F3C90000}"/>
    <cellStyle name="Percent 2 3 5 4 4" xfId="9324" xr:uid="{00000000-0005-0000-0000-0000F4C90000}"/>
    <cellStyle name="Percent 2 3 5 4 5" xfId="6369" xr:uid="{00000000-0005-0000-0000-0000F5C90000}"/>
    <cellStyle name="Percent 2 3 5 4 6" xfId="42198" xr:uid="{00000000-0005-0000-0000-0000F6C90000}"/>
    <cellStyle name="Percent 2 3 5 5" xfId="6876" xr:uid="{00000000-0005-0000-0000-0000F7C90000}"/>
    <cellStyle name="Percent 2 3 5 5 2" xfId="8354" xr:uid="{00000000-0005-0000-0000-0000F8C90000}"/>
    <cellStyle name="Percent 2 3 5 5 2 2" xfId="11251" xr:uid="{00000000-0005-0000-0000-0000F9C90000}"/>
    <cellStyle name="Percent 2 3 5 5 3" xfId="9811" xr:uid="{00000000-0005-0000-0000-0000FAC90000}"/>
    <cellStyle name="Percent 2 3 5 6" xfId="7693" xr:uid="{00000000-0005-0000-0000-0000FBC90000}"/>
    <cellStyle name="Percent 2 3 5 6 2" xfId="10593" xr:uid="{00000000-0005-0000-0000-0000FCC90000}"/>
    <cellStyle name="Percent 2 3 5 7" xfId="9153" xr:uid="{00000000-0005-0000-0000-0000FDC90000}"/>
    <cellStyle name="Percent 2 3 5 8" xfId="6171" xr:uid="{00000000-0005-0000-0000-0000FEC90000}"/>
    <cellStyle name="Percent 2 3 5 9" xfId="22620" xr:uid="{00000000-0005-0000-0000-0000FFC90000}"/>
    <cellStyle name="Percent 2 3 6" xfId="1400" xr:uid="{00000000-0005-0000-0000-000000CA0000}"/>
    <cellStyle name="Percent 2 3 6 2" xfId="1401" xr:uid="{00000000-0005-0000-0000-000001CA0000}"/>
    <cellStyle name="Percent 2 3 6 2 2" xfId="7345" xr:uid="{00000000-0005-0000-0000-000002CA0000}"/>
    <cellStyle name="Percent 2 3 6 2 2 2" xfId="8822" xr:uid="{00000000-0005-0000-0000-000003CA0000}"/>
    <cellStyle name="Percent 2 3 6 2 2 2 2" xfId="11719" xr:uid="{00000000-0005-0000-0000-000004CA0000}"/>
    <cellStyle name="Percent 2 3 6 2 2 3" xfId="10279" xr:uid="{00000000-0005-0000-0000-000005CA0000}"/>
    <cellStyle name="Percent 2 3 6 2 2 4" xfId="51952" xr:uid="{00000000-0005-0000-0000-000006CA0000}"/>
    <cellStyle name="Percent 2 3 6 2 3" xfId="8164" xr:uid="{00000000-0005-0000-0000-000007CA0000}"/>
    <cellStyle name="Percent 2 3 6 2 3 2" xfId="11061" xr:uid="{00000000-0005-0000-0000-000008CA0000}"/>
    <cellStyle name="Percent 2 3 6 2 4" xfId="9621" xr:uid="{00000000-0005-0000-0000-000009CA0000}"/>
    <cellStyle name="Percent 2 3 6 2 5" xfId="6669" xr:uid="{00000000-0005-0000-0000-00000ACA0000}"/>
    <cellStyle name="Percent 2 3 6 2 6" xfId="32765" xr:uid="{00000000-0005-0000-0000-00000BCA0000}"/>
    <cellStyle name="Percent 2 3 6 3" xfId="1402" xr:uid="{00000000-0005-0000-0000-00000CCA0000}"/>
    <cellStyle name="Percent 2 3 6 3 2" xfId="7112" xr:uid="{00000000-0005-0000-0000-00000DCA0000}"/>
    <cellStyle name="Percent 2 3 6 3 2 2" xfId="8589" xr:uid="{00000000-0005-0000-0000-00000ECA0000}"/>
    <cellStyle name="Percent 2 3 6 3 2 2 2" xfId="11486" xr:uid="{00000000-0005-0000-0000-00000FCA0000}"/>
    <cellStyle name="Percent 2 3 6 3 2 3" xfId="10046" xr:uid="{00000000-0005-0000-0000-000010CA0000}"/>
    <cellStyle name="Percent 2 3 6 3 2 4" xfId="42607" xr:uid="{00000000-0005-0000-0000-000011CA0000}"/>
    <cellStyle name="Percent 2 3 6 3 3" xfId="7931" xr:uid="{00000000-0005-0000-0000-000012CA0000}"/>
    <cellStyle name="Percent 2 3 6 3 3 2" xfId="10828" xr:uid="{00000000-0005-0000-0000-000013CA0000}"/>
    <cellStyle name="Percent 2 3 6 3 4" xfId="9388" xr:uid="{00000000-0005-0000-0000-000014CA0000}"/>
    <cellStyle name="Percent 2 3 6 3 5" xfId="6436" xr:uid="{00000000-0005-0000-0000-000015CA0000}"/>
    <cellStyle name="Percent 2 3 6 3 6" xfId="23038" xr:uid="{00000000-0005-0000-0000-000016CA0000}"/>
    <cellStyle name="Percent 2 3 6 4" xfId="6933" xr:uid="{00000000-0005-0000-0000-000017CA0000}"/>
    <cellStyle name="Percent 2 3 6 4 2" xfId="8410" xr:uid="{00000000-0005-0000-0000-000018CA0000}"/>
    <cellStyle name="Percent 2 3 6 4 2 2" xfId="11307" xr:uid="{00000000-0005-0000-0000-000019CA0000}"/>
    <cellStyle name="Percent 2 3 6 4 3" xfId="9867" xr:uid="{00000000-0005-0000-0000-00001ACA0000}"/>
    <cellStyle name="Percent 2 3 6 4 4" xfId="42254" xr:uid="{00000000-0005-0000-0000-00001BCA0000}"/>
    <cellStyle name="Percent 2 3 6 5" xfId="7750" xr:uid="{00000000-0005-0000-0000-00001CCA0000}"/>
    <cellStyle name="Percent 2 3 6 5 2" xfId="10649" xr:uid="{00000000-0005-0000-0000-00001DCA0000}"/>
    <cellStyle name="Percent 2 3 6 6" xfId="9209" xr:uid="{00000000-0005-0000-0000-00001ECA0000}"/>
    <cellStyle name="Percent 2 3 6 7" xfId="6234" xr:uid="{00000000-0005-0000-0000-00001FCA0000}"/>
    <cellStyle name="Percent 2 3 6 8" xfId="22679" xr:uid="{00000000-0005-0000-0000-000020CA0000}"/>
    <cellStyle name="Percent 2 3 7" xfId="1403" xr:uid="{00000000-0005-0000-0000-000021CA0000}"/>
    <cellStyle name="Percent 2 3 7 2" xfId="7229" xr:uid="{00000000-0005-0000-0000-000022CA0000}"/>
    <cellStyle name="Percent 2 3 7 2 2" xfId="8706" xr:uid="{00000000-0005-0000-0000-000023CA0000}"/>
    <cellStyle name="Percent 2 3 7 2 2 2" xfId="11603" xr:uid="{00000000-0005-0000-0000-000024CA0000}"/>
    <cellStyle name="Percent 2 3 7 2 2 3" xfId="51815" xr:uid="{00000000-0005-0000-0000-000025CA0000}"/>
    <cellStyle name="Percent 2 3 7 2 3" xfId="10163" xr:uid="{00000000-0005-0000-0000-000026CA0000}"/>
    <cellStyle name="Percent 2 3 7 2 4" xfId="32628" xr:uid="{00000000-0005-0000-0000-000027CA0000}"/>
    <cellStyle name="Percent 2 3 7 3" xfId="8048" xr:uid="{00000000-0005-0000-0000-000028CA0000}"/>
    <cellStyle name="Percent 2 3 7 3 2" xfId="10945" xr:uid="{00000000-0005-0000-0000-000029CA0000}"/>
    <cellStyle name="Percent 2 3 7 3 3" xfId="42117" xr:uid="{00000000-0005-0000-0000-00002ACA0000}"/>
    <cellStyle name="Percent 2 3 7 4" xfId="9505" xr:uid="{00000000-0005-0000-0000-00002BCA0000}"/>
    <cellStyle name="Percent 2 3 7 5" xfId="6553" xr:uid="{00000000-0005-0000-0000-00002CCA0000}"/>
    <cellStyle name="Percent 2 3 7 6" xfId="22501" xr:uid="{00000000-0005-0000-0000-00002DCA0000}"/>
    <cellStyle name="Percent 2 3 8" xfId="1404" xr:uid="{00000000-0005-0000-0000-00002ECA0000}"/>
    <cellStyle name="Percent 2 3 8 2" xfId="6996" xr:uid="{00000000-0005-0000-0000-00002FCA0000}"/>
    <cellStyle name="Percent 2 3 8 2 2" xfId="8473" xr:uid="{00000000-0005-0000-0000-000030CA0000}"/>
    <cellStyle name="Percent 2 3 8 2 2 2" xfId="11370" xr:uid="{00000000-0005-0000-0000-000031CA0000}"/>
    <cellStyle name="Percent 2 3 8 2 3" xfId="9930" xr:uid="{00000000-0005-0000-0000-000032CA0000}"/>
    <cellStyle name="Percent 2 3 8 3" xfId="7814" xr:uid="{00000000-0005-0000-0000-000033CA0000}"/>
    <cellStyle name="Percent 2 3 8 3 2" xfId="10712" xr:uid="{00000000-0005-0000-0000-000034CA0000}"/>
    <cellStyle name="Percent 2 3 8 4" xfId="9272" xr:uid="{00000000-0005-0000-0000-000035CA0000}"/>
    <cellStyle name="Percent 2 3 8 5" xfId="6317" xr:uid="{00000000-0005-0000-0000-000036CA0000}"/>
    <cellStyle name="Percent 2 3 8 6" xfId="23475" xr:uid="{00000000-0005-0000-0000-000037CA0000}"/>
    <cellStyle name="Percent 2 3 9" xfId="5535" xr:uid="{00000000-0005-0000-0000-000038CA0000}"/>
    <cellStyle name="Percent 2 3 9 2" xfId="8936" xr:uid="{00000000-0005-0000-0000-000039CA0000}"/>
    <cellStyle name="Percent 2 3 9 2 2" xfId="11833" xr:uid="{00000000-0005-0000-0000-00003ACA0000}"/>
    <cellStyle name="Percent 2 3 9 2 3" xfId="42470" xr:uid="{00000000-0005-0000-0000-00003BCA0000}"/>
    <cellStyle name="Percent 2 3 9 3" xfId="10393" xr:uid="{00000000-0005-0000-0000-00003CCA0000}"/>
    <cellStyle name="Percent 2 3 9 4" xfId="7462" xr:uid="{00000000-0005-0000-0000-00003DCA0000}"/>
    <cellStyle name="Percent 2 3 9 5" xfId="22901" xr:uid="{00000000-0005-0000-0000-00003ECA0000}"/>
    <cellStyle name="Percent 2 4" xfId="1405" xr:uid="{00000000-0005-0000-0000-00003FCA0000}"/>
    <cellStyle name="Percent 2 4 2" xfId="22755" xr:uid="{00000000-0005-0000-0000-000040CA0000}"/>
    <cellStyle name="Percent 2 4 2 2" xfId="32839" xr:uid="{00000000-0005-0000-0000-000041CA0000}"/>
    <cellStyle name="Percent 2 4 2 2 2" xfId="52025" xr:uid="{00000000-0005-0000-0000-000042CA0000}"/>
    <cellStyle name="Percent 2 4 2 2 2 2" xfId="54056" xr:uid="{00000000-0005-0000-0000-000043CA0000}"/>
    <cellStyle name="Percent 2 4 2 2 3" xfId="53203" xr:uid="{00000000-0005-0000-0000-000044CA0000}"/>
    <cellStyle name="Percent 2 4 2 3" xfId="42327" xr:uid="{00000000-0005-0000-0000-000045CA0000}"/>
    <cellStyle name="Percent 2 4 2 3 2" xfId="53660" xr:uid="{00000000-0005-0000-0000-000046CA0000}"/>
    <cellStyle name="Percent 2 4 2 4" xfId="52775" xr:uid="{00000000-0005-0000-0000-000047CA0000}"/>
    <cellStyle name="Percent 2 4 3" xfId="23581" xr:uid="{00000000-0005-0000-0000-000048CA0000}"/>
    <cellStyle name="Percent 2 4 3 2" xfId="53860" xr:uid="{00000000-0005-0000-0000-000049CA0000}"/>
    <cellStyle name="Percent 2 4 3 3" xfId="52985" xr:uid="{00000000-0005-0000-0000-00004ACA0000}"/>
    <cellStyle name="Percent 2 4 4" xfId="23112" xr:uid="{00000000-0005-0000-0000-00004BCA0000}"/>
    <cellStyle name="Percent 2 4 4 2" xfId="42680" xr:uid="{00000000-0005-0000-0000-00004CCA0000}"/>
    <cellStyle name="Percent 2 4 4 3" xfId="53464" xr:uid="{00000000-0005-0000-0000-00004DCA0000}"/>
    <cellStyle name="Percent 2 4 5" xfId="12761" xr:uid="{00000000-0005-0000-0000-00004ECA0000}"/>
    <cellStyle name="Percent 2 4 6" xfId="52575" xr:uid="{00000000-0005-0000-0000-00004FCA0000}"/>
    <cellStyle name="Percent 2 4 7" xfId="12084" xr:uid="{00000000-0005-0000-0000-000050CA0000}"/>
    <cellStyle name="Percent 2 5" xfId="1406" xr:uid="{00000000-0005-0000-0000-000051CA0000}"/>
    <cellStyle name="Percent 2 5 10" xfId="23113" xr:uid="{00000000-0005-0000-0000-000052CA0000}"/>
    <cellStyle name="Percent 2 5 10 2" xfId="42681" xr:uid="{00000000-0005-0000-0000-000053CA0000}"/>
    <cellStyle name="Percent 2 5 11" xfId="33192" xr:uid="{00000000-0005-0000-0000-000054CA0000}"/>
    <cellStyle name="Percent 2 5 12" xfId="12882" xr:uid="{00000000-0005-0000-0000-000055CA0000}"/>
    <cellStyle name="Percent 2 5 13" xfId="52609" xr:uid="{00000000-0005-0000-0000-000056CA0000}"/>
    <cellStyle name="Percent 2 5 14" xfId="12081" xr:uid="{00000000-0005-0000-0000-000057CA0000}"/>
    <cellStyle name="Percent 2 5 2" xfId="5537" xr:uid="{00000000-0005-0000-0000-000058CA0000}"/>
    <cellStyle name="Percent 2 5 2 2" xfId="5538" xr:uid="{00000000-0005-0000-0000-000059CA0000}"/>
    <cellStyle name="Percent 2 5 2 2 2" xfId="5539" xr:uid="{00000000-0005-0000-0000-00005ACA0000}"/>
    <cellStyle name="Percent 2 5 2 2 2 2" xfId="5540" xr:uid="{00000000-0005-0000-0000-00005BCA0000}"/>
    <cellStyle name="Percent 2 5 2 2 2 2 2" xfId="50129" xr:uid="{00000000-0005-0000-0000-00005CCA0000}"/>
    <cellStyle name="Percent 2 5 2 2 2 2 3" xfId="30940" xr:uid="{00000000-0005-0000-0000-00005DCA0000}"/>
    <cellStyle name="Percent 2 5 2 2 2 3" xfId="40431" xr:uid="{00000000-0005-0000-0000-00005ECA0000}"/>
    <cellStyle name="Percent 2 5 2 2 2 4" xfId="54090" xr:uid="{00000000-0005-0000-0000-00005FCA0000}"/>
    <cellStyle name="Percent 2 5 2 2 2 5" xfId="20572" xr:uid="{00000000-0005-0000-0000-000060CA0000}"/>
    <cellStyle name="Percent 2 5 2 2 3" xfId="5541" xr:uid="{00000000-0005-0000-0000-000061CA0000}"/>
    <cellStyle name="Percent 2 5 2 2 3 2" xfId="45674" xr:uid="{00000000-0005-0000-0000-000062CA0000}"/>
    <cellStyle name="Percent 2 5 2 2 3 3" xfId="26485" xr:uid="{00000000-0005-0000-0000-000063CA0000}"/>
    <cellStyle name="Percent 2 5 2 2 4" xfId="35976" xr:uid="{00000000-0005-0000-0000-000064CA0000}"/>
    <cellStyle name="Percent 2 5 2 2 5" xfId="53237" xr:uid="{00000000-0005-0000-0000-000065CA0000}"/>
    <cellStyle name="Percent 2 5 2 2 6" xfId="16108" xr:uid="{00000000-0005-0000-0000-000066CA0000}"/>
    <cellStyle name="Percent 2 5 2 3" xfId="5542" xr:uid="{00000000-0005-0000-0000-000067CA0000}"/>
    <cellStyle name="Percent 2 5 2 3 2" xfId="5543" xr:uid="{00000000-0005-0000-0000-000068CA0000}"/>
    <cellStyle name="Percent 2 5 2 3 2 2" xfId="47901" xr:uid="{00000000-0005-0000-0000-000069CA0000}"/>
    <cellStyle name="Percent 2 5 2 3 2 3" xfId="28712" xr:uid="{00000000-0005-0000-0000-00006ACA0000}"/>
    <cellStyle name="Percent 2 5 2 3 3" xfId="38203" xr:uid="{00000000-0005-0000-0000-00006BCA0000}"/>
    <cellStyle name="Percent 2 5 2 3 4" xfId="53694" xr:uid="{00000000-0005-0000-0000-00006CCA0000}"/>
    <cellStyle name="Percent 2 5 2 3 5" xfId="18344" xr:uid="{00000000-0005-0000-0000-00006DCA0000}"/>
    <cellStyle name="Percent 2 5 2 4" xfId="5544" xr:uid="{00000000-0005-0000-0000-00006ECA0000}"/>
    <cellStyle name="Percent 2 5 2 4 2" xfId="43446" xr:uid="{00000000-0005-0000-0000-00006FCA0000}"/>
    <cellStyle name="Percent 2 5 2 4 3" xfId="24252" xr:uid="{00000000-0005-0000-0000-000070CA0000}"/>
    <cellStyle name="Percent 2 5 2 5" xfId="33748" xr:uid="{00000000-0005-0000-0000-000071CA0000}"/>
    <cellStyle name="Percent 2 5 2 6" xfId="52809" xr:uid="{00000000-0005-0000-0000-000072CA0000}"/>
    <cellStyle name="Percent 2 5 2 7" xfId="13844" xr:uid="{00000000-0005-0000-0000-000073CA0000}"/>
    <cellStyle name="Percent 2 5 3" xfId="5545" xr:uid="{00000000-0005-0000-0000-000074CA0000}"/>
    <cellStyle name="Percent 2 5 3 2" xfId="5546" xr:uid="{00000000-0005-0000-0000-000075CA0000}"/>
    <cellStyle name="Percent 2 5 3 2 2" xfId="5547" xr:uid="{00000000-0005-0000-0000-000076CA0000}"/>
    <cellStyle name="Percent 2 5 3 2 2 2" xfId="5548" xr:uid="{00000000-0005-0000-0000-000077CA0000}"/>
    <cellStyle name="Percent 2 5 3 2 2 2 2" xfId="49573" xr:uid="{00000000-0005-0000-0000-000078CA0000}"/>
    <cellStyle name="Percent 2 5 3 2 2 2 3" xfId="30384" xr:uid="{00000000-0005-0000-0000-000079CA0000}"/>
    <cellStyle name="Percent 2 5 3 2 2 3" xfId="39875" xr:uid="{00000000-0005-0000-0000-00007ACA0000}"/>
    <cellStyle name="Percent 2 5 3 2 2 4" xfId="20016" xr:uid="{00000000-0005-0000-0000-00007BCA0000}"/>
    <cellStyle name="Percent 2 5 3 2 3" xfId="5549" xr:uid="{00000000-0005-0000-0000-00007CCA0000}"/>
    <cellStyle name="Percent 2 5 3 2 3 2" xfId="45118" xr:uid="{00000000-0005-0000-0000-00007DCA0000}"/>
    <cellStyle name="Percent 2 5 3 2 3 3" xfId="25929" xr:uid="{00000000-0005-0000-0000-00007ECA0000}"/>
    <cellStyle name="Percent 2 5 3 2 4" xfId="35420" xr:uid="{00000000-0005-0000-0000-00007FCA0000}"/>
    <cellStyle name="Percent 2 5 3 2 5" xfId="53894" xr:uid="{00000000-0005-0000-0000-000080CA0000}"/>
    <cellStyle name="Percent 2 5 3 2 6" xfId="15552" xr:uid="{00000000-0005-0000-0000-000081CA0000}"/>
    <cellStyle name="Percent 2 5 3 3" xfId="5550" xr:uid="{00000000-0005-0000-0000-000082CA0000}"/>
    <cellStyle name="Percent 2 5 3 3 2" xfId="5551" xr:uid="{00000000-0005-0000-0000-000083CA0000}"/>
    <cellStyle name="Percent 2 5 3 3 2 2" xfId="48458" xr:uid="{00000000-0005-0000-0000-000084CA0000}"/>
    <cellStyle name="Percent 2 5 3 3 2 3" xfId="29269" xr:uid="{00000000-0005-0000-0000-000085CA0000}"/>
    <cellStyle name="Percent 2 5 3 3 3" xfId="38760" xr:uid="{00000000-0005-0000-0000-000086CA0000}"/>
    <cellStyle name="Percent 2 5 3 3 4" xfId="18901" xr:uid="{00000000-0005-0000-0000-000087CA0000}"/>
    <cellStyle name="Percent 2 5 3 4" xfId="5552" xr:uid="{00000000-0005-0000-0000-000088CA0000}"/>
    <cellStyle name="Percent 2 5 3 4 2" xfId="44003" xr:uid="{00000000-0005-0000-0000-000089CA0000}"/>
    <cellStyle name="Percent 2 5 3 4 3" xfId="24814" xr:uid="{00000000-0005-0000-0000-00008ACA0000}"/>
    <cellStyle name="Percent 2 5 3 5" xfId="34305" xr:uid="{00000000-0005-0000-0000-00008BCA0000}"/>
    <cellStyle name="Percent 2 5 3 6" xfId="53019" xr:uid="{00000000-0005-0000-0000-00008CCA0000}"/>
    <cellStyle name="Percent 2 5 3 7" xfId="14423" xr:uid="{00000000-0005-0000-0000-00008DCA0000}"/>
    <cellStyle name="Percent 2 5 4" xfId="5553" xr:uid="{00000000-0005-0000-0000-00008ECA0000}"/>
    <cellStyle name="Percent 2 5 4 2" xfId="5554" xr:uid="{00000000-0005-0000-0000-00008FCA0000}"/>
    <cellStyle name="Percent 2 5 4 2 2" xfId="5555" xr:uid="{00000000-0005-0000-0000-000090CA0000}"/>
    <cellStyle name="Percent 2 5 4 2 2 2" xfId="49016" xr:uid="{00000000-0005-0000-0000-000091CA0000}"/>
    <cellStyle name="Percent 2 5 4 2 2 3" xfId="29827" xr:uid="{00000000-0005-0000-0000-000092CA0000}"/>
    <cellStyle name="Percent 2 5 4 2 3" xfId="39318" xr:uid="{00000000-0005-0000-0000-000093CA0000}"/>
    <cellStyle name="Percent 2 5 4 2 4" xfId="19459" xr:uid="{00000000-0005-0000-0000-000094CA0000}"/>
    <cellStyle name="Percent 2 5 4 3" xfId="5556" xr:uid="{00000000-0005-0000-0000-000095CA0000}"/>
    <cellStyle name="Percent 2 5 4 3 2" xfId="44561" xr:uid="{00000000-0005-0000-0000-000096CA0000}"/>
    <cellStyle name="Percent 2 5 4 3 3" xfId="25372" xr:uid="{00000000-0005-0000-0000-000097CA0000}"/>
    <cellStyle name="Percent 2 5 4 4" xfId="34863" xr:uid="{00000000-0005-0000-0000-000098CA0000}"/>
    <cellStyle name="Percent 2 5 4 5" xfId="53498" xr:uid="{00000000-0005-0000-0000-000099CA0000}"/>
    <cellStyle name="Percent 2 5 4 6" xfId="14995" xr:uid="{00000000-0005-0000-0000-00009ACA0000}"/>
    <cellStyle name="Percent 2 5 5" xfId="5557" xr:uid="{00000000-0005-0000-0000-00009BCA0000}"/>
    <cellStyle name="Percent 2 5 5 2" xfId="5558" xr:uid="{00000000-0005-0000-0000-00009CCA0000}"/>
    <cellStyle name="Percent 2 5 5 2 2" xfId="31497" xr:uid="{00000000-0005-0000-0000-00009DCA0000}"/>
    <cellStyle name="Percent 2 5 5 2 2 2" xfId="50686" xr:uid="{00000000-0005-0000-0000-00009ECA0000}"/>
    <cellStyle name="Percent 2 5 5 2 3" xfId="40988" xr:uid="{00000000-0005-0000-0000-00009FCA0000}"/>
    <cellStyle name="Percent 2 5 5 2 4" xfId="21129" xr:uid="{00000000-0005-0000-0000-0000A0CA0000}"/>
    <cellStyle name="Percent 2 5 5 3" xfId="27042" xr:uid="{00000000-0005-0000-0000-0000A1CA0000}"/>
    <cellStyle name="Percent 2 5 5 3 2" xfId="46231" xr:uid="{00000000-0005-0000-0000-0000A2CA0000}"/>
    <cellStyle name="Percent 2 5 5 4" xfId="36533" xr:uid="{00000000-0005-0000-0000-0000A3CA0000}"/>
    <cellStyle name="Percent 2 5 5 5" xfId="16665" xr:uid="{00000000-0005-0000-0000-0000A4CA0000}"/>
    <cellStyle name="Percent 2 5 6" xfId="5559" xr:uid="{00000000-0005-0000-0000-0000A5CA0000}"/>
    <cellStyle name="Percent 2 5 6 2" xfId="21686" xr:uid="{00000000-0005-0000-0000-0000A6CA0000}"/>
    <cellStyle name="Percent 2 5 6 2 2" xfId="32054" xr:uid="{00000000-0005-0000-0000-0000A7CA0000}"/>
    <cellStyle name="Percent 2 5 6 2 2 2" xfId="51243" xr:uid="{00000000-0005-0000-0000-0000A8CA0000}"/>
    <cellStyle name="Percent 2 5 6 2 3" xfId="41545" xr:uid="{00000000-0005-0000-0000-0000A9CA0000}"/>
    <cellStyle name="Percent 2 5 6 3" xfId="27599" xr:uid="{00000000-0005-0000-0000-0000AACA0000}"/>
    <cellStyle name="Percent 2 5 6 3 2" xfId="46788" xr:uid="{00000000-0005-0000-0000-0000ABCA0000}"/>
    <cellStyle name="Percent 2 5 6 4" xfId="37090" xr:uid="{00000000-0005-0000-0000-0000ACCA0000}"/>
    <cellStyle name="Percent 2 5 6 5" xfId="17231" xr:uid="{00000000-0005-0000-0000-0000ADCA0000}"/>
    <cellStyle name="Percent 2 5 7" xfId="5536" xr:uid="{00000000-0005-0000-0000-0000AECA0000}"/>
    <cellStyle name="Percent 2 5 7 2" xfId="28156" xr:uid="{00000000-0005-0000-0000-0000AFCA0000}"/>
    <cellStyle name="Percent 2 5 7 2 2" xfId="47345" xr:uid="{00000000-0005-0000-0000-0000B0CA0000}"/>
    <cellStyle name="Percent 2 5 7 3" xfId="37647" xr:uid="{00000000-0005-0000-0000-0000B1CA0000}"/>
    <cellStyle name="Percent 2 5 7 4" xfId="17788" xr:uid="{00000000-0005-0000-0000-0000B2CA0000}"/>
    <cellStyle name="Percent 2 5 8" xfId="6065" xr:uid="{00000000-0005-0000-0000-0000B3CA0000}"/>
    <cellStyle name="Percent 2 5 8 2" xfId="32840" xr:uid="{00000000-0005-0000-0000-0000B4CA0000}"/>
    <cellStyle name="Percent 2 5 8 2 2" xfId="52026" xr:uid="{00000000-0005-0000-0000-0000B5CA0000}"/>
    <cellStyle name="Percent 2 5 8 3" xfId="42328" xr:uid="{00000000-0005-0000-0000-0000B6CA0000}"/>
    <cellStyle name="Percent 2 5 8 4" xfId="22756" xr:uid="{00000000-0005-0000-0000-0000B7CA0000}"/>
    <cellStyle name="Percent 2 5 9" xfId="23649" xr:uid="{00000000-0005-0000-0000-0000B8CA0000}"/>
    <cellStyle name="Percent 2 5 9 2" xfId="42890" xr:uid="{00000000-0005-0000-0000-0000B9CA0000}"/>
    <cellStyle name="Percent 2 6" xfId="5560" xr:uid="{00000000-0005-0000-0000-0000BACA0000}"/>
    <cellStyle name="Percent 2 6 10" xfId="34256" xr:uid="{00000000-0005-0000-0000-0000BBCA0000}"/>
    <cellStyle name="Percent 2 6 11" xfId="52646" xr:uid="{00000000-0005-0000-0000-0000BCCA0000}"/>
    <cellStyle name="Percent 2 6 12" xfId="14369" xr:uid="{00000000-0005-0000-0000-0000BDCA0000}"/>
    <cellStyle name="Percent 2 6 2" xfId="5561" xr:uid="{00000000-0005-0000-0000-0000BECA0000}"/>
    <cellStyle name="Percent 2 6 2 2" xfId="5562" xr:uid="{00000000-0005-0000-0000-0000BFCA0000}"/>
    <cellStyle name="Percent 2 6 2 2 2" xfId="5563" xr:uid="{00000000-0005-0000-0000-0000C0CA0000}"/>
    <cellStyle name="Percent 2 6 2 2 2 2" xfId="5564" xr:uid="{00000000-0005-0000-0000-0000C1CA0000}"/>
    <cellStyle name="Percent 2 6 2 2 2 2 2" xfId="50637" xr:uid="{00000000-0005-0000-0000-0000C2CA0000}"/>
    <cellStyle name="Percent 2 6 2 2 2 2 3" xfId="31448" xr:uid="{00000000-0005-0000-0000-0000C3CA0000}"/>
    <cellStyle name="Percent 2 6 2 2 2 3" xfId="40939" xr:uid="{00000000-0005-0000-0000-0000C4CA0000}"/>
    <cellStyle name="Percent 2 6 2 2 2 4" xfId="54123" xr:uid="{00000000-0005-0000-0000-0000C5CA0000}"/>
    <cellStyle name="Percent 2 6 2 2 2 5" xfId="21080" xr:uid="{00000000-0005-0000-0000-0000C6CA0000}"/>
    <cellStyle name="Percent 2 6 2 2 3" xfId="5565" xr:uid="{00000000-0005-0000-0000-0000C7CA0000}"/>
    <cellStyle name="Percent 2 6 2 2 3 2" xfId="46182" xr:uid="{00000000-0005-0000-0000-0000C8CA0000}"/>
    <cellStyle name="Percent 2 6 2 2 3 3" xfId="26993" xr:uid="{00000000-0005-0000-0000-0000C9CA0000}"/>
    <cellStyle name="Percent 2 6 2 2 4" xfId="36484" xr:uid="{00000000-0005-0000-0000-0000CACA0000}"/>
    <cellStyle name="Percent 2 6 2 2 5" xfId="53270" xr:uid="{00000000-0005-0000-0000-0000CBCA0000}"/>
    <cellStyle name="Percent 2 6 2 2 6" xfId="16616" xr:uid="{00000000-0005-0000-0000-0000CCCA0000}"/>
    <cellStyle name="Percent 2 6 2 3" xfId="5566" xr:uid="{00000000-0005-0000-0000-0000CDCA0000}"/>
    <cellStyle name="Percent 2 6 2 3 2" xfId="5567" xr:uid="{00000000-0005-0000-0000-0000CECA0000}"/>
    <cellStyle name="Percent 2 6 2 3 2 2" xfId="48967" xr:uid="{00000000-0005-0000-0000-0000CFCA0000}"/>
    <cellStyle name="Percent 2 6 2 3 2 3" xfId="29778" xr:uid="{00000000-0005-0000-0000-0000D0CA0000}"/>
    <cellStyle name="Percent 2 6 2 3 3" xfId="39269" xr:uid="{00000000-0005-0000-0000-0000D1CA0000}"/>
    <cellStyle name="Percent 2 6 2 3 4" xfId="53727" xr:uid="{00000000-0005-0000-0000-0000D2CA0000}"/>
    <cellStyle name="Percent 2 6 2 3 5" xfId="19410" xr:uid="{00000000-0005-0000-0000-0000D3CA0000}"/>
    <cellStyle name="Percent 2 6 2 4" xfId="5568" xr:uid="{00000000-0005-0000-0000-0000D4CA0000}"/>
    <cellStyle name="Percent 2 6 2 4 2" xfId="44512" xr:uid="{00000000-0005-0000-0000-0000D5CA0000}"/>
    <cellStyle name="Percent 2 6 2 4 3" xfId="25323" xr:uid="{00000000-0005-0000-0000-0000D6CA0000}"/>
    <cellStyle name="Percent 2 6 2 5" xfId="10502" xr:uid="{00000000-0005-0000-0000-0000D7CA0000}"/>
    <cellStyle name="Percent 2 6 2 5 2" xfId="34814" xr:uid="{00000000-0005-0000-0000-0000D8CA0000}"/>
    <cellStyle name="Percent 2 6 2 6" xfId="52842" xr:uid="{00000000-0005-0000-0000-0000D9CA0000}"/>
    <cellStyle name="Percent 2 6 2 7" xfId="14946" xr:uid="{00000000-0005-0000-0000-0000DACA0000}"/>
    <cellStyle name="Percent 2 6 3" xfId="5569" xr:uid="{00000000-0005-0000-0000-0000DBCA0000}"/>
    <cellStyle name="Percent 2 6 3 2" xfId="5570" xr:uid="{00000000-0005-0000-0000-0000DCCA0000}"/>
    <cellStyle name="Percent 2 6 3 2 2" xfId="5571" xr:uid="{00000000-0005-0000-0000-0000DDCA0000}"/>
    <cellStyle name="Percent 2 6 3 2 2 2" xfId="5572" xr:uid="{00000000-0005-0000-0000-0000DECA0000}"/>
    <cellStyle name="Percent 2 6 3 2 2 2 2" xfId="49524" xr:uid="{00000000-0005-0000-0000-0000DFCA0000}"/>
    <cellStyle name="Percent 2 6 3 2 2 3" xfId="30335" xr:uid="{00000000-0005-0000-0000-0000E0CA0000}"/>
    <cellStyle name="Percent 2 6 3 2 3" xfId="5573" xr:uid="{00000000-0005-0000-0000-0000E1CA0000}"/>
    <cellStyle name="Percent 2 6 3 2 3 2" xfId="39826" xr:uid="{00000000-0005-0000-0000-0000E2CA0000}"/>
    <cellStyle name="Percent 2 6 3 2 4" xfId="53927" xr:uid="{00000000-0005-0000-0000-0000E3CA0000}"/>
    <cellStyle name="Percent 2 6 3 2 5" xfId="19967" xr:uid="{00000000-0005-0000-0000-0000E4CA0000}"/>
    <cellStyle name="Percent 2 6 3 3" xfId="5574" xr:uid="{00000000-0005-0000-0000-0000E5CA0000}"/>
    <cellStyle name="Percent 2 6 3 3 2" xfId="5575" xr:uid="{00000000-0005-0000-0000-0000E6CA0000}"/>
    <cellStyle name="Percent 2 6 3 3 2 2" xfId="45069" xr:uid="{00000000-0005-0000-0000-0000E7CA0000}"/>
    <cellStyle name="Percent 2 6 3 3 3" xfId="25880" xr:uid="{00000000-0005-0000-0000-0000E8CA0000}"/>
    <cellStyle name="Percent 2 6 3 4" xfId="5576" xr:uid="{00000000-0005-0000-0000-0000E9CA0000}"/>
    <cellStyle name="Percent 2 6 3 4 2" xfId="35371" xr:uid="{00000000-0005-0000-0000-0000EACA0000}"/>
    <cellStyle name="Percent 2 6 3 5" xfId="53052" xr:uid="{00000000-0005-0000-0000-0000EBCA0000}"/>
    <cellStyle name="Percent 2 6 3 6" xfId="15503" xr:uid="{00000000-0005-0000-0000-0000ECCA0000}"/>
    <cellStyle name="Percent 2 6 4" xfId="5577" xr:uid="{00000000-0005-0000-0000-0000EDCA0000}"/>
    <cellStyle name="Percent 2 6 4 2" xfId="5578" xr:uid="{00000000-0005-0000-0000-0000EECA0000}"/>
    <cellStyle name="Percent 2 6 4 2 2" xfId="5579" xr:uid="{00000000-0005-0000-0000-0000EFCA0000}"/>
    <cellStyle name="Percent 2 6 4 2 2 2" xfId="51194" xr:uid="{00000000-0005-0000-0000-0000F0CA0000}"/>
    <cellStyle name="Percent 2 6 4 2 2 3" xfId="32005" xr:uid="{00000000-0005-0000-0000-0000F1CA0000}"/>
    <cellStyle name="Percent 2 6 4 2 3" xfId="41496" xr:uid="{00000000-0005-0000-0000-0000F2CA0000}"/>
    <cellStyle name="Percent 2 6 4 2 4" xfId="21637" xr:uid="{00000000-0005-0000-0000-0000F3CA0000}"/>
    <cellStyle name="Percent 2 6 4 3" xfId="5580" xr:uid="{00000000-0005-0000-0000-0000F4CA0000}"/>
    <cellStyle name="Percent 2 6 4 3 2" xfId="46739" xr:uid="{00000000-0005-0000-0000-0000F5CA0000}"/>
    <cellStyle name="Percent 2 6 4 3 3" xfId="27550" xr:uid="{00000000-0005-0000-0000-0000F6CA0000}"/>
    <cellStyle name="Percent 2 6 4 4" xfId="37041" xr:uid="{00000000-0005-0000-0000-0000F7CA0000}"/>
    <cellStyle name="Percent 2 6 4 5" xfId="53531" xr:uid="{00000000-0005-0000-0000-0000F8CA0000}"/>
    <cellStyle name="Percent 2 6 4 6" xfId="17182" xr:uid="{00000000-0005-0000-0000-0000F9CA0000}"/>
    <cellStyle name="Percent 2 6 5" xfId="5581" xr:uid="{00000000-0005-0000-0000-0000FACA0000}"/>
    <cellStyle name="Percent 2 6 5 2" xfId="5582" xr:uid="{00000000-0005-0000-0000-0000FBCA0000}"/>
    <cellStyle name="Percent 2 6 5 2 2" xfId="32562" xr:uid="{00000000-0005-0000-0000-0000FCCA0000}"/>
    <cellStyle name="Percent 2 6 5 2 2 2" xfId="51751" xr:uid="{00000000-0005-0000-0000-0000FDCA0000}"/>
    <cellStyle name="Percent 2 6 5 2 3" xfId="42053" xr:uid="{00000000-0005-0000-0000-0000FECA0000}"/>
    <cellStyle name="Percent 2 6 5 2 4" xfId="22194" xr:uid="{00000000-0005-0000-0000-0000FFCA0000}"/>
    <cellStyle name="Percent 2 6 5 3" xfId="28107" xr:uid="{00000000-0005-0000-0000-000000CB0000}"/>
    <cellStyle name="Percent 2 6 5 3 2" xfId="47296" xr:uid="{00000000-0005-0000-0000-000001CB0000}"/>
    <cellStyle name="Percent 2 6 5 4" xfId="37598" xr:uid="{00000000-0005-0000-0000-000002CB0000}"/>
    <cellStyle name="Percent 2 6 5 5" xfId="17739" xr:uid="{00000000-0005-0000-0000-000003CB0000}"/>
    <cellStyle name="Percent 2 6 6" xfId="5583" xr:uid="{00000000-0005-0000-0000-000004CB0000}"/>
    <cellStyle name="Percent 2 6 6 2" xfId="29220" xr:uid="{00000000-0005-0000-0000-000005CB0000}"/>
    <cellStyle name="Percent 2 6 6 2 2" xfId="48409" xr:uid="{00000000-0005-0000-0000-000006CB0000}"/>
    <cellStyle name="Percent 2 6 6 3" xfId="38711" xr:uid="{00000000-0005-0000-0000-000007CB0000}"/>
    <cellStyle name="Percent 2 6 6 4" xfId="18852" xr:uid="{00000000-0005-0000-0000-000008CB0000}"/>
    <cellStyle name="Percent 2 6 7" xfId="7590" xr:uid="{00000000-0005-0000-0000-000009CB0000}"/>
    <cellStyle name="Percent 2 6 7 2" xfId="32962" xr:uid="{00000000-0005-0000-0000-00000ACB0000}"/>
    <cellStyle name="Percent 2 6 7 2 2" xfId="52148" xr:uid="{00000000-0005-0000-0000-00000BCB0000}"/>
    <cellStyle name="Percent 2 6 7 3" xfId="42450" xr:uid="{00000000-0005-0000-0000-00000CCB0000}"/>
    <cellStyle name="Percent 2 6 7 4" xfId="22878" xr:uid="{00000000-0005-0000-0000-00000DCB0000}"/>
    <cellStyle name="Percent 2 6 8" xfId="24765" xr:uid="{00000000-0005-0000-0000-00000ECB0000}"/>
    <cellStyle name="Percent 2 6 8 2" xfId="43954" xr:uid="{00000000-0005-0000-0000-00000FCB0000}"/>
    <cellStyle name="Percent 2 6 9" xfId="23235" xr:uid="{00000000-0005-0000-0000-000010CB0000}"/>
    <cellStyle name="Percent 2 6 9 2" xfId="42803" xr:uid="{00000000-0005-0000-0000-000011CB0000}"/>
    <cellStyle name="Percent 2 7" xfId="5584" xr:uid="{00000000-0005-0000-0000-000012CB0000}"/>
    <cellStyle name="Percent 2 7 2" xfId="5585" xr:uid="{00000000-0005-0000-0000-000013CB0000}"/>
    <cellStyle name="Percent 2 7 2 2" xfId="51768" xr:uid="{00000000-0005-0000-0000-000014CB0000}"/>
    <cellStyle name="Percent 2 7 2 2 2" xfId="53954" xr:uid="{00000000-0005-0000-0000-000015CB0000}"/>
    <cellStyle name="Percent 2 7 2 3" xfId="53101" xr:uid="{00000000-0005-0000-0000-000016CB0000}"/>
    <cellStyle name="Percent 2 7 2 4" xfId="32580" xr:uid="{00000000-0005-0000-0000-000017CB0000}"/>
    <cellStyle name="Percent 2 7 3" xfId="5586" xr:uid="{00000000-0005-0000-0000-000018CB0000}"/>
    <cellStyle name="Percent 2 7 3 2" xfId="53558" xr:uid="{00000000-0005-0000-0000-000019CB0000}"/>
    <cellStyle name="Percent 2 7 3 3" xfId="42070" xr:uid="{00000000-0005-0000-0000-00001ACB0000}"/>
    <cellStyle name="Percent 2 7 4" xfId="5587" xr:uid="{00000000-0005-0000-0000-00001BCB0000}"/>
    <cellStyle name="Percent 2 7 4 2" xfId="5588" xr:uid="{00000000-0005-0000-0000-00001CCB0000}"/>
    <cellStyle name="Percent 2 7 4 2 2" xfId="5589" xr:uid="{00000000-0005-0000-0000-00001DCB0000}"/>
    <cellStyle name="Percent 2 7 4 3" xfId="5590" xr:uid="{00000000-0005-0000-0000-00001ECB0000}"/>
    <cellStyle name="Percent 2 7 4 4" xfId="52673" xr:uid="{00000000-0005-0000-0000-00001FCB0000}"/>
    <cellStyle name="Percent 2 7 5" xfId="5591" xr:uid="{00000000-0005-0000-0000-000020CB0000}"/>
    <cellStyle name="Percent 2 7 5 2" xfId="5592" xr:uid="{00000000-0005-0000-0000-000021CB0000}"/>
    <cellStyle name="Percent 2 7 6" xfId="5593" xr:uid="{00000000-0005-0000-0000-000022CB0000}"/>
    <cellStyle name="Percent 2 7 7" xfId="9060" xr:uid="{00000000-0005-0000-0000-000023CB0000}"/>
    <cellStyle name="Percent 2 7 8" xfId="22221" xr:uid="{00000000-0005-0000-0000-000024CB0000}"/>
    <cellStyle name="Percent 2 8" xfId="5594" xr:uid="{00000000-0005-0000-0000-000025CB0000}"/>
    <cellStyle name="Percent 2 8 2" xfId="5595" xr:uid="{00000000-0005-0000-0000-000026CB0000}"/>
    <cellStyle name="Percent 2 8 2 2" xfId="5596" xr:uid="{00000000-0005-0000-0000-000027CB0000}"/>
    <cellStyle name="Percent 2 8 2 2 2" xfId="5597" xr:uid="{00000000-0005-0000-0000-000028CB0000}"/>
    <cellStyle name="Percent 2 8 2 2 3" xfId="51795" xr:uid="{00000000-0005-0000-0000-000029CB0000}"/>
    <cellStyle name="Percent 2 8 2 3" xfId="5598" xr:uid="{00000000-0005-0000-0000-00002ACB0000}"/>
    <cellStyle name="Percent 2 8 2 3 2" xfId="53757" xr:uid="{00000000-0005-0000-0000-00002BCB0000}"/>
    <cellStyle name="Percent 2 8 2 4" xfId="32607" xr:uid="{00000000-0005-0000-0000-00002CCB0000}"/>
    <cellStyle name="Percent 2 8 3" xfId="5599" xr:uid="{00000000-0005-0000-0000-00002DCB0000}"/>
    <cellStyle name="Percent 2 8 3 2" xfId="5600" xr:uid="{00000000-0005-0000-0000-00002ECB0000}"/>
    <cellStyle name="Percent 2 8 3 3" xfId="42097" xr:uid="{00000000-0005-0000-0000-00002FCB0000}"/>
    <cellStyle name="Percent 2 8 4" xfId="5601" xr:uid="{00000000-0005-0000-0000-000030CB0000}"/>
    <cellStyle name="Percent 2 8 4 2" xfId="52873" xr:uid="{00000000-0005-0000-0000-000031CB0000}"/>
    <cellStyle name="Percent 2 8 5" xfId="22250" xr:uid="{00000000-0005-0000-0000-000032CB0000}"/>
    <cellStyle name="Percent 2 9" xfId="5602" xr:uid="{00000000-0005-0000-0000-000033CB0000}"/>
    <cellStyle name="Percent 2 9 2" xfId="54154" xr:uid="{00000000-0005-0000-0000-000034CB0000}"/>
    <cellStyle name="Percent 2 9 3" xfId="53302" xr:uid="{00000000-0005-0000-0000-000035CB0000}"/>
    <cellStyle name="Percent 2 9 4" xfId="12553" xr:uid="{00000000-0005-0000-0000-000036CB0000}"/>
    <cellStyle name="Percent 20" xfId="1407" xr:uid="{00000000-0005-0000-0000-000037CB0000}"/>
    <cellStyle name="Percent 20 2" xfId="6282" xr:uid="{00000000-0005-0000-0000-000038CB0000}"/>
    <cellStyle name="Percent 20 2 10" xfId="13459" xr:uid="{00000000-0005-0000-0000-000039CB0000}"/>
    <cellStyle name="Percent 20 2 2" xfId="14316" xr:uid="{00000000-0005-0000-0000-00003ACB0000}"/>
    <cellStyle name="Percent 20 2 2 2" xfId="16579" xr:uid="{00000000-0005-0000-0000-00003BCB0000}"/>
    <cellStyle name="Percent 20 2 2 2 2" xfId="21043" xr:uid="{00000000-0005-0000-0000-00003CCB0000}"/>
    <cellStyle name="Percent 20 2 2 2 2 2" xfId="31411" xr:uid="{00000000-0005-0000-0000-00003DCB0000}"/>
    <cellStyle name="Percent 20 2 2 2 2 2 2" xfId="50600" xr:uid="{00000000-0005-0000-0000-00003ECB0000}"/>
    <cellStyle name="Percent 20 2 2 2 2 3" xfId="40902" xr:uid="{00000000-0005-0000-0000-00003FCB0000}"/>
    <cellStyle name="Percent 20 2 2 2 3" xfId="26956" xr:uid="{00000000-0005-0000-0000-000040CB0000}"/>
    <cellStyle name="Percent 20 2 2 2 3 2" xfId="46145" xr:uid="{00000000-0005-0000-0000-000041CB0000}"/>
    <cellStyle name="Percent 20 2 2 2 4" xfId="36447" xr:uid="{00000000-0005-0000-0000-000042CB0000}"/>
    <cellStyle name="Percent 20 2 2 3" xfId="18815" xr:uid="{00000000-0005-0000-0000-000043CB0000}"/>
    <cellStyle name="Percent 20 2 2 3 2" xfId="29183" xr:uid="{00000000-0005-0000-0000-000044CB0000}"/>
    <cellStyle name="Percent 20 2 2 3 2 2" xfId="48372" xr:uid="{00000000-0005-0000-0000-000045CB0000}"/>
    <cellStyle name="Percent 20 2 2 3 3" xfId="38674" xr:uid="{00000000-0005-0000-0000-000046CB0000}"/>
    <cellStyle name="Percent 20 2 2 4" xfId="24723" xr:uid="{00000000-0005-0000-0000-000047CB0000}"/>
    <cellStyle name="Percent 20 2 2 4 2" xfId="43917" xr:uid="{00000000-0005-0000-0000-000048CB0000}"/>
    <cellStyle name="Percent 20 2 2 5" xfId="34219" xr:uid="{00000000-0005-0000-0000-000049CB0000}"/>
    <cellStyle name="Percent 20 2 3" xfId="14895" xr:uid="{00000000-0005-0000-0000-00004ACB0000}"/>
    <cellStyle name="Percent 20 2 3 2" xfId="16023" xr:uid="{00000000-0005-0000-0000-00004BCB0000}"/>
    <cellStyle name="Percent 20 2 3 2 2" xfId="20487" xr:uid="{00000000-0005-0000-0000-00004CCB0000}"/>
    <cellStyle name="Percent 20 2 3 2 2 2" xfId="30855" xr:uid="{00000000-0005-0000-0000-00004DCB0000}"/>
    <cellStyle name="Percent 20 2 3 2 2 2 2" xfId="50044" xr:uid="{00000000-0005-0000-0000-00004ECB0000}"/>
    <cellStyle name="Percent 20 2 3 2 2 3" xfId="40346" xr:uid="{00000000-0005-0000-0000-00004FCB0000}"/>
    <cellStyle name="Percent 20 2 3 2 3" xfId="26400" xr:uid="{00000000-0005-0000-0000-000050CB0000}"/>
    <cellStyle name="Percent 20 2 3 2 3 2" xfId="45589" xr:uid="{00000000-0005-0000-0000-000051CB0000}"/>
    <cellStyle name="Percent 20 2 3 2 4" xfId="35891" xr:uid="{00000000-0005-0000-0000-000052CB0000}"/>
    <cellStyle name="Percent 20 2 3 3" xfId="19372" xr:uid="{00000000-0005-0000-0000-000053CB0000}"/>
    <cellStyle name="Percent 20 2 3 3 2" xfId="29740" xr:uid="{00000000-0005-0000-0000-000054CB0000}"/>
    <cellStyle name="Percent 20 2 3 3 2 2" xfId="48929" xr:uid="{00000000-0005-0000-0000-000055CB0000}"/>
    <cellStyle name="Percent 20 2 3 3 3" xfId="39231" xr:uid="{00000000-0005-0000-0000-000056CB0000}"/>
    <cellStyle name="Percent 20 2 3 4" xfId="25285" xr:uid="{00000000-0005-0000-0000-000057CB0000}"/>
    <cellStyle name="Percent 20 2 3 4 2" xfId="44474" xr:uid="{00000000-0005-0000-0000-000058CB0000}"/>
    <cellStyle name="Percent 20 2 3 5" xfId="34776" xr:uid="{00000000-0005-0000-0000-000059CB0000}"/>
    <cellStyle name="Percent 20 2 4" xfId="15466" xr:uid="{00000000-0005-0000-0000-00005ACB0000}"/>
    <cellStyle name="Percent 20 2 4 2" xfId="19930" xr:uid="{00000000-0005-0000-0000-00005BCB0000}"/>
    <cellStyle name="Percent 20 2 4 2 2" xfId="30298" xr:uid="{00000000-0005-0000-0000-00005CCB0000}"/>
    <cellStyle name="Percent 20 2 4 2 2 2" xfId="49487" xr:uid="{00000000-0005-0000-0000-00005DCB0000}"/>
    <cellStyle name="Percent 20 2 4 2 3" xfId="39789" xr:uid="{00000000-0005-0000-0000-00005ECB0000}"/>
    <cellStyle name="Percent 20 2 4 3" xfId="25843" xr:uid="{00000000-0005-0000-0000-00005FCB0000}"/>
    <cellStyle name="Percent 20 2 4 3 2" xfId="45032" xr:uid="{00000000-0005-0000-0000-000060CB0000}"/>
    <cellStyle name="Percent 20 2 4 4" xfId="35334" xr:uid="{00000000-0005-0000-0000-000061CB0000}"/>
    <cellStyle name="Percent 20 2 5" xfId="17136" xr:uid="{00000000-0005-0000-0000-000062CB0000}"/>
    <cellStyle name="Percent 20 2 5 2" xfId="21600" xr:uid="{00000000-0005-0000-0000-000063CB0000}"/>
    <cellStyle name="Percent 20 2 5 2 2" xfId="31968" xr:uid="{00000000-0005-0000-0000-000064CB0000}"/>
    <cellStyle name="Percent 20 2 5 2 2 2" xfId="51157" xr:uid="{00000000-0005-0000-0000-000065CB0000}"/>
    <cellStyle name="Percent 20 2 5 2 3" xfId="41459" xr:uid="{00000000-0005-0000-0000-000066CB0000}"/>
    <cellStyle name="Percent 20 2 5 3" xfId="27513" xr:uid="{00000000-0005-0000-0000-000067CB0000}"/>
    <cellStyle name="Percent 20 2 5 3 2" xfId="46702" xr:uid="{00000000-0005-0000-0000-000068CB0000}"/>
    <cellStyle name="Percent 20 2 5 4" xfId="37004" xr:uid="{00000000-0005-0000-0000-000069CB0000}"/>
    <cellStyle name="Percent 20 2 6" xfId="17702" xr:uid="{00000000-0005-0000-0000-00006ACB0000}"/>
    <cellStyle name="Percent 20 2 6 2" xfId="22157" xr:uid="{00000000-0005-0000-0000-00006BCB0000}"/>
    <cellStyle name="Percent 20 2 6 2 2" xfId="32525" xr:uid="{00000000-0005-0000-0000-00006CCB0000}"/>
    <cellStyle name="Percent 20 2 6 2 2 2" xfId="51714" xr:uid="{00000000-0005-0000-0000-00006DCB0000}"/>
    <cellStyle name="Percent 20 2 6 2 3" xfId="42016" xr:uid="{00000000-0005-0000-0000-00006ECB0000}"/>
    <cellStyle name="Percent 20 2 6 3" xfId="28070" xr:uid="{00000000-0005-0000-0000-00006FCB0000}"/>
    <cellStyle name="Percent 20 2 6 3 2" xfId="47259" xr:uid="{00000000-0005-0000-0000-000070CB0000}"/>
    <cellStyle name="Percent 20 2 6 4" xfId="37561" xr:uid="{00000000-0005-0000-0000-000071CB0000}"/>
    <cellStyle name="Percent 20 2 7" xfId="18259" xr:uid="{00000000-0005-0000-0000-000072CB0000}"/>
    <cellStyle name="Percent 20 2 7 2" xfId="28627" xr:uid="{00000000-0005-0000-0000-000073CB0000}"/>
    <cellStyle name="Percent 20 2 7 2 2" xfId="47816" xr:uid="{00000000-0005-0000-0000-000074CB0000}"/>
    <cellStyle name="Percent 20 2 7 3" xfId="38118" xr:uid="{00000000-0005-0000-0000-000075CB0000}"/>
    <cellStyle name="Percent 20 2 8" xfId="24141" xr:uid="{00000000-0005-0000-0000-000076CB0000}"/>
    <cellStyle name="Percent 20 2 8 2" xfId="43361" xr:uid="{00000000-0005-0000-0000-000077CB0000}"/>
    <cellStyle name="Percent 20 2 9" xfId="33663" xr:uid="{00000000-0005-0000-0000-000078CB0000}"/>
    <cellStyle name="Percent 20 3" xfId="13653" xr:uid="{00000000-0005-0000-0000-000079CB0000}"/>
    <cellStyle name="Percent 20 4" xfId="22807" xr:uid="{00000000-0005-0000-0000-00007ACB0000}"/>
    <cellStyle name="Percent 20 4 2" xfId="32891" xr:uid="{00000000-0005-0000-0000-00007BCB0000}"/>
    <cellStyle name="Percent 20 4 2 2" xfId="52077" xr:uid="{00000000-0005-0000-0000-00007CCB0000}"/>
    <cellStyle name="Percent 20 4 3" xfId="42379" xr:uid="{00000000-0005-0000-0000-00007DCB0000}"/>
    <cellStyle name="Percent 20 5" xfId="23476" xr:uid="{00000000-0005-0000-0000-00007ECB0000}"/>
    <cellStyle name="Percent 20 6" xfId="23164" xr:uid="{00000000-0005-0000-0000-00007FCB0000}"/>
    <cellStyle name="Percent 20 6 2" xfId="42732" xr:uid="{00000000-0005-0000-0000-000080CB0000}"/>
    <cellStyle name="Percent 20 7" xfId="12556" xr:uid="{00000000-0005-0000-0000-000081CB0000}"/>
    <cellStyle name="Percent 200" xfId="52364" xr:uid="{00000000-0005-0000-0000-000082CB0000}"/>
    <cellStyle name="Percent 201" xfId="52356" xr:uid="{00000000-0005-0000-0000-000083CB0000}"/>
    <cellStyle name="Percent 202" xfId="52344" xr:uid="{00000000-0005-0000-0000-000084CB0000}"/>
    <cellStyle name="Percent 203" xfId="52373" xr:uid="{00000000-0005-0000-0000-000085CB0000}"/>
    <cellStyle name="Percent 204" xfId="52400" xr:uid="{00000000-0005-0000-0000-000086CB0000}"/>
    <cellStyle name="Percent 205" xfId="52374" xr:uid="{00000000-0005-0000-0000-000087CB0000}"/>
    <cellStyle name="Percent 206" xfId="52401" xr:uid="{00000000-0005-0000-0000-000088CB0000}"/>
    <cellStyle name="Percent 207" xfId="52398" xr:uid="{00000000-0005-0000-0000-000089CB0000}"/>
    <cellStyle name="Percent 208" xfId="52389" xr:uid="{00000000-0005-0000-0000-00008ACB0000}"/>
    <cellStyle name="Percent 209" xfId="52406" xr:uid="{00000000-0005-0000-0000-00008BCB0000}"/>
    <cellStyle name="Percent 21" xfId="1408" xr:uid="{00000000-0005-0000-0000-00008CCB0000}"/>
    <cellStyle name="Percent 21 2" xfId="6284" xr:uid="{00000000-0005-0000-0000-00008DCB0000}"/>
    <cellStyle name="Percent 21 2 2" xfId="13442" xr:uid="{00000000-0005-0000-0000-00008ECB0000}"/>
    <cellStyle name="Percent 21 3" xfId="22809" xr:uid="{00000000-0005-0000-0000-00008FCB0000}"/>
    <cellStyle name="Percent 21 3 2" xfId="32893" xr:uid="{00000000-0005-0000-0000-000090CB0000}"/>
    <cellStyle name="Percent 21 3 2 2" xfId="52079" xr:uid="{00000000-0005-0000-0000-000091CB0000}"/>
    <cellStyle name="Percent 21 3 3" xfId="42381" xr:uid="{00000000-0005-0000-0000-000092CB0000}"/>
    <cellStyle name="Percent 21 4" xfId="23477" xr:uid="{00000000-0005-0000-0000-000093CB0000}"/>
    <cellStyle name="Percent 21 5" xfId="23166" xr:uid="{00000000-0005-0000-0000-000094CB0000}"/>
    <cellStyle name="Percent 21 5 2" xfId="42734" xr:uid="{00000000-0005-0000-0000-000095CB0000}"/>
    <cellStyle name="Percent 21 6" xfId="12557" xr:uid="{00000000-0005-0000-0000-000096CB0000}"/>
    <cellStyle name="Percent 210" xfId="52405" xr:uid="{00000000-0005-0000-0000-000097CB0000}"/>
    <cellStyle name="Percent 211" xfId="52417" xr:uid="{00000000-0005-0000-0000-000098CB0000}"/>
    <cellStyle name="Percent 22" xfId="1409" xr:uid="{00000000-0005-0000-0000-000099CB0000}"/>
    <cellStyle name="Percent 22 2" xfId="6292" xr:uid="{00000000-0005-0000-0000-00009ACB0000}"/>
    <cellStyle name="Percent 22 2 2" xfId="13443" xr:uid="{00000000-0005-0000-0000-00009BCB0000}"/>
    <cellStyle name="Percent 22 3" xfId="22788" xr:uid="{00000000-0005-0000-0000-00009CCB0000}"/>
    <cellStyle name="Percent 22 3 2" xfId="32872" xr:uid="{00000000-0005-0000-0000-00009DCB0000}"/>
    <cellStyle name="Percent 22 3 2 2" xfId="52058" xr:uid="{00000000-0005-0000-0000-00009ECB0000}"/>
    <cellStyle name="Percent 22 3 3" xfId="42360" xr:uid="{00000000-0005-0000-0000-00009FCB0000}"/>
    <cellStyle name="Percent 22 4" xfId="23478" xr:uid="{00000000-0005-0000-0000-0000A0CB0000}"/>
    <cellStyle name="Percent 22 5" xfId="23145" xr:uid="{00000000-0005-0000-0000-0000A1CB0000}"/>
    <cellStyle name="Percent 22 5 2" xfId="42713" xr:uid="{00000000-0005-0000-0000-0000A2CB0000}"/>
    <cellStyle name="Percent 22 6" xfId="12558" xr:uid="{00000000-0005-0000-0000-0000A3CB0000}"/>
    <cellStyle name="Percent 23" xfId="1410" xr:uid="{00000000-0005-0000-0000-0000A4CB0000}"/>
    <cellStyle name="Percent 23 2" xfId="6771" xr:uid="{00000000-0005-0000-0000-0000A5CB0000}"/>
    <cellStyle name="Percent 23 2 2" xfId="13432" xr:uid="{00000000-0005-0000-0000-0000A6CB0000}"/>
    <cellStyle name="Percent 23 3" xfId="22787" xr:uid="{00000000-0005-0000-0000-0000A7CB0000}"/>
    <cellStyle name="Percent 23 3 2" xfId="32871" xr:uid="{00000000-0005-0000-0000-0000A8CB0000}"/>
    <cellStyle name="Percent 23 3 2 2" xfId="52057" xr:uid="{00000000-0005-0000-0000-0000A9CB0000}"/>
    <cellStyle name="Percent 23 3 3" xfId="42359" xr:uid="{00000000-0005-0000-0000-0000AACB0000}"/>
    <cellStyle name="Percent 23 4" xfId="23479" xr:uid="{00000000-0005-0000-0000-0000ABCB0000}"/>
    <cellStyle name="Percent 23 5" xfId="23144" xr:uid="{00000000-0005-0000-0000-0000ACCB0000}"/>
    <cellStyle name="Percent 23 5 2" xfId="42712" xr:uid="{00000000-0005-0000-0000-0000ADCB0000}"/>
    <cellStyle name="Percent 23 6" xfId="12559" xr:uid="{00000000-0005-0000-0000-0000AECB0000}"/>
    <cellStyle name="Percent 24" xfId="1411" xr:uid="{00000000-0005-0000-0000-0000AFCB0000}"/>
    <cellStyle name="Percent 24 2" xfId="6295" xr:uid="{00000000-0005-0000-0000-0000B0CB0000}"/>
    <cellStyle name="Percent 24 2 2" xfId="13489" xr:uid="{00000000-0005-0000-0000-0000B1CB0000}"/>
    <cellStyle name="Percent 24 3" xfId="22791" xr:uid="{00000000-0005-0000-0000-0000B2CB0000}"/>
    <cellStyle name="Percent 24 3 2" xfId="32875" xr:uid="{00000000-0005-0000-0000-0000B3CB0000}"/>
    <cellStyle name="Percent 24 3 2 2" xfId="52061" xr:uid="{00000000-0005-0000-0000-0000B4CB0000}"/>
    <cellStyle name="Percent 24 3 3" xfId="42363" xr:uid="{00000000-0005-0000-0000-0000B5CB0000}"/>
    <cellStyle name="Percent 24 4" xfId="23480" xr:uid="{00000000-0005-0000-0000-0000B6CB0000}"/>
    <cellStyle name="Percent 24 5" xfId="23148" xr:uid="{00000000-0005-0000-0000-0000B7CB0000}"/>
    <cellStyle name="Percent 24 5 2" xfId="42716" xr:uid="{00000000-0005-0000-0000-0000B8CB0000}"/>
    <cellStyle name="Percent 24 6" xfId="12560" xr:uid="{00000000-0005-0000-0000-0000B9CB0000}"/>
    <cellStyle name="Percent 25" xfId="1412" xr:uid="{00000000-0005-0000-0000-0000BACB0000}"/>
    <cellStyle name="Percent 25 2" xfId="6772" xr:uid="{00000000-0005-0000-0000-0000BBCB0000}"/>
    <cellStyle name="Percent 25 2 2" xfId="13481" xr:uid="{00000000-0005-0000-0000-0000BCCB0000}"/>
    <cellStyle name="Percent 25 3" xfId="22805" xr:uid="{00000000-0005-0000-0000-0000BDCB0000}"/>
    <cellStyle name="Percent 25 3 2" xfId="32889" xr:uid="{00000000-0005-0000-0000-0000BECB0000}"/>
    <cellStyle name="Percent 25 3 2 2" xfId="52075" xr:uid="{00000000-0005-0000-0000-0000BFCB0000}"/>
    <cellStyle name="Percent 25 3 3" xfId="42377" xr:uid="{00000000-0005-0000-0000-0000C0CB0000}"/>
    <cellStyle name="Percent 25 4" xfId="23481" xr:uid="{00000000-0005-0000-0000-0000C1CB0000}"/>
    <cellStyle name="Percent 25 5" xfId="23162" xr:uid="{00000000-0005-0000-0000-0000C2CB0000}"/>
    <cellStyle name="Percent 25 5 2" xfId="42730" xr:uid="{00000000-0005-0000-0000-0000C3CB0000}"/>
    <cellStyle name="Percent 25 6" xfId="12561" xr:uid="{00000000-0005-0000-0000-0000C4CB0000}"/>
    <cellStyle name="Percent 26" xfId="1413" xr:uid="{00000000-0005-0000-0000-0000C5CB0000}"/>
    <cellStyle name="Percent 26 2" xfId="6303" xr:uid="{00000000-0005-0000-0000-0000C6CB0000}"/>
    <cellStyle name="Percent 26 2 2" xfId="13434" xr:uid="{00000000-0005-0000-0000-0000C7CB0000}"/>
    <cellStyle name="Percent 26 3" xfId="22808" xr:uid="{00000000-0005-0000-0000-0000C8CB0000}"/>
    <cellStyle name="Percent 26 3 2" xfId="32892" xr:uid="{00000000-0005-0000-0000-0000C9CB0000}"/>
    <cellStyle name="Percent 26 3 2 2" xfId="52078" xr:uid="{00000000-0005-0000-0000-0000CACB0000}"/>
    <cellStyle name="Percent 26 3 3" xfId="42380" xr:uid="{00000000-0005-0000-0000-0000CBCB0000}"/>
    <cellStyle name="Percent 26 4" xfId="23482" xr:uid="{00000000-0005-0000-0000-0000CCCB0000}"/>
    <cellStyle name="Percent 26 5" xfId="23165" xr:uid="{00000000-0005-0000-0000-0000CDCB0000}"/>
    <cellStyle name="Percent 26 5 2" xfId="42733" xr:uid="{00000000-0005-0000-0000-0000CECB0000}"/>
    <cellStyle name="Percent 26 6" xfId="12562" xr:uid="{00000000-0005-0000-0000-0000CFCB0000}"/>
    <cellStyle name="Percent 27" xfId="1414" xr:uid="{00000000-0005-0000-0000-0000D0CB0000}"/>
    <cellStyle name="Percent 27 2" xfId="6285" xr:uid="{00000000-0005-0000-0000-0000D1CB0000}"/>
    <cellStyle name="Percent 27 2 2" xfId="13490" xr:uid="{00000000-0005-0000-0000-0000D2CB0000}"/>
    <cellStyle name="Percent 27 3" xfId="22806" xr:uid="{00000000-0005-0000-0000-0000D3CB0000}"/>
    <cellStyle name="Percent 27 3 2" xfId="32890" xr:uid="{00000000-0005-0000-0000-0000D4CB0000}"/>
    <cellStyle name="Percent 27 3 2 2" xfId="52076" xr:uid="{00000000-0005-0000-0000-0000D5CB0000}"/>
    <cellStyle name="Percent 27 3 3" xfId="42378" xr:uid="{00000000-0005-0000-0000-0000D6CB0000}"/>
    <cellStyle name="Percent 27 4" xfId="23483" xr:uid="{00000000-0005-0000-0000-0000D7CB0000}"/>
    <cellStyle name="Percent 27 5" xfId="23163" xr:uid="{00000000-0005-0000-0000-0000D8CB0000}"/>
    <cellStyle name="Percent 27 5 2" xfId="42731" xr:uid="{00000000-0005-0000-0000-0000D9CB0000}"/>
    <cellStyle name="Percent 27 6" xfId="12563" xr:uid="{00000000-0005-0000-0000-0000DACB0000}"/>
    <cellStyle name="Percent 28" xfId="1415" xr:uid="{00000000-0005-0000-0000-0000DBCB0000}"/>
    <cellStyle name="Percent 28 2" xfId="6291" xr:uid="{00000000-0005-0000-0000-0000DCCB0000}"/>
    <cellStyle name="Percent 28 2 2" xfId="13438" xr:uid="{00000000-0005-0000-0000-0000DDCB0000}"/>
    <cellStyle name="Percent 28 3" xfId="22804" xr:uid="{00000000-0005-0000-0000-0000DECB0000}"/>
    <cellStyle name="Percent 28 3 2" xfId="32888" xr:uid="{00000000-0005-0000-0000-0000DFCB0000}"/>
    <cellStyle name="Percent 28 3 2 2" xfId="52074" xr:uid="{00000000-0005-0000-0000-0000E0CB0000}"/>
    <cellStyle name="Percent 28 3 3" xfId="42376" xr:uid="{00000000-0005-0000-0000-0000E1CB0000}"/>
    <cellStyle name="Percent 28 4" xfId="23484" xr:uid="{00000000-0005-0000-0000-0000E2CB0000}"/>
    <cellStyle name="Percent 28 5" xfId="23161" xr:uid="{00000000-0005-0000-0000-0000E3CB0000}"/>
    <cellStyle name="Percent 28 5 2" xfId="42729" xr:uid="{00000000-0005-0000-0000-0000E4CB0000}"/>
    <cellStyle name="Percent 28 6" xfId="12564" xr:uid="{00000000-0005-0000-0000-0000E5CB0000}"/>
    <cellStyle name="Percent 29" xfId="1416" xr:uid="{00000000-0005-0000-0000-0000E6CB0000}"/>
    <cellStyle name="Percent 29 2" xfId="6774" xr:uid="{00000000-0005-0000-0000-0000E7CB0000}"/>
    <cellStyle name="Percent 29 2 2" xfId="13428" xr:uid="{00000000-0005-0000-0000-0000E8CB0000}"/>
    <cellStyle name="Percent 29 3" xfId="22811" xr:uid="{00000000-0005-0000-0000-0000E9CB0000}"/>
    <cellStyle name="Percent 29 3 2" xfId="32895" xr:uid="{00000000-0005-0000-0000-0000EACB0000}"/>
    <cellStyle name="Percent 29 3 2 2" xfId="52081" xr:uid="{00000000-0005-0000-0000-0000EBCB0000}"/>
    <cellStyle name="Percent 29 3 3" xfId="42383" xr:uid="{00000000-0005-0000-0000-0000ECCB0000}"/>
    <cellStyle name="Percent 29 4" xfId="23485" xr:uid="{00000000-0005-0000-0000-0000EDCB0000}"/>
    <cellStyle name="Percent 29 5" xfId="23168" xr:uid="{00000000-0005-0000-0000-0000EECB0000}"/>
    <cellStyle name="Percent 29 5 2" xfId="42736" xr:uid="{00000000-0005-0000-0000-0000EFCB0000}"/>
    <cellStyle name="Percent 29 6" xfId="12565" xr:uid="{00000000-0005-0000-0000-0000F0CB0000}"/>
    <cellStyle name="Percent 3" xfId="1417" xr:uid="{00000000-0005-0000-0000-0000F1CB0000}"/>
    <cellStyle name="Percent 3 10" xfId="23267" xr:uid="{00000000-0005-0000-0000-0000F2CB0000}"/>
    <cellStyle name="Percent 3 10 2" xfId="42833" xr:uid="{00000000-0005-0000-0000-0000F3CB0000}"/>
    <cellStyle name="Percent 3 10 2 2" xfId="54157" xr:uid="{00000000-0005-0000-0000-0000F4CB0000}"/>
    <cellStyle name="Percent 3 10 3" xfId="53305" xr:uid="{00000000-0005-0000-0000-0000F5CB0000}"/>
    <cellStyle name="Percent 3 11" xfId="33014" xr:uid="{00000000-0005-0000-0000-0000F6CB0000}"/>
    <cellStyle name="Percent 3 11 2" xfId="52200" xr:uid="{00000000-0005-0000-0000-0000F7CB0000}"/>
    <cellStyle name="Percent 3 11 2 2" xfId="54190" xr:uid="{00000000-0005-0000-0000-0000F8CB0000}"/>
    <cellStyle name="Percent 3 11 3" xfId="53338" xr:uid="{00000000-0005-0000-0000-0000F9CB0000}"/>
    <cellStyle name="Percent 3 12" xfId="33110" xr:uid="{00000000-0005-0000-0000-0000FACB0000}"/>
    <cellStyle name="Percent 3 12 2" xfId="53365" xr:uid="{00000000-0005-0000-0000-0000FBCB0000}"/>
    <cellStyle name="Percent 3 13" xfId="52294" xr:uid="{00000000-0005-0000-0000-0000FCCB0000}"/>
    <cellStyle name="Percent 3 14" xfId="52349" xr:uid="{00000000-0005-0000-0000-0000FDCB0000}"/>
    <cellStyle name="Percent 3 15" xfId="52397" xr:uid="{00000000-0005-0000-0000-0000FECB0000}"/>
    <cellStyle name="Percent 3 16" xfId="12117" xr:uid="{00000000-0005-0000-0000-0000FFCB0000}"/>
    <cellStyle name="Percent 3 17" xfId="52437" xr:uid="{00000000-0005-0000-0000-000000CC0000}"/>
    <cellStyle name="Percent 3 18" xfId="52463" xr:uid="{00000000-0005-0000-0000-000001CC0000}"/>
    <cellStyle name="Percent 3 19" xfId="11974" xr:uid="{00000000-0005-0000-0000-000002CC0000}"/>
    <cellStyle name="Percent 3 2" xfId="1418" xr:uid="{00000000-0005-0000-0000-000003CC0000}"/>
    <cellStyle name="Percent 3 2 10" xfId="12124" xr:uid="{00000000-0005-0000-0000-000004CC0000}"/>
    <cellStyle name="Percent 3 2 10 2" xfId="54197" xr:uid="{00000000-0005-0000-0000-000005CC0000}"/>
    <cellStyle name="Percent 3 2 10 3" xfId="53345" xr:uid="{00000000-0005-0000-0000-000006CC0000}"/>
    <cellStyle name="Percent 3 2 11" xfId="53372" xr:uid="{00000000-0005-0000-0000-000007CC0000}"/>
    <cellStyle name="Percent 3 2 12" xfId="52470" xr:uid="{00000000-0005-0000-0000-000008CC0000}"/>
    <cellStyle name="Percent 3 2 13" xfId="11983" xr:uid="{00000000-0005-0000-0000-000009CC0000}"/>
    <cellStyle name="Percent 3 2 2" xfId="1419" xr:uid="{00000000-0005-0000-0000-00000ACC0000}"/>
    <cellStyle name="Percent 3 2 2 10" xfId="22970" xr:uid="{00000000-0005-0000-0000-00000BCC0000}"/>
    <cellStyle name="Percent 3 2 2 10 2" xfId="42539" xr:uid="{00000000-0005-0000-0000-00000CCC0000}"/>
    <cellStyle name="Percent 3 2 2 11" xfId="33651" xr:uid="{00000000-0005-0000-0000-00000DCC0000}"/>
    <cellStyle name="Percent 3 2 2 12" xfId="13446" xr:uid="{00000000-0005-0000-0000-00000ECC0000}"/>
    <cellStyle name="Percent 3 2 2 13" xfId="52514" xr:uid="{00000000-0005-0000-0000-00000FCC0000}"/>
    <cellStyle name="Percent 3 2 2 14" xfId="12087" xr:uid="{00000000-0005-0000-0000-000010CC0000}"/>
    <cellStyle name="Percent 3 2 2 2" xfId="5606" xr:uid="{00000000-0005-0000-0000-000011CC0000}"/>
    <cellStyle name="Percent 3 2 2 2 2" xfId="8342" xr:uid="{00000000-0005-0000-0000-000012CC0000}"/>
    <cellStyle name="Percent 3 2 2 2 2 2" xfId="11239" xr:uid="{00000000-0005-0000-0000-000013CC0000}"/>
    <cellStyle name="Percent 3 2 2 2 2 2 2" xfId="31399" xr:uid="{00000000-0005-0000-0000-000014CC0000}"/>
    <cellStyle name="Percent 3 2 2 2 2 2 2 2" xfId="50588" xr:uid="{00000000-0005-0000-0000-000015CC0000}"/>
    <cellStyle name="Percent 3 2 2 2 2 2 3" xfId="40890" xr:uid="{00000000-0005-0000-0000-000016CC0000}"/>
    <cellStyle name="Percent 3 2 2 2 2 2 4" xfId="53999" xr:uid="{00000000-0005-0000-0000-000017CC0000}"/>
    <cellStyle name="Percent 3 2 2 2 2 2 5" xfId="21031" xr:uid="{00000000-0005-0000-0000-000018CC0000}"/>
    <cellStyle name="Percent 3 2 2 2 2 3" xfId="26944" xr:uid="{00000000-0005-0000-0000-000019CC0000}"/>
    <cellStyle name="Percent 3 2 2 2 2 3 2" xfId="46133" xr:uid="{00000000-0005-0000-0000-00001ACC0000}"/>
    <cellStyle name="Percent 3 2 2 2 2 4" xfId="36435" xr:uid="{00000000-0005-0000-0000-00001BCC0000}"/>
    <cellStyle name="Percent 3 2 2 2 2 5" xfId="53146" xr:uid="{00000000-0005-0000-0000-00001CCC0000}"/>
    <cellStyle name="Percent 3 2 2 2 2 6" xfId="16567" xr:uid="{00000000-0005-0000-0000-00001DCC0000}"/>
    <cellStyle name="Percent 3 2 2 2 3" xfId="9799" xr:uid="{00000000-0005-0000-0000-00001ECC0000}"/>
    <cellStyle name="Percent 3 2 2 2 3 2" xfId="29171" xr:uid="{00000000-0005-0000-0000-00001FCC0000}"/>
    <cellStyle name="Percent 3 2 2 2 3 2 2" xfId="48360" xr:uid="{00000000-0005-0000-0000-000020CC0000}"/>
    <cellStyle name="Percent 3 2 2 2 3 3" xfId="38662" xr:uid="{00000000-0005-0000-0000-000021CC0000}"/>
    <cellStyle name="Percent 3 2 2 2 3 4" xfId="53603" xr:uid="{00000000-0005-0000-0000-000022CC0000}"/>
    <cellStyle name="Percent 3 2 2 2 3 5" xfId="18803" xr:uid="{00000000-0005-0000-0000-000023CC0000}"/>
    <cellStyle name="Percent 3 2 2 2 4" xfId="6864" xr:uid="{00000000-0005-0000-0000-000024CC0000}"/>
    <cellStyle name="Percent 3 2 2 2 4 2" xfId="43905" xr:uid="{00000000-0005-0000-0000-000025CC0000}"/>
    <cellStyle name="Percent 3 2 2 2 4 3" xfId="24711" xr:uid="{00000000-0005-0000-0000-000026CC0000}"/>
    <cellStyle name="Percent 3 2 2 2 5" xfId="34207" xr:uid="{00000000-0005-0000-0000-000027CC0000}"/>
    <cellStyle name="Percent 3 2 2 2 6" xfId="52718" xr:uid="{00000000-0005-0000-0000-000028CC0000}"/>
    <cellStyle name="Percent 3 2 2 2 7" xfId="14304" xr:uid="{00000000-0005-0000-0000-000029CC0000}"/>
    <cellStyle name="Percent 3 2 2 3" xfId="5605" xr:uid="{00000000-0005-0000-0000-00002ACC0000}"/>
    <cellStyle name="Percent 3 2 2 3 2" xfId="10581" xr:uid="{00000000-0005-0000-0000-00002BCC0000}"/>
    <cellStyle name="Percent 3 2 2 3 2 2" xfId="20475" xr:uid="{00000000-0005-0000-0000-00002CCC0000}"/>
    <cellStyle name="Percent 3 2 2 3 2 2 2" xfId="30843" xr:uid="{00000000-0005-0000-0000-00002DCC0000}"/>
    <cellStyle name="Percent 3 2 2 3 2 2 2 2" xfId="50032" xr:uid="{00000000-0005-0000-0000-00002ECC0000}"/>
    <cellStyle name="Percent 3 2 2 3 2 2 3" xfId="40334" xr:uid="{00000000-0005-0000-0000-00002FCC0000}"/>
    <cellStyle name="Percent 3 2 2 3 2 3" xfId="26388" xr:uid="{00000000-0005-0000-0000-000030CC0000}"/>
    <cellStyle name="Percent 3 2 2 3 2 3 2" xfId="45577" xr:uid="{00000000-0005-0000-0000-000031CC0000}"/>
    <cellStyle name="Percent 3 2 2 3 2 4" xfId="35879" xr:uid="{00000000-0005-0000-0000-000032CC0000}"/>
    <cellStyle name="Percent 3 2 2 3 2 5" xfId="53803" xr:uid="{00000000-0005-0000-0000-000033CC0000}"/>
    <cellStyle name="Percent 3 2 2 3 2 6" xfId="16011" xr:uid="{00000000-0005-0000-0000-000034CC0000}"/>
    <cellStyle name="Percent 3 2 2 3 3" xfId="7681" xr:uid="{00000000-0005-0000-0000-000035CC0000}"/>
    <cellStyle name="Percent 3 2 2 3 3 2" xfId="29728" xr:uid="{00000000-0005-0000-0000-000036CC0000}"/>
    <cellStyle name="Percent 3 2 2 3 3 2 2" xfId="48917" xr:uid="{00000000-0005-0000-0000-000037CC0000}"/>
    <cellStyle name="Percent 3 2 2 3 3 3" xfId="39219" xr:uid="{00000000-0005-0000-0000-000038CC0000}"/>
    <cellStyle name="Percent 3 2 2 3 3 4" xfId="19360" xr:uid="{00000000-0005-0000-0000-000039CC0000}"/>
    <cellStyle name="Percent 3 2 2 3 4" xfId="25273" xr:uid="{00000000-0005-0000-0000-00003ACC0000}"/>
    <cellStyle name="Percent 3 2 2 3 4 2" xfId="44462" xr:uid="{00000000-0005-0000-0000-00003BCC0000}"/>
    <cellStyle name="Percent 3 2 2 3 5" xfId="34764" xr:uid="{00000000-0005-0000-0000-00003CCC0000}"/>
    <cellStyle name="Percent 3 2 2 3 6" xfId="52928" xr:uid="{00000000-0005-0000-0000-00003DCC0000}"/>
    <cellStyle name="Percent 3 2 2 3 7" xfId="14883" xr:uid="{00000000-0005-0000-0000-00003ECC0000}"/>
    <cellStyle name="Percent 3 2 2 4" xfId="9141" xr:uid="{00000000-0005-0000-0000-00003FCC0000}"/>
    <cellStyle name="Percent 3 2 2 4 2" xfId="19918" xr:uid="{00000000-0005-0000-0000-000040CC0000}"/>
    <cellStyle name="Percent 3 2 2 4 2 2" xfId="30286" xr:uid="{00000000-0005-0000-0000-000041CC0000}"/>
    <cellStyle name="Percent 3 2 2 4 2 2 2" xfId="49475" xr:uid="{00000000-0005-0000-0000-000042CC0000}"/>
    <cellStyle name="Percent 3 2 2 4 2 3" xfId="39777" xr:uid="{00000000-0005-0000-0000-000043CC0000}"/>
    <cellStyle name="Percent 3 2 2 4 3" xfId="25831" xr:uid="{00000000-0005-0000-0000-000044CC0000}"/>
    <cellStyle name="Percent 3 2 2 4 3 2" xfId="45020" xr:uid="{00000000-0005-0000-0000-000045CC0000}"/>
    <cellStyle name="Percent 3 2 2 4 4" xfId="35322" xr:uid="{00000000-0005-0000-0000-000046CC0000}"/>
    <cellStyle name="Percent 3 2 2 4 5" xfId="53407" xr:uid="{00000000-0005-0000-0000-000047CC0000}"/>
    <cellStyle name="Percent 3 2 2 4 6" xfId="15454" xr:uid="{00000000-0005-0000-0000-000048CC0000}"/>
    <cellStyle name="Percent 3 2 2 5" xfId="6156" xr:uid="{00000000-0005-0000-0000-000049CC0000}"/>
    <cellStyle name="Percent 3 2 2 5 2" xfId="21588" xr:uid="{00000000-0005-0000-0000-00004ACC0000}"/>
    <cellStyle name="Percent 3 2 2 5 2 2" xfId="31956" xr:uid="{00000000-0005-0000-0000-00004BCC0000}"/>
    <cellStyle name="Percent 3 2 2 5 2 2 2" xfId="51145" xr:uid="{00000000-0005-0000-0000-00004CCC0000}"/>
    <cellStyle name="Percent 3 2 2 5 2 3" xfId="41447" xr:uid="{00000000-0005-0000-0000-00004DCC0000}"/>
    <cellStyle name="Percent 3 2 2 5 3" xfId="27501" xr:uid="{00000000-0005-0000-0000-00004ECC0000}"/>
    <cellStyle name="Percent 3 2 2 5 3 2" xfId="46690" xr:uid="{00000000-0005-0000-0000-00004FCC0000}"/>
    <cellStyle name="Percent 3 2 2 5 4" xfId="36992" xr:uid="{00000000-0005-0000-0000-000050CC0000}"/>
    <cellStyle name="Percent 3 2 2 5 5" xfId="17124" xr:uid="{00000000-0005-0000-0000-000051CC0000}"/>
    <cellStyle name="Percent 3 2 2 6" xfId="17690" xr:uid="{00000000-0005-0000-0000-000052CC0000}"/>
    <cellStyle name="Percent 3 2 2 6 2" xfId="22145" xr:uid="{00000000-0005-0000-0000-000053CC0000}"/>
    <cellStyle name="Percent 3 2 2 6 2 2" xfId="32513" xr:uid="{00000000-0005-0000-0000-000054CC0000}"/>
    <cellStyle name="Percent 3 2 2 6 2 2 2" xfId="51702" xr:uid="{00000000-0005-0000-0000-000055CC0000}"/>
    <cellStyle name="Percent 3 2 2 6 2 3" xfId="42004" xr:uid="{00000000-0005-0000-0000-000056CC0000}"/>
    <cellStyle name="Percent 3 2 2 6 3" xfId="28058" xr:uid="{00000000-0005-0000-0000-000057CC0000}"/>
    <cellStyle name="Percent 3 2 2 6 3 2" xfId="47247" xr:uid="{00000000-0005-0000-0000-000058CC0000}"/>
    <cellStyle name="Percent 3 2 2 6 4" xfId="37549" xr:uid="{00000000-0005-0000-0000-000059CC0000}"/>
    <cellStyle name="Percent 3 2 2 7" xfId="18247" xr:uid="{00000000-0005-0000-0000-00005ACC0000}"/>
    <cellStyle name="Percent 3 2 2 7 2" xfId="28615" xr:uid="{00000000-0005-0000-0000-00005BCC0000}"/>
    <cellStyle name="Percent 3 2 2 7 2 2" xfId="47804" xr:uid="{00000000-0005-0000-0000-00005CCC0000}"/>
    <cellStyle name="Percent 3 2 2 7 3" xfId="38106" xr:uid="{00000000-0005-0000-0000-00005DCC0000}"/>
    <cellStyle name="Percent 3 2 2 8" xfId="22602" xr:uid="{00000000-0005-0000-0000-00005ECC0000}"/>
    <cellStyle name="Percent 3 2 2 8 2" xfId="32697" xr:uid="{00000000-0005-0000-0000-00005FCC0000}"/>
    <cellStyle name="Percent 3 2 2 8 2 2" xfId="51884" xr:uid="{00000000-0005-0000-0000-000060CC0000}"/>
    <cellStyle name="Percent 3 2 2 8 3" xfId="42186" xr:uid="{00000000-0005-0000-0000-000061CC0000}"/>
    <cellStyle name="Percent 3 2 2 9" xfId="24129" xr:uid="{00000000-0005-0000-0000-000062CC0000}"/>
    <cellStyle name="Percent 3 2 2 9 2" xfId="43349" xr:uid="{00000000-0005-0000-0000-000063CC0000}"/>
    <cellStyle name="Percent 3 2 3" xfId="1420" xr:uid="{00000000-0005-0000-0000-000064CC0000}"/>
    <cellStyle name="Percent 3 2 3 2" xfId="5607" xr:uid="{00000000-0005-0000-0000-000065CC0000}"/>
    <cellStyle name="Percent 3 2 3 2 2" xfId="9039" xr:uid="{00000000-0005-0000-0000-000066CC0000}"/>
    <cellStyle name="Percent 3 2 3 2 2 2" xfId="11936" xr:uid="{00000000-0005-0000-0000-000067CC0000}"/>
    <cellStyle name="Percent 3 2 3 2 2 2 2" xfId="54035" xr:uid="{00000000-0005-0000-0000-000068CC0000}"/>
    <cellStyle name="Percent 3 2 3 2 2 2 3" xfId="52158" xr:uid="{00000000-0005-0000-0000-000069CC0000}"/>
    <cellStyle name="Percent 3 2 3 2 2 3" xfId="53182" xr:uid="{00000000-0005-0000-0000-00006ACC0000}"/>
    <cellStyle name="Percent 3 2 3 2 2 4" xfId="32972" xr:uid="{00000000-0005-0000-0000-00006BCC0000}"/>
    <cellStyle name="Percent 3 2 3 2 3" xfId="10496" xr:uid="{00000000-0005-0000-0000-00006CCC0000}"/>
    <cellStyle name="Percent 3 2 3 2 3 2" xfId="53639" xr:uid="{00000000-0005-0000-0000-00006DCC0000}"/>
    <cellStyle name="Percent 3 2 3 2 3 3" xfId="42460" xr:uid="{00000000-0005-0000-0000-00006ECC0000}"/>
    <cellStyle name="Percent 3 2 3 2 4" xfId="7581" xr:uid="{00000000-0005-0000-0000-00006FCC0000}"/>
    <cellStyle name="Percent 3 2 3 2 4 2" xfId="52754" xr:uid="{00000000-0005-0000-0000-000070CC0000}"/>
    <cellStyle name="Percent 3 2 3 2 5" xfId="22888" xr:uid="{00000000-0005-0000-0000-000071CC0000}"/>
    <cellStyle name="Percent 3 2 3 3" xfId="7588" xr:uid="{00000000-0005-0000-0000-000072CC0000}"/>
    <cellStyle name="Percent 3 2 3 3 2" xfId="10500" xr:uid="{00000000-0005-0000-0000-000073CC0000}"/>
    <cellStyle name="Percent 3 2 3 3 2 2" xfId="53839" xr:uid="{00000000-0005-0000-0000-000074CC0000}"/>
    <cellStyle name="Percent 3 2 3 3 3" xfId="52964" xr:uid="{00000000-0005-0000-0000-000075CC0000}"/>
    <cellStyle name="Percent 3 2 3 3 4" xfId="24184" xr:uid="{00000000-0005-0000-0000-000076CC0000}"/>
    <cellStyle name="Percent 3 2 3 4" xfId="9053" xr:uid="{00000000-0005-0000-0000-000077CC0000}"/>
    <cellStyle name="Percent 3 2 3 4 2" xfId="11940" xr:uid="{00000000-0005-0000-0000-000078CC0000}"/>
    <cellStyle name="Percent 3 2 3 4 2 2" xfId="42813" xr:uid="{00000000-0005-0000-0000-000079CC0000}"/>
    <cellStyle name="Percent 3 2 3 4 3" xfId="53443" xr:uid="{00000000-0005-0000-0000-00007ACC0000}"/>
    <cellStyle name="Percent 3 2 3 4 4" xfId="23245" xr:uid="{00000000-0005-0000-0000-00007BCC0000}"/>
    <cellStyle name="Percent 3 2 3 5" xfId="9058" xr:uid="{00000000-0005-0000-0000-00007CCC0000}"/>
    <cellStyle name="Percent 3 2 3 5 2" xfId="13604" xr:uid="{00000000-0005-0000-0000-00007DCC0000}"/>
    <cellStyle name="Percent 3 2 3 6" xfId="6048" xr:uid="{00000000-0005-0000-0000-00007ECC0000}"/>
    <cellStyle name="Percent 3 2 3 6 2" xfId="52553" xr:uid="{00000000-0005-0000-0000-00007FCC0000}"/>
    <cellStyle name="Percent 3 2 3 7" xfId="12088" xr:uid="{00000000-0005-0000-0000-000080CC0000}"/>
    <cellStyle name="Percent 3 2 4" xfId="5608" xr:uid="{00000000-0005-0000-0000-000081CC0000}"/>
    <cellStyle name="Percent 3 2 4 2" xfId="32590" xr:uid="{00000000-0005-0000-0000-000082CC0000}"/>
    <cellStyle name="Percent 3 2 4 2 2" xfId="51778" xr:uid="{00000000-0005-0000-0000-000083CC0000}"/>
    <cellStyle name="Percent 3 2 4 2 2 2" xfId="54066" xr:uid="{00000000-0005-0000-0000-000084CC0000}"/>
    <cellStyle name="Percent 3 2 4 2 2 3" xfId="53213" xr:uid="{00000000-0005-0000-0000-000085CC0000}"/>
    <cellStyle name="Percent 3 2 4 2 3" xfId="53670" xr:uid="{00000000-0005-0000-0000-000086CC0000}"/>
    <cellStyle name="Percent 3 2 4 2 4" xfId="52785" xr:uid="{00000000-0005-0000-0000-000087CC0000}"/>
    <cellStyle name="Percent 3 2 4 3" xfId="42080" xr:uid="{00000000-0005-0000-0000-000088CC0000}"/>
    <cellStyle name="Percent 3 2 4 3 2" xfId="53870" xr:uid="{00000000-0005-0000-0000-000089CC0000}"/>
    <cellStyle name="Percent 3 2 4 3 3" xfId="52995" xr:uid="{00000000-0005-0000-0000-00008ACC0000}"/>
    <cellStyle name="Percent 3 2 4 4" xfId="22231" xr:uid="{00000000-0005-0000-0000-00008BCC0000}"/>
    <cellStyle name="Percent 3 2 4 4 2" xfId="53474" xr:uid="{00000000-0005-0000-0000-00008CCC0000}"/>
    <cellStyle name="Percent 3 2 4 5" xfId="52585" xr:uid="{00000000-0005-0000-0000-00008DCC0000}"/>
    <cellStyle name="Percent 3 2 4 6" xfId="12089" xr:uid="{00000000-0005-0000-0000-00008ECC0000}"/>
    <cellStyle name="Percent 3 2 5" xfId="5604" xr:uid="{00000000-0005-0000-0000-00008FCC0000}"/>
    <cellStyle name="Percent 3 2 5 2" xfId="32617" xr:uid="{00000000-0005-0000-0000-000090CC0000}"/>
    <cellStyle name="Percent 3 2 5 2 2" xfId="51805" xr:uid="{00000000-0005-0000-0000-000091CC0000}"/>
    <cellStyle name="Percent 3 2 5 2 2 2" xfId="54100" xr:uid="{00000000-0005-0000-0000-000092CC0000}"/>
    <cellStyle name="Percent 3 2 5 2 2 3" xfId="53247" xr:uid="{00000000-0005-0000-0000-000093CC0000}"/>
    <cellStyle name="Percent 3 2 5 2 3" xfId="53704" xr:uid="{00000000-0005-0000-0000-000094CC0000}"/>
    <cellStyle name="Percent 3 2 5 2 4" xfId="52819" xr:uid="{00000000-0005-0000-0000-000095CC0000}"/>
    <cellStyle name="Percent 3 2 5 3" xfId="42107" xr:uid="{00000000-0005-0000-0000-000096CC0000}"/>
    <cellStyle name="Percent 3 2 5 3 2" xfId="53904" xr:uid="{00000000-0005-0000-0000-000097CC0000}"/>
    <cellStyle name="Percent 3 2 5 3 3" xfId="53029" xr:uid="{00000000-0005-0000-0000-000098CC0000}"/>
    <cellStyle name="Percent 3 2 5 4" xfId="22261" xr:uid="{00000000-0005-0000-0000-000099CC0000}"/>
    <cellStyle name="Percent 3 2 5 4 2" xfId="53508" xr:uid="{00000000-0005-0000-0000-00009ACC0000}"/>
    <cellStyle name="Percent 3 2 5 5" xfId="52619" xr:uid="{00000000-0005-0000-0000-00009BCC0000}"/>
    <cellStyle name="Percent 3 2 5 6" xfId="12086" xr:uid="{00000000-0005-0000-0000-00009CCC0000}"/>
    <cellStyle name="Percent 3 2 6" xfId="12567" xr:uid="{00000000-0005-0000-0000-00009DCC0000}"/>
    <cellStyle name="Percent 3 2 6 2" xfId="52852" xr:uid="{00000000-0005-0000-0000-00009ECC0000}"/>
    <cellStyle name="Percent 3 2 6 2 2" xfId="53280" xr:uid="{00000000-0005-0000-0000-00009FCC0000}"/>
    <cellStyle name="Percent 3 2 6 2 2 2" xfId="54133" xr:uid="{00000000-0005-0000-0000-0000A0CC0000}"/>
    <cellStyle name="Percent 3 2 6 2 3" xfId="53737" xr:uid="{00000000-0005-0000-0000-0000A1CC0000}"/>
    <cellStyle name="Percent 3 2 6 3" xfId="53062" xr:uid="{00000000-0005-0000-0000-0000A2CC0000}"/>
    <cellStyle name="Percent 3 2 6 3 2" xfId="53937" xr:uid="{00000000-0005-0000-0000-0000A3CC0000}"/>
    <cellStyle name="Percent 3 2 6 4" xfId="53541" xr:uid="{00000000-0005-0000-0000-0000A4CC0000}"/>
    <cellStyle name="Percent 3 2 6 5" xfId="52656" xr:uid="{00000000-0005-0000-0000-0000A5CC0000}"/>
    <cellStyle name="Percent 3 2 7" xfId="22498" xr:uid="{00000000-0005-0000-0000-0000A6CC0000}"/>
    <cellStyle name="Percent 3 2 7 2" xfId="53111" xr:uid="{00000000-0005-0000-0000-0000A7CC0000}"/>
    <cellStyle name="Percent 3 2 7 2 2" xfId="53964" xr:uid="{00000000-0005-0000-0000-0000A8CC0000}"/>
    <cellStyle name="Percent 3 2 7 3" xfId="53568" xr:uid="{00000000-0005-0000-0000-0000A9CC0000}"/>
    <cellStyle name="Percent 3 2 7 4" xfId="52683" xr:uid="{00000000-0005-0000-0000-0000AACC0000}"/>
    <cellStyle name="Percent 3 2 8" xfId="23274" xr:uid="{00000000-0005-0000-0000-0000ABCC0000}"/>
    <cellStyle name="Percent 3 2 8 2" xfId="42840" xr:uid="{00000000-0005-0000-0000-0000ACCC0000}"/>
    <cellStyle name="Percent 3 2 8 2 2" xfId="53767" xr:uid="{00000000-0005-0000-0000-0000ADCC0000}"/>
    <cellStyle name="Percent 3 2 8 3" xfId="52883" xr:uid="{00000000-0005-0000-0000-0000AECC0000}"/>
    <cellStyle name="Percent 3 2 9" xfId="33111" xr:uid="{00000000-0005-0000-0000-0000AFCC0000}"/>
    <cellStyle name="Percent 3 2 9 2" xfId="54164" xr:uid="{00000000-0005-0000-0000-0000B0CC0000}"/>
    <cellStyle name="Percent 3 2 9 3" xfId="53312" xr:uid="{00000000-0005-0000-0000-0000B1CC0000}"/>
    <cellStyle name="Percent 3 3" xfId="1421" xr:uid="{00000000-0005-0000-0000-0000B2CC0000}"/>
    <cellStyle name="Percent 3 3 2" xfId="5609" xr:uid="{00000000-0005-0000-0000-0000B3CC0000}"/>
    <cellStyle name="Percent 3 3 2 10" xfId="52709" xr:uid="{00000000-0005-0000-0000-0000B4CC0000}"/>
    <cellStyle name="Percent 3 3 2 11" xfId="13623" xr:uid="{00000000-0005-0000-0000-0000B5CC0000}"/>
    <cellStyle name="Percent 3 3 2 2" xfId="14341" xr:uid="{00000000-0005-0000-0000-0000B6CC0000}"/>
    <cellStyle name="Percent 3 3 2 2 2" xfId="16604" xr:uid="{00000000-0005-0000-0000-0000B7CC0000}"/>
    <cellStyle name="Percent 3 3 2 2 2 2" xfId="21068" xr:uid="{00000000-0005-0000-0000-0000B8CC0000}"/>
    <cellStyle name="Percent 3 3 2 2 2 2 2" xfId="31436" xr:uid="{00000000-0005-0000-0000-0000B9CC0000}"/>
    <cellStyle name="Percent 3 3 2 2 2 2 2 2" xfId="50625" xr:uid="{00000000-0005-0000-0000-0000BACC0000}"/>
    <cellStyle name="Percent 3 3 2 2 2 2 3" xfId="40927" xr:uid="{00000000-0005-0000-0000-0000BBCC0000}"/>
    <cellStyle name="Percent 3 3 2 2 2 3" xfId="26981" xr:uid="{00000000-0005-0000-0000-0000BCCC0000}"/>
    <cellStyle name="Percent 3 3 2 2 2 3 2" xfId="46170" xr:uid="{00000000-0005-0000-0000-0000BDCC0000}"/>
    <cellStyle name="Percent 3 3 2 2 2 4" xfId="36472" xr:uid="{00000000-0005-0000-0000-0000BECC0000}"/>
    <cellStyle name="Percent 3 3 2 2 2 5" xfId="53990" xr:uid="{00000000-0005-0000-0000-0000BFCC0000}"/>
    <cellStyle name="Percent 3 3 2 2 3" xfId="18840" xr:uid="{00000000-0005-0000-0000-0000C0CC0000}"/>
    <cellStyle name="Percent 3 3 2 2 3 2" xfId="29208" xr:uid="{00000000-0005-0000-0000-0000C1CC0000}"/>
    <cellStyle name="Percent 3 3 2 2 3 2 2" xfId="48397" xr:uid="{00000000-0005-0000-0000-0000C2CC0000}"/>
    <cellStyle name="Percent 3 3 2 2 3 3" xfId="38699" xr:uid="{00000000-0005-0000-0000-0000C3CC0000}"/>
    <cellStyle name="Percent 3 3 2 2 4" xfId="24748" xr:uid="{00000000-0005-0000-0000-0000C4CC0000}"/>
    <cellStyle name="Percent 3 3 2 2 4 2" xfId="43942" xr:uid="{00000000-0005-0000-0000-0000C5CC0000}"/>
    <cellStyle name="Percent 3 3 2 2 5" xfId="34244" xr:uid="{00000000-0005-0000-0000-0000C6CC0000}"/>
    <cellStyle name="Percent 3 3 2 2 6" xfId="53137" xr:uid="{00000000-0005-0000-0000-0000C7CC0000}"/>
    <cellStyle name="Percent 3 3 2 3" xfId="14920" xr:uid="{00000000-0005-0000-0000-0000C8CC0000}"/>
    <cellStyle name="Percent 3 3 2 3 2" xfId="16048" xr:uid="{00000000-0005-0000-0000-0000C9CC0000}"/>
    <cellStyle name="Percent 3 3 2 3 2 2" xfId="20512" xr:uid="{00000000-0005-0000-0000-0000CACC0000}"/>
    <cellStyle name="Percent 3 3 2 3 2 2 2" xfId="30880" xr:uid="{00000000-0005-0000-0000-0000CBCC0000}"/>
    <cellStyle name="Percent 3 3 2 3 2 2 2 2" xfId="50069" xr:uid="{00000000-0005-0000-0000-0000CCCC0000}"/>
    <cellStyle name="Percent 3 3 2 3 2 2 3" xfId="40371" xr:uid="{00000000-0005-0000-0000-0000CDCC0000}"/>
    <cellStyle name="Percent 3 3 2 3 2 3" xfId="26425" xr:uid="{00000000-0005-0000-0000-0000CECC0000}"/>
    <cellStyle name="Percent 3 3 2 3 2 3 2" xfId="45614" xr:uid="{00000000-0005-0000-0000-0000CFCC0000}"/>
    <cellStyle name="Percent 3 3 2 3 2 4" xfId="35916" xr:uid="{00000000-0005-0000-0000-0000D0CC0000}"/>
    <cellStyle name="Percent 3 3 2 3 3" xfId="19397" xr:uid="{00000000-0005-0000-0000-0000D1CC0000}"/>
    <cellStyle name="Percent 3 3 2 3 3 2" xfId="29765" xr:uid="{00000000-0005-0000-0000-0000D2CC0000}"/>
    <cellStyle name="Percent 3 3 2 3 3 2 2" xfId="48954" xr:uid="{00000000-0005-0000-0000-0000D3CC0000}"/>
    <cellStyle name="Percent 3 3 2 3 3 3" xfId="39256" xr:uid="{00000000-0005-0000-0000-0000D4CC0000}"/>
    <cellStyle name="Percent 3 3 2 3 4" xfId="25310" xr:uid="{00000000-0005-0000-0000-0000D5CC0000}"/>
    <cellStyle name="Percent 3 3 2 3 4 2" xfId="44499" xr:uid="{00000000-0005-0000-0000-0000D6CC0000}"/>
    <cellStyle name="Percent 3 3 2 3 5" xfId="34801" xr:uid="{00000000-0005-0000-0000-0000D7CC0000}"/>
    <cellStyle name="Percent 3 3 2 3 6" xfId="53594" xr:uid="{00000000-0005-0000-0000-0000D8CC0000}"/>
    <cellStyle name="Percent 3 3 2 4" xfId="15491" xr:uid="{00000000-0005-0000-0000-0000D9CC0000}"/>
    <cellStyle name="Percent 3 3 2 4 2" xfId="19955" xr:uid="{00000000-0005-0000-0000-0000DACC0000}"/>
    <cellStyle name="Percent 3 3 2 4 2 2" xfId="30323" xr:uid="{00000000-0005-0000-0000-0000DBCC0000}"/>
    <cellStyle name="Percent 3 3 2 4 2 2 2" xfId="49512" xr:uid="{00000000-0005-0000-0000-0000DCCC0000}"/>
    <cellStyle name="Percent 3 3 2 4 2 3" xfId="39814" xr:uid="{00000000-0005-0000-0000-0000DDCC0000}"/>
    <cellStyle name="Percent 3 3 2 4 3" xfId="25868" xr:uid="{00000000-0005-0000-0000-0000DECC0000}"/>
    <cellStyle name="Percent 3 3 2 4 3 2" xfId="45057" xr:uid="{00000000-0005-0000-0000-0000DFCC0000}"/>
    <cellStyle name="Percent 3 3 2 4 4" xfId="35359" xr:uid="{00000000-0005-0000-0000-0000E0CC0000}"/>
    <cellStyle name="Percent 3 3 2 5" xfId="17161" xr:uid="{00000000-0005-0000-0000-0000E1CC0000}"/>
    <cellStyle name="Percent 3 3 2 5 2" xfId="21625" xr:uid="{00000000-0005-0000-0000-0000E2CC0000}"/>
    <cellStyle name="Percent 3 3 2 5 2 2" xfId="31993" xr:uid="{00000000-0005-0000-0000-0000E3CC0000}"/>
    <cellStyle name="Percent 3 3 2 5 2 2 2" xfId="51182" xr:uid="{00000000-0005-0000-0000-0000E4CC0000}"/>
    <cellStyle name="Percent 3 3 2 5 2 3" xfId="41484" xr:uid="{00000000-0005-0000-0000-0000E5CC0000}"/>
    <cellStyle name="Percent 3 3 2 5 3" xfId="27538" xr:uid="{00000000-0005-0000-0000-0000E6CC0000}"/>
    <cellStyle name="Percent 3 3 2 5 3 2" xfId="46727" xr:uid="{00000000-0005-0000-0000-0000E7CC0000}"/>
    <cellStyle name="Percent 3 3 2 5 4" xfId="37029" xr:uid="{00000000-0005-0000-0000-0000E8CC0000}"/>
    <cellStyle name="Percent 3 3 2 6" xfId="17727" xr:uid="{00000000-0005-0000-0000-0000E9CC0000}"/>
    <cellStyle name="Percent 3 3 2 6 2" xfId="22182" xr:uid="{00000000-0005-0000-0000-0000EACC0000}"/>
    <cellStyle name="Percent 3 3 2 6 2 2" xfId="32550" xr:uid="{00000000-0005-0000-0000-0000EBCC0000}"/>
    <cellStyle name="Percent 3 3 2 6 2 2 2" xfId="51739" xr:uid="{00000000-0005-0000-0000-0000ECCC0000}"/>
    <cellStyle name="Percent 3 3 2 6 2 3" xfId="42041" xr:uid="{00000000-0005-0000-0000-0000EDCC0000}"/>
    <cellStyle name="Percent 3 3 2 6 3" xfId="28095" xr:uid="{00000000-0005-0000-0000-0000EECC0000}"/>
    <cellStyle name="Percent 3 3 2 6 3 2" xfId="47284" xr:uid="{00000000-0005-0000-0000-0000EFCC0000}"/>
    <cellStyle name="Percent 3 3 2 6 4" xfId="37586" xr:uid="{00000000-0005-0000-0000-0000F0CC0000}"/>
    <cellStyle name="Percent 3 3 2 7" xfId="18284" xr:uid="{00000000-0005-0000-0000-0000F1CC0000}"/>
    <cellStyle name="Percent 3 3 2 7 2" xfId="28652" xr:uid="{00000000-0005-0000-0000-0000F2CC0000}"/>
    <cellStyle name="Percent 3 3 2 7 2 2" xfId="47841" xr:uid="{00000000-0005-0000-0000-0000F3CC0000}"/>
    <cellStyle name="Percent 3 3 2 7 3" xfId="38143" xr:uid="{00000000-0005-0000-0000-0000F4CC0000}"/>
    <cellStyle name="Percent 3 3 2 8" xfId="24188" xr:uid="{00000000-0005-0000-0000-0000F5CC0000}"/>
    <cellStyle name="Percent 3 3 2 8 2" xfId="43386" xr:uid="{00000000-0005-0000-0000-0000F6CC0000}"/>
    <cellStyle name="Percent 3 3 2 9" xfId="33688" xr:uid="{00000000-0005-0000-0000-0000F7CC0000}"/>
    <cellStyle name="Percent 3 3 3" xfId="6097" xr:uid="{00000000-0005-0000-0000-0000F8CC0000}"/>
    <cellStyle name="Percent 3 3 3 2" xfId="53794" xr:uid="{00000000-0005-0000-0000-0000F9CC0000}"/>
    <cellStyle name="Percent 3 3 3 3" xfId="52919" xr:uid="{00000000-0005-0000-0000-0000FACC0000}"/>
    <cellStyle name="Percent 3 3 4" xfId="23486" xr:uid="{00000000-0005-0000-0000-0000FBCC0000}"/>
    <cellStyle name="Percent 3 3 4 2" xfId="53398" xr:uid="{00000000-0005-0000-0000-0000FCCC0000}"/>
    <cellStyle name="Percent 3 3 5" xfId="12568" xr:uid="{00000000-0005-0000-0000-0000FDCC0000}"/>
    <cellStyle name="Percent 3 3 6" xfId="52505" xr:uid="{00000000-0005-0000-0000-0000FECC0000}"/>
    <cellStyle name="Percent 3 3 7" xfId="12090" xr:uid="{00000000-0005-0000-0000-0000FFCC0000}"/>
    <cellStyle name="Percent 3 4" xfId="1422" xr:uid="{00000000-0005-0000-0000-000000CD0000}"/>
    <cellStyle name="Percent 3 4 2" xfId="5610" xr:uid="{00000000-0005-0000-0000-000001CD0000}"/>
    <cellStyle name="Percent 3 4 2 2" xfId="8338" xr:uid="{00000000-0005-0000-0000-000002CD0000}"/>
    <cellStyle name="Percent 3 4 2 2 2" xfId="11235" xr:uid="{00000000-0005-0000-0000-000003CD0000}"/>
    <cellStyle name="Percent 3 4 2 2 2 2" xfId="54028" xr:uid="{00000000-0005-0000-0000-000004CD0000}"/>
    <cellStyle name="Percent 3 4 2 2 3" xfId="53175" xr:uid="{00000000-0005-0000-0000-000005CD0000}"/>
    <cellStyle name="Percent 3 4 2 3" xfId="9795" xr:uid="{00000000-0005-0000-0000-000006CD0000}"/>
    <cellStyle name="Percent 3 4 2 3 2" xfId="53632" xr:uid="{00000000-0005-0000-0000-000007CD0000}"/>
    <cellStyle name="Percent 3 4 2 4" xfId="6859" xr:uid="{00000000-0005-0000-0000-000008CD0000}"/>
    <cellStyle name="Percent 3 4 2 4 2" xfId="52747" xr:uid="{00000000-0005-0000-0000-000009CD0000}"/>
    <cellStyle name="Percent 3 4 2 5" xfId="13682" xr:uid="{00000000-0005-0000-0000-00000ACD0000}"/>
    <cellStyle name="Percent 3 4 3" xfId="7677" xr:uid="{00000000-0005-0000-0000-00000BCD0000}"/>
    <cellStyle name="Percent 3 4 3 2" xfId="10577" xr:uid="{00000000-0005-0000-0000-00000CCD0000}"/>
    <cellStyle name="Percent 3 4 3 2 2" xfId="51880" xr:uid="{00000000-0005-0000-0000-00000DCD0000}"/>
    <cellStyle name="Percent 3 4 3 2 3" xfId="53832" xr:uid="{00000000-0005-0000-0000-00000ECD0000}"/>
    <cellStyle name="Percent 3 4 3 2 4" xfId="32693" xr:uid="{00000000-0005-0000-0000-00000FCD0000}"/>
    <cellStyle name="Percent 3 4 3 3" xfId="42182" xr:uid="{00000000-0005-0000-0000-000010CD0000}"/>
    <cellStyle name="Percent 3 4 3 4" xfId="52957" xr:uid="{00000000-0005-0000-0000-000011CD0000}"/>
    <cellStyle name="Percent 3 4 3 5" xfId="22598" xr:uid="{00000000-0005-0000-0000-000012CD0000}"/>
    <cellStyle name="Percent 3 4 4" xfId="9137" xr:uid="{00000000-0005-0000-0000-000013CD0000}"/>
    <cellStyle name="Percent 3 4 4 2" xfId="53436" xr:uid="{00000000-0005-0000-0000-000014CD0000}"/>
    <cellStyle name="Percent 3 4 4 3" xfId="23487" xr:uid="{00000000-0005-0000-0000-000015CD0000}"/>
    <cellStyle name="Percent 3 4 5" xfId="6151" xr:uid="{00000000-0005-0000-0000-000016CD0000}"/>
    <cellStyle name="Percent 3 4 5 2" xfId="42535" xr:uid="{00000000-0005-0000-0000-000017CD0000}"/>
    <cellStyle name="Percent 3 4 5 3" xfId="22966" xr:uid="{00000000-0005-0000-0000-000018CD0000}"/>
    <cellStyle name="Percent 3 4 6" xfId="12569" xr:uid="{00000000-0005-0000-0000-000019CD0000}"/>
    <cellStyle name="Percent 3 4 7" xfId="52546" xr:uid="{00000000-0005-0000-0000-00001ACD0000}"/>
    <cellStyle name="Percent 3 4 8" xfId="12091" xr:uid="{00000000-0005-0000-0000-00001BCD0000}"/>
    <cellStyle name="Percent 3 5" xfId="1423" xr:uid="{00000000-0005-0000-0000-00001CCD0000}"/>
    <cellStyle name="Percent 3 5 2" xfId="22881" xr:uid="{00000000-0005-0000-0000-00001DCD0000}"/>
    <cellStyle name="Percent 3 5 2 2" xfId="32965" xr:uid="{00000000-0005-0000-0000-00001ECD0000}"/>
    <cellStyle name="Percent 3 5 2 2 2" xfId="52151" xr:uid="{00000000-0005-0000-0000-00001FCD0000}"/>
    <cellStyle name="Percent 3 5 2 2 2 2" xfId="54059" xr:uid="{00000000-0005-0000-0000-000020CD0000}"/>
    <cellStyle name="Percent 3 5 2 2 3" xfId="53206" xr:uid="{00000000-0005-0000-0000-000021CD0000}"/>
    <cellStyle name="Percent 3 5 2 3" xfId="42453" xr:uid="{00000000-0005-0000-0000-000022CD0000}"/>
    <cellStyle name="Percent 3 5 2 3 2" xfId="53663" xr:uid="{00000000-0005-0000-0000-000023CD0000}"/>
    <cellStyle name="Percent 3 5 2 4" xfId="52778" xr:uid="{00000000-0005-0000-0000-000024CD0000}"/>
    <cellStyle name="Percent 3 5 3" xfId="23582" xr:uid="{00000000-0005-0000-0000-000025CD0000}"/>
    <cellStyle name="Percent 3 5 3 2" xfId="53863" xr:uid="{00000000-0005-0000-0000-000026CD0000}"/>
    <cellStyle name="Percent 3 5 3 3" xfId="52988" xr:uid="{00000000-0005-0000-0000-000027CD0000}"/>
    <cellStyle name="Percent 3 5 4" xfId="23238" xr:uid="{00000000-0005-0000-0000-000028CD0000}"/>
    <cellStyle name="Percent 3 5 4 2" xfId="42806" xr:uid="{00000000-0005-0000-0000-000029CD0000}"/>
    <cellStyle name="Percent 3 5 4 3" xfId="53467" xr:uid="{00000000-0005-0000-0000-00002ACD0000}"/>
    <cellStyle name="Percent 3 5 5" xfId="12762" xr:uid="{00000000-0005-0000-0000-00002BCD0000}"/>
    <cellStyle name="Percent 3 5 6" xfId="52578" xr:uid="{00000000-0005-0000-0000-00002CCD0000}"/>
    <cellStyle name="Percent 3 5 7" xfId="12092" xr:uid="{00000000-0005-0000-0000-00002DCD0000}"/>
    <cellStyle name="Percent 3 6" xfId="1520" xr:uid="{00000000-0005-0000-0000-00002ECD0000}"/>
    <cellStyle name="Percent 3 6 10" xfId="12883" xr:uid="{00000000-0005-0000-0000-00002FCD0000}"/>
    <cellStyle name="Percent 3 6 11" xfId="52612" xr:uid="{00000000-0005-0000-0000-000030CD0000}"/>
    <cellStyle name="Percent 3 6 12" xfId="12085" xr:uid="{00000000-0005-0000-0000-000031CD0000}"/>
    <cellStyle name="Percent 3 6 2" xfId="13845" xr:uid="{00000000-0005-0000-0000-000032CD0000}"/>
    <cellStyle name="Percent 3 6 2 2" xfId="16109" xr:uid="{00000000-0005-0000-0000-000033CD0000}"/>
    <cellStyle name="Percent 3 6 2 2 2" xfId="20573" xr:uid="{00000000-0005-0000-0000-000034CD0000}"/>
    <cellStyle name="Percent 3 6 2 2 2 2" xfId="30941" xr:uid="{00000000-0005-0000-0000-000035CD0000}"/>
    <cellStyle name="Percent 3 6 2 2 2 2 2" xfId="50130" xr:uid="{00000000-0005-0000-0000-000036CD0000}"/>
    <cellStyle name="Percent 3 6 2 2 2 3" xfId="40432" xr:uid="{00000000-0005-0000-0000-000037CD0000}"/>
    <cellStyle name="Percent 3 6 2 2 2 4" xfId="54093" xr:uid="{00000000-0005-0000-0000-000038CD0000}"/>
    <cellStyle name="Percent 3 6 2 2 3" xfId="26486" xr:uid="{00000000-0005-0000-0000-000039CD0000}"/>
    <cellStyle name="Percent 3 6 2 2 3 2" xfId="45675" xr:uid="{00000000-0005-0000-0000-00003ACD0000}"/>
    <cellStyle name="Percent 3 6 2 2 4" xfId="35977" xr:uid="{00000000-0005-0000-0000-00003BCD0000}"/>
    <cellStyle name="Percent 3 6 2 2 5" xfId="53240" xr:uid="{00000000-0005-0000-0000-00003CCD0000}"/>
    <cellStyle name="Percent 3 6 2 3" xfId="18345" xr:uid="{00000000-0005-0000-0000-00003DCD0000}"/>
    <cellStyle name="Percent 3 6 2 3 2" xfId="28713" xr:uid="{00000000-0005-0000-0000-00003ECD0000}"/>
    <cellStyle name="Percent 3 6 2 3 2 2" xfId="47902" xr:uid="{00000000-0005-0000-0000-00003FCD0000}"/>
    <cellStyle name="Percent 3 6 2 3 3" xfId="38204" xr:uid="{00000000-0005-0000-0000-000040CD0000}"/>
    <cellStyle name="Percent 3 6 2 3 4" xfId="53697" xr:uid="{00000000-0005-0000-0000-000041CD0000}"/>
    <cellStyle name="Percent 3 6 2 4" xfId="24253" xr:uid="{00000000-0005-0000-0000-000042CD0000}"/>
    <cellStyle name="Percent 3 6 2 4 2" xfId="43447" xr:uid="{00000000-0005-0000-0000-000043CD0000}"/>
    <cellStyle name="Percent 3 6 2 5" xfId="33749" xr:uid="{00000000-0005-0000-0000-000044CD0000}"/>
    <cellStyle name="Percent 3 6 2 6" xfId="52812" xr:uid="{00000000-0005-0000-0000-000045CD0000}"/>
    <cellStyle name="Percent 3 6 3" xfId="14424" xr:uid="{00000000-0005-0000-0000-000046CD0000}"/>
    <cellStyle name="Percent 3 6 3 2" xfId="15553" xr:uid="{00000000-0005-0000-0000-000047CD0000}"/>
    <cellStyle name="Percent 3 6 3 2 2" xfId="20017" xr:uid="{00000000-0005-0000-0000-000048CD0000}"/>
    <cellStyle name="Percent 3 6 3 2 2 2" xfId="30385" xr:uid="{00000000-0005-0000-0000-000049CD0000}"/>
    <cellStyle name="Percent 3 6 3 2 2 2 2" xfId="49574" xr:uid="{00000000-0005-0000-0000-00004ACD0000}"/>
    <cellStyle name="Percent 3 6 3 2 2 3" xfId="39876" xr:uid="{00000000-0005-0000-0000-00004BCD0000}"/>
    <cellStyle name="Percent 3 6 3 2 3" xfId="25930" xr:uid="{00000000-0005-0000-0000-00004CCD0000}"/>
    <cellStyle name="Percent 3 6 3 2 3 2" xfId="45119" xr:uid="{00000000-0005-0000-0000-00004DCD0000}"/>
    <cellStyle name="Percent 3 6 3 2 4" xfId="35421" xr:uid="{00000000-0005-0000-0000-00004ECD0000}"/>
    <cellStyle name="Percent 3 6 3 2 5" xfId="53897" xr:uid="{00000000-0005-0000-0000-00004FCD0000}"/>
    <cellStyle name="Percent 3 6 3 3" xfId="18902" xr:uid="{00000000-0005-0000-0000-000050CD0000}"/>
    <cellStyle name="Percent 3 6 3 3 2" xfId="29270" xr:uid="{00000000-0005-0000-0000-000051CD0000}"/>
    <cellStyle name="Percent 3 6 3 3 2 2" xfId="48459" xr:uid="{00000000-0005-0000-0000-000052CD0000}"/>
    <cellStyle name="Percent 3 6 3 3 3" xfId="38761" xr:uid="{00000000-0005-0000-0000-000053CD0000}"/>
    <cellStyle name="Percent 3 6 3 4" xfId="24815" xr:uid="{00000000-0005-0000-0000-000054CD0000}"/>
    <cellStyle name="Percent 3 6 3 4 2" xfId="44004" xr:uid="{00000000-0005-0000-0000-000055CD0000}"/>
    <cellStyle name="Percent 3 6 3 5" xfId="34306" xr:uid="{00000000-0005-0000-0000-000056CD0000}"/>
    <cellStyle name="Percent 3 6 3 6" xfId="53022" xr:uid="{00000000-0005-0000-0000-000057CD0000}"/>
    <cellStyle name="Percent 3 6 4" xfId="14996" xr:uid="{00000000-0005-0000-0000-000058CD0000}"/>
    <cellStyle name="Percent 3 6 4 2" xfId="19460" xr:uid="{00000000-0005-0000-0000-000059CD0000}"/>
    <cellStyle name="Percent 3 6 4 2 2" xfId="29828" xr:uid="{00000000-0005-0000-0000-00005ACD0000}"/>
    <cellStyle name="Percent 3 6 4 2 2 2" xfId="49017" xr:uid="{00000000-0005-0000-0000-00005BCD0000}"/>
    <cellStyle name="Percent 3 6 4 2 3" xfId="39319" xr:uid="{00000000-0005-0000-0000-00005CCD0000}"/>
    <cellStyle name="Percent 3 6 4 3" xfId="25373" xr:uid="{00000000-0005-0000-0000-00005DCD0000}"/>
    <cellStyle name="Percent 3 6 4 3 2" xfId="44562" xr:uid="{00000000-0005-0000-0000-00005ECD0000}"/>
    <cellStyle name="Percent 3 6 4 4" xfId="34864" xr:uid="{00000000-0005-0000-0000-00005FCD0000}"/>
    <cellStyle name="Percent 3 6 4 5" xfId="53501" xr:uid="{00000000-0005-0000-0000-000060CD0000}"/>
    <cellStyle name="Percent 3 6 5" xfId="16666" xr:uid="{00000000-0005-0000-0000-000061CD0000}"/>
    <cellStyle name="Percent 3 6 5 2" xfId="21130" xr:uid="{00000000-0005-0000-0000-000062CD0000}"/>
    <cellStyle name="Percent 3 6 5 2 2" xfId="31498" xr:uid="{00000000-0005-0000-0000-000063CD0000}"/>
    <cellStyle name="Percent 3 6 5 2 2 2" xfId="50687" xr:uid="{00000000-0005-0000-0000-000064CD0000}"/>
    <cellStyle name="Percent 3 6 5 2 3" xfId="40989" xr:uid="{00000000-0005-0000-0000-000065CD0000}"/>
    <cellStyle name="Percent 3 6 5 3" xfId="27043" xr:uid="{00000000-0005-0000-0000-000066CD0000}"/>
    <cellStyle name="Percent 3 6 5 3 2" xfId="46232" xr:uid="{00000000-0005-0000-0000-000067CD0000}"/>
    <cellStyle name="Percent 3 6 5 4" xfId="36534" xr:uid="{00000000-0005-0000-0000-000068CD0000}"/>
    <cellStyle name="Percent 3 6 6" xfId="17232" xr:uid="{00000000-0005-0000-0000-000069CD0000}"/>
    <cellStyle name="Percent 3 6 6 2" xfId="21687" xr:uid="{00000000-0005-0000-0000-00006ACD0000}"/>
    <cellStyle name="Percent 3 6 6 2 2" xfId="32055" xr:uid="{00000000-0005-0000-0000-00006BCD0000}"/>
    <cellStyle name="Percent 3 6 6 2 2 2" xfId="51244" xr:uid="{00000000-0005-0000-0000-00006CCD0000}"/>
    <cellStyle name="Percent 3 6 6 2 3" xfId="41546" xr:uid="{00000000-0005-0000-0000-00006DCD0000}"/>
    <cellStyle name="Percent 3 6 6 3" xfId="27600" xr:uid="{00000000-0005-0000-0000-00006ECD0000}"/>
    <cellStyle name="Percent 3 6 6 3 2" xfId="46789" xr:uid="{00000000-0005-0000-0000-00006FCD0000}"/>
    <cellStyle name="Percent 3 6 6 4" xfId="37091" xr:uid="{00000000-0005-0000-0000-000070CD0000}"/>
    <cellStyle name="Percent 3 6 7" xfId="17789" xr:uid="{00000000-0005-0000-0000-000071CD0000}"/>
    <cellStyle name="Percent 3 6 7 2" xfId="28157" xr:uid="{00000000-0005-0000-0000-000072CD0000}"/>
    <cellStyle name="Percent 3 6 7 2 2" xfId="47346" xr:uid="{00000000-0005-0000-0000-000073CD0000}"/>
    <cellStyle name="Percent 3 6 7 3" xfId="37648" xr:uid="{00000000-0005-0000-0000-000074CD0000}"/>
    <cellStyle name="Percent 3 6 8" xfId="23650" xr:uid="{00000000-0005-0000-0000-000075CD0000}"/>
    <cellStyle name="Percent 3 6 8 2" xfId="42891" xr:uid="{00000000-0005-0000-0000-000076CD0000}"/>
    <cellStyle name="Percent 3 6 9" xfId="33193" xr:uid="{00000000-0005-0000-0000-000077CD0000}"/>
    <cellStyle name="Percent 3 7" xfId="5603" xr:uid="{00000000-0005-0000-0000-000078CD0000}"/>
    <cellStyle name="Percent 3 7 2" xfId="32583" xr:uid="{00000000-0005-0000-0000-000079CD0000}"/>
    <cellStyle name="Percent 3 7 2 2" xfId="51771" xr:uid="{00000000-0005-0000-0000-00007ACD0000}"/>
    <cellStyle name="Percent 3 7 2 2 2" xfId="54126" xr:uid="{00000000-0005-0000-0000-00007BCD0000}"/>
    <cellStyle name="Percent 3 7 2 2 3" xfId="53273" xr:uid="{00000000-0005-0000-0000-00007CCD0000}"/>
    <cellStyle name="Percent 3 7 2 3" xfId="53730" xr:uid="{00000000-0005-0000-0000-00007DCD0000}"/>
    <cellStyle name="Percent 3 7 2 4" xfId="52845" xr:uid="{00000000-0005-0000-0000-00007ECD0000}"/>
    <cellStyle name="Percent 3 7 3" xfId="42073" xr:uid="{00000000-0005-0000-0000-00007FCD0000}"/>
    <cellStyle name="Percent 3 7 3 2" xfId="53930" xr:uid="{00000000-0005-0000-0000-000080CD0000}"/>
    <cellStyle name="Percent 3 7 3 3" xfId="53055" xr:uid="{00000000-0005-0000-0000-000081CD0000}"/>
    <cellStyle name="Percent 3 7 4" xfId="53534" xr:uid="{00000000-0005-0000-0000-000082CD0000}"/>
    <cellStyle name="Percent 3 7 5" xfId="52649" xr:uid="{00000000-0005-0000-0000-000083CD0000}"/>
    <cellStyle name="Percent 3 7 6" xfId="22224" xr:uid="{00000000-0005-0000-0000-000084CD0000}"/>
    <cellStyle name="Percent 3 8" xfId="22253" xr:uid="{00000000-0005-0000-0000-000085CD0000}"/>
    <cellStyle name="Percent 3 8 2" xfId="32610" xr:uid="{00000000-0005-0000-0000-000086CD0000}"/>
    <cellStyle name="Percent 3 8 2 2" xfId="51798" xr:uid="{00000000-0005-0000-0000-000087CD0000}"/>
    <cellStyle name="Percent 3 8 2 2 2" xfId="53957" xr:uid="{00000000-0005-0000-0000-000088CD0000}"/>
    <cellStyle name="Percent 3 8 2 3" xfId="53104" xr:uid="{00000000-0005-0000-0000-000089CD0000}"/>
    <cellStyle name="Percent 3 8 3" xfId="42100" xr:uid="{00000000-0005-0000-0000-00008ACD0000}"/>
    <cellStyle name="Percent 3 8 3 2" xfId="53561" xr:uid="{00000000-0005-0000-0000-00008BCD0000}"/>
    <cellStyle name="Percent 3 8 4" xfId="52676" xr:uid="{00000000-0005-0000-0000-00008CCD0000}"/>
    <cellStyle name="Percent 3 9" xfId="12566" xr:uid="{00000000-0005-0000-0000-00008DCD0000}"/>
    <cellStyle name="Percent 3 9 2" xfId="53760" xr:uid="{00000000-0005-0000-0000-00008ECD0000}"/>
    <cellStyle name="Percent 3 9 3" xfId="52876" xr:uid="{00000000-0005-0000-0000-00008FCD0000}"/>
    <cellStyle name="Percent 30" xfId="1424" xr:uid="{00000000-0005-0000-0000-000090CD0000}"/>
    <cellStyle name="Percent 30 2" xfId="6300" xr:uid="{00000000-0005-0000-0000-000091CD0000}"/>
    <cellStyle name="Percent 30 2 2" xfId="13430" xr:uid="{00000000-0005-0000-0000-000092CD0000}"/>
    <cellStyle name="Percent 30 3" xfId="22818" xr:uid="{00000000-0005-0000-0000-000093CD0000}"/>
    <cellStyle name="Percent 30 3 2" xfId="32902" xr:uid="{00000000-0005-0000-0000-000094CD0000}"/>
    <cellStyle name="Percent 30 3 2 2" xfId="52088" xr:uid="{00000000-0005-0000-0000-000095CD0000}"/>
    <cellStyle name="Percent 30 3 3" xfId="42390" xr:uid="{00000000-0005-0000-0000-000096CD0000}"/>
    <cellStyle name="Percent 30 4" xfId="23488" xr:uid="{00000000-0005-0000-0000-000097CD0000}"/>
    <cellStyle name="Percent 30 5" xfId="23175" xr:uid="{00000000-0005-0000-0000-000098CD0000}"/>
    <cellStyle name="Percent 30 5 2" xfId="42743" xr:uid="{00000000-0005-0000-0000-000099CD0000}"/>
    <cellStyle name="Percent 30 6" xfId="12570" xr:uid="{00000000-0005-0000-0000-00009ACD0000}"/>
    <cellStyle name="Percent 31" xfId="1425" xr:uid="{00000000-0005-0000-0000-00009BCD0000}"/>
    <cellStyle name="Percent 31 2" xfId="6302" xr:uid="{00000000-0005-0000-0000-00009CCD0000}"/>
    <cellStyle name="Percent 31 2 2" xfId="13487" xr:uid="{00000000-0005-0000-0000-00009DCD0000}"/>
    <cellStyle name="Percent 31 3" xfId="22827" xr:uid="{00000000-0005-0000-0000-00009ECD0000}"/>
    <cellStyle name="Percent 31 3 2" xfId="32911" xr:uid="{00000000-0005-0000-0000-00009FCD0000}"/>
    <cellStyle name="Percent 31 3 2 2" xfId="52097" xr:uid="{00000000-0005-0000-0000-0000A0CD0000}"/>
    <cellStyle name="Percent 31 3 3" xfId="42399" xr:uid="{00000000-0005-0000-0000-0000A1CD0000}"/>
    <cellStyle name="Percent 31 4" xfId="23489" xr:uid="{00000000-0005-0000-0000-0000A2CD0000}"/>
    <cellStyle name="Percent 31 5" xfId="23184" xr:uid="{00000000-0005-0000-0000-0000A3CD0000}"/>
    <cellStyle name="Percent 31 5 2" xfId="42752" xr:uid="{00000000-0005-0000-0000-0000A4CD0000}"/>
    <cellStyle name="Percent 31 6" xfId="12571" xr:uid="{00000000-0005-0000-0000-0000A5CD0000}"/>
    <cellStyle name="Percent 32" xfId="17" xr:uid="{00000000-0005-0000-0000-0000A6CD0000}"/>
    <cellStyle name="Percent 32 2" xfId="6293" xr:uid="{00000000-0005-0000-0000-0000A7CD0000}"/>
    <cellStyle name="Percent 32 2 2" xfId="13482" xr:uid="{00000000-0005-0000-0000-0000A8CD0000}"/>
    <cellStyle name="Percent 32 3" xfId="22829" xr:uid="{00000000-0005-0000-0000-0000A9CD0000}"/>
    <cellStyle name="Percent 32 3 2" xfId="32913" xr:uid="{00000000-0005-0000-0000-0000AACD0000}"/>
    <cellStyle name="Percent 32 3 2 2" xfId="52099" xr:uid="{00000000-0005-0000-0000-0000ABCD0000}"/>
    <cellStyle name="Percent 32 3 3" xfId="42401" xr:uid="{00000000-0005-0000-0000-0000ACCD0000}"/>
    <cellStyle name="Percent 32 4" xfId="23490" xr:uid="{00000000-0005-0000-0000-0000ADCD0000}"/>
    <cellStyle name="Percent 32 5" xfId="23186" xr:uid="{00000000-0005-0000-0000-0000AECD0000}"/>
    <cellStyle name="Percent 32 5 2" xfId="42754" xr:uid="{00000000-0005-0000-0000-0000AFCD0000}"/>
    <cellStyle name="Percent 32 6" xfId="12572" xr:uid="{00000000-0005-0000-0000-0000B0CD0000}"/>
    <cellStyle name="Percent 33" xfId="1426" xr:uid="{00000000-0005-0000-0000-0000B1CD0000}"/>
    <cellStyle name="Percent 33 2" xfId="6773" xr:uid="{00000000-0005-0000-0000-0000B2CD0000}"/>
    <cellStyle name="Percent 33 2 2" xfId="13435" xr:uid="{00000000-0005-0000-0000-0000B3CD0000}"/>
    <cellStyle name="Percent 33 3" xfId="22800" xr:uid="{00000000-0005-0000-0000-0000B4CD0000}"/>
    <cellStyle name="Percent 33 3 2" xfId="32884" xr:uid="{00000000-0005-0000-0000-0000B5CD0000}"/>
    <cellStyle name="Percent 33 3 2 2" xfId="52070" xr:uid="{00000000-0005-0000-0000-0000B6CD0000}"/>
    <cellStyle name="Percent 33 3 3" xfId="42372" xr:uid="{00000000-0005-0000-0000-0000B7CD0000}"/>
    <cellStyle name="Percent 33 4" xfId="23491" xr:uid="{00000000-0005-0000-0000-0000B8CD0000}"/>
    <cellStyle name="Percent 33 5" xfId="23157" xr:uid="{00000000-0005-0000-0000-0000B9CD0000}"/>
    <cellStyle name="Percent 33 5 2" xfId="42725" xr:uid="{00000000-0005-0000-0000-0000BACD0000}"/>
    <cellStyle name="Percent 33 6" xfId="12573" xr:uid="{00000000-0005-0000-0000-0000BBCD0000}"/>
    <cellStyle name="Percent 34" xfId="1427" xr:uid="{00000000-0005-0000-0000-0000BCCD0000}"/>
    <cellStyle name="Percent 34 2" xfId="22824" xr:uid="{00000000-0005-0000-0000-0000BDCD0000}"/>
    <cellStyle name="Percent 34 2 2" xfId="32908" xr:uid="{00000000-0005-0000-0000-0000BECD0000}"/>
    <cellStyle name="Percent 34 2 2 2" xfId="52094" xr:uid="{00000000-0005-0000-0000-0000BFCD0000}"/>
    <cellStyle name="Percent 34 2 3" xfId="42396" xr:uid="{00000000-0005-0000-0000-0000C0CD0000}"/>
    <cellStyle name="Percent 34 3" xfId="23507" xr:uid="{00000000-0005-0000-0000-0000C1CD0000}"/>
    <cellStyle name="Percent 34 4" xfId="23181" xr:uid="{00000000-0005-0000-0000-0000C2CD0000}"/>
    <cellStyle name="Percent 34 4 2" xfId="42749" xr:uid="{00000000-0005-0000-0000-0000C3CD0000}"/>
    <cellStyle name="Percent 35" xfId="1428" xr:uid="{00000000-0005-0000-0000-0000C4CD0000}"/>
    <cellStyle name="Percent 35 2" xfId="13433" xr:uid="{00000000-0005-0000-0000-0000C5CD0000}"/>
    <cellStyle name="Percent 35 3" xfId="22823" xr:uid="{00000000-0005-0000-0000-0000C6CD0000}"/>
    <cellStyle name="Percent 35 3 2" xfId="32907" xr:uid="{00000000-0005-0000-0000-0000C7CD0000}"/>
    <cellStyle name="Percent 35 3 2 2" xfId="52093" xr:uid="{00000000-0005-0000-0000-0000C8CD0000}"/>
    <cellStyle name="Percent 35 3 3" xfId="42395" xr:uid="{00000000-0005-0000-0000-0000C9CD0000}"/>
    <cellStyle name="Percent 35 4" xfId="23508" xr:uid="{00000000-0005-0000-0000-0000CACD0000}"/>
    <cellStyle name="Percent 35 5" xfId="23180" xr:uid="{00000000-0005-0000-0000-0000CBCD0000}"/>
    <cellStyle name="Percent 35 5 2" xfId="42748" xr:uid="{00000000-0005-0000-0000-0000CCCD0000}"/>
    <cellStyle name="Percent 35 6" xfId="12606" xr:uid="{00000000-0005-0000-0000-0000CDCD0000}"/>
    <cellStyle name="Percent 36" xfId="1429" xr:uid="{00000000-0005-0000-0000-0000CECD0000}"/>
    <cellStyle name="Percent 36 2" xfId="22825" xr:uid="{00000000-0005-0000-0000-0000CFCD0000}"/>
    <cellStyle name="Percent 36 2 2" xfId="32909" xr:uid="{00000000-0005-0000-0000-0000D0CD0000}"/>
    <cellStyle name="Percent 36 2 2 2" xfId="52095" xr:uid="{00000000-0005-0000-0000-0000D1CD0000}"/>
    <cellStyle name="Percent 36 2 3" xfId="42397" xr:uid="{00000000-0005-0000-0000-0000D2CD0000}"/>
    <cellStyle name="Percent 36 3" xfId="23515" xr:uid="{00000000-0005-0000-0000-0000D3CD0000}"/>
    <cellStyle name="Percent 36 4" xfId="23182" xr:uid="{00000000-0005-0000-0000-0000D4CD0000}"/>
    <cellStyle name="Percent 36 4 2" xfId="42750" xr:uid="{00000000-0005-0000-0000-0000D5CD0000}"/>
    <cellStyle name="Percent 37" xfId="1430" xr:uid="{00000000-0005-0000-0000-0000D6CD0000}"/>
    <cellStyle name="Percent 37 2" xfId="22828" xr:uid="{00000000-0005-0000-0000-0000D7CD0000}"/>
    <cellStyle name="Percent 37 2 2" xfId="32912" xr:uid="{00000000-0005-0000-0000-0000D8CD0000}"/>
    <cellStyle name="Percent 37 2 2 2" xfId="52098" xr:uid="{00000000-0005-0000-0000-0000D9CD0000}"/>
    <cellStyle name="Percent 37 2 3" xfId="42400" xr:uid="{00000000-0005-0000-0000-0000DACD0000}"/>
    <cellStyle name="Percent 37 3" xfId="23520" xr:uid="{00000000-0005-0000-0000-0000DBCD0000}"/>
    <cellStyle name="Percent 37 4" xfId="23185" xr:uid="{00000000-0005-0000-0000-0000DCCD0000}"/>
    <cellStyle name="Percent 37 4 2" xfId="42753" xr:uid="{00000000-0005-0000-0000-0000DDCD0000}"/>
    <cellStyle name="Percent 38" xfId="1431" xr:uid="{00000000-0005-0000-0000-0000DECD0000}"/>
    <cellStyle name="Percent 38 2" xfId="22826" xr:uid="{00000000-0005-0000-0000-0000DFCD0000}"/>
    <cellStyle name="Percent 38 2 2" xfId="32910" xr:uid="{00000000-0005-0000-0000-0000E0CD0000}"/>
    <cellStyle name="Percent 38 2 2 2" xfId="52096" xr:uid="{00000000-0005-0000-0000-0000E1CD0000}"/>
    <cellStyle name="Percent 38 2 3" xfId="42398" xr:uid="{00000000-0005-0000-0000-0000E2CD0000}"/>
    <cellStyle name="Percent 38 3" xfId="23521" xr:uid="{00000000-0005-0000-0000-0000E3CD0000}"/>
    <cellStyle name="Percent 38 4" xfId="23183" xr:uid="{00000000-0005-0000-0000-0000E4CD0000}"/>
    <cellStyle name="Percent 38 4 2" xfId="42751" xr:uid="{00000000-0005-0000-0000-0000E5CD0000}"/>
    <cellStyle name="Percent 39" xfId="1432" xr:uid="{00000000-0005-0000-0000-0000E6CD0000}"/>
    <cellStyle name="Percent 4" xfId="1433" xr:uid="{00000000-0005-0000-0000-0000E7CD0000}"/>
    <cellStyle name="Percent 4 10" xfId="23269" xr:uid="{00000000-0005-0000-0000-0000E8CD0000}"/>
    <cellStyle name="Percent 4 10 2" xfId="42835" xr:uid="{00000000-0005-0000-0000-0000E9CD0000}"/>
    <cellStyle name="Percent 4 10 2 2" xfId="54192" xr:uid="{00000000-0005-0000-0000-0000EACD0000}"/>
    <cellStyle name="Percent 4 10 3" xfId="53340" xr:uid="{00000000-0005-0000-0000-0000EBCD0000}"/>
    <cellStyle name="Percent 4 11" xfId="33076" xr:uid="{00000000-0005-0000-0000-0000ECCD0000}"/>
    <cellStyle name="Percent 4 11 2" xfId="53367" xr:uid="{00000000-0005-0000-0000-0000EDCD0000}"/>
    <cellStyle name="Percent 4 12" xfId="12119" xr:uid="{00000000-0005-0000-0000-0000EECD0000}"/>
    <cellStyle name="Percent 4 13" xfId="52465" xr:uid="{00000000-0005-0000-0000-0000EFCD0000}"/>
    <cellStyle name="Percent 4 14" xfId="11976" xr:uid="{00000000-0005-0000-0000-0000F0CD0000}"/>
    <cellStyle name="Percent 4 2" xfId="1434" xr:uid="{00000000-0005-0000-0000-0000F1CD0000}"/>
    <cellStyle name="Percent 4 2 2" xfId="5613" xr:uid="{00000000-0005-0000-0000-0000F2CD0000}"/>
    <cellStyle name="Percent 4 2 2 2" xfId="8348" xr:uid="{00000000-0005-0000-0000-0000F3CD0000}"/>
    <cellStyle name="Percent 4 2 2 2 2" xfId="11245" xr:uid="{00000000-0005-0000-0000-0000F4CD0000}"/>
    <cellStyle name="Percent 4 2 2 2 2 2" xfId="53992" xr:uid="{00000000-0005-0000-0000-0000F5CD0000}"/>
    <cellStyle name="Percent 4 2 2 2 3" xfId="53139" xr:uid="{00000000-0005-0000-0000-0000F6CD0000}"/>
    <cellStyle name="Percent 4 2 2 3" xfId="9805" xr:uid="{00000000-0005-0000-0000-0000F7CD0000}"/>
    <cellStyle name="Percent 4 2 2 3 2" xfId="53596" xr:uid="{00000000-0005-0000-0000-0000F8CD0000}"/>
    <cellStyle name="Percent 4 2 2 4" xfId="6870" xr:uid="{00000000-0005-0000-0000-0000F9CD0000}"/>
    <cellStyle name="Percent 4 2 2 4 2" xfId="52711" xr:uid="{00000000-0005-0000-0000-0000FACD0000}"/>
    <cellStyle name="Percent 4 2 2 5" xfId="12764" xr:uid="{00000000-0005-0000-0000-0000FBCD0000}"/>
    <cellStyle name="Percent 4 2 3" xfId="5612" xr:uid="{00000000-0005-0000-0000-0000FCCD0000}"/>
    <cellStyle name="Percent 4 2 3 2" xfId="10587" xr:uid="{00000000-0005-0000-0000-0000FDCD0000}"/>
    <cellStyle name="Percent 4 2 3 2 2" xfId="51890" xr:uid="{00000000-0005-0000-0000-0000FECD0000}"/>
    <cellStyle name="Percent 4 2 3 2 3" xfId="53796" xr:uid="{00000000-0005-0000-0000-0000FFCD0000}"/>
    <cellStyle name="Percent 4 2 3 2 4" xfId="32703" xr:uid="{00000000-0005-0000-0000-000000CE0000}"/>
    <cellStyle name="Percent 4 2 3 3" xfId="7687" xr:uid="{00000000-0005-0000-0000-000001CE0000}"/>
    <cellStyle name="Percent 4 2 3 3 2" xfId="42192" xr:uid="{00000000-0005-0000-0000-000002CE0000}"/>
    <cellStyle name="Percent 4 2 3 4" xfId="52921" xr:uid="{00000000-0005-0000-0000-000003CE0000}"/>
    <cellStyle name="Percent 4 2 3 5" xfId="22613" xr:uid="{00000000-0005-0000-0000-000004CE0000}"/>
    <cellStyle name="Percent 4 2 4" xfId="9147" xr:uid="{00000000-0005-0000-0000-000005CE0000}"/>
    <cellStyle name="Percent 4 2 4 2" xfId="53400" xr:uid="{00000000-0005-0000-0000-000006CE0000}"/>
    <cellStyle name="Percent 4 2 4 3" xfId="23492" xr:uid="{00000000-0005-0000-0000-000007CE0000}"/>
    <cellStyle name="Percent 4 2 5" xfId="6165" xr:uid="{00000000-0005-0000-0000-000008CE0000}"/>
    <cellStyle name="Percent 4 2 5 2" xfId="42545" xr:uid="{00000000-0005-0000-0000-000009CE0000}"/>
    <cellStyle name="Percent 4 2 5 3" xfId="22976" xr:uid="{00000000-0005-0000-0000-00000ACE0000}"/>
    <cellStyle name="Percent 4 2 6" xfId="12575" xr:uid="{00000000-0005-0000-0000-00000BCE0000}"/>
    <cellStyle name="Percent 4 2 7" xfId="52507" xr:uid="{00000000-0005-0000-0000-00000CCE0000}"/>
    <cellStyle name="Percent 4 2 8" xfId="12094" xr:uid="{00000000-0005-0000-0000-00000DCE0000}"/>
    <cellStyle name="Percent 4 3" xfId="1435" xr:uid="{00000000-0005-0000-0000-00000ECE0000}"/>
    <cellStyle name="Percent 4 3 2" xfId="5615" xr:uid="{00000000-0005-0000-0000-00000FCE0000}"/>
    <cellStyle name="Percent 4 3 2 10" xfId="52749" xr:uid="{00000000-0005-0000-0000-000010CE0000}"/>
    <cellStyle name="Percent 4 3 2 11" xfId="13452" xr:uid="{00000000-0005-0000-0000-000011CE0000}"/>
    <cellStyle name="Percent 4 3 2 2" xfId="5616" xr:uid="{00000000-0005-0000-0000-000012CE0000}"/>
    <cellStyle name="Percent 4 3 2 2 2" xfId="16572" xr:uid="{00000000-0005-0000-0000-000013CE0000}"/>
    <cellStyle name="Percent 4 3 2 2 2 2" xfId="21036" xr:uid="{00000000-0005-0000-0000-000014CE0000}"/>
    <cellStyle name="Percent 4 3 2 2 2 2 2" xfId="31404" xr:uid="{00000000-0005-0000-0000-000015CE0000}"/>
    <cellStyle name="Percent 4 3 2 2 2 2 2 2" xfId="50593" xr:uid="{00000000-0005-0000-0000-000016CE0000}"/>
    <cellStyle name="Percent 4 3 2 2 2 2 3" xfId="40895" xr:uid="{00000000-0005-0000-0000-000017CE0000}"/>
    <cellStyle name="Percent 4 3 2 2 2 3" xfId="26949" xr:uid="{00000000-0005-0000-0000-000018CE0000}"/>
    <cellStyle name="Percent 4 3 2 2 2 3 2" xfId="46138" xr:uid="{00000000-0005-0000-0000-000019CE0000}"/>
    <cellStyle name="Percent 4 3 2 2 2 4" xfId="36440" xr:uid="{00000000-0005-0000-0000-00001ACE0000}"/>
    <cellStyle name="Percent 4 3 2 2 2 5" xfId="54030" xr:uid="{00000000-0005-0000-0000-00001BCE0000}"/>
    <cellStyle name="Percent 4 3 2 2 3" xfId="18808" xr:uid="{00000000-0005-0000-0000-00001CCE0000}"/>
    <cellStyle name="Percent 4 3 2 2 3 2" xfId="29176" xr:uid="{00000000-0005-0000-0000-00001DCE0000}"/>
    <cellStyle name="Percent 4 3 2 2 3 2 2" xfId="48365" xr:uid="{00000000-0005-0000-0000-00001ECE0000}"/>
    <cellStyle name="Percent 4 3 2 2 3 3" xfId="38667" xr:uid="{00000000-0005-0000-0000-00001FCE0000}"/>
    <cellStyle name="Percent 4 3 2 2 4" xfId="24716" xr:uid="{00000000-0005-0000-0000-000020CE0000}"/>
    <cellStyle name="Percent 4 3 2 2 4 2" xfId="43910" xr:uid="{00000000-0005-0000-0000-000021CE0000}"/>
    <cellStyle name="Percent 4 3 2 2 5" xfId="34212" xr:uid="{00000000-0005-0000-0000-000022CE0000}"/>
    <cellStyle name="Percent 4 3 2 2 6" xfId="53177" xr:uid="{00000000-0005-0000-0000-000023CE0000}"/>
    <cellStyle name="Percent 4 3 2 2 7" xfId="14309" xr:uid="{00000000-0005-0000-0000-000024CE0000}"/>
    <cellStyle name="Percent 4 3 2 3" xfId="14888" xr:uid="{00000000-0005-0000-0000-000025CE0000}"/>
    <cellStyle name="Percent 4 3 2 3 2" xfId="16016" xr:uid="{00000000-0005-0000-0000-000026CE0000}"/>
    <cellStyle name="Percent 4 3 2 3 2 2" xfId="20480" xr:uid="{00000000-0005-0000-0000-000027CE0000}"/>
    <cellStyle name="Percent 4 3 2 3 2 2 2" xfId="30848" xr:uid="{00000000-0005-0000-0000-000028CE0000}"/>
    <cellStyle name="Percent 4 3 2 3 2 2 2 2" xfId="50037" xr:uid="{00000000-0005-0000-0000-000029CE0000}"/>
    <cellStyle name="Percent 4 3 2 3 2 2 3" xfId="40339" xr:uid="{00000000-0005-0000-0000-00002ACE0000}"/>
    <cellStyle name="Percent 4 3 2 3 2 3" xfId="26393" xr:uid="{00000000-0005-0000-0000-00002BCE0000}"/>
    <cellStyle name="Percent 4 3 2 3 2 3 2" xfId="45582" xr:uid="{00000000-0005-0000-0000-00002CCE0000}"/>
    <cellStyle name="Percent 4 3 2 3 2 4" xfId="35884" xr:uid="{00000000-0005-0000-0000-00002DCE0000}"/>
    <cellStyle name="Percent 4 3 2 3 3" xfId="19365" xr:uid="{00000000-0005-0000-0000-00002ECE0000}"/>
    <cellStyle name="Percent 4 3 2 3 3 2" xfId="29733" xr:uid="{00000000-0005-0000-0000-00002FCE0000}"/>
    <cellStyle name="Percent 4 3 2 3 3 2 2" xfId="48922" xr:uid="{00000000-0005-0000-0000-000030CE0000}"/>
    <cellStyle name="Percent 4 3 2 3 3 3" xfId="39224" xr:uid="{00000000-0005-0000-0000-000031CE0000}"/>
    <cellStyle name="Percent 4 3 2 3 4" xfId="25278" xr:uid="{00000000-0005-0000-0000-000032CE0000}"/>
    <cellStyle name="Percent 4 3 2 3 4 2" xfId="44467" xr:uid="{00000000-0005-0000-0000-000033CE0000}"/>
    <cellStyle name="Percent 4 3 2 3 5" xfId="34769" xr:uid="{00000000-0005-0000-0000-000034CE0000}"/>
    <cellStyle name="Percent 4 3 2 3 6" xfId="53634" xr:uid="{00000000-0005-0000-0000-000035CE0000}"/>
    <cellStyle name="Percent 4 3 2 4" xfId="15459" xr:uid="{00000000-0005-0000-0000-000036CE0000}"/>
    <cellStyle name="Percent 4 3 2 4 2" xfId="19923" xr:uid="{00000000-0005-0000-0000-000037CE0000}"/>
    <cellStyle name="Percent 4 3 2 4 2 2" xfId="30291" xr:uid="{00000000-0005-0000-0000-000038CE0000}"/>
    <cellStyle name="Percent 4 3 2 4 2 2 2" xfId="49480" xr:uid="{00000000-0005-0000-0000-000039CE0000}"/>
    <cellStyle name="Percent 4 3 2 4 2 3" xfId="39782" xr:uid="{00000000-0005-0000-0000-00003ACE0000}"/>
    <cellStyle name="Percent 4 3 2 4 3" xfId="25836" xr:uid="{00000000-0005-0000-0000-00003BCE0000}"/>
    <cellStyle name="Percent 4 3 2 4 3 2" xfId="45025" xr:uid="{00000000-0005-0000-0000-00003CCE0000}"/>
    <cellStyle name="Percent 4 3 2 4 4" xfId="35327" xr:uid="{00000000-0005-0000-0000-00003DCE0000}"/>
    <cellStyle name="Percent 4 3 2 5" xfId="17129" xr:uid="{00000000-0005-0000-0000-00003ECE0000}"/>
    <cellStyle name="Percent 4 3 2 5 2" xfId="21593" xr:uid="{00000000-0005-0000-0000-00003FCE0000}"/>
    <cellStyle name="Percent 4 3 2 5 2 2" xfId="31961" xr:uid="{00000000-0005-0000-0000-000040CE0000}"/>
    <cellStyle name="Percent 4 3 2 5 2 2 2" xfId="51150" xr:uid="{00000000-0005-0000-0000-000041CE0000}"/>
    <cellStyle name="Percent 4 3 2 5 2 3" xfId="41452" xr:uid="{00000000-0005-0000-0000-000042CE0000}"/>
    <cellStyle name="Percent 4 3 2 5 3" xfId="27506" xr:uid="{00000000-0005-0000-0000-000043CE0000}"/>
    <cellStyle name="Percent 4 3 2 5 3 2" xfId="46695" xr:uid="{00000000-0005-0000-0000-000044CE0000}"/>
    <cellStyle name="Percent 4 3 2 5 4" xfId="36997" xr:uid="{00000000-0005-0000-0000-000045CE0000}"/>
    <cellStyle name="Percent 4 3 2 6" xfId="17695" xr:uid="{00000000-0005-0000-0000-000046CE0000}"/>
    <cellStyle name="Percent 4 3 2 6 2" xfId="22150" xr:uid="{00000000-0005-0000-0000-000047CE0000}"/>
    <cellStyle name="Percent 4 3 2 6 2 2" xfId="32518" xr:uid="{00000000-0005-0000-0000-000048CE0000}"/>
    <cellStyle name="Percent 4 3 2 6 2 2 2" xfId="51707" xr:uid="{00000000-0005-0000-0000-000049CE0000}"/>
    <cellStyle name="Percent 4 3 2 6 2 3" xfId="42009" xr:uid="{00000000-0005-0000-0000-00004ACE0000}"/>
    <cellStyle name="Percent 4 3 2 6 3" xfId="28063" xr:uid="{00000000-0005-0000-0000-00004BCE0000}"/>
    <cellStyle name="Percent 4 3 2 6 3 2" xfId="47252" xr:uid="{00000000-0005-0000-0000-00004CCE0000}"/>
    <cellStyle name="Percent 4 3 2 6 4" xfId="37554" xr:uid="{00000000-0005-0000-0000-00004DCE0000}"/>
    <cellStyle name="Percent 4 3 2 7" xfId="18252" xr:uid="{00000000-0005-0000-0000-00004ECE0000}"/>
    <cellStyle name="Percent 4 3 2 7 2" xfId="28620" xr:uid="{00000000-0005-0000-0000-00004FCE0000}"/>
    <cellStyle name="Percent 4 3 2 7 2 2" xfId="47809" xr:uid="{00000000-0005-0000-0000-000050CE0000}"/>
    <cellStyle name="Percent 4 3 2 7 3" xfId="38111" xr:uid="{00000000-0005-0000-0000-000051CE0000}"/>
    <cellStyle name="Percent 4 3 2 8" xfId="24134" xr:uid="{00000000-0005-0000-0000-000052CE0000}"/>
    <cellStyle name="Percent 4 3 2 8 2" xfId="43354" xr:uid="{00000000-0005-0000-0000-000053CE0000}"/>
    <cellStyle name="Percent 4 3 2 9" xfId="33656" xr:uid="{00000000-0005-0000-0000-000054CE0000}"/>
    <cellStyle name="Percent 4 3 3" xfId="5617" xr:uid="{00000000-0005-0000-0000-000055CE0000}"/>
    <cellStyle name="Percent 4 3 3 2" xfId="53834" xr:uid="{00000000-0005-0000-0000-000056CE0000}"/>
    <cellStyle name="Percent 4 3 3 3" xfId="52959" xr:uid="{00000000-0005-0000-0000-000057CE0000}"/>
    <cellStyle name="Percent 4 3 3 4" xfId="13605" xr:uid="{00000000-0005-0000-0000-000058CE0000}"/>
    <cellStyle name="Percent 4 3 4" xfId="5614" xr:uid="{00000000-0005-0000-0000-000059CE0000}"/>
    <cellStyle name="Percent 4 3 4 2" xfId="32967" xr:uid="{00000000-0005-0000-0000-00005ACE0000}"/>
    <cellStyle name="Percent 4 3 4 2 2" xfId="52153" xr:uid="{00000000-0005-0000-0000-00005BCE0000}"/>
    <cellStyle name="Percent 4 3 4 3" xfId="42455" xr:uid="{00000000-0005-0000-0000-00005CCE0000}"/>
    <cellStyle name="Percent 4 3 4 4" xfId="53438" xr:uid="{00000000-0005-0000-0000-00005DCE0000}"/>
    <cellStyle name="Percent 4 3 4 5" xfId="22883" xr:uid="{00000000-0005-0000-0000-00005ECE0000}"/>
    <cellStyle name="Percent 4 3 5" xfId="23493" xr:uid="{00000000-0005-0000-0000-00005FCE0000}"/>
    <cellStyle name="Percent 4 3 6" xfId="23240" xr:uid="{00000000-0005-0000-0000-000060CE0000}"/>
    <cellStyle name="Percent 4 3 6 2" xfId="42808" xr:uid="{00000000-0005-0000-0000-000061CE0000}"/>
    <cellStyle name="Percent 4 3 7" xfId="12576" xr:uid="{00000000-0005-0000-0000-000062CE0000}"/>
    <cellStyle name="Percent 4 3 8" xfId="52548" xr:uid="{00000000-0005-0000-0000-000063CE0000}"/>
    <cellStyle name="Percent 4 3 9" xfId="12095" xr:uid="{00000000-0005-0000-0000-000064CE0000}"/>
    <cellStyle name="Percent 4 4" xfId="5611" xr:uid="{00000000-0005-0000-0000-000065CE0000}"/>
    <cellStyle name="Percent 4 4 2" xfId="13624" xr:uid="{00000000-0005-0000-0000-000066CE0000}"/>
    <cellStyle name="Percent 4 4 2 10" xfId="52780" xr:uid="{00000000-0005-0000-0000-000067CE0000}"/>
    <cellStyle name="Percent 4 4 2 2" xfId="14342" xr:uid="{00000000-0005-0000-0000-000068CE0000}"/>
    <cellStyle name="Percent 4 4 2 2 2" xfId="16605" xr:uid="{00000000-0005-0000-0000-000069CE0000}"/>
    <cellStyle name="Percent 4 4 2 2 2 2" xfId="21069" xr:uid="{00000000-0005-0000-0000-00006ACE0000}"/>
    <cellStyle name="Percent 4 4 2 2 2 2 2" xfId="31437" xr:uid="{00000000-0005-0000-0000-00006BCE0000}"/>
    <cellStyle name="Percent 4 4 2 2 2 2 2 2" xfId="50626" xr:uid="{00000000-0005-0000-0000-00006CCE0000}"/>
    <cellStyle name="Percent 4 4 2 2 2 2 3" xfId="40928" xr:uid="{00000000-0005-0000-0000-00006DCE0000}"/>
    <cellStyle name="Percent 4 4 2 2 2 3" xfId="26982" xr:uid="{00000000-0005-0000-0000-00006ECE0000}"/>
    <cellStyle name="Percent 4 4 2 2 2 3 2" xfId="46171" xr:uid="{00000000-0005-0000-0000-00006FCE0000}"/>
    <cellStyle name="Percent 4 4 2 2 2 4" xfId="36473" xr:uid="{00000000-0005-0000-0000-000070CE0000}"/>
    <cellStyle name="Percent 4 4 2 2 2 5" xfId="54061" xr:uid="{00000000-0005-0000-0000-000071CE0000}"/>
    <cellStyle name="Percent 4 4 2 2 3" xfId="18841" xr:uid="{00000000-0005-0000-0000-000072CE0000}"/>
    <cellStyle name="Percent 4 4 2 2 3 2" xfId="29209" xr:uid="{00000000-0005-0000-0000-000073CE0000}"/>
    <cellStyle name="Percent 4 4 2 2 3 2 2" xfId="48398" xr:uid="{00000000-0005-0000-0000-000074CE0000}"/>
    <cellStyle name="Percent 4 4 2 2 3 3" xfId="38700" xr:uid="{00000000-0005-0000-0000-000075CE0000}"/>
    <cellStyle name="Percent 4 4 2 2 4" xfId="24749" xr:uid="{00000000-0005-0000-0000-000076CE0000}"/>
    <cellStyle name="Percent 4 4 2 2 4 2" xfId="43943" xr:uid="{00000000-0005-0000-0000-000077CE0000}"/>
    <cellStyle name="Percent 4 4 2 2 5" xfId="34245" xr:uid="{00000000-0005-0000-0000-000078CE0000}"/>
    <cellStyle name="Percent 4 4 2 2 6" xfId="53208" xr:uid="{00000000-0005-0000-0000-000079CE0000}"/>
    <cellStyle name="Percent 4 4 2 3" xfId="14921" xr:uid="{00000000-0005-0000-0000-00007ACE0000}"/>
    <cellStyle name="Percent 4 4 2 3 2" xfId="16049" xr:uid="{00000000-0005-0000-0000-00007BCE0000}"/>
    <cellStyle name="Percent 4 4 2 3 2 2" xfId="20513" xr:uid="{00000000-0005-0000-0000-00007CCE0000}"/>
    <cellStyle name="Percent 4 4 2 3 2 2 2" xfId="30881" xr:uid="{00000000-0005-0000-0000-00007DCE0000}"/>
    <cellStyle name="Percent 4 4 2 3 2 2 2 2" xfId="50070" xr:uid="{00000000-0005-0000-0000-00007ECE0000}"/>
    <cellStyle name="Percent 4 4 2 3 2 2 3" xfId="40372" xr:uid="{00000000-0005-0000-0000-00007FCE0000}"/>
    <cellStyle name="Percent 4 4 2 3 2 3" xfId="26426" xr:uid="{00000000-0005-0000-0000-000080CE0000}"/>
    <cellStyle name="Percent 4 4 2 3 2 3 2" xfId="45615" xr:uid="{00000000-0005-0000-0000-000081CE0000}"/>
    <cellStyle name="Percent 4 4 2 3 2 4" xfId="35917" xr:uid="{00000000-0005-0000-0000-000082CE0000}"/>
    <cellStyle name="Percent 4 4 2 3 3" xfId="19398" xr:uid="{00000000-0005-0000-0000-000083CE0000}"/>
    <cellStyle name="Percent 4 4 2 3 3 2" xfId="29766" xr:uid="{00000000-0005-0000-0000-000084CE0000}"/>
    <cellStyle name="Percent 4 4 2 3 3 2 2" xfId="48955" xr:uid="{00000000-0005-0000-0000-000085CE0000}"/>
    <cellStyle name="Percent 4 4 2 3 3 3" xfId="39257" xr:uid="{00000000-0005-0000-0000-000086CE0000}"/>
    <cellStyle name="Percent 4 4 2 3 4" xfId="25311" xr:uid="{00000000-0005-0000-0000-000087CE0000}"/>
    <cellStyle name="Percent 4 4 2 3 4 2" xfId="44500" xr:uid="{00000000-0005-0000-0000-000088CE0000}"/>
    <cellStyle name="Percent 4 4 2 3 5" xfId="34802" xr:uid="{00000000-0005-0000-0000-000089CE0000}"/>
    <cellStyle name="Percent 4 4 2 3 6" xfId="53665" xr:uid="{00000000-0005-0000-0000-00008ACE0000}"/>
    <cellStyle name="Percent 4 4 2 4" xfId="15492" xr:uid="{00000000-0005-0000-0000-00008BCE0000}"/>
    <cellStyle name="Percent 4 4 2 4 2" xfId="19956" xr:uid="{00000000-0005-0000-0000-00008CCE0000}"/>
    <cellStyle name="Percent 4 4 2 4 2 2" xfId="30324" xr:uid="{00000000-0005-0000-0000-00008DCE0000}"/>
    <cellStyle name="Percent 4 4 2 4 2 2 2" xfId="49513" xr:uid="{00000000-0005-0000-0000-00008ECE0000}"/>
    <cellStyle name="Percent 4 4 2 4 2 3" xfId="39815" xr:uid="{00000000-0005-0000-0000-00008FCE0000}"/>
    <cellStyle name="Percent 4 4 2 4 3" xfId="25869" xr:uid="{00000000-0005-0000-0000-000090CE0000}"/>
    <cellStyle name="Percent 4 4 2 4 3 2" xfId="45058" xr:uid="{00000000-0005-0000-0000-000091CE0000}"/>
    <cellStyle name="Percent 4 4 2 4 4" xfId="35360" xr:uid="{00000000-0005-0000-0000-000092CE0000}"/>
    <cellStyle name="Percent 4 4 2 5" xfId="17162" xr:uid="{00000000-0005-0000-0000-000093CE0000}"/>
    <cellStyle name="Percent 4 4 2 5 2" xfId="21626" xr:uid="{00000000-0005-0000-0000-000094CE0000}"/>
    <cellStyle name="Percent 4 4 2 5 2 2" xfId="31994" xr:uid="{00000000-0005-0000-0000-000095CE0000}"/>
    <cellStyle name="Percent 4 4 2 5 2 2 2" xfId="51183" xr:uid="{00000000-0005-0000-0000-000096CE0000}"/>
    <cellStyle name="Percent 4 4 2 5 2 3" xfId="41485" xr:uid="{00000000-0005-0000-0000-000097CE0000}"/>
    <cellStyle name="Percent 4 4 2 5 3" xfId="27539" xr:uid="{00000000-0005-0000-0000-000098CE0000}"/>
    <cellStyle name="Percent 4 4 2 5 3 2" xfId="46728" xr:uid="{00000000-0005-0000-0000-000099CE0000}"/>
    <cellStyle name="Percent 4 4 2 5 4" xfId="37030" xr:uid="{00000000-0005-0000-0000-00009ACE0000}"/>
    <cellStyle name="Percent 4 4 2 6" xfId="17728" xr:uid="{00000000-0005-0000-0000-00009BCE0000}"/>
    <cellStyle name="Percent 4 4 2 6 2" xfId="22183" xr:uid="{00000000-0005-0000-0000-00009CCE0000}"/>
    <cellStyle name="Percent 4 4 2 6 2 2" xfId="32551" xr:uid="{00000000-0005-0000-0000-00009DCE0000}"/>
    <cellStyle name="Percent 4 4 2 6 2 2 2" xfId="51740" xr:uid="{00000000-0005-0000-0000-00009ECE0000}"/>
    <cellStyle name="Percent 4 4 2 6 2 3" xfId="42042" xr:uid="{00000000-0005-0000-0000-00009FCE0000}"/>
    <cellStyle name="Percent 4 4 2 6 3" xfId="28096" xr:uid="{00000000-0005-0000-0000-0000A0CE0000}"/>
    <cellStyle name="Percent 4 4 2 6 3 2" xfId="47285" xr:uid="{00000000-0005-0000-0000-0000A1CE0000}"/>
    <cellStyle name="Percent 4 4 2 6 4" xfId="37587" xr:uid="{00000000-0005-0000-0000-0000A2CE0000}"/>
    <cellStyle name="Percent 4 4 2 7" xfId="18285" xr:uid="{00000000-0005-0000-0000-0000A3CE0000}"/>
    <cellStyle name="Percent 4 4 2 7 2" xfId="28653" xr:uid="{00000000-0005-0000-0000-0000A4CE0000}"/>
    <cellStyle name="Percent 4 4 2 7 2 2" xfId="47842" xr:uid="{00000000-0005-0000-0000-0000A5CE0000}"/>
    <cellStyle name="Percent 4 4 2 7 3" xfId="38144" xr:uid="{00000000-0005-0000-0000-0000A6CE0000}"/>
    <cellStyle name="Percent 4 4 2 8" xfId="24189" xr:uid="{00000000-0005-0000-0000-0000A7CE0000}"/>
    <cellStyle name="Percent 4 4 2 8 2" xfId="43387" xr:uid="{00000000-0005-0000-0000-0000A8CE0000}"/>
    <cellStyle name="Percent 4 4 2 9" xfId="33689" xr:uid="{00000000-0005-0000-0000-0000A9CE0000}"/>
    <cellStyle name="Percent 4 4 3" xfId="12577" xr:uid="{00000000-0005-0000-0000-0000AACE0000}"/>
    <cellStyle name="Percent 4 4 3 2" xfId="53865" xr:uid="{00000000-0005-0000-0000-0000ABCE0000}"/>
    <cellStyle name="Percent 4 4 3 3" xfId="52990" xr:uid="{00000000-0005-0000-0000-0000ACCE0000}"/>
    <cellStyle name="Percent 4 4 4" xfId="53469" xr:uid="{00000000-0005-0000-0000-0000ADCE0000}"/>
    <cellStyle name="Percent 4 4 5" xfId="52580" xr:uid="{00000000-0005-0000-0000-0000AECE0000}"/>
    <cellStyle name="Percent 4 4 6" xfId="12096" xr:uid="{00000000-0005-0000-0000-0000AFCE0000}"/>
    <cellStyle name="Percent 4 5" xfId="12093" xr:uid="{00000000-0005-0000-0000-0000B0CE0000}"/>
    <cellStyle name="Percent 4 5 2" xfId="12763" xr:uid="{00000000-0005-0000-0000-0000B1CE0000}"/>
    <cellStyle name="Percent 4 5 2 2" xfId="53242" xr:uid="{00000000-0005-0000-0000-0000B2CE0000}"/>
    <cellStyle name="Percent 4 5 2 2 2" xfId="54095" xr:uid="{00000000-0005-0000-0000-0000B3CE0000}"/>
    <cellStyle name="Percent 4 5 2 3" xfId="53699" xr:uid="{00000000-0005-0000-0000-0000B4CE0000}"/>
    <cellStyle name="Percent 4 5 2 4" xfId="52814" xr:uid="{00000000-0005-0000-0000-0000B5CE0000}"/>
    <cellStyle name="Percent 4 5 3" xfId="53024" xr:uid="{00000000-0005-0000-0000-0000B6CE0000}"/>
    <cellStyle name="Percent 4 5 3 2" xfId="53899" xr:uid="{00000000-0005-0000-0000-0000B7CE0000}"/>
    <cellStyle name="Percent 4 5 4" xfId="53503" xr:uid="{00000000-0005-0000-0000-0000B8CE0000}"/>
    <cellStyle name="Percent 4 5 5" xfId="52614" xr:uid="{00000000-0005-0000-0000-0000B9CE0000}"/>
    <cellStyle name="Percent 4 6" xfId="12884" xr:uid="{00000000-0005-0000-0000-0000BACE0000}"/>
    <cellStyle name="Percent 4 6 10" xfId="52651" xr:uid="{00000000-0005-0000-0000-0000BBCE0000}"/>
    <cellStyle name="Percent 4 6 2" xfId="13846" xr:uid="{00000000-0005-0000-0000-0000BCCE0000}"/>
    <cellStyle name="Percent 4 6 2 2" xfId="16110" xr:uid="{00000000-0005-0000-0000-0000BDCE0000}"/>
    <cellStyle name="Percent 4 6 2 2 2" xfId="20574" xr:uid="{00000000-0005-0000-0000-0000BECE0000}"/>
    <cellStyle name="Percent 4 6 2 2 2 2" xfId="30942" xr:uid="{00000000-0005-0000-0000-0000BFCE0000}"/>
    <cellStyle name="Percent 4 6 2 2 2 2 2" xfId="50131" xr:uid="{00000000-0005-0000-0000-0000C0CE0000}"/>
    <cellStyle name="Percent 4 6 2 2 2 3" xfId="40433" xr:uid="{00000000-0005-0000-0000-0000C1CE0000}"/>
    <cellStyle name="Percent 4 6 2 2 2 4" xfId="54128" xr:uid="{00000000-0005-0000-0000-0000C2CE0000}"/>
    <cellStyle name="Percent 4 6 2 2 3" xfId="26487" xr:uid="{00000000-0005-0000-0000-0000C3CE0000}"/>
    <cellStyle name="Percent 4 6 2 2 3 2" xfId="45676" xr:uid="{00000000-0005-0000-0000-0000C4CE0000}"/>
    <cellStyle name="Percent 4 6 2 2 4" xfId="35978" xr:uid="{00000000-0005-0000-0000-0000C5CE0000}"/>
    <cellStyle name="Percent 4 6 2 2 5" xfId="53275" xr:uid="{00000000-0005-0000-0000-0000C6CE0000}"/>
    <cellStyle name="Percent 4 6 2 3" xfId="18346" xr:uid="{00000000-0005-0000-0000-0000C7CE0000}"/>
    <cellStyle name="Percent 4 6 2 3 2" xfId="28714" xr:uid="{00000000-0005-0000-0000-0000C8CE0000}"/>
    <cellStyle name="Percent 4 6 2 3 2 2" xfId="47903" xr:uid="{00000000-0005-0000-0000-0000C9CE0000}"/>
    <cellStyle name="Percent 4 6 2 3 3" xfId="38205" xr:uid="{00000000-0005-0000-0000-0000CACE0000}"/>
    <cellStyle name="Percent 4 6 2 3 4" xfId="53732" xr:uid="{00000000-0005-0000-0000-0000CBCE0000}"/>
    <cellStyle name="Percent 4 6 2 4" xfId="24254" xr:uid="{00000000-0005-0000-0000-0000CCCE0000}"/>
    <cellStyle name="Percent 4 6 2 4 2" xfId="43448" xr:uid="{00000000-0005-0000-0000-0000CDCE0000}"/>
    <cellStyle name="Percent 4 6 2 5" xfId="33750" xr:uid="{00000000-0005-0000-0000-0000CECE0000}"/>
    <cellStyle name="Percent 4 6 2 6" xfId="52847" xr:uid="{00000000-0005-0000-0000-0000CFCE0000}"/>
    <cellStyle name="Percent 4 6 3" xfId="14425" xr:uid="{00000000-0005-0000-0000-0000D0CE0000}"/>
    <cellStyle name="Percent 4 6 3 2" xfId="15554" xr:uid="{00000000-0005-0000-0000-0000D1CE0000}"/>
    <cellStyle name="Percent 4 6 3 2 2" xfId="20018" xr:uid="{00000000-0005-0000-0000-0000D2CE0000}"/>
    <cellStyle name="Percent 4 6 3 2 2 2" xfId="30386" xr:uid="{00000000-0005-0000-0000-0000D3CE0000}"/>
    <cellStyle name="Percent 4 6 3 2 2 2 2" xfId="49575" xr:uid="{00000000-0005-0000-0000-0000D4CE0000}"/>
    <cellStyle name="Percent 4 6 3 2 2 3" xfId="39877" xr:uid="{00000000-0005-0000-0000-0000D5CE0000}"/>
    <cellStyle name="Percent 4 6 3 2 3" xfId="25931" xr:uid="{00000000-0005-0000-0000-0000D6CE0000}"/>
    <cellStyle name="Percent 4 6 3 2 3 2" xfId="45120" xr:uid="{00000000-0005-0000-0000-0000D7CE0000}"/>
    <cellStyle name="Percent 4 6 3 2 4" xfId="35422" xr:uid="{00000000-0005-0000-0000-0000D8CE0000}"/>
    <cellStyle name="Percent 4 6 3 2 5" xfId="53932" xr:uid="{00000000-0005-0000-0000-0000D9CE0000}"/>
    <cellStyle name="Percent 4 6 3 3" xfId="18903" xr:uid="{00000000-0005-0000-0000-0000DACE0000}"/>
    <cellStyle name="Percent 4 6 3 3 2" xfId="29271" xr:uid="{00000000-0005-0000-0000-0000DBCE0000}"/>
    <cellStyle name="Percent 4 6 3 3 2 2" xfId="48460" xr:uid="{00000000-0005-0000-0000-0000DCCE0000}"/>
    <cellStyle name="Percent 4 6 3 3 3" xfId="38762" xr:uid="{00000000-0005-0000-0000-0000DDCE0000}"/>
    <cellStyle name="Percent 4 6 3 4" xfId="24816" xr:uid="{00000000-0005-0000-0000-0000DECE0000}"/>
    <cellStyle name="Percent 4 6 3 4 2" xfId="44005" xr:uid="{00000000-0005-0000-0000-0000DFCE0000}"/>
    <cellStyle name="Percent 4 6 3 5" xfId="34307" xr:uid="{00000000-0005-0000-0000-0000E0CE0000}"/>
    <cellStyle name="Percent 4 6 3 6" xfId="53057" xr:uid="{00000000-0005-0000-0000-0000E1CE0000}"/>
    <cellStyle name="Percent 4 6 4" xfId="14997" xr:uid="{00000000-0005-0000-0000-0000E2CE0000}"/>
    <cellStyle name="Percent 4 6 4 2" xfId="19461" xr:uid="{00000000-0005-0000-0000-0000E3CE0000}"/>
    <cellStyle name="Percent 4 6 4 2 2" xfId="29829" xr:uid="{00000000-0005-0000-0000-0000E4CE0000}"/>
    <cellStyle name="Percent 4 6 4 2 2 2" xfId="49018" xr:uid="{00000000-0005-0000-0000-0000E5CE0000}"/>
    <cellStyle name="Percent 4 6 4 2 3" xfId="39320" xr:uid="{00000000-0005-0000-0000-0000E6CE0000}"/>
    <cellStyle name="Percent 4 6 4 3" xfId="25374" xr:uid="{00000000-0005-0000-0000-0000E7CE0000}"/>
    <cellStyle name="Percent 4 6 4 3 2" xfId="44563" xr:uid="{00000000-0005-0000-0000-0000E8CE0000}"/>
    <cellStyle name="Percent 4 6 4 4" xfId="34865" xr:uid="{00000000-0005-0000-0000-0000E9CE0000}"/>
    <cellStyle name="Percent 4 6 4 5" xfId="53536" xr:uid="{00000000-0005-0000-0000-0000EACE0000}"/>
    <cellStyle name="Percent 4 6 5" xfId="16667" xr:uid="{00000000-0005-0000-0000-0000EBCE0000}"/>
    <cellStyle name="Percent 4 6 5 2" xfId="21131" xr:uid="{00000000-0005-0000-0000-0000ECCE0000}"/>
    <cellStyle name="Percent 4 6 5 2 2" xfId="31499" xr:uid="{00000000-0005-0000-0000-0000EDCE0000}"/>
    <cellStyle name="Percent 4 6 5 2 2 2" xfId="50688" xr:uid="{00000000-0005-0000-0000-0000EECE0000}"/>
    <cellStyle name="Percent 4 6 5 2 3" xfId="40990" xr:uid="{00000000-0005-0000-0000-0000EFCE0000}"/>
    <cellStyle name="Percent 4 6 5 3" xfId="27044" xr:uid="{00000000-0005-0000-0000-0000F0CE0000}"/>
    <cellStyle name="Percent 4 6 5 3 2" xfId="46233" xr:uid="{00000000-0005-0000-0000-0000F1CE0000}"/>
    <cellStyle name="Percent 4 6 5 4" xfId="36535" xr:uid="{00000000-0005-0000-0000-0000F2CE0000}"/>
    <cellStyle name="Percent 4 6 6" xfId="17233" xr:uid="{00000000-0005-0000-0000-0000F3CE0000}"/>
    <cellStyle name="Percent 4 6 6 2" xfId="21688" xr:uid="{00000000-0005-0000-0000-0000F4CE0000}"/>
    <cellStyle name="Percent 4 6 6 2 2" xfId="32056" xr:uid="{00000000-0005-0000-0000-0000F5CE0000}"/>
    <cellStyle name="Percent 4 6 6 2 2 2" xfId="51245" xr:uid="{00000000-0005-0000-0000-0000F6CE0000}"/>
    <cellStyle name="Percent 4 6 6 2 3" xfId="41547" xr:uid="{00000000-0005-0000-0000-0000F7CE0000}"/>
    <cellStyle name="Percent 4 6 6 3" xfId="27601" xr:uid="{00000000-0005-0000-0000-0000F8CE0000}"/>
    <cellStyle name="Percent 4 6 6 3 2" xfId="46790" xr:uid="{00000000-0005-0000-0000-0000F9CE0000}"/>
    <cellStyle name="Percent 4 6 6 4" xfId="37092" xr:uid="{00000000-0005-0000-0000-0000FACE0000}"/>
    <cellStyle name="Percent 4 6 7" xfId="17790" xr:uid="{00000000-0005-0000-0000-0000FBCE0000}"/>
    <cellStyle name="Percent 4 6 7 2" xfId="28158" xr:uid="{00000000-0005-0000-0000-0000FCCE0000}"/>
    <cellStyle name="Percent 4 6 7 2 2" xfId="47347" xr:uid="{00000000-0005-0000-0000-0000FDCE0000}"/>
    <cellStyle name="Percent 4 6 7 3" xfId="37649" xr:uid="{00000000-0005-0000-0000-0000FECE0000}"/>
    <cellStyle name="Percent 4 6 8" xfId="23651" xr:uid="{00000000-0005-0000-0000-0000FFCE0000}"/>
    <cellStyle name="Percent 4 6 8 2" xfId="42892" xr:uid="{00000000-0005-0000-0000-000000CF0000}"/>
    <cellStyle name="Percent 4 6 9" xfId="33194" xr:uid="{00000000-0005-0000-0000-000001CF0000}"/>
    <cellStyle name="Percent 4 7" xfId="22226" xr:uid="{00000000-0005-0000-0000-000002CF0000}"/>
    <cellStyle name="Percent 4 7 2" xfId="32585" xr:uid="{00000000-0005-0000-0000-000003CF0000}"/>
    <cellStyle name="Percent 4 7 2 2" xfId="51773" xr:uid="{00000000-0005-0000-0000-000004CF0000}"/>
    <cellStyle name="Percent 4 7 2 2 2" xfId="53959" xr:uid="{00000000-0005-0000-0000-000005CF0000}"/>
    <cellStyle name="Percent 4 7 2 3" xfId="53106" xr:uid="{00000000-0005-0000-0000-000006CF0000}"/>
    <cellStyle name="Percent 4 7 3" xfId="42075" xr:uid="{00000000-0005-0000-0000-000007CF0000}"/>
    <cellStyle name="Percent 4 7 3 2" xfId="53563" xr:uid="{00000000-0005-0000-0000-000008CF0000}"/>
    <cellStyle name="Percent 4 7 4" xfId="52678" xr:uid="{00000000-0005-0000-0000-000009CF0000}"/>
    <cellStyle name="Percent 4 8" xfId="22255" xr:uid="{00000000-0005-0000-0000-00000ACF0000}"/>
    <cellStyle name="Percent 4 8 2" xfId="32612" xr:uid="{00000000-0005-0000-0000-00000BCF0000}"/>
    <cellStyle name="Percent 4 8 2 2" xfId="51800" xr:uid="{00000000-0005-0000-0000-00000CCF0000}"/>
    <cellStyle name="Percent 4 8 2 3" xfId="53762" xr:uid="{00000000-0005-0000-0000-00000DCF0000}"/>
    <cellStyle name="Percent 4 8 3" xfId="42102" xr:uid="{00000000-0005-0000-0000-00000ECF0000}"/>
    <cellStyle name="Percent 4 8 4" xfId="52878" xr:uid="{00000000-0005-0000-0000-00000FCF0000}"/>
    <cellStyle name="Percent 4 9" xfId="12574" xr:uid="{00000000-0005-0000-0000-000010CF0000}"/>
    <cellStyle name="Percent 4 9 2" xfId="54159" xr:uid="{00000000-0005-0000-0000-000011CF0000}"/>
    <cellStyle name="Percent 4 9 3" xfId="53307" xr:uid="{00000000-0005-0000-0000-000012CF0000}"/>
    <cellStyle name="Percent 40" xfId="1436" xr:uid="{00000000-0005-0000-0000-000013CF0000}"/>
    <cellStyle name="Percent 41" xfId="1437" xr:uid="{00000000-0005-0000-0000-000014CF0000}"/>
    <cellStyle name="Percent 42" xfId="1438" xr:uid="{00000000-0005-0000-0000-000015CF0000}"/>
    <cellStyle name="Percent 43" xfId="1439" xr:uid="{00000000-0005-0000-0000-000016CF0000}"/>
    <cellStyle name="Percent 44" xfId="1440" xr:uid="{00000000-0005-0000-0000-000017CF0000}"/>
    <cellStyle name="Percent 45" xfId="1441" xr:uid="{00000000-0005-0000-0000-000018CF0000}"/>
    <cellStyle name="Percent 46" xfId="1442" xr:uid="{00000000-0005-0000-0000-000019CF0000}"/>
    <cellStyle name="Percent 47" xfId="1443" xr:uid="{00000000-0005-0000-0000-00001ACF0000}"/>
    <cellStyle name="Percent 48" xfId="1444" xr:uid="{00000000-0005-0000-0000-00001BCF0000}"/>
    <cellStyle name="Percent 48 2" xfId="53740" xr:uid="{00000000-0005-0000-0000-00001CCF0000}"/>
    <cellStyle name="Percent 48 3" xfId="52855" xr:uid="{00000000-0005-0000-0000-00001DCF0000}"/>
    <cellStyle name="Percent 49" xfId="1445" xr:uid="{00000000-0005-0000-0000-00001ECF0000}"/>
    <cellStyle name="Percent 49 2" xfId="7448" xr:uid="{00000000-0005-0000-0000-00001FCF0000}"/>
    <cellStyle name="Percent 49 2 2" xfId="54137" xr:uid="{00000000-0005-0000-0000-000020CF0000}"/>
    <cellStyle name="Percent 49 3" xfId="53285" xr:uid="{00000000-0005-0000-0000-000021CF0000}"/>
    <cellStyle name="Percent 5" xfId="1446" xr:uid="{00000000-0005-0000-0000-000022CF0000}"/>
    <cellStyle name="Percent 5 2" xfId="5619" xr:uid="{00000000-0005-0000-0000-000023CF0000}"/>
    <cellStyle name="Percent 5 2 2" xfId="5620" xr:uid="{00000000-0005-0000-0000-000024CF0000}"/>
    <cellStyle name="Percent 5 2 2 10" xfId="13445" xr:uid="{00000000-0005-0000-0000-000025CF0000}"/>
    <cellStyle name="Percent 5 2 2 2" xfId="5621" xr:uid="{00000000-0005-0000-0000-000026CF0000}"/>
    <cellStyle name="Percent 5 2 2 2 2" xfId="16566" xr:uid="{00000000-0005-0000-0000-000027CF0000}"/>
    <cellStyle name="Percent 5 2 2 2 2 2" xfId="21030" xr:uid="{00000000-0005-0000-0000-000028CF0000}"/>
    <cellStyle name="Percent 5 2 2 2 2 2 2" xfId="31398" xr:uid="{00000000-0005-0000-0000-000029CF0000}"/>
    <cellStyle name="Percent 5 2 2 2 2 2 2 2" xfId="50587" xr:uid="{00000000-0005-0000-0000-00002ACF0000}"/>
    <cellStyle name="Percent 5 2 2 2 2 2 3" xfId="40889" xr:uid="{00000000-0005-0000-0000-00002BCF0000}"/>
    <cellStyle name="Percent 5 2 2 2 2 3" xfId="26943" xr:uid="{00000000-0005-0000-0000-00002CCF0000}"/>
    <cellStyle name="Percent 5 2 2 2 2 3 2" xfId="46132" xr:uid="{00000000-0005-0000-0000-00002DCF0000}"/>
    <cellStyle name="Percent 5 2 2 2 2 4" xfId="36434" xr:uid="{00000000-0005-0000-0000-00002ECF0000}"/>
    <cellStyle name="Percent 5 2 2 2 3" xfId="18802" xr:uid="{00000000-0005-0000-0000-00002FCF0000}"/>
    <cellStyle name="Percent 5 2 2 2 3 2" xfId="29170" xr:uid="{00000000-0005-0000-0000-000030CF0000}"/>
    <cellStyle name="Percent 5 2 2 2 3 2 2" xfId="48359" xr:uid="{00000000-0005-0000-0000-000031CF0000}"/>
    <cellStyle name="Percent 5 2 2 2 3 3" xfId="38661" xr:uid="{00000000-0005-0000-0000-000032CF0000}"/>
    <cellStyle name="Percent 5 2 2 2 4" xfId="24710" xr:uid="{00000000-0005-0000-0000-000033CF0000}"/>
    <cellStyle name="Percent 5 2 2 2 4 2" xfId="43904" xr:uid="{00000000-0005-0000-0000-000034CF0000}"/>
    <cellStyle name="Percent 5 2 2 2 5" xfId="34206" xr:uid="{00000000-0005-0000-0000-000035CF0000}"/>
    <cellStyle name="Percent 5 2 2 2 6" xfId="14303" xr:uid="{00000000-0005-0000-0000-000036CF0000}"/>
    <cellStyle name="Percent 5 2 2 3" xfId="14882" xr:uid="{00000000-0005-0000-0000-000037CF0000}"/>
    <cellStyle name="Percent 5 2 2 3 2" xfId="16010" xr:uid="{00000000-0005-0000-0000-000038CF0000}"/>
    <cellStyle name="Percent 5 2 2 3 2 2" xfId="20474" xr:uid="{00000000-0005-0000-0000-000039CF0000}"/>
    <cellStyle name="Percent 5 2 2 3 2 2 2" xfId="30842" xr:uid="{00000000-0005-0000-0000-00003ACF0000}"/>
    <cellStyle name="Percent 5 2 2 3 2 2 2 2" xfId="50031" xr:uid="{00000000-0005-0000-0000-00003BCF0000}"/>
    <cellStyle name="Percent 5 2 2 3 2 2 3" xfId="40333" xr:uid="{00000000-0005-0000-0000-00003CCF0000}"/>
    <cellStyle name="Percent 5 2 2 3 2 3" xfId="26387" xr:uid="{00000000-0005-0000-0000-00003DCF0000}"/>
    <cellStyle name="Percent 5 2 2 3 2 3 2" xfId="45576" xr:uid="{00000000-0005-0000-0000-00003ECF0000}"/>
    <cellStyle name="Percent 5 2 2 3 2 4" xfId="35878" xr:uid="{00000000-0005-0000-0000-00003FCF0000}"/>
    <cellStyle name="Percent 5 2 2 3 3" xfId="19359" xr:uid="{00000000-0005-0000-0000-000040CF0000}"/>
    <cellStyle name="Percent 5 2 2 3 3 2" xfId="29727" xr:uid="{00000000-0005-0000-0000-000041CF0000}"/>
    <cellStyle name="Percent 5 2 2 3 3 2 2" xfId="48916" xr:uid="{00000000-0005-0000-0000-000042CF0000}"/>
    <cellStyle name="Percent 5 2 2 3 3 3" xfId="39218" xr:uid="{00000000-0005-0000-0000-000043CF0000}"/>
    <cellStyle name="Percent 5 2 2 3 4" xfId="25272" xr:uid="{00000000-0005-0000-0000-000044CF0000}"/>
    <cellStyle name="Percent 5 2 2 3 4 2" xfId="44461" xr:uid="{00000000-0005-0000-0000-000045CF0000}"/>
    <cellStyle name="Percent 5 2 2 3 5" xfId="34763" xr:uid="{00000000-0005-0000-0000-000046CF0000}"/>
    <cellStyle name="Percent 5 2 2 4" xfId="15453" xr:uid="{00000000-0005-0000-0000-000047CF0000}"/>
    <cellStyle name="Percent 5 2 2 4 2" xfId="19917" xr:uid="{00000000-0005-0000-0000-000048CF0000}"/>
    <cellStyle name="Percent 5 2 2 4 2 2" xfId="30285" xr:uid="{00000000-0005-0000-0000-000049CF0000}"/>
    <cellStyle name="Percent 5 2 2 4 2 2 2" xfId="49474" xr:uid="{00000000-0005-0000-0000-00004ACF0000}"/>
    <cellStyle name="Percent 5 2 2 4 2 3" xfId="39776" xr:uid="{00000000-0005-0000-0000-00004BCF0000}"/>
    <cellStyle name="Percent 5 2 2 4 3" xfId="25830" xr:uid="{00000000-0005-0000-0000-00004CCF0000}"/>
    <cellStyle name="Percent 5 2 2 4 3 2" xfId="45019" xr:uid="{00000000-0005-0000-0000-00004DCF0000}"/>
    <cellStyle name="Percent 5 2 2 4 4" xfId="35321" xr:uid="{00000000-0005-0000-0000-00004ECF0000}"/>
    <cellStyle name="Percent 5 2 2 5" xfId="17123" xr:uid="{00000000-0005-0000-0000-00004FCF0000}"/>
    <cellStyle name="Percent 5 2 2 5 2" xfId="21587" xr:uid="{00000000-0005-0000-0000-000050CF0000}"/>
    <cellStyle name="Percent 5 2 2 5 2 2" xfId="31955" xr:uid="{00000000-0005-0000-0000-000051CF0000}"/>
    <cellStyle name="Percent 5 2 2 5 2 2 2" xfId="51144" xr:uid="{00000000-0005-0000-0000-000052CF0000}"/>
    <cellStyle name="Percent 5 2 2 5 2 3" xfId="41446" xr:uid="{00000000-0005-0000-0000-000053CF0000}"/>
    <cellStyle name="Percent 5 2 2 5 3" xfId="27500" xr:uid="{00000000-0005-0000-0000-000054CF0000}"/>
    <cellStyle name="Percent 5 2 2 5 3 2" xfId="46689" xr:uid="{00000000-0005-0000-0000-000055CF0000}"/>
    <cellStyle name="Percent 5 2 2 5 4" xfId="36991" xr:uid="{00000000-0005-0000-0000-000056CF0000}"/>
    <cellStyle name="Percent 5 2 2 6" xfId="17689" xr:uid="{00000000-0005-0000-0000-000057CF0000}"/>
    <cellStyle name="Percent 5 2 2 6 2" xfId="22144" xr:uid="{00000000-0005-0000-0000-000058CF0000}"/>
    <cellStyle name="Percent 5 2 2 6 2 2" xfId="32512" xr:uid="{00000000-0005-0000-0000-000059CF0000}"/>
    <cellStyle name="Percent 5 2 2 6 2 2 2" xfId="51701" xr:uid="{00000000-0005-0000-0000-00005ACF0000}"/>
    <cellStyle name="Percent 5 2 2 6 2 3" xfId="42003" xr:uid="{00000000-0005-0000-0000-00005BCF0000}"/>
    <cellStyle name="Percent 5 2 2 6 3" xfId="28057" xr:uid="{00000000-0005-0000-0000-00005CCF0000}"/>
    <cellStyle name="Percent 5 2 2 6 3 2" xfId="47246" xr:uid="{00000000-0005-0000-0000-00005DCF0000}"/>
    <cellStyle name="Percent 5 2 2 6 4" xfId="37548" xr:uid="{00000000-0005-0000-0000-00005ECF0000}"/>
    <cellStyle name="Percent 5 2 2 7" xfId="18246" xr:uid="{00000000-0005-0000-0000-00005FCF0000}"/>
    <cellStyle name="Percent 5 2 2 7 2" xfId="28614" xr:uid="{00000000-0005-0000-0000-000060CF0000}"/>
    <cellStyle name="Percent 5 2 2 7 2 2" xfId="47803" xr:uid="{00000000-0005-0000-0000-000061CF0000}"/>
    <cellStyle name="Percent 5 2 2 7 3" xfId="38105" xr:uid="{00000000-0005-0000-0000-000062CF0000}"/>
    <cellStyle name="Percent 5 2 2 8" xfId="24128" xr:uid="{00000000-0005-0000-0000-000063CF0000}"/>
    <cellStyle name="Percent 5 2 2 8 2" xfId="43348" xr:uid="{00000000-0005-0000-0000-000064CF0000}"/>
    <cellStyle name="Percent 5 2 2 9" xfId="33650" xr:uid="{00000000-0005-0000-0000-000065CF0000}"/>
    <cellStyle name="Percent 5 2 3" xfId="5622" xr:uid="{00000000-0005-0000-0000-000066CF0000}"/>
    <cellStyle name="Percent 5 2 4" xfId="12765" xr:uid="{00000000-0005-0000-0000-000067CF0000}"/>
    <cellStyle name="Percent 5 3" xfId="5618" xr:uid="{00000000-0005-0000-0000-000068CF0000}"/>
    <cellStyle name="Percent 5 3 2" xfId="22528" xr:uid="{00000000-0005-0000-0000-000069CF0000}"/>
    <cellStyle name="Percent 5 4" xfId="6106" xr:uid="{00000000-0005-0000-0000-00006ACF0000}"/>
    <cellStyle name="Percent 5 4 2" xfId="23494" xr:uid="{00000000-0005-0000-0000-00006BCF0000}"/>
    <cellStyle name="Percent 5 5" xfId="12578" xr:uid="{00000000-0005-0000-0000-00006CCF0000}"/>
    <cellStyle name="Percent 50" xfId="1447" xr:uid="{00000000-0005-0000-0000-00006DCF0000}"/>
    <cellStyle name="Percent 50 2" xfId="7445" xr:uid="{00000000-0005-0000-0000-00006ECF0000}"/>
    <cellStyle name="Percent 50 2 2" xfId="54168" xr:uid="{00000000-0005-0000-0000-00006FCF0000}"/>
    <cellStyle name="Percent 50 3" xfId="53316" xr:uid="{00000000-0005-0000-0000-000070CF0000}"/>
    <cellStyle name="Percent 51" xfId="1448" xr:uid="{00000000-0005-0000-0000-000071CF0000}"/>
    <cellStyle name="Percent 51 2" xfId="7508" xr:uid="{00000000-0005-0000-0000-000072CF0000}"/>
    <cellStyle name="Percent 51 2 2" xfId="54172" xr:uid="{00000000-0005-0000-0000-000073CF0000}"/>
    <cellStyle name="Percent 51 3" xfId="53320" xr:uid="{00000000-0005-0000-0000-000074CF0000}"/>
    <cellStyle name="Percent 52" xfId="1449" xr:uid="{00000000-0005-0000-0000-000075CF0000}"/>
    <cellStyle name="Percent 52 2" xfId="6784" xr:uid="{00000000-0005-0000-0000-000076CF0000}"/>
    <cellStyle name="Percent 53" xfId="1450" xr:uid="{00000000-0005-0000-0000-000077CF0000}"/>
    <cellStyle name="Percent 53 2" xfId="6848" xr:uid="{00000000-0005-0000-0000-000078CF0000}"/>
    <cellStyle name="Percent 54" xfId="1451" xr:uid="{00000000-0005-0000-0000-000079CF0000}"/>
    <cellStyle name="Percent 54 2" xfId="7566" xr:uid="{00000000-0005-0000-0000-00007ACF0000}"/>
    <cellStyle name="Percent 55" xfId="1515" xr:uid="{00000000-0005-0000-0000-00007BCF0000}"/>
    <cellStyle name="Percent 55 2" xfId="13484" xr:uid="{00000000-0005-0000-0000-00007CCF0000}"/>
    <cellStyle name="Percent 56" xfId="1521" xr:uid="{00000000-0005-0000-0000-00007DCF0000}"/>
    <cellStyle name="Percent 56 2" xfId="7568" xr:uid="{00000000-0005-0000-0000-00007ECF0000}"/>
    <cellStyle name="Percent 57" xfId="1522" xr:uid="{00000000-0005-0000-0000-00007FCF0000}"/>
    <cellStyle name="Percent 57 2" xfId="6861" xr:uid="{00000000-0005-0000-0000-000080CF0000}"/>
    <cellStyle name="Percent 58" xfId="1523" xr:uid="{00000000-0005-0000-0000-000081CF0000}"/>
    <cellStyle name="Percent 58 2" xfId="7571" xr:uid="{00000000-0005-0000-0000-000082CF0000}"/>
    <cellStyle name="Percent 59" xfId="1524" xr:uid="{00000000-0005-0000-0000-000083CF0000}"/>
    <cellStyle name="Percent 59 2" xfId="6776" xr:uid="{00000000-0005-0000-0000-000084CF0000}"/>
    <cellStyle name="Percent 59 3" xfId="13493" xr:uid="{00000000-0005-0000-0000-000085CF0000}"/>
    <cellStyle name="Percent 6" xfId="1452" xr:uid="{00000000-0005-0000-0000-000086CF0000}"/>
    <cellStyle name="Percent 6 2" xfId="1453" xr:uid="{00000000-0005-0000-0000-000087CF0000}"/>
    <cellStyle name="Percent 6 2 2" xfId="1454" xr:uid="{00000000-0005-0000-0000-000088CF0000}"/>
    <cellStyle name="Percent 6 2 2 10" xfId="13671" xr:uid="{00000000-0005-0000-0000-000089CF0000}"/>
    <cellStyle name="Percent 6 2 2 2" xfId="5626" xr:uid="{00000000-0005-0000-0000-00008ACF0000}"/>
    <cellStyle name="Percent 6 2 2 2 2" xfId="8894" xr:uid="{00000000-0005-0000-0000-00008BCF0000}"/>
    <cellStyle name="Percent 6 2 2 2 2 2" xfId="11791" xr:uid="{00000000-0005-0000-0000-00008CCF0000}"/>
    <cellStyle name="Percent 6 2 2 2 2 2 2" xfId="31442" xr:uid="{00000000-0005-0000-0000-00008DCF0000}"/>
    <cellStyle name="Percent 6 2 2 2 2 2 2 2" xfId="50631" xr:uid="{00000000-0005-0000-0000-00008ECF0000}"/>
    <cellStyle name="Percent 6 2 2 2 2 2 3" xfId="40933" xr:uid="{00000000-0005-0000-0000-00008FCF0000}"/>
    <cellStyle name="Percent 6 2 2 2 2 2 4" xfId="21074" xr:uid="{00000000-0005-0000-0000-000090CF0000}"/>
    <cellStyle name="Percent 6 2 2 2 2 3" xfId="26987" xr:uid="{00000000-0005-0000-0000-000091CF0000}"/>
    <cellStyle name="Percent 6 2 2 2 2 3 2" xfId="46176" xr:uid="{00000000-0005-0000-0000-000092CF0000}"/>
    <cellStyle name="Percent 6 2 2 2 2 4" xfId="36478" xr:uid="{00000000-0005-0000-0000-000093CF0000}"/>
    <cellStyle name="Percent 6 2 2 2 2 5" xfId="16610" xr:uid="{00000000-0005-0000-0000-000094CF0000}"/>
    <cellStyle name="Percent 6 2 2 2 3" xfId="10351" xr:uid="{00000000-0005-0000-0000-000095CF0000}"/>
    <cellStyle name="Percent 6 2 2 2 3 2" xfId="29214" xr:uid="{00000000-0005-0000-0000-000096CF0000}"/>
    <cellStyle name="Percent 6 2 2 2 3 2 2" xfId="48403" xr:uid="{00000000-0005-0000-0000-000097CF0000}"/>
    <cellStyle name="Percent 6 2 2 2 3 3" xfId="38705" xr:uid="{00000000-0005-0000-0000-000098CF0000}"/>
    <cellStyle name="Percent 6 2 2 2 3 4" xfId="18846" xr:uid="{00000000-0005-0000-0000-000099CF0000}"/>
    <cellStyle name="Percent 6 2 2 2 4" xfId="7417" xr:uid="{00000000-0005-0000-0000-00009ACF0000}"/>
    <cellStyle name="Percent 6 2 2 2 4 2" xfId="43948" xr:uid="{00000000-0005-0000-0000-00009BCF0000}"/>
    <cellStyle name="Percent 6 2 2 2 4 3" xfId="24754" xr:uid="{00000000-0005-0000-0000-00009CCF0000}"/>
    <cellStyle name="Percent 6 2 2 2 5" xfId="34250" xr:uid="{00000000-0005-0000-0000-00009DCF0000}"/>
    <cellStyle name="Percent 6 2 2 2 6" xfId="14347" xr:uid="{00000000-0005-0000-0000-00009ECF0000}"/>
    <cellStyle name="Percent 6 2 2 3" xfId="5625" xr:uid="{00000000-0005-0000-0000-00009FCF0000}"/>
    <cellStyle name="Percent 6 2 2 3 2" xfId="11133" xr:uid="{00000000-0005-0000-0000-0000A0CF0000}"/>
    <cellStyle name="Percent 6 2 2 3 2 2" xfId="20518" xr:uid="{00000000-0005-0000-0000-0000A1CF0000}"/>
    <cellStyle name="Percent 6 2 2 3 2 2 2" xfId="30886" xr:uid="{00000000-0005-0000-0000-0000A2CF0000}"/>
    <cellStyle name="Percent 6 2 2 3 2 2 2 2" xfId="50075" xr:uid="{00000000-0005-0000-0000-0000A3CF0000}"/>
    <cellStyle name="Percent 6 2 2 3 2 2 3" xfId="40377" xr:uid="{00000000-0005-0000-0000-0000A4CF0000}"/>
    <cellStyle name="Percent 6 2 2 3 2 3" xfId="26431" xr:uid="{00000000-0005-0000-0000-0000A5CF0000}"/>
    <cellStyle name="Percent 6 2 2 3 2 3 2" xfId="45620" xr:uid="{00000000-0005-0000-0000-0000A6CF0000}"/>
    <cellStyle name="Percent 6 2 2 3 2 4" xfId="35922" xr:uid="{00000000-0005-0000-0000-0000A7CF0000}"/>
    <cellStyle name="Percent 6 2 2 3 2 5" xfId="16054" xr:uid="{00000000-0005-0000-0000-0000A8CF0000}"/>
    <cellStyle name="Percent 6 2 2 3 3" xfId="8236" xr:uid="{00000000-0005-0000-0000-0000A9CF0000}"/>
    <cellStyle name="Percent 6 2 2 3 3 2" xfId="29771" xr:uid="{00000000-0005-0000-0000-0000AACF0000}"/>
    <cellStyle name="Percent 6 2 2 3 3 2 2" xfId="48960" xr:uid="{00000000-0005-0000-0000-0000ABCF0000}"/>
    <cellStyle name="Percent 6 2 2 3 3 3" xfId="39262" xr:uid="{00000000-0005-0000-0000-0000ACCF0000}"/>
    <cellStyle name="Percent 6 2 2 3 3 4" xfId="19403" xr:uid="{00000000-0005-0000-0000-0000ADCF0000}"/>
    <cellStyle name="Percent 6 2 2 3 4" xfId="25316" xr:uid="{00000000-0005-0000-0000-0000AECF0000}"/>
    <cellStyle name="Percent 6 2 2 3 4 2" xfId="44505" xr:uid="{00000000-0005-0000-0000-0000AFCF0000}"/>
    <cellStyle name="Percent 6 2 2 3 5" xfId="34807" xr:uid="{00000000-0005-0000-0000-0000B0CF0000}"/>
    <cellStyle name="Percent 6 2 2 3 6" xfId="14926" xr:uid="{00000000-0005-0000-0000-0000B1CF0000}"/>
    <cellStyle name="Percent 6 2 2 4" xfId="9693" xr:uid="{00000000-0005-0000-0000-0000B2CF0000}"/>
    <cellStyle name="Percent 6 2 2 4 2" xfId="19961" xr:uid="{00000000-0005-0000-0000-0000B3CF0000}"/>
    <cellStyle name="Percent 6 2 2 4 2 2" xfId="30329" xr:uid="{00000000-0005-0000-0000-0000B4CF0000}"/>
    <cellStyle name="Percent 6 2 2 4 2 2 2" xfId="49518" xr:uid="{00000000-0005-0000-0000-0000B5CF0000}"/>
    <cellStyle name="Percent 6 2 2 4 2 3" xfId="39820" xr:uid="{00000000-0005-0000-0000-0000B6CF0000}"/>
    <cellStyle name="Percent 6 2 2 4 3" xfId="25874" xr:uid="{00000000-0005-0000-0000-0000B7CF0000}"/>
    <cellStyle name="Percent 6 2 2 4 3 2" xfId="45063" xr:uid="{00000000-0005-0000-0000-0000B8CF0000}"/>
    <cellStyle name="Percent 6 2 2 4 4" xfId="35365" xr:uid="{00000000-0005-0000-0000-0000B9CF0000}"/>
    <cellStyle name="Percent 6 2 2 4 5" xfId="15497" xr:uid="{00000000-0005-0000-0000-0000BACF0000}"/>
    <cellStyle name="Percent 6 2 2 5" xfId="6741" xr:uid="{00000000-0005-0000-0000-0000BBCF0000}"/>
    <cellStyle name="Percent 6 2 2 5 2" xfId="21631" xr:uid="{00000000-0005-0000-0000-0000BCCF0000}"/>
    <cellStyle name="Percent 6 2 2 5 2 2" xfId="31999" xr:uid="{00000000-0005-0000-0000-0000BDCF0000}"/>
    <cellStyle name="Percent 6 2 2 5 2 2 2" xfId="51188" xr:uid="{00000000-0005-0000-0000-0000BECF0000}"/>
    <cellStyle name="Percent 6 2 2 5 2 3" xfId="41490" xr:uid="{00000000-0005-0000-0000-0000BFCF0000}"/>
    <cellStyle name="Percent 6 2 2 5 3" xfId="27544" xr:uid="{00000000-0005-0000-0000-0000C0CF0000}"/>
    <cellStyle name="Percent 6 2 2 5 3 2" xfId="46733" xr:uid="{00000000-0005-0000-0000-0000C1CF0000}"/>
    <cellStyle name="Percent 6 2 2 5 4" xfId="37035" xr:uid="{00000000-0005-0000-0000-0000C2CF0000}"/>
    <cellStyle name="Percent 6 2 2 5 5" xfId="17167" xr:uid="{00000000-0005-0000-0000-0000C3CF0000}"/>
    <cellStyle name="Percent 6 2 2 6" xfId="17733" xr:uid="{00000000-0005-0000-0000-0000C4CF0000}"/>
    <cellStyle name="Percent 6 2 2 6 2" xfId="22188" xr:uid="{00000000-0005-0000-0000-0000C5CF0000}"/>
    <cellStyle name="Percent 6 2 2 6 2 2" xfId="32556" xr:uid="{00000000-0005-0000-0000-0000C6CF0000}"/>
    <cellStyle name="Percent 6 2 2 6 2 2 2" xfId="51745" xr:uid="{00000000-0005-0000-0000-0000C7CF0000}"/>
    <cellStyle name="Percent 6 2 2 6 2 3" xfId="42047" xr:uid="{00000000-0005-0000-0000-0000C8CF0000}"/>
    <cellStyle name="Percent 6 2 2 6 3" xfId="28101" xr:uid="{00000000-0005-0000-0000-0000C9CF0000}"/>
    <cellStyle name="Percent 6 2 2 6 3 2" xfId="47290" xr:uid="{00000000-0005-0000-0000-0000CACF0000}"/>
    <cellStyle name="Percent 6 2 2 6 4" xfId="37592" xr:uid="{00000000-0005-0000-0000-0000CBCF0000}"/>
    <cellStyle name="Percent 6 2 2 7" xfId="18290" xr:uid="{00000000-0005-0000-0000-0000CCCF0000}"/>
    <cellStyle name="Percent 6 2 2 7 2" xfId="28658" xr:uid="{00000000-0005-0000-0000-0000CDCF0000}"/>
    <cellStyle name="Percent 6 2 2 7 2 2" xfId="47847" xr:uid="{00000000-0005-0000-0000-0000CECF0000}"/>
    <cellStyle name="Percent 6 2 2 7 3" xfId="38149" xr:uid="{00000000-0005-0000-0000-0000CFCF0000}"/>
    <cellStyle name="Percent 6 2 2 8" xfId="24194" xr:uid="{00000000-0005-0000-0000-0000D0CF0000}"/>
    <cellStyle name="Percent 6 2 2 8 2" xfId="43392" xr:uid="{00000000-0005-0000-0000-0000D1CF0000}"/>
    <cellStyle name="Percent 6 2 2 9" xfId="33694" xr:uid="{00000000-0005-0000-0000-0000D2CF0000}"/>
    <cellStyle name="Percent 6 2 3" xfId="1455" xr:uid="{00000000-0005-0000-0000-0000D3CF0000}"/>
    <cellStyle name="Percent 6 2 3 2" xfId="5627" xr:uid="{00000000-0005-0000-0000-0000D4CF0000}"/>
    <cellStyle name="Percent 6 2 3 2 2" xfId="8661" xr:uid="{00000000-0005-0000-0000-0000D5CF0000}"/>
    <cellStyle name="Percent 6 2 3 2 2 2" xfId="11558" xr:uid="{00000000-0005-0000-0000-0000D6CF0000}"/>
    <cellStyle name="Percent 6 2 3 2 2 3" xfId="51916" xr:uid="{00000000-0005-0000-0000-0000D7CF0000}"/>
    <cellStyle name="Percent 6 2 3 2 3" xfId="10118" xr:uid="{00000000-0005-0000-0000-0000D8CF0000}"/>
    <cellStyle name="Percent 6 2 3 2 4" xfId="7184" xr:uid="{00000000-0005-0000-0000-0000D9CF0000}"/>
    <cellStyle name="Percent 6 2 3 2 5" xfId="32729" xr:uid="{00000000-0005-0000-0000-0000DACF0000}"/>
    <cellStyle name="Percent 6 2 3 3" xfId="8003" xr:uid="{00000000-0005-0000-0000-0000DBCF0000}"/>
    <cellStyle name="Percent 6 2 3 3 2" xfId="10900" xr:uid="{00000000-0005-0000-0000-0000DCCF0000}"/>
    <cellStyle name="Percent 6 2 3 3 3" xfId="42218" xr:uid="{00000000-0005-0000-0000-0000DDCF0000}"/>
    <cellStyle name="Percent 6 2 3 4" xfId="9460" xr:uid="{00000000-0005-0000-0000-0000DECF0000}"/>
    <cellStyle name="Percent 6 2 3 5" xfId="6508" xr:uid="{00000000-0005-0000-0000-0000DFCF0000}"/>
    <cellStyle name="Percent 6 2 3 6" xfId="22641" xr:uid="{00000000-0005-0000-0000-0000E0CF0000}"/>
    <cellStyle name="Percent 6 2 4" xfId="5624" xr:uid="{00000000-0005-0000-0000-0000E1CF0000}"/>
    <cellStyle name="Percent 6 2 4 2" xfId="8374" xr:uid="{00000000-0005-0000-0000-0000E2CF0000}"/>
    <cellStyle name="Percent 6 2 4 2 2" xfId="11271" xr:uid="{00000000-0005-0000-0000-0000E3CF0000}"/>
    <cellStyle name="Percent 6 2 4 3" xfId="9831" xr:uid="{00000000-0005-0000-0000-0000E4CF0000}"/>
    <cellStyle name="Percent 6 2 4 4" xfId="6896" xr:uid="{00000000-0005-0000-0000-0000E5CF0000}"/>
    <cellStyle name="Percent 6 2 4 5" xfId="23496" xr:uid="{00000000-0005-0000-0000-0000E6CF0000}"/>
    <cellStyle name="Percent 6 2 5" xfId="7713" xr:uid="{00000000-0005-0000-0000-0000E7CF0000}"/>
    <cellStyle name="Percent 6 2 5 2" xfId="10613" xr:uid="{00000000-0005-0000-0000-0000E8CF0000}"/>
    <cellStyle name="Percent 6 2 5 2 2" xfId="42571" xr:uid="{00000000-0005-0000-0000-0000E9CF0000}"/>
    <cellStyle name="Percent 6 2 5 3" xfId="23002" xr:uid="{00000000-0005-0000-0000-0000EACF0000}"/>
    <cellStyle name="Percent 6 2 6" xfId="9173" xr:uid="{00000000-0005-0000-0000-0000EBCF0000}"/>
    <cellStyle name="Percent 6 2 6 2" xfId="52623" xr:uid="{00000000-0005-0000-0000-0000ECCF0000}"/>
    <cellStyle name="Percent 6 2 7" xfId="6192" xr:uid="{00000000-0005-0000-0000-0000EDCF0000}"/>
    <cellStyle name="Percent 6 2 8" xfId="12580" xr:uid="{00000000-0005-0000-0000-0000EECF0000}"/>
    <cellStyle name="Percent 6 3" xfId="1456" xr:uid="{00000000-0005-0000-0000-0000EFCF0000}"/>
    <cellStyle name="Percent 6 3 2" xfId="1457" xr:uid="{00000000-0005-0000-0000-0000F0CF0000}"/>
    <cellStyle name="Percent 6 3 2 10" xfId="13678" xr:uid="{00000000-0005-0000-0000-0000F1CF0000}"/>
    <cellStyle name="Percent 6 3 2 2" xfId="5630" xr:uid="{00000000-0005-0000-0000-0000F2CF0000}"/>
    <cellStyle name="Percent 6 3 2 2 2" xfId="8778" xr:uid="{00000000-0005-0000-0000-0000F3CF0000}"/>
    <cellStyle name="Percent 6 3 2 2 2 2" xfId="11675" xr:uid="{00000000-0005-0000-0000-0000F4CF0000}"/>
    <cellStyle name="Percent 6 3 2 2 2 2 2" xfId="31445" xr:uid="{00000000-0005-0000-0000-0000F5CF0000}"/>
    <cellStyle name="Percent 6 3 2 2 2 2 2 2" xfId="50634" xr:uid="{00000000-0005-0000-0000-0000F6CF0000}"/>
    <cellStyle name="Percent 6 3 2 2 2 2 3" xfId="40936" xr:uid="{00000000-0005-0000-0000-0000F7CF0000}"/>
    <cellStyle name="Percent 6 3 2 2 2 2 4" xfId="21077" xr:uid="{00000000-0005-0000-0000-0000F8CF0000}"/>
    <cellStyle name="Percent 6 3 2 2 2 3" xfId="26990" xr:uid="{00000000-0005-0000-0000-0000F9CF0000}"/>
    <cellStyle name="Percent 6 3 2 2 2 3 2" xfId="46179" xr:uid="{00000000-0005-0000-0000-0000FACF0000}"/>
    <cellStyle name="Percent 6 3 2 2 2 4" xfId="36481" xr:uid="{00000000-0005-0000-0000-0000FBCF0000}"/>
    <cellStyle name="Percent 6 3 2 2 2 5" xfId="16613" xr:uid="{00000000-0005-0000-0000-0000FCCF0000}"/>
    <cellStyle name="Percent 6 3 2 2 3" xfId="10235" xr:uid="{00000000-0005-0000-0000-0000FDCF0000}"/>
    <cellStyle name="Percent 6 3 2 2 3 2" xfId="29217" xr:uid="{00000000-0005-0000-0000-0000FECF0000}"/>
    <cellStyle name="Percent 6 3 2 2 3 2 2" xfId="48406" xr:uid="{00000000-0005-0000-0000-0000FFCF0000}"/>
    <cellStyle name="Percent 6 3 2 2 3 3" xfId="38708" xr:uid="{00000000-0005-0000-0000-000000D00000}"/>
    <cellStyle name="Percent 6 3 2 2 3 4" xfId="18849" xr:uid="{00000000-0005-0000-0000-000001D00000}"/>
    <cellStyle name="Percent 6 3 2 2 4" xfId="7301" xr:uid="{00000000-0005-0000-0000-000002D00000}"/>
    <cellStyle name="Percent 6 3 2 2 4 2" xfId="43951" xr:uid="{00000000-0005-0000-0000-000003D00000}"/>
    <cellStyle name="Percent 6 3 2 2 4 3" xfId="24757" xr:uid="{00000000-0005-0000-0000-000004D00000}"/>
    <cellStyle name="Percent 6 3 2 2 5" xfId="34253" xr:uid="{00000000-0005-0000-0000-000005D00000}"/>
    <cellStyle name="Percent 6 3 2 2 6" xfId="14350" xr:uid="{00000000-0005-0000-0000-000006D00000}"/>
    <cellStyle name="Percent 6 3 2 3" xfId="5629" xr:uid="{00000000-0005-0000-0000-000007D00000}"/>
    <cellStyle name="Percent 6 3 2 3 2" xfId="11017" xr:uid="{00000000-0005-0000-0000-000008D00000}"/>
    <cellStyle name="Percent 6 3 2 3 2 2" xfId="20521" xr:uid="{00000000-0005-0000-0000-000009D00000}"/>
    <cellStyle name="Percent 6 3 2 3 2 2 2" xfId="30889" xr:uid="{00000000-0005-0000-0000-00000AD00000}"/>
    <cellStyle name="Percent 6 3 2 3 2 2 2 2" xfId="50078" xr:uid="{00000000-0005-0000-0000-00000BD00000}"/>
    <cellStyle name="Percent 6 3 2 3 2 2 3" xfId="40380" xr:uid="{00000000-0005-0000-0000-00000CD00000}"/>
    <cellStyle name="Percent 6 3 2 3 2 3" xfId="26434" xr:uid="{00000000-0005-0000-0000-00000DD00000}"/>
    <cellStyle name="Percent 6 3 2 3 2 3 2" xfId="45623" xr:uid="{00000000-0005-0000-0000-00000ED00000}"/>
    <cellStyle name="Percent 6 3 2 3 2 4" xfId="35925" xr:uid="{00000000-0005-0000-0000-00000FD00000}"/>
    <cellStyle name="Percent 6 3 2 3 2 5" xfId="16057" xr:uid="{00000000-0005-0000-0000-000010D00000}"/>
    <cellStyle name="Percent 6 3 2 3 3" xfId="8120" xr:uid="{00000000-0005-0000-0000-000011D00000}"/>
    <cellStyle name="Percent 6 3 2 3 3 2" xfId="29774" xr:uid="{00000000-0005-0000-0000-000012D00000}"/>
    <cellStyle name="Percent 6 3 2 3 3 2 2" xfId="48963" xr:uid="{00000000-0005-0000-0000-000013D00000}"/>
    <cellStyle name="Percent 6 3 2 3 3 3" xfId="39265" xr:uid="{00000000-0005-0000-0000-000014D00000}"/>
    <cellStyle name="Percent 6 3 2 3 3 4" xfId="19406" xr:uid="{00000000-0005-0000-0000-000015D00000}"/>
    <cellStyle name="Percent 6 3 2 3 4" xfId="25319" xr:uid="{00000000-0005-0000-0000-000016D00000}"/>
    <cellStyle name="Percent 6 3 2 3 4 2" xfId="44508" xr:uid="{00000000-0005-0000-0000-000017D00000}"/>
    <cellStyle name="Percent 6 3 2 3 5" xfId="34810" xr:uid="{00000000-0005-0000-0000-000018D00000}"/>
    <cellStyle name="Percent 6 3 2 3 6" xfId="14929" xr:uid="{00000000-0005-0000-0000-000019D00000}"/>
    <cellStyle name="Percent 6 3 2 4" xfId="9577" xr:uid="{00000000-0005-0000-0000-00001AD00000}"/>
    <cellStyle name="Percent 6 3 2 4 2" xfId="19964" xr:uid="{00000000-0005-0000-0000-00001BD00000}"/>
    <cellStyle name="Percent 6 3 2 4 2 2" xfId="30332" xr:uid="{00000000-0005-0000-0000-00001CD00000}"/>
    <cellStyle name="Percent 6 3 2 4 2 2 2" xfId="49521" xr:uid="{00000000-0005-0000-0000-00001DD00000}"/>
    <cellStyle name="Percent 6 3 2 4 2 3" xfId="39823" xr:uid="{00000000-0005-0000-0000-00001ED00000}"/>
    <cellStyle name="Percent 6 3 2 4 3" xfId="25877" xr:uid="{00000000-0005-0000-0000-00001FD00000}"/>
    <cellStyle name="Percent 6 3 2 4 3 2" xfId="45066" xr:uid="{00000000-0005-0000-0000-000020D00000}"/>
    <cellStyle name="Percent 6 3 2 4 4" xfId="35368" xr:uid="{00000000-0005-0000-0000-000021D00000}"/>
    <cellStyle name="Percent 6 3 2 4 5" xfId="15500" xr:uid="{00000000-0005-0000-0000-000022D00000}"/>
    <cellStyle name="Percent 6 3 2 5" xfId="6625" xr:uid="{00000000-0005-0000-0000-000023D00000}"/>
    <cellStyle name="Percent 6 3 2 5 2" xfId="21634" xr:uid="{00000000-0005-0000-0000-000024D00000}"/>
    <cellStyle name="Percent 6 3 2 5 2 2" xfId="32002" xr:uid="{00000000-0005-0000-0000-000025D00000}"/>
    <cellStyle name="Percent 6 3 2 5 2 2 2" xfId="51191" xr:uid="{00000000-0005-0000-0000-000026D00000}"/>
    <cellStyle name="Percent 6 3 2 5 2 3" xfId="41493" xr:uid="{00000000-0005-0000-0000-000027D00000}"/>
    <cellStyle name="Percent 6 3 2 5 3" xfId="27547" xr:uid="{00000000-0005-0000-0000-000028D00000}"/>
    <cellStyle name="Percent 6 3 2 5 3 2" xfId="46736" xr:uid="{00000000-0005-0000-0000-000029D00000}"/>
    <cellStyle name="Percent 6 3 2 5 4" xfId="37038" xr:uid="{00000000-0005-0000-0000-00002AD00000}"/>
    <cellStyle name="Percent 6 3 2 5 5" xfId="17170" xr:uid="{00000000-0005-0000-0000-00002BD00000}"/>
    <cellStyle name="Percent 6 3 2 6" xfId="17736" xr:uid="{00000000-0005-0000-0000-00002CD00000}"/>
    <cellStyle name="Percent 6 3 2 6 2" xfId="22191" xr:uid="{00000000-0005-0000-0000-00002DD00000}"/>
    <cellStyle name="Percent 6 3 2 6 2 2" xfId="32559" xr:uid="{00000000-0005-0000-0000-00002ED00000}"/>
    <cellStyle name="Percent 6 3 2 6 2 2 2" xfId="51748" xr:uid="{00000000-0005-0000-0000-00002FD00000}"/>
    <cellStyle name="Percent 6 3 2 6 2 3" xfId="42050" xr:uid="{00000000-0005-0000-0000-000030D00000}"/>
    <cellStyle name="Percent 6 3 2 6 3" xfId="28104" xr:uid="{00000000-0005-0000-0000-000031D00000}"/>
    <cellStyle name="Percent 6 3 2 6 3 2" xfId="47293" xr:uid="{00000000-0005-0000-0000-000032D00000}"/>
    <cellStyle name="Percent 6 3 2 6 4" xfId="37595" xr:uid="{00000000-0005-0000-0000-000033D00000}"/>
    <cellStyle name="Percent 6 3 2 7" xfId="18293" xr:uid="{00000000-0005-0000-0000-000034D00000}"/>
    <cellStyle name="Percent 6 3 2 7 2" xfId="28661" xr:uid="{00000000-0005-0000-0000-000035D00000}"/>
    <cellStyle name="Percent 6 3 2 7 2 2" xfId="47850" xr:uid="{00000000-0005-0000-0000-000036D00000}"/>
    <cellStyle name="Percent 6 3 2 7 3" xfId="38152" xr:uid="{00000000-0005-0000-0000-000037D00000}"/>
    <cellStyle name="Percent 6 3 2 8" xfId="24197" xr:uid="{00000000-0005-0000-0000-000038D00000}"/>
    <cellStyle name="Percent 6 3 2 8 2" xfId="43395" xr:uid="{00000000-0005-0000-0000-000039D00000}"/>
    <cellStyle name="Percent 6 3 2 9" xfId="33697" xr:uid="{00000000-0005-0000-0000-00003AD00000}"/>
    <cellStyle name="Percent 6 3 3" xfId="5631" xr:uid="{00000000-0005-0000-0000-00003BD00000}"/>
    <cellStyle name="Percent 6 3 3 2" xfId="8430" xr:uid="{00000000-0005-0000-0000-00003CD00000}"/>
    <cellStyle name="Percent 6 3 3 2 2" xfId="11327" xr:uid="{00000000-0005-0000-0000-00003DD00000}"/>
    <cellStyle name="Percent 6 3 3 2 2 2" xfId="51972" xr:uid="{00000000-0005-0000-0000-00003ED00000}"/>
    <cellStyle name="Percent 6 3 3 2 3" xfId="32785" xr:uid="{00000000-0005-0000-0000-00003FD00000}"/>
    <cellStyle name="Percent 6 3 3 3" xfId="9887" xr:uid="{00000000-0005-0000-0000-000040D00000}"/>
    <cellStyle name="Percent 6 3 3 3 2" xfId="42274" xr:uid="{00000000-0005-0000-0000-000041D00000}"/>
    <cellStyle name="Percent 6 3 3 4" xfId="6953" xr:uid="{00000000-0005-0000-0000-000042D00000}"/>
    <cellStyle name="Percent 6 3 3 5" xfId="22699" xr:uid="{00000000-0005-0000-0000-000043D00000}"/>
    <cellStyle name="Percent 6 3 4" xfId="5628" xr:uid="{00000000-0005-0000-0000-000044D00000}"/>
    <cellStyle name="Percent 6 3 4 2" xfId="10669" xr:uid="{00000000-0005-0000-0000-000045D00000}"/>
    <cellStyle name="Percent 6 3 4 3" xfId="7770" xr:uid="{00000000-0005-0000-0000-000046D00000}"/>
    <cellStyle name="Percent 6 3 4 4" xfId="23497" xr:uid="{00000000-0005-0000-0000-000047D00000}"/>
    <cellStyle name="Percent 6 3 5" xfId="9229" xr:uid="{00000000-0005-0000-0000-000048D00000}"/>
    <cellStyle name="Percent 6 3 5 2" xfId="42627" xr:uid="{00000000-0005-0000-0000-000049D00000}"/>
    <cellStyle name="Percent 6 3 5 3" xfId="23058" xr:uid="{00000000-0005-0000-0000-00004AD00000}"/>
    <cellStyle name="Percent 6 3 6" xfId="6254" xr:uid="{00000000-0005-0000-0000-00004BD00000}"/>
    <cellStyle name="Percent 6 3 7" xfId="12581" xr:uid="{00000000-0005-0000-0000-00004CD00000}"/>
    <cellStyle name="Percent 6 4" xfId="1458" xr:uid="{00000000-0005-0000-0000-00004DD00000}"/>
    <cellStyle name="Percent 6 4 2" xfId="7068" xr:uid="{00000000-0005-0000-0000-00004ED00000}"/>
    <cellStyle name="Percent 6 4 2 2" xfId="8545" xr:uid="{00000000-0005-0000-0000-00004FD00000}"/>
    <cellStyle name="Percent 6 4 2 2 2" xfId="11442" xr:uid="{00000000-0005-0000-0000-000050D00000}"/>
    <cellStyle name="Percent 6 4 2 3" xfId="10002" xr:uid="{00000000-0005-0000-0000-000051D00000}"/>
    <cellStyle name="Percent 6 4 2 4" xfId="13726" xr:uid="{00000000-0005-0000-0000-000052D00000}"/>
    <cellStyle name="Percent 6 4 3" xfId="7886" xr:uid="{00000000-0005-0000-0000-000053D00000}"/>
    <cellStyle name="Percent 6 4 3 2" xfId="10784" xr:uid="{00000000-0005-0000-0000-000054D00000}"/>
    <cellStyle name="Percent 6 4 4" xfId="9344" xr:uid="{00000000-0005-0000-0000-000055D00000}"/>
    <cellStyle name="Percent 6 4 5" xfId="6389" xr:uid="{00000000-0005-0000-0000-000056D00000}"/>
    <cellStyle name="Percent 6 4 6" xfId="12582" xr:uid="{00000000-0005-0000-0000-000057D00000}"/>
    <cellStyle name="Percent 6 5" xfId="5623" xr:uid="{00000000-0005-0000-0000-000058D00000}"/>
    <cellStyle name="Percent 6 5 10" xfId="13453" xr:uid="{00000000-0005-0000-0000-000059D00000}"/>
    <cellStyle name="Percent 6 5 2" xfId="8293" xr:uid="{00000000-0005-0000-0000-00005AD00000}"/>
    <cellStyle name="Percent 6 5 2 2" xfId="11190" xr:uid="{00000000-0005-0000-0000-00005BD00000}"/>
    <cellStyle name="Percent 6 5 2 2 2" xfId="21037" xr:uid="{00000000-0005-0000-0000-00005CD00000}"/>
    <cellStyle name="Percent 6 5 2 2 2 2" xfId="31405" xr:uid="{00000000-0005-0000-0000-00005DD00000}"/>
    <cellStyle name="Percent 6 5 2 2 2 2 2" xfId="50594" xr:uid="{00000000-0005-0000-0000-00005ED00000}"/>
    <cellStyle name="Percent 6 5 2 2 2 3" xfId="40896" xr:uid="{00000000-0005-0000-0000-00005FD00000}"/>
    <cellStyle name="Percent 6 5 2 2 3" xfId="26950" xr:uid="{00000000-0005-0000-0000-000060D00000}"/>
    <cellStyle name="Percent 6 5 2 2 3 2" xfId="46139" xr:uid="{00000000-0005-0000-0000-000061D00000}"/>
    <cellStyle name="Percent 6 5 2 2 4" xfId="36441" xr:uid="{00000000-0005-0000-0000-000062D00000}"/>
    <cellStyle name="Percent 6 5 2 2 5" xfId="16573" xr:uid="{00000000-0005-0000-0000-000063D00000}"/>
    <cellStyle name="Percent 6 5 2 3" xfId="18809" xr:uid="{00000000-0005-0000-0000-000064D00000}"/>
    <cellStyle name="Percent 6 5 2 3 2" xfId="29177" xr:uid="{00000000-0005-0000-0000-000065D00000}"/>
    <cellStyle name="Percent 6 5 2 3 2 2" xfId="48366" xr:uid="{00000000-0005-0000-0000-000066D00000}"/>
    <cellStyle name="Percent 6 5 2 3 3" xfId="38668" xr:uid="{00000000-0005-0000-0000-000067D00000}"/>
    <cellStyle name="Percent 6 5 2 4" xfId="24717" xr:uid="{00000000-0005-0000-0000-000068D00000}"/>
    <cellStyle name="Percent 6 5 2 4 2" xfId="43911" xr:uid="{00000000-0005-0000-0000-000069D00000}"/>
    <cellStyle name="Percent 6 5 2 5" xfId="34213" xr:uid="{00000000-0005-0000-0000-00006AD00000}"/>
    <cellStyle name="Percent 6 5 2 6" xfId="14310" xr:uid="{00000000-0005-0000-0000-00006BD00000}"/>
    <cellStyle name="Percent 6 5 3" xfId="9750" xr:uid="{00000000-0005-0000-0000-00006CD00000}"/>
    <cellStyle name="Percent 6 5 3 2" xfId="16017" xr:uid="{00000000-0005-0000-0000-00006DD00000}"/>
    <cellStyle name="Percent 6 5 3 2 2" xfId="20481" xr:uid="{00000000-0005-0000-0000-00006ED00000}"/>
    <cellStyle name="Percent 6 5 3 2 2 2" xfId="30849" xr:uid="{00000000-0005-0000-0000-00006FD00000}"/>
    <cellStyle name="Percent 6 5 3 2 2 2 2" xfId="50038" xr:uid="{00000000-0005-0000-0000-000070D00000}"/>
    <cellStyle name="Percent 6 5 3 2 2 3" xfId="40340" xr:uid="{00000000-0005-0000-0000-000071D00000}"/>
    <cellStyle name="Percent 6 5 3 2 3" xfId="26394" xr:uid="{00000000-0005-0000-0000-000072D00000}"/>
    <cellStyle name="Percent 6 5 3 2 3 2" xfId="45583" xr:uid="{00000000-0005-0000-0000-000073D00000}"/>
    <cellStyle name="Percent 6 5 3 2 4" xfId="35885" xr:uid="{00000000-0005-0000-0000-000074D00000}"/>
    <cellStyle name="Percent 6 5 3 3" xfId="19366" xr:uid="{00000000-0005-0000-0000-000075D00000}"/>
    <cellStyle name="Percent 6 5 3 3 2" xfId="29734" xr:uid="{00000000-0005-0000-0000-000076D00000}"/>
    <cellStyle name="Percent 6 5 3 3 2 2" xfId="48923" xr:uid="{00000000-0005-0000-0000-000077D00000}"/>
    <cellStyle name="Percent 6 5 3 3 3" xfId="39225" xr:uid="{00000000-0005-0000-0000-000078D00000}"/>
    <cellStyle name="Percent 6 5 3 4" xfId="25279" xr:uid="{00000000-0005-0000-0000-000079D00000}"/>
    <cellStyle name="Percent 6 5 3 4 2" xfId="44468" xr:uid="{00000000-0005-0000-0000-00007AD00000}"/>
    <cellStyle name="Percent 6 5 3 5" xfId="34770" xr:uid="{00000000-0005-0000-0000-00007BD00000}"/>
    <cellStyle name="Percent 6 5 3 6" xfId="14889" xr:uid="{00000000-0005-0000-0000-00007CD00000}"/>
    <cellStyle name="Percent 6 5 4" xfId="6812" xr:uid="{00000000-0005-0000-0000-00007DD00000}"/>
    <cellStyle name="Percent 6 5 4 2" xfId="19924" xr:uid="{00000000-0005-0000-0000-00007ED00000}"/>
    <cellStyle name="Percent 6 5 4 2 2" xfId="30292" xr:uid="{00000000-0005-0000-0000-00007FD00000}"/>
    <cellStyle name="Percent 6 5 4 2 2 2" xfId="49481" xr:uid="{00000000-0005-0000-0000-000080D00000}"/>
    <cellStyle name="Percent 6 5 4 2 3" xfId="39783" xr:uid="{00000000-0005-0000-0000-000081D00000}"/>
    <cellStyle name="Percent 6 5 4 3" xfId="25837" xr:uid="{00000000-0005-0000-0000-000082D00000}"/>
    <cellStyle name="Percent 6 5 4 3 2" xfId="45026" xr:uid="{00000000-0005-0000-0000-000083D00000}"/>
    <cellStyle name="Percent 6 5 4 4" xfId="35328" xr:uid="{00000000-0005-0000-0000-000084D00000}"/>
    <cellStyle name="Percent 6 5 4 5" xfId="15460" xr:uid="{00000000-0005-0000-0000-000085D00000}"/>
    <cellStyle name="Percent 6 5 5" xfId="17130" xr:uid="{00000000-0005-0000-0000-000086D00000}"/>
    <cellStyle name="Percent 6 5 5 2" xfId="21594" xr:uid="{00000000-0005-0000-0000-000087D00000}"/>
    <cellStyle name="Percent 6 5 5 2 2" xfId="31962" xr:uid="{00000000-0005-0000-0000-000088D00000}"/>
    <cellStyle name="Percent 6 5 5 2 2 2" xfId="51151" xr:uid="{00000000-0005-0000-0000-000089D00000}"/>
    <cellStyle name="Percent 6 5 5 2 3" xfId="41453" xr:uid="{00000000-0005-0000-0000-00008AD00000}"/>
    <cellStyle name="Percent 6 5 5 3" xfId="27507" xr:uid="{00000000-0005-0000-0000-00008BD00000}"/>
    <cellStyle name="Percent 6 5 5 3 2" xfId="46696" xr:uid="{00000000-0005-0000-0000-00008CD00000}"/>
    <cellStyle name="Percent 6 5 5 4" xfId="36998" xr:uid="{00000000-0005-0000-0000-00008DD00000}"/>
    <cellStyle name="Percent 6 5 6" xfId="17696" xr:uid="{00000000-0005-0000-0000-00008ED00000}"/>
    <cellStyle name="Percent 6 5 6 2" xfId="22151" xr:uid="{00000000-0005-0000-0000-00008FD00000}"/>
    <cellStyle name="Percent 6 5 6 2 2" xfId="32519" xr:uid="{00000000-0005-0000-0000-000090D00000}"/>
    <cellStyle name="Percent 6 5 6 2 2 2" xfId="51708" xr:uid="{00000000-0005-0000-0000-000091D00000}"/>
    <cellStyle name="Percent 6 5 6 2 3" xfId="42010" xr:uid="{00000000-0005-0000-0000-000092D00000}"/>
    <cellStyle name="Percent 6 5 6 3" xfId="28064" xr:uid="{00000000-0005-0000-0000-000093D00000}"/>
    <cellStyle name="Percent 6 5 6 3 2" xfId="47253" xr:uid="{00000000-0005-0000-0000-000094D00000}"/>
    <cellStyle name="Percent 6 5 6 4" xfId="37555" xr:uid="{00000000-0005-0000-0000-000095D00000}"/>
    <cellStyle name="Percent 6 5 7" xfId="18253" xr:uid="{00000000-0005-0000-0000-000096D00000}"/>
    <cellStyle name="Percent 6 5 7 2" xfId="28621" xr:uid="{00000000-0005-0000-0000-000097D00000}"/>
    <cellStyle name="Percent 6 5 7 2 2" xfId="47810" xr:uid="{00000000-0005-0000-0000-000098D00000}"/>
    <cellStyle name="Percent 6 5 7 3" xfId="38112" xr:uid="{00000000-0005-0000-0000-000099D00000}"/>
    <cellStyle name="Percent 6 5 8" xfId="24135" xr:uid="{00000000-0005-0000-0000-00009AD00000}"/>
    <cellStyle name="Percent 6 5 8 2" xfId="43355" xr:uid="{00000000-0005-0000-0000-00009BD00000}"/>
    <cellStyle name="Percent 6 5 9" xfId="33657" xr:uid="{00000000-0005-0000-0000-00009CD00000}"/>
    <cellStyle name="Percent 6 6" xfId="7632" xr:uid="{00000000-0005-0000-0000-00009DD00000}"/>
    <cellStyle name="Percent 6 6 2" xfId="10532" xr:uid="{00000000-0005-0000-0000-00009ED00000}"/>
    <cellStyle name="Percent 6 6 2 2" xfId="51835" xr:uid="{00000000-0005-0000-0000-00009FD00000}"/>
    <cellStyle name="Percent 6 6 2 3" xfId="32648" xr:uid="{00000000-0005-0000-0000-0000A0D00000}"/>
    <cellStyle name="Percent 6 6 3" xfId="42137" xr:uid="{00000000-0005-0000-0000-0000A1D00000}"/>
    <cellStyle name="Percent 6 6 4" xfId="22524" xr:uid="{00000000-0005-0000-0000-0000A2D00000}"/>
    <cellStyle name="Percent 6 7" xfId="9092" xr:uid="{00000000-0005-0000-0000-0000A3D00000}"/>
    <cellStyle name="Percent 6 7 2" xfId="23495" xr:uid="{00000000-0005-0000-0000-0000A4D00000}"/>
    <cellStyle name="Percent 6 8" xfId="6101" xr:uid="{00000000-0005-0000-0000-0000A5D00000}"/>
    <cellStyle name="Percent 6 8 2" xfId="42490" xr:uid="{00000000-0005-0000-0000-0000A6D00000}"/>
    <cellStyle name="Percent 6 8 3" xfId="22921" xr:uid="{00000000-0005-0000-0000-0000A7D00000}"/>
    <cellStyle name="Percent 6 9" xfId="12579" xr:uid="{00000000-0005-0000-0000-0000A8D00000}"/>
    <cellStyle name="Percent 60" xfId="1528" xr:uid="{00000000-0005-0000-0000-0000A9D00000}"/>
    <cellStyle name="Percent 60 2" xfId="7564" xr:uid="{00000000-0005-0000-0000-0000AAD00000}"/>
    <cellStyle name="Percent 60 3" xfId="13606" xr:uid="{00000000-0005-0000-0000-0000ABD00000}"/>
    <cellStyle name="Percent 61" xfId="4992" xr:uid="{00000000-0005-0000-0000-0000ACD00000}"/>
    <cellStyle name="Percent 61 2" xfId="6777" xr:uid="{00000000-0005-0000-0000-0000ADD00000}"/>
    <cellStyle name="Percent 61 3" xfId="13727" xr:uid="{00000000-0005-0000-0000-0000AED00000}"/>
    <cellStyle name="Percent 62" xfId="6023" xr:uid="{00000000-0005-0000-0000-0000AFD00000}"/>
    <cellStyle name="Percent 62 2" xfId="6779" xr:uid="{00000000-0005-0000-0000-0000B0D00000}"/>
    <cellStyle name="Percent 62 3" xfId="13517" xr:uid="{00000000-0005-0000-0000-0000B1D00000}"/>
    <cellStyle name="Percent 63" xfId="6780" xr:uid="{00000000-0005-0000-0000-0000B2D00000}"/>
    <cellStyle name="Percent 63 2" xfId="13731" xr:uid="{00000000-0005-0000-0000-0000B3D00000}"/>
    <cellStyle name="Percent 64" xfId="6064" xr:uid="{00000000-0005-0000-0000-0000B4D00000}"/>
    <cellStyle name="Percent 64 2" xfId="13659" xr:uid="{00000000-0005-0000-0000-0000B5D00000}"/>
    <cellStyle name="Percent 65" xfId="7574" xr:uid="{00000000-0005-0000-0000-0000B6D00000}"/>
    <cellStyle name="Percent 65 2" xfId="13732" xr:uid="{00000000-0005-0000-0000-0000B7D00000}"/>
    <cellStyle name="Percent 66" xfId="7577" xr:uid="{00000000-0005-0000-0000-0000B8D00000}"/>
    <cellStyle name="Percent 66 2" xfId="13520" xr:uid="{00000000-0005-0000-0000-0000B9D00000}"/>
    <cellStyle name="Percent 67" xfId="7576" xr:uid="{00000000-0005-0000-0000-0000BAD00000}"/>
    <cellStyle name="Percent 67 2" xfId="13737" xr:uid="{00000000-0005-0000-0000-0000BBD00000}"/>
    <cellStyle name="Percent 68" xfId="13728" xr:uid="{00000000-0005-0000-0000-0000BCD00000}"/>
    <cellStyle name="Percent 69" xfId="13619" xr:uid="{00000000-0005-0000-0000-0000BDD00000}"/>
    <cellStyle name="Percent 7" xfId="1459" xr:uid="{00000000-0005-0000-0000-0000BED00000}"/>
    <cellStyle name="Percent 7 2" xfId="1460" xr:uid="{00000000-0005-0000-0000-0000BFD00000}"/>
    <cellStyle name="Percent 7 2 10" xfId="52687" xr:uid="{00000000-0005-0000-0000-0000C0D00000}"/>
    <cellStyle name="Percent 7 2 11" xfId="13468" xr:uid="{00000000-0005-0000-0000-0000C1D00000}"/>
    <cellStyle name="Percent 7 2 2" xfId="5634" xr:uid="{00000000-0005-0000-0000-0000C2D00000}"/>
    <cellStyle name="Percent 7 2 2 2" xfId="5635" xr:uid="{00000000-0005-0000-0000-0000C3D00000}"/>
    <cellStyle name="Percent 7 2 2 2 2" xfId="21052" xr:uid="{00000000-0005-0000-0000-0000C4D00000}"/>
    <cellStyle name="Percent 7 2 2 2 2 2" xfId="31420" xr:uid="{00000000-0005-0000-0000-0000C5D00000}"/>
    <cellStyle name="Percent 7 2 2 2 2 2 2" xfId="50609" xr:uid="{00000000-0005-0000-0000-0000C6D00000}"/>
    <cellStyle name="Percent 7 2 2 2 2 3" xfId="40911" xr:uid="{00000000-0005-0000-0000-0000C7D00000}"/>
    <cellStyle name="Percent 7 2 2 2 3" xfId="26965" xr:uid="{00000000-0005-0000-0000-0000C8D00000}"/>
    <cellStyle name="Percent 7 2 2 2 3 2" xfId="46154" xr:uid="{00000000-0005-0000-0000-0000C9D00000}"/>
    <cellStyle name="Percent 7 2 2 2 4" xfId="36456" xr:uid="{00000000-0005-0000-0000-0000CAD00000}"/>
    <cellStyle name="Percent 7 2 2 2 5" xfId="53968" xr:uid="{00000000-0005-0000-0000-0000CBD00000}"/>
    <cellStyle name="Percent 7 2 2 2 6" xfId="16588" xr:uid="{00000000-0005-0000-0000-0000CCD00000}"/>
    <cellStyle name="Percent 7 2 2 3" xfId="18824" xr:uid="{00000000-0005-0000-0000-0000CDD00000}"/>
    <cellStyle name="Percent 7 2 2 3 2" xfId="29192" xr:uid="{00000000-0005-0000-0000-0000CED00000}"/>
    <cellStyle name="Percent 7 2 2 3 2 2" xfId="48381" xr:uid="{00000000-0005-0000-0000-0000CFD00000}"/>
    <cellStyle name="Percent 7 2 2 3 3" xfId="38683" xr:uid="{00000000-0005-0000-0000-0000D0D00000}"/>
    <cellStyle name="Percent 7 2 2 4" xfId="24732" xr:uid="{00000000-0005-0000-0000-0000D1D00000}"/>
    <cellStyle name="Percent 7 2 2 4 2" xfId="43926" xr:uid="{00000000-0005-0000-0000-0000D2D00000}"/>
    <cellStyle name="Percent 7 2 2 5" xfId="34228" xr:uid="{00000000-0005-0000-0000-0000D3D00000}"/>
    <cellStyle name="Percent 7 2 2 6" xfId="53115" xr:uid="{00000000-0005-0000-0000-0000D4D00000}"/>
    <cellStyle name="Percent 7 2 2 7" xfId="14325" xr:uid="{00000000-0005-0000-0000-0000D5D00000}"/>
    <cellStyle name="Percent 7 2 3" xfId="5636" xr:uid="{00000000-0005-0000-0000-0000D6D00000}"/>
    <cellStyle name="Percent 7 2 3 2" xfId="16032" xr:uid="{00000000-0005-0000-0000-0000D7D00000}"/>
    <cellStyle name="Percent 7 2 3 2 2" xfId="20496" xr:uid="{00000000-0005-0000-0000-0000D8D00000}"/>
    <cellStyle name="Percent 7 2 3 2 2 2" xfId="30864" xr:uid="{00000000-0005-0000-0000-0000D9D00000}"/>
    <cellStyle name="Percent 7 2 3 2 2 2 2" xfId="50053" xr:uid="{00000000-0005-0000-0000-0000DAD00000}"/>
    <cellStyle name="Percent 7 2 3 2 2 3" xfId="40355" xr:uid="{00000000-0005-0000-0000-0000DBD00000}"/>
    <cellStyle name="Percent 7 2 3 2 3" xfId="26409" xr:uid="{00000000-0005-0000-0000-0000DCD00000}"/>
    <cellStyle name="Percent 7 2 3 2 3 2" xfId="45598" xr:uid="{00000000-0005-0000-0000-0000DDD00000}"/>
    <cellStyle name="Percent 7 2 3 2 4" xfId="35900" xr:uid="{00000000-0005-0000-0000-0000DED00000}"/>
    <cellStyle name="Percent 7 2 3 3" xfId="19381" xr:uid="{00000000-0005-0000-0000-0000DFD00000}"/>
    <cellStyle name="Percent 7 2 3 3 2" xfId="29749" xr:uid="{00000000-0005-0000-0000-0000E0D00000}"/>
    <cellStyle name="Percent 7 2 3 3 2 2" xfId="48938" xr:uid="{00000000-0005-0000-0000-0000E1D00000}"/>
    <cellStyle name="Percent 7 2 3 3 3" xfId="39240" xr:uid="{00000000-0005-0000-0000-0000E2D00000}"/>
    <cellStyle name="Percent 7 2 3 4" xfId="25294" xr:uid="{00000000-0005-0000-0000-0000E3D00000}"/>
    <cellStyle name="Percent 7 2 3 4 2" xfId="44483" xr:uid="{00000000-0005-0000-0000-0000E4D00000}"/>
    <cellStyle name="Percent 7 2 3 5" xfId="34785" xr:uid="{00000000-0005-0000-0000-0000E5D00000}"/>
    <cellStyle name="Percent 7 2 3 6" xfId="53572" xr:uid="{00000000-0005-0000-0000-0000E6D00000}"/>
    <cellStyle name="Percent 7 2 3 7" xfId="14904" xr:uid="{00000000-0005-0000-0000-0000E7D00000}"/>
    <cellStyle name="Percent 7 2 4" xfId="5633" xr:uid="{00000000-0005-0000-0000-0000E8D00000}"/>
    <cellStyle name="Percent 7 2 4 2" xfId="19939" xr:uid="{00000000-0005-0000-0000-0000E9D00000}"/>
    <cellStyle name="Percent 7 2 4 2 2" xfId="30307" xr:uid="{00000000-0005-0000-0000-0000EAD00000}"/>
    <cellStyle name="Percent 7 2 4 2 2 2" xfId="49496" xr:uid="{00000000-0005-0000-0000-0000EBD00000}"/>
    <cellStyle name="Percent 7 2 4 2 3" xfId="39798" xr:uid="{00000000-0005-0000-0000-0000ECD00000}"/>
    <cellStyle name="Percent 7 2 4 3" xfId="25852" xr:uid="{00000000-0005-0000-0000-0000EDD00000}"/>
    <cellStyle name="Percent 7 2 4 3 2" xfId="45041" xr:uid="{00000000-0005-0000-0000-0000EED00000}"/>
    <cellStyle name="Percent 7 2 4 4" xfId="35343" xr:uid="{00000000-0005-0000-0000-0000EFD00000}"/>
    <cellStyle name="Percent 7 2 4 5" xfId="15475" xr:uid="{00000000-0005-0000-0000-0000F0D00000}"/>
    <cellStyle name="Percent 7 2 5" xfId="6422" xr:uid="{00000000-0005-0000-0000-0000F1D00000}"/>
    <cellStyle name="Percent 7 2 5 2" xfId="21609" xr:uid="{00000000-0005-0000-0000-0000F2D00000}"/>
    <cellStyle name="Percent 7 2 5 2 2" xfId="31977" xr:uid="{00000000-0005-0000-0000-0000F3D00000}"/>
    <cellStyle name="Percent 7 2 5 2 2 2" xfId="51166" xr:uid="{00000000-0005-0000-0000-0000F4D00000}"/>
    <cellStyle name="Percent 7 2 5 2 3" xfId="41468" xr:uid="{00000000-0005-0000-0000-0000F5D00000}"/>
    <cellStyle name="Percent 7 2 5 3" xfId="27522" xr:uid="{00000000-0005-0000-0000-0000F6D00000}"/>
    <cellStyle name="Percent 7 2 5 3 2" xfId="46711" xr:uid="{00000000-0005-0000-0000-0000F7D00000}"/>
    <cellStyle name="Percent 7 2 5 4" xfId="37013" xr:uid="{00000000-0005-0000-0000-0000F8D00000}"/>
    <cellStyle name="Percent 7 2 5 5" xfId="17145" xr:uid="{00000000-0005-0000-0000-0000F9D00000}"/>
    <cellStyle name="Percent 7 2 6" xfId="17711" xr:uid="{00000000-0005-0000-0000-0000FAD00000}"/>
    <cellStyle name="Percent 7 2 6 2" xfId="22166" xr:uid="{00000000-0005-0000-0000-0000FBD00000}"/>
    <cellStyle name="Percent 7 2 6 2 2" xfId="32534" xr:uid="{00000000-0005-0000-0000-0000FCD00000}"/>
    <cellStyle name="Percent 7 2 6 2 2 2" xfId="51723" xr:uid="{00000000-0005-0000-0000-0000FDD00000}"/>
    <cellStyle name="Percent 7 2 6 2 3" xfId="42025" xr:uid="{00000000-0005-0000-0000-0000FED00000}"/>
    <cellStyle name="Percent 7 2 6 3" xfId="28079" xr:uid="{00000000-0005-0000-0000-0000FFD00000}"/>
    <cellStyle name="Percent 7 2 6 3 2" xfId="47268" xr:uid="{00000000-0005-0000-0000-000000D10000}"/>
    <cellStyle name="Percent 7 2 6 4" xfId="37570" xr:uid="{00000000-0005-0000-0000-000001D10000}"/>
    <cellStyle name="Percent 7 2 7" xfId="18268" xr:uid="{00000000-0005-0000-0000-000002D10000}"/>
    <cellStyle name="Percent 7 2 7 2" xfId="28636" xr:uid="{00000000-0005-0000-0000-000003D10000}"/>
    <cellStyle name="Percent 7 2 7 2 2" xfId="47825" xr:uid="{00000000-0005-0000-0000-000004D10000}"/>
    <cellStyle name="Percent 7 2 7 3" xfId="38127" xr:uid="{00000000-0005-0000-0000-000005D10000}"/>
    <cellStyle name="Percent 7 2 8" xfId="24150" xr:uid="{00000000-0005-0000-0000-000006D10000}"/>
    <cellStyle name="Percent 7 2 8 2" xfId="43370" xr:uid="{00000000-0005-0000-0000-000007D10000}"/>
    <cellStyle name="Percent 7 2 9" xfId="33672" xr:uid="{00000000-0005-0000-0000-000008D10000}"/>
    <cellStyle name="Percent 7 3" xfId="5637" xr:uid="{00000000-0005-0000-0000-000009D10000}"/>
    <cellStyle name="Percent 7 3 2" xfId="5638" xr:uid="{00000000-0005-0000-0000-00000AD10000}"/>
    <cellStyle name="Percent 7 3 2 2" xfId="53772" xr:uid="{00000000-0005-0000-0000-00000BD10000}"/>
    <cellStyle name="Percent 7 3 3" xfId="52894" xr:uid="{00000000-0005-0000-0000-00000CD10000}"/>
    <cellStyle name="Percent 7 3 4" xfId="13562" xr:uid="{00000000-0005-0000-0000-00000DD10000}"/>
    <cellStyle name="Percent 7 4" xfId="5639" xr:uid="{00000000-0005-0000-0000-00000ED10000}"/>
    <cellStyle name="Percent 7 4 2" xfId="53376" xr:uid="{00000000-0005-0000-0000-00000FD10000}"/>
    <cellStyle name="Percent 7 4 3" xfId="23498" xr:uid="{00000000-0005-0000-0000-000010D10000}"/>
    <cellStyle name="Percent 7 5" xfId="5632" xr:uid="{00000000-0005-0000-0000-000011D10000}"/>
    <cellStyle name="Percent 7 5 2" xfId="52474" xr:uid="{00000000-0005-0000-0000-000012D10000}"/>
    <cellStyle name="Percent 7 6" xfId="12583" xr:uid="{00000000-0005-0000-0000-000013D10000}"/>
    <cellStyle name="Percent 70" xfId="13729" xr:uid="{00000000-0005-0000-0000-000014D10000}"/>
    <cellStyle name="Percent 71" xfId="13594" xr:uid="{00000000-0005-0000-0000-000015D10000}"/>
    <cellStyle name="Percent 72" xfId="13595" xr:uid="{00000000-0005-0000-0000-000016D10000}"/>
    <cellStyle name="Percent 73" xfId="13730" xr:uid="{00000000-0005-0000-0000-000017D10000}"/>
    <cellStyle name="Percent 74" xfId="13675" xr:uid="{00000000-0005-0000-0000-000018D10000}"/>
    <cellStyle name="Percent 75" xfId="13733" xr:uid="{00000000-0005-0000-0000-000019D10000}"/>
    <cellStyle name="Percent 76" xfId="13734" xr:uid="{00000000-0005-0000-0000-00001AD10000}"/>
    <cellStyle name="Percent 77" xfId="13736" xr:uid="{00000000-0005-0000-0000-00001BD10000}"/>
    <cellStyle name="Percent 78" xfId="13735" xr:uid="{00000000-0005-0000-0000-00001CD10000}"/>
    <cellStyle name="Percent 79" xfId="13739" xr:uid="{00000000-0005-0000-0000-00001DD10000}"/>
    <cellStyle name="Percent 8" xfId="1461" xr:uid="{00000000-0005-0000-0000-00001ED10000}"/>
    <cellStyle name="Percent 8 2" xfId="1462" xr:uid="{00000000-0005-0000-0000-00001FD10000}"/>
    <cellStyle name="Percent 8 2 10" xfId="52715" xr:uid="{00000000-0005-0000-0000-000020D10000}"/>
    <cellStyle name="Percent 8 2 11" xfId="13460" xr:uid="{00000000-0005-0000-0000-000021D10000}"/>
    <cellStyle name="Percent 8 2 2" xfId="7214" xr:uid="{00000000-0005-0000-0000-000022D10000}"/>
    <cellStyle name="Percent 8 2 2 2" xfId="8691" xr:uid="{00000000-0005-0000-0000-000023D10000}"/>
    <cellStyle name="Percent 8 2 2 2 2" xfId="11588" xr:uid="{00000000-0005-0000-0000-000024D10000}"/>
    <cellStyle name="Percent 8 2 2 2 2 2" xfId="31412" xr:uid="{00000000-0005-0000-0000-000025D10000}"/>
    <cellStyle name="Percent 8 2 2 2 2 2 2" xfId="50601" xr:uid="{00000000-0005-0000-0000-000026D10000}"/>
    <cellStyle name="Percent 8 2 2 2 2 3" xfId="40903" xr:uid="{00000000-0005-0000-0000-000027D10000}"/>
    <cellStyle name="Percent 8 2 2 2 2 4" xfId="21044" xr:uid="{00000000-0005-0000-0000-000028D10000}"/>
    <cellStyle name="Percent 8 2 2 2 3" xfId="26957" xr:uid="{00000000-0005-0000-0000-000029D10000}"/>
    <cellStyle name="Percent 8 2 2 2 3 2" xfId="46146" xr:uid="{00000000-0005-0000-0000-00002AD10000}"/>
    <cellStyle name="Percent 8 2 2 2 4" xfId="36448" xr:uid="{00000000-0005-0000-0000-00002BD10000}"/>
    <cellStyle name="Percent 8 2 2 2 5" xfId="53996" xr:uid="{00000000-0005-0000-0000-00002CD10000}"/>
    <cellStyle name="Percent 8 2 2 2 6" xfId="16580" xr:uid="{00000000-0005-0000-0000-00002DD10000}"/>
    <cellStyle name="Percent 8 2 2 3" xfId="10148" xr:uid="{00000000-0005-0000-0000-00002ED10000}"/>
    <cellStyle name="Percent 8 2 2 3 2" xfId="29184" xr:uid="{00000000-0005-0000-0000-00002FD10000}"/>
    <cellStyle name="Percent 8 2 2 3 2 2" xfId="48373" xr:uid="{00000000-0005-0000-0000-000030D10000}"/>
    <cellStyle name="Percent 8 2 2 3 3" xfId="38675" xr:uid="{00000000-0005-0000-0000-000031D10000}"/>
    <cellStyle name="Percent 8 2 2 3 4" xfId="18816" xr:uid="{00000000-0005-0000-0000-000032D10000}"/>
    <cellStyle name="Percent 8 2 2 4" xfId="24724" xr:uid="{00000000-0005-0000-0000-000033D10000}"/>
    <cellStyle name="Percent 8 2 2 4 2" xfId="43918" xr:uid="{00000000-0005-0000-0000-000034D10000}"/>
    <cellStyle name="Percent 8 2 2 5" xfId="34220" xr:uid="{00000000-0005-0000-0000-000035D10000}"/>
    <cellStyle name="Percent 8 2 2 6" xfId="53143" xr:uid="{00000000-0005-0000-0000-000036D10000}"/>
    <cellStyle name="Percent 8 2 2 7" xfId="14317" xr:uid="{00000000-0005-0000-0000-000037D10000}"/>
    <cellStyle name="Percent 8 2 3" xfId="8033" xr:uid="{00000000-0005-0000-0000-000038D10000}"/>
    <cellStyle name="Percent 8 2 3 2" xfId="10930" xr:uid="{00000000-0005-0000-0000-000039D10000}"/>
    <cellStyle name="Percent 8 2 3 2 2" xfId="20488" xr:uid="{00000000-0005-0000-0000-00003AD10000}"/>
    <cellStyle name="Percent 8 2 3 2 2 2" xfId="30856" xr:uid="{00000000-0005-0000-0000-00003BD10000}"/>
    <cellStyle name="Percent 8 2 3 2 2 2 2" xfId="50045" xr:uid="{00000000-0005-0000-0000-00003CD10000}"/>
    <cellStyle name="Percent 8 2 3 2 2 3" xfId="40347" xr:uid="{00000000-0005-0000-0000-00003DD10000}"/>
    <cellStyle name="Percent 8 2 3 2 3" xfId="26401" xr:uid="{00000000-0005-0000-0000-00003ED10000}"/>
    <cellStyle name="Percent 8 2 3 2 3 2" xfId="45590" xr:uid="{00000000-0005-0000-0000-00003FD10000}"/>
    <cellStyle name="Percent 8 2 3 2 4" xfId="35892" xr:uid="{00000000-0005-0000-0000-000040D10000}"/>
    <cellStyle name="Percent 8 2 3 2 5" xfId="16024" xr:uid="{00000000-0005-0000-0000-000041D10000}"/>
    <cellStyle name="Percent 8 2 3 3" xfId="19373" xr:uid="{00000000-0005-0000-0000-000042D10000}"/>
    <cellStyle name="Percent 8 2 3 3 2" xfId="29741" xr:uid="{00000000-0005-0000-0000-000043D10000}"/>
    <cellStyle name="Percent 8 2 3 3 2 2" xfId="48930" xr:uid="{00000000-0005-0000-0000-000044D10000}"/>
    <cellStyle name="Percent 8 2 3 3 3" xfId="39232" xr:uid="{00000000-0005-0000-0000-000045D10000}"/>
    <cellStyle name="Percent 8 2 3 4" xfId="25286" xr:uid="{00000000-0005-0000-0000-000046D10000}"/>
    <cellStyle name="Percent 8 2 3 4 2" xfId="44475" xr:uid="{00000000-0005-0000-0000-000047D10000}"/>
    <cellStyle name="Percent 8 2 3 5" xfId="34777" xr:uid="{00000000-0005-0000-0000-000048D10000}"/>
    <cellStyle name="Percent 8 2 3 6" xfId="53600" xr:uid="{00000000-0005-0000-0000-000049D10000}"/>
    <cellStyle name="Percent 8 2 3 7" xfId="14896" xr:uid="{00000000-0005-0000-0000-00004AD10000}"/>
    <cellStyle name="Percent 8 2 4" xfId="9490" xr:uid="{00000000-0005-0000-0000-00004BD10000}"/>
    <cellStyle name="Percent 8 2 4 2" xfId="19931" xr:uid="{00000000-0005-0000-0000-00004CD10000}"/>
    <cellStyle name="Percent 8 2 4 2 2" xfId="30299" xr:uid="{00000000-0005-0000-0000-00004DD10000}"/>
    <cellStyle name="Percent 8 2 4 2 2 2" xfId="49488" xr:uid="{00000000-0005-0000-0000-00004ED10000}"/>
    <cellStyle name="Percent 8 2 4 2 3" xfId="39790" xr:uid="{00000000-0005-0000-0000-00004FD10000}"/>
    <cellStyle name="Percent 8 2 4 3" xfId="25844" xr:uid="{00000000-0005-0000-0000-000050D10000}"/>
    <cellStyle name="Percent 8 2 4 3 2" xfId="45033" xr:uid="{00000000-0005-0000-0000-000051D10000}"/>
    <cellStyle name="Percent 8 2 4 4" xfId="35335" xr:uid="{00000000-0005-0000-0000-000052D10000}"/>
    <cellStyle name="Percent 8 2 4 5" xfId="15467" xr:uid="{00000000-0005-0000-0000-000053D10000}"/>
    <cellStyle name="Percent 8 2 5" xfId="6538" xr:uid="{00000000-0005-0000-0000-000054D10000}"/>
    <cellStyle name="Percent 8 2 5 2" xfId="21601" xr:uid="{00000000-0005-0000-0000-000055D10000}"/>
    <cellStyle name="Percent 8 2 5 2 2" xfId="31969" xr:uid="{00000000-0005-0000-0000-000056D10000}"/>
    <cellStyle name="Percent 8 2 5 2 2 2" xfId="51158" xr:uid="{00000000-0005-0000-0000-000057D10000}"/>
    <cellStyle name="Percent 8 2 5 2 3" xfId="41460" xr:uid="{00000000-0005-0000-0000-000058D10000}"/>
    <cellStyle name="Percent 8 2 5 3" xfId="27514" xr:uid="{00000000-0005-0000-0000-000059D10000}"/>
    <cellStyle name="Percent 8 2 5 3 2" xfId="46703" xr:uid="{00000000-0005-0000-0000-00005AD10000}"/>
    <cellStyle name="Percent 8 2 5 4" xfId="37005" xr:uid="{00000000-0005-0000-0000-00005BD10000}"/>
    <cellStyle name="Percent 8 2 5 5" xfId="17137" xr:uid="{00000000-0005-0000-0000-00005CD10000}"/>
    <cellStyle name="Percent 8 2 6" xfId="17703" xr:uid="{00000000-0005-0000-0000-00005DD10000}"/>
    <cellStyle name="Percent 8 2 6 2" xfId="22158" xr:uid="{00000000-0005-0000-0000-00005ED10000}"/>
    <cellStyle name="Percent 8 2 6 2 2" xfId="32526" xr:uid="{00000000-0005-0000-0000-00005FD10000}"/>
    <cellStyle name="Percent 8 2 6 2 2 2" xfId="51715" xr:uid="{00000000-0005-0000-0000-000060D10000}"/>
    <cellStyle name="Percent 8 2 6 2 3" xfId="42017" xr:uid="{00000000-0005-0000-0000-000061D10000}"/>
    <cellStyle name="Percent 8 2 6 3" xfId="28071" xr:uid="{00000000-0005-0000-0000-000062D10000}"/>
    <cellStyle name="Percent 8 2 6 3 2" xfId="47260" xr:uid="{00000000-0005-0000-0000-000063D10000}"/>
    <cellStyle name="Percent 8 2 6 4" xfId="37562" xr:uid="{00000000-0005-0000-0000-000064D10000}"/>
    <cellStyle name="Percent 8 2 7" xfId="18260" xr:uid="{00000000-0005-0000-0000-000065D10000}"/>
    <cellStyle name="Percent 8 2 7 2" xfId="28628" xr:uid="{00000000-0005-0000-0000-000066D10000}"/>
    <cellStyle name="Percent 8 2 7 2 2" xfId="47817" xr:uid="{00000000-0005-0000-0000-000067D10000}"/>
    <cellStyle name="Percent 8 2 7 3" xfId="38119" xr:uid="{00000000-0005-0000-0000-000068D10000}"/>
    <cellStyle name="Percent 8 2 8" xfId="24142" xr:uid="{00000000-0005-0000-0000-000069D10000}"/>
    <cellStyle name="Percent 8 2 8 2" xfId="43362" xr:uid="{00000000-0005-0000-0000-00006AD10000}"/>
    <cellStyle name="Percent 8 2 9" xfId="33664" xr:uid="{00000000-0005-0000-0000-00006BD10000}"/>
    <cellStyle name="Percent 8 3" xfId="5640" xr:uid="{00000000-0005-0000-0000-00006CD10000}"/>
    <cellStyle name="Percent 8 3 2" xfId="53800" xr:uid="{00000000-0005-0000-0000-00006DD10000}"/>
    <cellStyle name="Percent 8 3 3" xfId="52925" xr:uid="{00000000-0005-0000-0000-00006ED10000}"/>
    <cellStyle name="Percent 8 3 4" xfId="13609" xr:uid="{00000000-0005-0000-0000-00006FD10000}"/>
    <cellStyle name="Percent 8 4" xfId="23499" xr:uid="{00000000-0005-0000-0000-000070D10000}"/>
    <cellStyle name="Percent 8 4 2" xfId="53404" xr:uid="{00000000-0005-0000-0000-000071D10000}"/>
    <cellStyle name="Percent 8 5" xfId="52511" xr:uid="{00000000-0005-0000-0000-000072D10000}"/>
    <cellStyle name="Percent 8 6" xfId="12584" xr:uid="{00000000-0005-0000-0000-000073D10000}"/>
    <cellStyle name="Percent 80" xfId="13742" xr:uid="{00000000-0005-0000-0000-000074D10000}"/>
    <cellStyle name="Percent 81" xfId="13741" xr:uid="{00000000-0005-0000-0000-000075D10000}"/>
    <cellStyle name="Percent 82" xfId="13745" xr:uid="{00000000-0005-0000-0000-000076D10000}"/>
    <cellStyle name="Percent 83" xfId="13747" xr:uid="{00000000-0005-0000-0000-000077D10000}"/>
    <cellStyle name="Percent 84" xfId="13744" xr:uid="{00000000-0005-0000-0000-000078D10000}"/>
    <cellStyle name="Percent 85" xfId="13743" xr:uid="{00000000-0005-0000-0000-000079D10000}"/>
    <cellStyle name="Percent 86" xfId="13746" xr:uid="{00000000-0005-0000-0000-00007AD10000}"/>
    <cellStyle name="Percent 87" xfId="13740" xr:uid="{00000000-0005-0000-0000-00007BD10000}"/>
    <cellStyle name="Percent 88" xfId="13738" xr:uid="{00000000-0005-0000-0000-00007CD10000}"/>
    <cellStyle name="Percent 89" xfId="13748" xr:uid="{00000000-0005-0000-0000-00007DD10000}"/>
    <cellStyle name="Percent 9" xfId="1463" xr:uid="{00000000-0005-0000-0000-00007ED10000}"/>
    <cellStyle name="Percent 9 2" xfId="5641" xr:uid="{00000000-0005-0000-0000-00007FD10000}"/>
    <cellStyle name="Percent 9 2 10" xfId="52720" xr:uid="{00000000-0005-0000-0000-000080D10000}"/>
    <cellStyle name="Percent 9 2 11" xfId="13451" xr:uid="{00000000-0005-0000-0000-000081D10000}"/>
    <cellStyle name="Percent 9 2 2" xfId="14308" xr:uid="{00000000-0005-0000-0000-000082D10000}"/>
    <cellStyle name="Percent 9 2 2 2" xfId="16571" xr:uid="{00000000-0005-0000-0000-000083D10000}"/>
    <cellStyle name="Percent 9 2 2 2 2" xfId="21035" xr:uid="{00000000-0005-0000-0000-000084D10000}"/>
    <cellStyle name="Percent 9 2 2 2 2 2" xfId="31403" xr:uid="{00000000-0005-0000-0000-000085D10000}"/>
    <cellStyle name="Percent 9 2 2 2 2 2 2" xfId="50592" xr:uid="{00000000-0005-0000-0000-000086D10000}"/>
    <cellStyle name="Percent 9 2 2 2 2 3" xfId="40894" xr:uid="{00000000-0005-0000-0000-000087D10000}"/>
    <cellStyle name="Percent 9 2 2 2 3" xfId="26948" xr:uid="{00000000-0005-0000-0000-000088D10000}"/>
    <cellStyle name="Percent 9 2 2 2 3 2" xfId="46137" xr:uid="{00000000-0005-0000-0000-000089D10000}"/>
    <cellStyle name="Percent 9 2 2 2 4" xfId="36439" xr:uid="{00000000-0005-0000-0000-00008AD10000}"/>
    <cellStyle name="Percent 9 2 2 2 5" xfId="54001" xr:uid="{00000000-0005-0000-0000-00008BD10000}"/>
    <cellStyle name="Percent 9 2 2 3" xfId="18807" xr:uid="{00000000-0005-0000-0000-00008CD10000}"/>
    <cellStyle name="Percent 9 2 2 3 2" xfId="29175" xr:uid="{00000000-0005-0000-0000-00008DD10000}"/>
    <cellStyle name="Percent 9 2 2 3 2 2" xfId="48364" xr:uid="{00000000-0005-0000-0000-00008ED10000}"/>
    <cellStyle name="Percent 9 2 2 3 3" xfId="38666" xr:uid="{00000000-0005-0000-0000-00008FD10000}"/>
    <cellStyle name="Percent 9 2 2 4" xfId="24715" xr:uid="{00000000-0005-0000-0000-000090D10000}"/>
    <cellStyle name="Percent 9 2 2 4 2" xfId="43909" xr:uid="{00000000-0005-0000-0000-000091D10000}"/>
    <cellStyle name="Percent 9 2 2 5" xfId="34211" xr:uid="{00000000-0005-0000-0000-000092D10000}"/>
    <cellStyle name="Percent 9 2 2 6" xfId="53148" xr:uid="{00000000-0005-0000-0000-000093D10000}"/>
    <cellStyle name="Percent 9 2 3" xfId="14887" xr:uid="{00000000-0005-0000-0000-000094D10000}"/>
    <cellStyle name="Percent 9 2 3 2" xfId="16015" xr:uid="{00000000-0005-0000-0000-000095D10000}"/>
    <cellStyle name="Percent 9 2 3 2 2" xfId="20479" xr:uid="{00000000-0005-0000-0000-000096D10000}"/>
    <cellStyle name="Percent 9 2 3 2 2 2" xfId="30847" xr:uid="{00000000-0005-0000-0000-000097D10000}"/>
    <cellStyle name="Percent 9 2 3 2 2 2 2" xfId="50036" xr:uid="{00000000-0005-0000-0000-000098D10000}"/>
    <cellStyle name="Percent 9 2 3 2 2 3" xfId="40338" xr:uid="{00000000-0005-0000-0000-000099D10000}"/>
    <cellStyle name="Percent 9 2 3 2 3" xfId="26392" xr:uid="{00000000-0005-0000-0000-00009AD10000}"/>
    <cellStyle name="Percent 9 2 3 2 3 2" xfId="45581" xr:uid="{00000000-0005-0000-0000-00009BD10000}"/>
    <cellStyle name="Percent 9 2 3 2 4" xfId="35883" xr:uid="{00000000-0005-0000-0000-00009CD10000}"/>
    <cellStyle name="Percent 9 2 3 3" xfId="19364" xr:uid="{00000000-0005-0000-0000-00009DD10000}"/>
    <cellStyle name="Percent 9 2 3 3 2" xfId="29732" xr:uid="{00000000-0005-0000-0000-00009ED10000}"/>
    <cellStyle name="Percent 9 2 3 3 2 2" xfId="48921" xr:uid="{00000000-0005-0000-0000-00009FD10000}"/>
    <cellStyle name="Percent 9 2 3 3 3" xfId="39223" xr:uid="{00000000-0005-0000-0000-0000A0D10000}"/>
    <cellStyle name="Percent 9 2 3 4" xfId="25277" xr:uid="{00000000-0005-0000-0000-0000A1D10000}"/>
    <cellStyle name="Percent 9 2 3 4 2" xfId="44466" xr:uid="{00000000-0005-0000-0000-0000A2D10000}"/>
    <cellStyle name="Percent 9 2 3 5" xfId="34768" xr:uid="{00000000-0005-0000-0000-0000A3D10000}"/>
    <cellStyle name="Percent 9 2 3 6" xfId="53605" xr:uid="{00000000-0005-0000-0000-0000A4D10000}"/>
    <cellStyle name="Percent 9 2 4" xfId="15458" xr:uid="{00000000-0005-0000-0000-0000A5D10000}"/>
    <cellStyle name="Percent 9 2 4 2" xfId="19922" xr:uid="{00000000-0005-0000-0000-0000A6D10000}"/>
    <cellStyle name="Percent 9 2 4 2 2" xfId="30290" xr:uid="{00000000-0005-0000-0000-0000A7D10000}"/>
    <cellStyle name="Percent 9 2 4 2 2 2" xfId="49479" xr:uid="{00000000-0005-0000-0000-0000A8D10000}"/>
    <cellStyle name="Percent 9 2 4 2 3" xfId="39781" xr:uid="{00000000-0005-0000-0000-0000A9D10000}"/>
    <cellStyle name="Percent 9 2 4 3" xfId="25835" xr:uid="{00000000-0005-0000-0000-0000AAD10000}"/>
    <cellStyle name="Percent 9 2 4 3 2" xfId="45024" xr:uid="{00000000-0005-0000-0000-0000ABD10000}"/>
    <cellStyle name="Percent 9 2 4 4" xfId="35326" xr:uid="{00000000-0005-0000-0000-0000ACD10000}"/>
    <cellStyle name="Percent 9 2 5" xfId="17128" xr:uid="{00000000-0005-0000-0000-0000ADD10000}"/>
    <cellStyle name="Percent 9 2 5 2" xfId="21592" xr:uid="{00000000-0005-0000-0000-0000AED10000}"/>
    <cellStyle name="Percent 9 2 5 2 2" xfId="31960" xr:uid="{00000000-0005-0000-0000-0000AFD10000}"/>
    <cellStyle name="Percent 9 2 5 2 2 2" xfId="51149" xr:uid="{00000000-0005-0000-0000-0000B0D10000}"/>
    <cellStyle name="Percent 9 2 5 2 3" xfId="41451" xr:uid="{00000000-0005-0000-0000-0000B1D10000}"/>
    <cellStyle name="Percent 9 2 5 3" xfId="27505" xr:uid="{00000000-0005-0000-0000-0000B2D10000}"/>
    <cellStyle name="Percent 9 2 5 3 2" xfId="46694" xr:uid="{00000000-0005-0000-0000-0000B3D10000}"/>
    <cellStyle name="Percent 9 2 5 4" xfId="36996" xr:uid="{00000000-0005-0000-0000-0000B4D10000}"/>
    <cellStyle name="Percent 9 2 6" xfId="17694" xr:uid="{00000000-0005-0000-0000-0000B5D10000}"/>
    <cellStyle name="Percent 9 2 6 2" xfId="22149" xr:uid="{00000000-0005-0000-0000-0000B6D10000}"/>
    <cellStyle name="Percent 9 2 6 2 2" xfId="32517" xr:uid="{00000000-0005-0000-0000-0000B7D10000}"/>
    <cellStyle name="Percent 9 2 6 2 2 2" xfId="51706" xr:uid="{00000000-0005-0000-0000-0000B8D10000}"/>
    <cellStyle name="Percent 9 2 6 2 3" xfId="42008" xr:uid="{00000000-0005-0000-0000-0000B9D10000}"/>
    <cellStyle name="Percent 9 2 6 3" xfId="28062" xr:uid="{00000000-0005-0000-0000-0000BAD10000}"/>
    <cellStyle name="Percent 9 2 6 3 2" xfId="47251" xr:uid="{00000000-0005-0000-0000-0000BBD10000}"/>
    <cellStyle name="Percent 9 2 6 4" xfId="37553" xr:uid="{00000000-0005-0000-0000-0000BCD10000}"/>
    <cellStyle name="Percent 9 2 7" xfId="18251" xr:uid="{00000000-0005-0000-0000-0000BDD10000}"/>
    <cellStyle name="Percent 9 2 7 2" xfId="28619" xr:uid="{00000000-0005-0000-0000-0000BED10000}"/>
    <cellStyle name="Percent 9 2 7 2 2" xfId="47808" xr:uid="{00000000-0005-0000-0000-0000BFD10000}"/>
    <cellStyle name="Percent 9 2 7 3" xfId="38110" xr:uid="{00000000-0005-0000-0000-0000C0D10000}"/>
    <cellStyle name="Percent 9 2 8" xfId="24133" xr:uid="{00000000-0005-0000-0000-0000C1D10000}"/>
    <cellStyle name="Percent 9 2 8 2" xfId="43353" xr:uid="{00000000-0005-0000-0000-0000C2D10000}"/>
    <cellStyle name="Percent 9 2 9" xfId="33655" xr:uid="{00000000-0005-0000-0000-0000C3D10000}"/>
    <cellStyle name="Percent 9 3" xfId="13610" xr:uid="{00000000-0005-0000-0000-0000C4D10000}"/>
    <cellStyle name="Percent 9 3 2" xfId="53805" xr:uid="{00000000-0005-0000-0000-0000C5D10000}"/>
    <cellStyle name="Percent 9 3 3" xfId="52930" xr:uid="{00000000-0005-0000-0000-0000C6D10000}"/>
    <cellStyle name="Percent 9 4" xfId="23500" xr:uid="{00000000-0005-0000-0000-0000C7D10000}"/>
    <cellStyle name="Percent 9 4 2" xfId="53409" xr:uid="{00000000-0005-0000-0000-0000C8D10000}"/>
    <cellStyle name="Percent 9 5" xfId="52517" xr:uid="{00000000-0005-0000-0000-0000C9D10000}"/>
    <cellStyle name="Percent 9 6" xfId="12585" xr:uid="{00000000-0005-0000-0000-0000CAD10000}"/>
    <cellStyle name="Percent 90" xfId="13761" xr:uid="{00000000-0005-0000-0000-0000CBD10000}"/>
    <cellStyle name="Percent 91" xfId="13754" xr:uid="{00000000-0005-0000-0000-0000CCD10000}"/>
    <cellStyle name="Percent 92" xfId="13764" xr:uid="{00000000-0005-0000-0000-0000CDD10000}"/>
    <cellStyle name="Percent 93" xfId="13768" xr:uid="{00000000-0005-0000-0000-0000CED10000}"/>
    <cellStyle name="Percent 94" xfId="13763" xr:uid="{00000000-0005-0000-0000-0000CFD10000}"/>
    <cellStyle name="Percent 95" xfId="13757" xr:uid="{00000000-0005-0000-0000-0000D0D10000}"/>
    <cellStyle name="Percent 96" xfId="13770" xr:uid="{00000000-0005-0000-0000-0000D1D10000}"/>
    <cellStyle name="Percent 97" xfId="13749" xr:uid="{00000000-0005-0000-0000-0000D2D10000}"/>
    <cellStyle name="Percent 98" xfId="13753" xr:uid="{00000000-0005-0000-0000-0000D3D10000}"/>
    <cellStyle name="Percent 99" xfId="13769" xr:uid="{00000000-0005-0000-0000-0000D4D10000}"/>
    <cellStyle name="Percent Hard" xfId="5642" xr:uid="{00000000-0005-0000-0000-0000D5D10000}"/>
    <cellStyle name="percentage" xfId="5643" xr:uid="{00000000-0005-0000-0000-0000D6D10000}"/>
    <cellStyle name="PercentChange" xfId="5644" xr:uid="{00000000-0005-0000-0000-0000D7D10000}"/>
    <cellStyle name="PLAN1" xfId="5645" xr:uid="{00000000-0005-0000-0000-0000D8D10000}"/>
    <cellStyle name="Porcentaje" xfId="5646" xr:uid="{00000000-0005-0000-0000-0000D9D10000}"/>
    <cellStyle name="Pourcentage_Profit &amp; Loss" xfId="5647" xr:uid="{00000000-0005-0000-0000-0000DAD10000}"/>
    <cellStyle name="PrePop Currency (0)" xfId="5648" xr:uid="{00000000-0005-0000-0000-0000DBD10000}"/>
    <cellStyle name="PrePop Currency (2)" xfId="5649" xr:uid="{00000000-0005-0000-0000-0000DCD10000}"/>
    <cellStyle name="PrePop Units (0)" xfId="5650" xr:uid="{00000000-0005-0000-0000-0000DDD10000}"/>
    <cellStyle name="PrePop Units (1)" xfId="5651" xr:uid="{00000000-0005-0000-0000-0000DED10000}"/>
    <cellStyle name="PrePop Units (2)" xfId="5652" xr:uid="{00000000-0005-0000-0000-0000DFD10000}"/>
    <cellStyle name="Procenten" xfId="5653" xr:uid="{00000000-0005-0000-0000-0000E0D10000}"/>
    <cellStyle name="Procenten estimate" xfId="5654" xr:uid="{00000000-0005-0000-0000-0000E1D10000}"/>
    <cellStyle name="Procenten_EMI" xfId="5655" xr:uid="{00000000-0005-0000-0000-0000E2D10000}"/>
    <cellStyle name="Profit figure" xfId="5656" xr:uid="{00000000-0005-0000-0000-0000E3D10000}"/>
    <cellStyle name="Protected" xfId="5657" xr:uid="{00000000-0005-0000-0000-0000E4D10000}"/>
    <cellStyle name="ProtectedDates" xfId="5658" xr:uid="{00000000-0005-0000-0000-0000E5D10000}"/>
    <cellStyle name="PSChar" xfId="5659" xr:uid="{00000000-0005-0000-0000-0000E6D10000}"/>
    <cellStyle name="PSChar 2" xfId="12766" xr:uid="{00000000-0005-0000-0000-0000E7D10000}"/>
    <cellStyle name="PSChar 3" xfId="12586" xr:uid="{00000000-0005-0000-0000-0000E8D10000}"/>
    <cellStyle name="PSDate" xfId="5660" xr:uid="{00000000-0005-0000-0000-0000E9D10000}"/>
    <cellStyle name="PSDec" xfId="5661" xr:uid="{00000000-0005-0000-0000-0000EAD10000}"/>
    <cellStyle name="PSHeading" xfId="5662" xr:uid="{00000000-0005-0000-0000-0000EBD10000}"/>
    <cellStyle name="PSInt" xfId="5663" xr:uid="{00000000-0005-0000-0000-0000ECD10000}"/>
    <cellStyle name="PSSpacer" xfId="5664" xr:uid="{00000000-0005-0000-0000-0000EDD10000}"/>
    <cellStyle name="RatioX" xfId="5665" xr:uid="{00000000-0005-0000-0000-0000EED10000}"/>
    <cellStyle name="Red font" xfId="5666" xr:uid="{00000000-0005-0000-0000-0000EFD10000}"/>
    <cellStyle name="ref" xfId="5667" xr:uid="{00000000-0005-0000-0000-0000F0D10000}"/>
    <cellStyle name="Right" xfId="5668" xr:uid="{00000000-0005-0000-0000-0000F1D10000}"/>
    <cellStyle name="Salomon Logo" xfId="5669" xr:uid="{00000000-0005-0000-0000-0000F2D10000}"/>
    <cellStyle name="ScripFactor" xfId="5670" xr:uid="{00000000-0005-0000-0000-0000F3D10000}"/>
    <cellStyle name="SectionHeading" xfId="5671" xr:uid="{00000000-0005-0000-0000-0000F4D10000}"/>
    <cellStyle name="Shade" xfId="5672" xr:uid="{00000000-0005-0000-0000-0000F5D10000}"/>
    <cellStyle name="Shaded" xfId="5673" xr:uid="{00000000-0005-0000-0000-0000F6D10000}"/>
    <cellStyle name="Single Accounting" xfId="5674" xr:uid="{00000000-0005-0000-0000-0000F7D10000}"/>
    <cellStyle name="SingleLineAcctgn" xfId="5675" xr:uid="{00000000-0005-0000-0000-0000F8D10000}"/>
    <cellStyle name="SingleLinePercent" xfId="5676" xr:uid="{00000000-0005-0000-0000-0000F9D10000}"/>
    <cellStyle name="Source Superscript" xfId="5677" xr:uid="{00000000-0005-0000-0000-0000FAD10000}"/>
    <cellStyle name="Source Text" xfId="5678" xr:uid="{00000000-0005-0000-0000-0000FBD10000}"/>
    <cellStyle name="ssp " xfId="5679" xr:uid="{00000000-0005-0000-0000-0000FCD10000}"/>
    <cellStyle name="Standard" xfId="5680" xr:uid="{00000000-0005-0000-0000-0000FDD10000}"/>
    <cellStyle name="Style 1" xfId="5681" xr:uid="{00000000-0005-0000-0000-0000FED10000}"/>
    <cellStyle name="Style 10" xfId="5682" xr:uid="{00000000-0005-0000-0000-0000FFD10000}"/>
    <cellStyle name="Style 100" xfId="5683" xr:uid="{00000000-0005-0000-0000-000000D20000}"/>
    <cellStyle name="Style 101" xfId="5684" xr:uid="{00000000-0005-0000-0000-000001D20000}"/>
    <cellStyle name="Style 102" xfId="5685" xr:uid="{00000000-0005-0000-0000-000002D20000}"/>
    <cellStyle name="Style 103" xfId="5686" xr:uid="{00000000-0005-0000-0000-000003D20000}"/>
    <cellStyle name="Style 104" xfId="5687" xr:uid="{00000000-0005-0000-0000-000004D20000}"/>
    <cellStyle name="Style 105" xfId="5688" xr:uid="{00000000-0005-0000-0000-000005D20000}"/>
    <cellStyle name="Style 106" xfId="5689" xr:uid="{00000000-0005-0000-0000-000006D20000}"/>
    <cellStyle name="Style 107" xfId="5690" xr:uid="{00000000-0005-0000-0000-000007D20000}"/>
    <cellStyle name="Style 108" xfId="5691" xr:uid="{00000000-0005-0000-0000-000008D20000}"/>
    <cellStyle name="Style 109" xfId="5692" xr:uid="{00000000-0005-0000-0000-000009D20000}"/>
    <cellStyle name="Style 11" xfId="5693" xr:uid="{00000000-0005-0000-0000-00000AD20000}"/>
    <cellStyle name="Style 110" xfId="5694" xr:uid="{00000000-0005-0000-0000-00000BD20000}"/>
    <cellStyle name="Style 111" xfId="5695" xr:uid="{00000000-0005-0000-0000-00000CD20000}"/>
    <cellStyle name="Style 112" xfId="5696" xr:uid="{00000000-0005-0000-0000-00000DD20000}"/>
    <cellStyle name="Style 113" xfId="5697" xr:uid="{00000000-0005-0000-0000-00000ED20000}"/>
    <cellStyle name="Style 114" xfId="5698" xr:uid="{00000000-0005-0000-0000-00000FD20000}"/>
    <cellStyle name="Style 115" xfId="5699" xr:uid="{00000000-0005-0000-0000-000010D20000}"/>
    <cellStyle name="Style 116" xfId="5700" xr:uid="{00000000-0005-0000-0000-000011D20000}"/>
    <cellStyle name="Style 117" xfId="5701" xr:uid="{00000000-0005-0000-0000-000012D20000}"/>
    <cellStyle name="Style 118" xfId="5702" xr:uid="{00000000-0005-0000-0000-000013D20000}"/>
    <cellStyle name="Style 119" xfId="5703" xr:uid="{00000000-0005-0000-0000-000014D20000}"/>
    <cellStyle name="Style 12" xfId="5704" xr:uid="{00000000-0005-0000-0000-000015D20000}"/>
    <cellStyle name="Style 120" xfId="5705" xr:uid="{00000000-0005-0000-0000-000016D20000}"/>
    <cellStyle name="Style 121" xfId="5706" xr:uid="{00000000-0005-0000-0000-000017D20000}"/>
    <cellStyle name="Style 122" xfId="5707" xr:uid="{00000000-0005-0000-0000-000018D20000}"/>
    <cellStyle name="Style 123" xfId="5708" xr:uid="{00000000-0005-0000-0000-000019D20000}"/>
    <cellStyle name="Style 124" xfId="5709" xr:uid="{00000000-0005-0000-0000-00001AD20000}"/>
    <cellStyle name="Style 125" xfId="5710" xr:uid="{00000000-0005-0000-0000-00001BD20000}"/>
    <cellStyle name="Style 126" xfId="5711" xr:uid="{00000000-0005-0000-0000-00001CD20000}"/>
    <cellStyle name="Style 127" xfId="5712" xr:uid="{00000000-0005-0000-0000-00001DD20000}"/>
    <cellStyle name="Style 128" xfId="5713" xr:uid="{00000000-0005-0000-0000-00001ED20000}"/>
    <cellStyle name="Style 129" xfId="5714" xr:uid="{00000000-0005-0000-0000-00001FD20000}"/>
    <cellStyle name="Style 13" xfId="5715" xr:uid="{00000000-0005-0000-0000-000020D20000}"/>
    <cellStyle name="Style 130" xfId="5716" xr:uid="{00000000-0005-0000-0000-000021D20000}"/>
    <cellStyle name="Style 131" xfId="5717" xr:uid="{00000000-0005-0000-0000-000022D20000}"/>
    <cellStyle name="Style 132" xfId="5718" xr:uid="{00000000-0005-0000-0000-000023D20000}"/>
    <cellStyle name="Style 133" xfId="5719" xr:uid="{00000000-0005-0000-0000-000024D20000}"/>
    <cellStyle name="Style 134" xfId="5720" xr:uid="{00000000-0005-0000-0000-000025D20000}"/>
    <cellStyle name="Style 135" xfId="5721" xr:uid="{00000000-0005-0000-0000-000026D20000}"/>
    <cellStyle name="Style 136" xfId="5722" xr:uid="{00000000-0005-0000-0000-000027D20000}"/>
    <cellStyle name="Style 137" xfId="5723" xr:uid="{00000000-0005-0000-0000-000028D20000}"/>
    <cellStyle name="Style 138" xfId="5724" xr:uid="{00000000-0005-0000-0000-000029D20000}"/>
    <cellStyle name="Style 139" xfId="5725" xr:uid="{00000000-0005-0000-0000-00002AD20000}"/>
    <cellStyle name="Style 14" xfId="5726" xr:uid="{00000000-0005-0000-0000-00002BD20000}"/>
    <cellStyle name="Style 140" xfId="5727" xr:uid="{00000000-0005-0000-0000-00002CD20000}"/>
    <cellStyle name="Style 141" xfId="5728" xr:uid="{00000000-0005-0000-0000-00002DD20000}"/>
    <cellStyle name="Style 142" xfId="5729" xr:uid="{00000000-0005-0000-0000-00002ED20000}"/>
    <cellStyle name="Style 143" xfId="5730" xr:uid="{00000000-0005-0000-0000-00002FD20000}"/>
    <cellStyle name="Style 144" xfId="5731" xr:uid="{00000000-0005-0000-0000-000030D20000}"/>
    <cellStyle name="Style 145" xfId="5732" xr:uid="{00000000-0005-0000-0000-000031D20000}"/>
    <cellStyle name="Style 146" xfId="5733" xr:uid="{00000000-0005-0000-0000-000032D20000}"/>
    <cellStyle name="Style 147" xfId="5734" xr:uid="{00000000-0005-0000-0000-000033D20000}"/>
    <cellStyle name="Style 148" xfId="5735" xr:uid="{00000000-0005-0000-0000-000034D20000}"/>
    <cellStyle name="Style 149" xfId="5736" xr:uid="{00000000-0005-0000-0000-000035D20000}"/>
    <cellStyle name="Style 15" xfId="5737" xr:uid="{00000000-0005-0000-0000-000036D20000}"/>
    <cellStyle name="Style 150" xfId="5738" xr:uid="{00000000-0005-0000-0000-000037D20000}"/>
    <cellStyle name="Style 151" xfId="5739" xr:uid="{00000000-0005-0000-0000-000038D20000}"/>
    <cellStyle name="Style 152" xfId="5740" xr:uid="{00000000-0005-0000-0000-000039D20000}"/>
    <cellStyle name="Style 153" xfId="5741" xr:uid="{00000000-0005-0000-0000-00003AD20000}"/>
    <cellStyle name="Style 154" xfId="5742" xr:uid="{00000000-0005-0000-0000-00003BD20000}"/>
    <cellStyle name="Style 155" xfId="5743" xr:uid="{00000000-0005-0000-0000-00003CD20000}"/>
    <cellStyle name="Style 156" xfId="5744" xr:uid="{00000000-0005-0000-0000-00003DD20000}"/>
    <cellStyle name="Style 157" xfId="5745" xr:uid="{00000000-0005-0000-0000-00003ED20000}"/>
    <cellStyle name="Style 158" xfId="5746" xr:uid="{00000000-0005-0000-0000-00003FD20000}"/>
    <cellStyle name="Style 159" xfId="5747" xr:uid="{00000000-0005-0000-0000-000040D20000}"/>
    <cellStyle name="Style 16" xfId="5748" xr:uid="{00000000-0005-0000-0000-000041D20000}"/>
    <cellStyle name="Style 160" xfId="5749" xr:uid="{00000000-0005-0000-0000-000042D20000}"/>
    <cellStyle name="Style 161" xfId="5750" xr:uid="{00000000-0005-0000-0000-000043D20000}"/>
    <cellStyle name="Style 162" xfId="5751" xr:uid="{00000000-0005-0000-0000-000044D20000}"/>
    <cellStyle name="Style 163" xfId="5752" xr:uid="{00000000-0005-0000-0000-000045D20000}"/>
    <cellStyle name="Style 164" xfId="5753" xr:uid="{00000000-0005-0000-0000-000046D20000}"/>
    <cellStyle name="Style 165" xfId="5754" xr:uid="{00000000-0005-0000-0000-000047D20000}"/>
    <cellStyle name="Style 166" xfId="5755" xr:uid="{00000000-0005-0000-0000-000048D20000}"/>
    <cellStyle name="Style 167" xfId="5756" xr:uid="{00000000-0005-0000-0000-000049D20000}"/>
    <cellStyle name="Style 168" xfId="5757" xr:uid="{00000000-0005-0000-0000-00004AD20000}"/>
    <cellStyle name="Style 169" xfId="5758" xr:uid="{00000000-0005-0000-0000-00004BD20000}"/>
    <cellStyle name="Style 17" xfId="5759" xr:uid="{00000000-0005-0000-0000-00004CD20000}"/>
    <cellStyle name="Style 170" xfId="5760" xr:uid="{00000000-0005-0000-0000-00004DD20000}"/>
    <cellStyle name="Style 171" xfId="5761" xr:uid="{00000000-0005-0000-0000-00004ED20000}"/>
    <cellStyle name="Style 172" xfId="5762" xr:uid="{00000000-0005-0000-0000-00004FD20000}"/>
    <cellStyle name="Style 173" xfId="5763" xr:uid="{00000000-0005-0000-0000-000050D20000}"/>
    <cellStyle name="Style 174" xfId="5764" xr:uid="{00000000-0005-0000-0000-000051D20000}"/>
    <cellStyle name="Style 175" xfId="5765" xr:uid="{00000000-0005-0000-0000-000052D20000}"/>
    <cellStyle name="Style 176" xfId="5766" xr:uid="{00000000-0005-0000-0000-000053D20000}"/>
    <cellStyle name="Style 177" xfId="5767" xr:uid="{00000000-0005-0000-0000-000054D20000}"/>
    <cellStyle name="Style 178" xfId="5768" xr:uid="{00000000-0005-0000-0000-000055D20000}"/>
    <cellStyle name="Style 179" xfId="5769" xr:uid="{00000000-0005-0000-0000-000056D20000}"/>
    <cellStyle name="Style 18" xfId="5770" xr:uid="{00000000-0005-0000-0000-000057D20000}"/>
    <cellStyle name="Style 180" xfId="5771" xr:uid="{00000000-0005-0000-0000-000058D20000}"/>
    <cellStyle name="Style 181" xfId="5772" xr:uid="{00000000-0005-0000-0000-000059D20000}"/>
    <cellStyle name="Style 182" xfId="5773" xr:uid="{00000000-0005-0000-0000-00005AD20000}"/>
    <cellStyle name="Style 183" xfId="5774" xr:uid="{00000000-0005-0000-0000-00005BD20000}"/>
    <cellStyle name="Style 184" xfId="5775" xr:uid="{00000000-0005-0000-0000-00005CD20000}"/>
    <cellStyle name="Style 185" xfId="5776" xr:uid="{00000000-0005-0000-0000-00005DD20000}"/>
    <cellStyle name="Style 186" xfId="5777" xr:uid="{00000000-0005-0000-0000-00005ED20000}"/>
    <cellStyle name="Style 187" xfId="5778" xr:uid="{00000000-0005-0000-0000-00005FD20000}"/>
    <cellStyle name="Style 188" xfId="5779" xr:uid="{00000000-0005-0000-0000-000060D20000}"/>
    <cellStyle name="Style 189" xfId="5780" xr:uid="{00000000-0005-0000-0000-000061D20000}"/>
    <cellStyle name="Style 19" xfId="5781" xr:uid="{00000000-0005-0000-0000-000062D20000}"/>
    <cellStyle name="Style 190" xfId="5782" xr:uid="{00000000-0005-0000-0000-000063D20000}"/>
    <cellStyle name="Style 191" xfId="5783" xr:uid="{00000000-0005-0000-0000-000064D20000}"/>
    <cellStyle name="Style 192" xfId="5784" xr:uid="{00000000-0005-0000-0000-000065D20000}"/>
    <cellStyle name="Style 193" xfId="5785" xr:uid="{00000000-0005-0000-0000-000066D20000}"/>
    <cellStyle name="Style 194" xfId="5786" xr:uid="{00000000-0005-0000-0000-000067D20000}"/>
    <cellStyle name="Style 195" xfId="5787" xr:uid="{00000000-0005-0000-0000-000068D20000}"/>
    <cellStyle name="Style 196" xfId="5788" xr:uid="{00000000-0005-0000-0000-000069D20000}"/>
    <cellStyle name="Style 197" xfId="5789" xr:uid="{00000000-0005-0000-0000-00006AD20000}"/>
    <cellStyle name="Style 198" xfId="5790" xr:uid="{00000000-0005-0000-0000-00006BD20000}"/>
    <cellStyle name="Style 199" xfId="5791" xr:uid="{00000000-0005-0000-0000-00006CD20000}"/>
    <cellStyle name="Style 2" xfId="5792" xr:uid="{00000000-0005-0000-0000-00006DD20000}"/>
    <cellStyle name="Style 20" xfId="5793" xr:uid="{00000000-0005-0000-0000-00006ED20000}"/>
    <cellStyle name="Style 200" xfId="5794" xr:uid="{00000000-0005-0000-0000-00006FD20000}"/>
    <cellStyle name="Style 201" xfId="5795" xr:uid="{00000000-0005-0000-0000-000070D20000}"/>
    <cellStyle name="Style 202" xfId="5796" xr:uid="{00000000-0005-0000-0000-000071D20000}"/>
    <cellStyle name="Style 203" xfId="5797" xr:uid="{00000000-0005-0000-0000-000072D20000}"/>
    <cellStyle name="Style 204" xfId="5798" xr:uid="{00000000-0005-0000-0000-000073D20000}"/>
    <cellStyle name="Style 205" xfId="5799" xr:uid="{00000000-0005-0000-0000-000074D20000}"/>
    <cellStyle name="Style 206" xfId="5800" xr:uid="{00000000-0005-0000-0000-000075D20000}"/>
    <cellStyle name="Style 207" xfId="5801" xr:uid="{00000000-0005-0000-0000-000076D20000}"/>
    <cellStyle name="Style 208" xfId="5802" xr:uid="{00000000-0005-0000-0000-000077D20000}"/>
    <cellStyle name="Style 209" xfId="5803" xr:uid="{00000000-0005-0000-0000-000078D20000}"/>
    <cellStyle name="Style 21" xfId="5804" xr:uid="{00000000-0005-0000-0000-000079D20000}"/>
    <cellStyle name="Style 21 2" xfId="5805" xr:uid="{00000000-0005-0000-0000-00007AD20000}"/>
    <cellStyle name="Style 22" xfId="5806" xr:uid="{00000000-0005-0000-0000-00007BD20000}"/>
    <cellStyle name="Style 22 2" xfId="5807" xr:uid="{00000000-0005-0000-0000-00007CD20000}"/>
    <cellStyle name="Style 22 3" xfId="5808" xr:uid="{00000000-0005-0000-0000-00007DD20000}"/>
    <cellStyle name="Style 22 4" xfId="5809" xr:uid="{00000000-0005-0000-0000-00007ED20000}"/>
    <cellStyle name="Style 23" xfId="3" xr:uid="{00000000-0005-0000-0000-00007FD20000}"/>
    <cellStyle name="Style 23 2" xfId="1464" xr:uid="{00000000-0005-0000-0000-000080D20000}"/>
    <cellStyle name="Style 23 2 2" xfId="6076" xr:uid="{00000000-0005-0000-0000-000081D20000}"/>
    <cellStyle name="Style 23 2 3" xfId="22500" xr:uid="{00000000-0005-0000-0000-000082D20000}"/>
    <cellStyle name="Style 23 3" xfId="5810" xr:uid="{00000000-0005-0000-0000-000083D20000}"/>
    <cellStyle name="Style 23 3 2" xfId="6075" xr:uid="{00000000-0005-0000-0000-000084D20000}"/>
    <cellStyle name="Style 23 3 2 2" xfId="32816" xr:uid="{00000000-0005-0000-0000-000085D20000}"/>
    <cellStyle name="Style 23 3 3" xfId="22731" xr:uid="{00000000-0005-0000-0000-000086D20000}"/>
    <cellStyle name="Style 23 4" xfId="6045" xr:uid="{00000000-0005-0000-0000-000087D20000}"/>
    <cellStyle name="Style 23 5" xfId="22499" xr:uid="{00000000-0005-0000-0000-000088D20000}"/>
    <cellStyle name="Style 24" xfId="5811" xr:uid="{00000000-0005-0000-0000-000089D20000}"/>
    <cellStyle name="Style 24 2" xfId="5812" xr:uid="{00000000-0005-0000-0000-00008AD20000}"/>
    <cellStyle name="Style 24 3" xfId="5813" xr:uid="{00000000-0005-0000-0000-00008BD20000}"/>
    <cellStyle name="Style 24 4" xfId="5814" xr:uid="{00000000-0005-0000-0000-00008CD20000}"/>
    <cellStyle name="Style 25" xfId="5815" xr:uid="{00000000-0005-0000-0000-00008DD20000}"/>
    <cellStyle name="Style 25 2" xfId="5816" xr:uid="{00000000-0005-0000-0000-00008ED20000}"/>
    <cellStyle name="Style 25 3" xfId="5817" xr:uid="{00000000-0005-0000-0000-00008FD20000}"/>
    <cellStyle name="Style 26" xfId="5818" xr:uid="{00000000-0005-0000-0000-000090D20000}"/>
    <cellStyle name="Style 26 2" xfId="5819" xr:uid="{00000000-0005-0000-0000-000091D20000}"/>
    <cellStyle name="Style 26 3" xfId="5820" xr:uid="{00000000-0005-0000-0000-000092D20000}"/>
    <cellStyle name="Style 26 4" xfId="5821" xr:uid="{00000000-0005-0000-0000-000093D20000}"/>
    <cellStyle name="Style 27" xfId="5822" xr:uid="{00000000-0005-0000-0000-000094D20000}"/>
    <cellStyle name="Style 28" xfId="5823" xr:uid="{00000000-0005-0000-0000-000095D20000}"/>
    <cellStyle name="Style 29" xfId="5824" xr:uid="{00000000-0005-0000-0000-000096D20000}"/>
    <cellStyle name="Style 3" xfId="5825" xr:uid="{00000000-0005-0000-0000-000097D20000}"/>
    <cellStyle name="Style 30" xfId="5826" xr:uid="{00000000-0005-0000-0000-000098D20000}"/>
    <cellStyle name="Style 31" xfId="5827" xr:uid="{00000000-0005-0000-0000-000099D20000}"/>
    <cellStyle name="Style 32" xfId="5828" xr:uid="{00000000-0005-0000-0000-00009AD20000}"/>
    <cellStyle name="Style 33" xfId="5829" xr:uid="{00000000-0005-0000-0000-00009BD20000}"/>
    <cellStyle name="Style 34" xfId="5830" xr:uid="{00000000-0005-0000-0000-00009CD20000}"/>
    <cellStyle name="Style 35" xfId="5831" xr:uid="{00000000-0005-0000-0000-00009DD20000}"/>
    <cellStyle name="Style 36" xfId="5832" xr:uid="{00000000-0005-0000-0000-00009ED20000}"/>
    <cellStyle name="Style 37" xfId="5833" xr:uid="{00000000-0005-0000-0000-00009FD20000}"/>
    <cellStyle name="Style 38" xfId="5834" xr:uid="{00000000-0005-0000-0000-0000A0D20000}"/>
    <cellStyle name="Style 39" xfId="5835" xr:uid="{00000000-0005-0000-0000-0000A1D20000}"/>
    <cellStyle name="Style 4" xfId="5836" xr:uid="{00000000-0005-0000-0000-0000A2D20000}"/>
    <cellStyle name="Style 40" xfId="5837" xr:uid="{00000000-0005-0000-0000-0000A3D20000}"/>
    <cellStyle name="Style 41" xfId="5838" xr:uid="{00000000-0005-0000-0000-0000A4D20000}"/>
    <cellStyle name="Style 42" xfId="5839" xr:uid="{00000000-0005-0000-0000-0000A5D20000}"/>
    <cellStyle name="Style 43" xfId="5840" xr:uid="{00000000-0005-0000-0000-0000A6D20000}"/>
    <cellStyle name="Style 44" xfId="5841" xr:uid="{00000000-0005-0000-0000-0000A7D20000}"/>
    <cellStyle name="Style 45" xfId="5842" xr:uid="{00000000-0005-0000-0000-0000A8D20000}"/>
    <cellStyle name="Style 46" xfId="5843" xr:uid="{00000000-0005-0000-0000-0000A9D20000}"/>
    <cellStyle name="Style 47" xfId="5844" xr:uid="{00000000-0005-0000-0000-0000AAD20000}"/>
    <cellStyle name="Style 48" xfId="5845" xr:uid="{00000000-0005-0000-0000-0000ABD20000}"/>
    <cellStyle name="Style 49" xfId="5846" xr:uid="{00000000-0005-0000-0000-0000ACD20000}"/>
    <cellStyle name="Style 5" xfId="5847" xr:uid="{00000000-0005-0000-0000-0000ADD20000}"/>
    <cellStyle name="Style 50" xfId="5848" xr:uid="{00000000-0005-0000-0000-0000AED20000}"/>
    <cellStyle name="Style 51" xfId="5849" xr:uid="{00000000-0005-0000-0000-0000AFD20000}"/>
    <cellStyle name="Style 52" xfId="5850" xr:uid="{00000000-0005-0000-0000-0000B0D20000}"/>
    <cellStyle name="Style 53" xfId="5851" xr:uid="{00000000-0005-0000-0000-0000B1D20000}"/>
    <cellStyle name="Style 54" xfId="5852" xr:uid="{00000000-0005-0000-0000-0000B2D20000}"/>
    <cellStyle name="Style 55" xfId="5853" xr:uid="{00000000-0005-0000-0000-0000B3D20000}"/>
    <cellStyle name="Style 56" xfId="5854" xr:uid="{00000000-0005-0000-0000-0000B4D20000}"/>
    <cellStyle name="Style 57" xfId="5855" xr:uid="{00000000-0005-0000-0000-0000B5D20000}"/>
    <cellStyle name="Style 58" xfId="5856" xr:uid="{00000000-0005-0000-0000-0000B6D20000}"/>
    <cellStyle name="Style 59" xfId="5857" xr:uid="{00000000-0005-0000-0000-0000B7D20000}"/>
    <cellStyle name="Style 6" xfId="5858" xr:uid="{00000000-0005-0000-0000-0000B8D20000}"/>
    <cellStyle name="Style 60" xfId="5859" xr:uid="{00000000-0005-0000-0000-0000B9D20000}"/>
    <cellStyle name="Style 61" xfId="5860" xr:uid="{00000000-0005-0000-0000-0000BAD20000}"/>
    <cellStyle name="Style 62" xfId="5861" xr:uid="{00000000-0005-0000-0000-0000BBD20000}"/>
    <cellStyle name="Style 63" xfId="5862" xr:uid="{00000000-0005-0000-0000-0000BCD20000}"/>
    <cellStyle name="Style 64" xfId="5863" xr:uid="{00000000-0005-0000-0000-0000BDD20000}"/>
    <cellStyle name="Style 65" xfId="5864" xr:uid="{00000000-0005-0000-0000-0000BED20000}"/>
    <cellStyle name="Style 66" xfId="5865" xr:uid="{00000000-0005-0000-0000-0000BFD20000}"/>
    <cellStyle name="Style 67" xfId="5866" xr:uid="{00000000-0005-0000-0000-0000C0D20000}"/>
    <cellStyle name="Style 68" xfId="5867" xr:uid="{00000000-0005-0000-0000-0000C1D20000}"/>
    <cellStyle name="Style 69" xfId="5868" xr:uid="{00000000-0005-0000-0000-0000C2D20000}"/>
    <cellStyle name="Style 7" xfId="5869" xr:uid="{00000000-0005-0000-0000-0000C3D20000}"/>
    <cellStyle name="Style 70" xfId="5870" xr:uid="{00000000-0005-0000-0000-0000C4D20000}"/>
    <cellStyle name="Style 71" xfId="5871" xr:uid="{00000000-0005-0000-0000-0000C5D20000}"/>
    <cellStyle name="Style 72" xfId="5872" xr:uid="{00000000-0005-0000-0000-0000C6D20000}"/>
    <cellStyle name="Style 73" xfId="5873" xr:uid="{00000000-0005-0000-0000-0000C7D20000}"/>
    <cellStyle name="Style 74" xfId="5874" xr:uid="{00000000-0005-0000-0000-0000C8D20000}"/>
    <cellStyle name="Style 75" xfId="5875" xr:uid="{00000000-0005-0000-0000-0000C9D20000}"/>
    <cellStyle name="Style 76" xfId="5876" xr:uid="{00000000-0005-0000-0000-0000CAD20000}"/>
    <cellStyle name="Style 77" xfId="5877" xr:uid="{00000000-0005-0000-0000-0000CBD20000}"/>
    <cellStyle name="Style 78" xfId="5878" xr:uid="{00000000-0005-0000-0000-0000CCD20000}"/>
    <cellStyle name="Style 79" xfId="5879" xr:uid="{00000000-0005-0000-0000-0000CDD20000}"/>
    <cellStyle name="Style 8" xfId="5880" xr:uid="{00000000-0005-0000-0000-0000CED20000}"/>
    <cellStyle name="Style 80" xfId="5881" xr:uid="{00000000-0005-0000-0000-0000CFD20000}"/>
    <cellStyle name="Style 81" xfId="5882" xr:uid="{00000000-0005-0000-0000-0000D0D20000}"/>
    <cellStyle name="Style 82" xfId="5883" xr:uid="{00000000-0005-0000-0000-0000D1D20000}"/>
    <cellStyle name="Style 83" xfId="5884" xr:uid="{00000000-0005-0000-0000-0000D2D20000}"/>
    <cellStyle name="Style 84" xfId="5885" xr:uid="{00000000-0005-0000-0000-0000D3D20000}"/>
    <cellStyle name="Style 85" xfId="5886" xr:uid="{00000000-0005-0000-0000-0000D4D20000}"/>
    <cellStyle name="Style 86" xfId="5887" xr:uid="{00000000-0005-0000-0000-0000D5D20000}"/>
    <cellStyle name="Style 87" xfId="5888" xr:uid="{00000000-0005-0000-0000-0000D6D20000}"/>
    <cellStyle name="Style 88" xfId="5889" xr:uid="{00000000-0005-0000-0000-0000D7D20000}"/>
    <cellStyle name="Style 89" xfId="5890" xr:uid="{00000000-0005-0000-0000-0000D8D20000}"/>
    <cellStyle name="Style 9" xfId="5891" xr:uid="{00000000-0005-0000-0000-0000D9D20000}"/>
    <cellStyle name="Style 90" xfId="5892" xr:uid="{00000000-0005-0000-0000-0000DAD20000}"/>
    <cellStyle name="Style 91" xfId="5893" xr:uid="{00000000-0005-0000-0000-0000DBD20000}"/>
    <cellStyle name="Style 92" xfId="5894" xr:uid="{00000000-0005-0000-0000-0000DCD20000}"/>
    <cellStyle name="Style 93" xfId="5895" xr:uid="{00000000-0005-0000-0000-0000DDD20000}"/>
    <cellStyle name="Style 94" xfId="5896" xr:uid="{00000000-0005-0000-0000-0000DED20000}"/>
    <cellStyle name="Style 95" xfId="5897" xr:uid="{00000000-0005-0000-0000-0000DFD20000}"/>
    <cellStyle name="Style 96" xfId="5898" xr:uid="{00000000-0005-0000-0000-0000E0D20000}"/>
    <cellStyle name="Style 97" xfId="5899" xr:uid="{00000000-0005-0000-0000-0000E1D20000}"/>
    <cellStyle name="Style 98" xfId="5900" xr:uid="{00000000-0005-0000-0000-0000E2D20000}"/>
    <cellStyle name="Style 99" xfId="5901" xr:uid="{00000000-0005-0000-0000-0000E3D20000}"/>
    <cellStyle name="STYLE1" xfId="5902" xr:uid="{00000000-0005-0000-0000-0000E4D20000}"/>
    <cellStyle name="STYLE1 2" xfId="12623" xr:uid="{00000000-0005-0000-0000-0000E5D20000}"/>
    <cellStyle name="STYLE2" xfId="5903" xr:uid="{00000000-0005-0000-0000-0000E6D20000}"/>
    <cellStyle name="STYLE2 2" xfId="12622" xr:uid="{00000000-0005-0000-0000-0000E7D20000}"/>
    <cellStyle name="STYLE3" xfId="5904" xr:uid="{00000000-0005-0000-0000-0000E8D20000}"/>
    <cellStyle name="STYLE3 2" xfId="12617" xr:uid="{00000000-0005-0000-0000-0000E9D20000}"/>
    <cellStyle name="Subhead" xfId="5905" xr:uid="{00000000-0005-0000-0000-0000EAD20000}"/>
    <cellStyle name="Subtotal_left" xfId="5906" xr:uid="{00000000-0005-0000-0000-0000EBD20000}"/>
    <cellStyle name="SwitchCell" xfId="5907" xr:uid="{00000000-0005-0000-0000-0000ECD20000}"/>
    <cellStyle name="t" xfId="5908" xr:uid="{00000000-0005-0000-0000-0000EDD20000}"/>
    <cellStyle name="Table Col Head" xfId="5909" xr:uid="{00000000-0005-0000-0000-0000EED20000}"/>
    <cellStyle name="Table Head" xfId="5910" xr:uid="{00000000-0005-0000-0000-0000EFD20000}"/>
    <cellStyle name="Table Head Aligned" xfId="5911" xr:uid="{00000000-0005-0000-0000-0000F0D20000}"/>
    <cellStyle name="Table Head Blue" xfId="5912" xr:uid="{00000000-0005-0000-0000-0000F1D20000}"/>
    <cellStyle name="Table Head Green" xfId="5913" xr:uid="{00000000-0005-0000-0000-0000F2D20000}"/>
    <cellStyle name="Table Head_Val_Sum_Graph" xfId="5914" xr:uid="{00000000-0005-0000-0000-0000F3D20000}"/>
    <cellStyle name="Table Sub Head" xfId="5915" xr:uid="{00000000-0005-0000-0000-0000F4D20000}"/>
    <cellStyle name="Table Text" xfId="5916" xr:uid="{00000000-0005-0000-0000-0000F5D20000}"/>
    <cellStyle name="Table Title" xfId="5917" xr:uid="{00000000-0005-0000-0000-0000F6D20000}"/>
    <cellStyle name="Table Units" xfId="5918" xr:uid="{00000000-0005-0000-0000-0000F7D20000}"/>
    <cellStyle name="Table_Header" xfId="5919" xr:uid="{00000000-0005-0000-0000-0000F8D20000}"/>
    <cellStyle name="TableBorder" xfId="5920" xr:uid="{00000000-0005-0000-0000-0000F9D20000}"/>
    <cellStyle name="TableColumnHeader" xfId="5921" xr:uid="{00000000-0005-0000-0000-0000FAD20000}"/>
    <cellStyle name="TableColumnHeader 2" xfId="5990" xr:uid="{00000000-0005-0000-0000-0000FBD20000}"/>
    <cellStyle name="TableHeading" xfId="5922" xr:uid="{00000000-0005-0000-0000-0000FCD20000}"/>
    <cellStyle name="TableHighlight" xfId="5923" xr:uid="{00000000-0005-0000-0000-0000FDD20000}"/>
    <cellStyle name="TableNote" xfId="5924" xr:uid="{00000000-0005-0000-0000-0000FED20000}"/>
    <cellStyle name="test a style" xfId="5925" xr:uid="{00000000-0005-0000-0000-0000FFD20000}"/>
    <cellStyle name="Text 1" xfId="5926" xr:uid="{00000000-0005-0000-0000-000000D30000}"/>
    <cellStyle name="Text Head 1" xfId="5927" xr:uid="{00000000-0005-0000-0000-000001D30000}"/>
    <cellStyle name="Text Indent A" xfId="5928" xr:uid="{00000000-0005-0000-0000-000002D30000}"/>
    <cellStyle name="Text Indent B" xfId="5929" xr:uid="{00000000-0005-0000-0000-000003D30000}"/>
    <cellStyle name="Text Indent C" xfId="5930" xr:uid="{00000000-0005-0000-0000-000004D30000}"/>
    <cellStyle name="Text Wrap" xfId="5931" xr:uid="{00000000-0005-0000-0000-000005D30000}"/>
    <cellStyle name="Time" xfId="5932" xr:uid="{00000000-0005-0000-0000-000006D30000}"/>
    <cellStyle name="Times 10" xfId="5933" xr:uid="{00000000-0005-0000-0000-000007D30000}"/>
    <cellStyle name="Times 12" xfId="5934" xr:uid="{00000000-0005-0000-0000-000008D30000}"/>
    <cellStyle name="Times New Roman" xfId="5935" xr:uid="{00000000-0005-0000-0000-000009D30000}"/>
    <cellStyle name="Title" xfId="6043" builtinId="15" customBuiltin="1"/>
    <cellStyle name="Title 2" xfId="1465" xr:uid="{00000000-0005-0000-0000-00000BD30000}"/>
    <cellStyle name="Title 2 2" xfId="1466" xr:uid="{00000000-0005-0000-0000-00000CD30000}"/>
    <cellStyle name="Title 2 2 2" xfId="5936" xr:uid="{00000000-0005-0000-0000-00000DD30000}"/>
    <cellStyle name="Title 2 2 2 2" xfId="12767" xr:uid="{00000000-0005-0000-0000-00000ED30000}"/>
    <cellStyle name="Title 2 2 3" xfId="12588" xr:uid="{00000000-0005-0000-0000-00000FD30000}"/>
    <cellStyle name="Title 2 3" xfId="12589" xr:uid="{00000000-0005-0000-0000-000010D30000}"/>
    <cellStyle name="Title 2 3 2" xfId="13566" xr:uid="{00000000-0005-0000-0000-000011D30000}"/>
    <cellStyle name="Title 2 4" xfId="12664" xr:uid="{00000000-0005-0000-0000-000012D30000}"/>
    <cellStyle name="Title 2 5" xfId="12886" xr:uid="{00000000-0005-0000-0000-000013D30000}"/>
    <cellStyle name="Title 2 6" xfId="12587" xr:uid="{00000000-0005-0000-0000-000014D30000}"/>
    <cellStyle name="Title 3" xfId="1467" xr:uid="{00000000-0005-0000-0000-000015D30000}"/>
    <cellStyle name="Title 3 2" xfId="5937" xr:uid="{00000000-0005-0000-0000-000016D30000}"/>
    <cellStyle name="Title 3 2 2" xfId="13563" xr:uid="{00000000-0005-0000-0000-000017D30000}"/>
    <cellStyle name="Title 3 3" xfId="23501" xr:uid="{00000000-0005-0000-0000-000018D30000}"/>
    <cellStyle name="Title 3 4" xfId="12590" xr:uid="{00000000-0005-0000-0000-000019D30000}"/>
    <cellStyle name="Title 4" xfId="12661" xr:uid="{00000000-0005-0000-0000-00001AD30000}"/>
    <cellStyle name="Title 5" xfId="12885" xr:uid="{00000000-0005-0000-0000-00001BD30000}"/>
    <cellStyle name="Title 6" xfId="33101" xr:uid="{00000000-0005-0000-0000-00001CD30000}"/>
    <cellStyle name="title1" xfId="5938" xr:uid="{00000000-0005-0000-0000-00001DD30000}"/>
    <cellStyle name="title2" xfId="5939" xr:uid="{00000000-0005-0000-0000-00001ED30000}"/>
    <cellStyle name="Title-2" xfId="5940" xr:uid="{00000000-0005-0000-0000-00001FD30000}"/>
    <cellStyle name="Titles" xfId="5941" xr:uid="{00000000-0005-0000-0000-000020D30000}"/>
    <cellStyle name="titre_col" xfId="5942" xr:uid="{00000000-0005-0000-0000-000021D30000}"/>
    <cellStyle name="TOC" xfId="5943" xr:uid="{00000000-0005-0000-0000-000022D30000}"/>
    <cellStyle name="Total 10" xfId="1468" xr:uid="{00000000-0005-0000-0000-000023D30000}"/>
    <cellStyle name="Total 11" xfId="1469" xr:uid="{00000000-0005-0000-0000-000024D30000}"/>
    <cellStyle name="Total 12" xfId="1470" xr:uid="{00000000-0005-0000-0000-000025D30000}"/>
    <cellStyle name="Total 13" xfId="1471" xr:uid="{00000000-0005-0000-0000-000026D30000}"/>
    <cellStyle name="Total 14" xfId="1472" xr:uid="{00000000-0005-0000-0000-000027D30000}"/>
    <cellStyle name="Total 15" xfId="1473" xr:uid="{00000000-0005-0000-0000-000028D30000}"/>
    <cellStyle name="Total 16" xfId="1474" xr:uid="{00000000-0005-0000-0000-000029D30000}"/>
    <cellStyle name="Total 16 2" xfId="6132" xr:uid="{00000000-0005-0000-0000-00002AD30000}"/>
    <cellStyle name="Total 16 2 2" xfId="14944" xr:uid="{00000000-0005-0000-0000-00002BD30000}"/>
    <cellStyle name="Total 16 3" xfId="17180" xr:uid="{00000000-0005-0000-0000-00002CD30000}"/>
    <cellStyle name="Total 16 4" xfId="22554" xr:uid="{00000000-0005-0000-0000-00002DD30000}"/>
    <cellStyle name="Total 16 5" xfId="24763" xr:uid="{00000000-0005-0000-0000-00002ED30000}"/>
    <cellStyle name="Total 16 6" xfId="14365" xr:uid="{00000000-0005-0000-0000-00002FD30000}"/>
    <cellStyle name="Total 17" xfId="22202" xr:uid="{00000000-0005-0000-0000-000030D30000}"/>
    <cellStyle name="Total 18" xfId="33080" xr:uid="{00000000-0005-0000-0000-000031D30000}"/>
    <cellStyle name="Total 19" xfId="52443" xr:uid="{00000000-0005-0000-0000-000032D30000}"/>
    <cellStyle name="Total 2" xfId="1475" xr:uid="{00000000-0005-0000-0000-000033D30000}"/>
    <cellStyle name="Total 2 10" xfId="5945" xr:uid="{00000000-0005-0000-0000-000034D30000}"/>
    <cellStyle name="Total 2 11" xfId="5944" xr:uid="{00000000-0005-0000-0000-000035D30000}"/>
    <cellStyle name="Total 2 12" xfId="5989" xr:uid="{00000000-0005-0000-0000-000036D30000}"/>
    <cellStyle name="Total 2 2" xfId="1476" xr:uid="{00000000-0005-0000-0000-000037D30000}"/>
    <cellStyle name="Total 2 2 2" xfId="5947" xr:uid="{00000000-0005-0000-0000-000038D30000}"/>
    <cellStyle name="Total 2 2 2 2" xfId="12769" xr:uid="{00000000-0005-0000-0000-000039D30000}"/>
    <cellStyle name="Total 2 2 3" xfId="5946" xr:uid="{00000000-0005-0000-0000-00003AD30000}"/>
    <cellStyle name="Total 2 2 3 2" xfId="12592" xr:uid="{00000000-0005-0000-0000-00003BD30000}"/>
    <cellStyle name="Total 2 2 4" xfId="5988" xr:uid="{00000000-0005-0000-0000-00003CD30000}"/>
    <cellStyle name="Total 2 2 4 2" xfId="22569" xr:uid="{00000000-0005-0000-0000-00003DD30000}"/>
    <cellStyle name="Total 2 2 5" xfId="23336" xr:uid="{00000000-0005-0000-0000-00003ED30000}"/>
    <cellStyle name="Total 2 2 6" xfId="12214" xr:uid="{00000000-0005-0000-0000-00003FD30000}"/>
    <cellStyle name="Total 2 3" xfId="5948" xr:uid="{00000000-0005-0000-0000-000040D30000}"/>
    <cellStyle name="Total 2 3 2" xfId="13581" xr:uid="{00000000-0005-0000-0000-000041D30000}"/>
    <cellStyle name="Total 2 3 3" xfId="12593" xr:uid="{00000000-0005-0000-0000-000042D30000}"/>
    <cellStyle name="Total 2 4" xfId="5949" xr:uid="{00000000-0005-0000-0000-000043D30000}"/>
    <cellStyle name="Total 2 4 2" xfId="13681" xr:uid="{00000000-0005-0000-0000-000044D30000}"/>
    <cellStyle name="Total 2 4 3" xfId="12594" xr:uid="{00000000-0005-0000-0000-000045D30000}"/>
    <cellStyle name="Total 2 5" xfId="5950" xr:uid="{00000000-0005-0000-0000-000046D30000}"/>
    <cellStyle name="Total 2 5 2" xfId="12680" xr:uid="{00000000-0005-0000-0000-000047D30000}"/>
    <cellStyle name="Total 2 6" xfId="5951" xr:uid="{00000000-0005-0000-0000-000048D30000}"/>
    <cellStyle name="Total 2 6 2" xfId="12888" xr:uid="{00000000-0005-0000-0000-000049D30000}"/>
    <cellStyle name="Total 2 7" xfId="5952" xr:uid="{00000000-0005-0000-0000-00004AD30000}"/>
    <cellStyle name="Total 2 7 2" xfId="12591" xr:uid="{00000000-0005-0000-0000-00004BD30000}"/>
    <cellStyle name="Total 2 8" xfId="5953" xr:uid="{00000000-0005-0000-0000-00004CD30000}"/>
    <cellStyle name="Total 2 8 2" xfId="22473" xr:uid="{00000000-0005-0000-0000-00004DD30000}"/>
    <cellStyle name="Total 2 9" xfId="5954" xr:uid="{00000000-0005-0000-0000-00004ED30000}"/>
    <cellStyle name="Total 20" xfId="11954" xr:uid="{00000000-0005-0000-0000-00004FD30000}"/>
    <cellStyle name="Total 3" xfId="1477" xr:uid="{00000000-0005-0000-0000-000050D30000}"/>
    <cellStyle name="Total 3 2" xfId="5955" xr:uid="{00000000-0005-0000-0000-000051D30000}"/>
    <cellStyle name="Total 3 2 2" xfId="12768" xr:uid="{00000000-0005-0000-0000-000052D30000}"/>
    <cellStyle name="Total 3 3" xfId="22474" xr:uid="{00000000-0005-0000-0000-000053D30000}"/>
    <cellStyle name="Total 3 4" xfId="23502" xr:uid="{00000000-0005-0000-0000-000054D30000}"/>
    <cellStyle name="Total 3 5" xfId="33028" xr:uid="{00000000-0005-0000-0000-000055D30000}"/>
    <cellStyle name="Total 3 6" xfId="52483" xr:uid="{00000000-0005-0000-0000-000056D30000}"/>
    <cellStyle name="Total 3 7" xfId="12595" xr:uid="{00000000-0005-0000-0000-000057D30000}"/>
    <cellStyle name="Total 4" xfId="1478" xr:uid="{00000000-0005-0000-0000-000058D30000}"/>
    <cellStyle name="Total 4 2" xfId="13414" xr:uid="{00000000-0005-0000-0000-000059D30000}"/>
    <cellStyle name="Total 4 3" xfId="13564" xr:uid="{00000000-0005-0000-0000-00005AD30000}"/>
    <cellStyle name="Total 4 4" xfId="14366" xr:uid="{00000000-0005-0000-0000-00005BD30000}"/>
    <cellStyle name="Total 4 5" xfId="22475" xr:uid="{00000000-0005-0000-0000-00005CD30000}"/>
    <cellStyle name="Total 4 6" xfId="23503" xr:uid="{00000000-0005-0000-0000-00005DD30000}"/>
    <cellStyle name="Total 4 7" xfId="12596" xr:uid="{00000000-0005-0000-0000-00005ED30000}"/>
    <cellStyle name="Total 5" xfId="1479" xr:uid="{00000000-0005-0000-0000-00005FD30000}"/>
    <cellStyle name="Total 5 2" xfId="22476" xr:uid="{00000000-0005-0000-0000-000060D30000}"/>
    <cellStyle name="Total 5 3" xfId="23516" xr:uid="{00000000-0005-0000-0000-000061D30000}"/>
    <cellStyle name="Total 5 4" xfId="12618" xr:uid="{00000000-0005-0000-0000-000062D30000}"/>
    <cellStyle name="Total 6" xfId="1480" xr:uid="{00000000-0005-0000-0000-000063D30000}"/>
    <cellStyle name="Total 6 2" xfId="22477" xr:uid="{00000000-0005-0000-0000-000064D30000}"/>
    <cellStyle name="Total 6 3" xfId="23559" xr:uid="{00000000-0005-0000-0000-000065D30000}"/>
    <cellStyle name="Total 6 4" xfId="12662" xr:uid="{00000000-0005-0000-0000-000066D30000}"/>
    <cellStyle name="Total 7" xfId="1481" xr:uid="{00000000-0005-0000-0000-000067D30000}"/>
    <cellStyle name="Total 7 2" xfId="22478" xr:uid="{00000000-0005-0000-0000-000068D30000}"/>
    <cellStyle name="Total 7 3" xfId="23652" xr:uid="{00000000-0005-0000-0000-000069D30000}"/>
    <cellStyle name="Total 7 4" xfId="12887" xr:uid="{00000000-0005-0000-0000-00006AD30000}"/>
    <cellStyle name="Total 8" xfId="1482" xr:uid="{00000000-0005-0000-0000-00006BD30000}"/>
    <cellStyle name="Total 9" xfId="1483" xr:uid="{00000000-0005-0000-0000-00006CD30000}"/>
    <cellStyle name="Total Bold" xfId="5956" xr:uid="{00000000-0005-0000-0000-00006DD30000}"/>
    <cellStyle name="Totals" xfId="5957" xr:uid="{00000000-0005-0000-0000-00006ED30000}"/>
    <cellStyle name="Underline_Single" xfId="5958" xr:uid="{00000000-0005-0000-0000-00006FD30000}"/>
    <cellStyle name="UnProtectedCalc" xfId="5959" xr:uid="{00000000-0005-0000-0000-000070D30000}"/>
    <cellStyle name="Valuta (0)_Sheet1" xfId="5960" xr:uid="{00000000-0005-0000-0000-000071D30000}"/>
    <cellStyle name="Valuta_piv_polio" xfId="5961" xr:uid="{00000000-0005-0000-0000-000072D30000}"/>
    <cellStyle name="Währung [0]_A17 - 31.03.1998" xfId="5962" xr:uid="{00000000-0005-0000-0000-000073D30000}"/>
    <cellStyle name="Währung_A17 - 31.03.1998" xfId="5963" xr:uid="{00000000-0005-0000-0000-000074D30000}"/>
    <cellStyle name="Warburg" xfId="5964" xr:uid="{00000000-0005-0000-0000-000075D30000}"/>
    <cellStyle name="Warning Text 10" xfId="1484" xr:uid="{00000000-0005-0000-0000-000076D30000}"/>
    <cellStyle name="Warning Text 11" xfId="1485" xr:uid="{00000000-0005-0000-0000-000077D30000}"/>
    <cellStyle name="Warning Text 12" xfId="1486" xr:uid="{00000000-0005-0000-0000-000078D30000}"/>
    <cellStyle name="Warning Text 13" xfId="1487" xr:uid="{00000000-0005-0000-0000-000079D30000}"/>
    <cellStyle name="Warning Text 14" xfId="1488" xr:uid="{00000000-0005-0000-0000-00007AD30000}"/>
    <cellStyle name="Warning Text 15" xfId="1489" xr:uid="{00000000-0005-0000-0000-00007BD30000}"/>
    <cellStyle name="Warning Text 16" xfId="1490" xr:uid="{00000000-0005-0000-0000-00007CD30000}"/>
    <cellStyle name="Warning Text 17" xfId="33134" xr:uid="{00000000-0005-0000-0000-00007DD30000}"/>
    <cellStyle name="Warning Text 2" xfId="1491" xr:uid="{00000000-0005-0000-0000-00007ED30000}"/>
    <cellStyle name="Warning Text 2 10" xfId="5965" xr:uid="{00000000-0005-0000-0000-00007FD30000}"/>
    <cellStyle name="Warning Text 2 2" xfId="1492" xr:uid="{00000000-0005-0000-0000-000080D30000}"/>
    <cellStyle name="Warning Text 2 2 2" xfId="5966" xr:uid="{00000000-0005-0000-0000-000081D30000}"/>
    <cellStyle name="Warning Text 2 2 2 2" xfId="12770" xr:uid="{00000000-0005-0000-0000-000082D30000}"/>
    <cellStyle name="Warning Text 2 2 3" xfId="12598" xr:uid="{00000000-0005-0000-0000-000083D30000}"/>
    <cellStyle name="Warning Text 2 2 4" xfId="22566" xr:uid="{00000000-0005-0000-0000-000084D30000}"/>
    <cellStyle name="Warning Text 2 2 5" xfId="23338" xr:uid="{00000000-0005-0000-0000-000085D30000}"/>
    <cellStyle name="Warning Text 2 2 6" xfId="12215" xr:uid="{00000000-0005-0000-0000-000086D30000}"/>
    <cellStyle name="Warning Text 2 3" xfId="5967" xr:uid="{00000000-0005-0000-0000-000087D30000}"/>
    <cellStyle name="Warning Text 2 3 2" xfId="13579" xr:uid="{00000000-0005-0000-0000-000088D30000}"/>
    <cellStyle name="Warning Text 2 3 3" xfId="12599" xr:uid="{00000000-0005-0000-0000-000089D30000}"/>
    <cellStyle name="Warning Text 2 4" xfId="5968" xr:uid="{00000000-0005-0000-0000-00008AD30000}"/>
    <cellStyle name="Warning Text 2 4 2" xfId="12677" xr:uid="{00000000-0005-0000-0000-00008BD30000}"/>
    <cellStyle name="Warning Text 2 5" xfId="5969" xr:uid="{00000000-0005-0000-0000-00008CD30000}"/>
    <cellStyle name="Warning Text 2 5 2" xfId="12890" xr:uid="{00000000-0005-0000-0000-00008DD30000}"/>
    <cellStyle name="Warning Text 2 6" xfId="5970" xr:uid="{00000000-0005-0000-0000-00008ED30000}"/>
    <cellStyle name="Warning Text 2 6 2" xfId="12597" xr:uid="{00000000-0005-0000-0000-00008FD30000}"/>
    <cellStyle name="Warning Text 2 7" xfId="5971" xr:uid="{00000000-0005-0000-0000-000090D30000}"/>
    <cellStyle name="Warning Text 2 7 2" xfId="22479" xr:uid="{00000000-0005-0000-0000-000091D30000}"/>
    <cellStyle name="Warning Text 2 8" xfId="5972" xr:uid="{00000000-0005-0000-0000-000092D30000}"/>
    <cellStyle name="Warning Text 2 9" xfId="5973" xr:uid="{00000000-0005-0000-0000-000093D30000}"/>
    <cellStyle name="Warning Text 3" xfId="1493" xr:uid="{00000000-0005-0000-0000-000094D30000}"/>
    <cellStyle name="Warning Text 3 2" xfId="13415" xr:uid="{00000000-0005-0000-0000-000095D30000}"/>
    <cellStyle name="Warning Text 3 3" xfId="13565" xr:uid="{00000000-0005-0000-0000-000096D30000}"/>
    <cellStyle name="Warning Text 3 4" xfId="22480" xr:uid="{00000000-0005-0000-0000-000097D30000}"/>
    <cellStyle name="Warning Text 3 5" xfId="23504" xr:uid="{00000000-0005-0000-0000-000098D30000}"/>
    <cellStyle name="Warning Text 3 6" xfId="12600" xr:uid="{00000000-0005-0000-0000-000099D30000}"/>
    <cellStyle name="Warning Text 4" xfId="1494" xr:uid="{00000000-0005-0000-0000-00009AD30000}"/>
    <cellStyle name="Warning Text 4 2" xfId="13720" xr:uid="{00000000-0005-0000-0000-00009BD30000}"/>
    <cellStyle name="Warning Text 4 3" xfId="22481" xr:uid="{00000000-0005-0000-0000-00009CD30000}"/>
    <cellStyle name="Warning Text 4 4" xfId="23505" xr:uid="{00000000-0005-0000-0000-00009DD30000}"/>
    <cellStyle name="Warning Text 4 5" xfId="12601" xr:uid="{00000000-0005-0000-0000-00009ED30000}"/>
    <cellStyle name="Warning Text 5" xfId="1495" xr:uid="{00000000-0005-0000-0000-00009FD30000}"/>
    <cellStyle name="Warning Text 5 2" xfId="22482" xr:uid="{00000000-0005-0000-0000-0000A0D30000}"/>
    <cellStyle name="Warning Text 5 3" xfId="23560" xr:uid="{00000000-0005-0000-0000-0000A1D30000}"/>
    <cellStyle name="Warning Text 5 4" xfId="12663" xr:uid="{00000000-0005-0000-0000-0000A2D30000}"/>
    <cellStyle name="Warning Text 6" xfId="1496" xr:uid="{00000000-0005-0000-0000-0000A3D30000}"/>
    <cellStyle name="Warning Text 6 2" xfId="22483" xr:uid="{00000000-0005-0000-0000-0000A4D30000}"/>
    <cellStyle name="Warning Text 6 3" xfId="23653" xr:uid="{00000000-0005-0000-0000-0000A5D30000}"/>
    <cellStyle name="Warning Text 6 4" xfId="12889" xr:uid="{00000000-0005-0000-0000-0000A6D30000}"/>
    <cellStyle name="Warning Text 7" xfId="1497" xr:uid="{00000000-0005-0000-0000-0000A7D30000}"/>
    <cellStyle name="Warning Text 8" xfId="1498" xr:uid="{00000000-0005-0000-0000-0000A8D30000}"/>
    <cellStyle name="Warning Text 9" xfId="1499" xr:uid="{00000000-0005-0000-0000-0000A9D30000}"/>
    <cellStyle name="wild guess" xfId="5974" xr:uid="{00000000-0005-0000-0000-0000AAD30000}"/>
    <cellStyle name="Wildguess" xfId="5975" xr:uid="{00000000-0005-0000-0000-0000ABD30000}"/>
    <cellStyle name="Year" xfId="5976" xr:uid="{00000000-0005-0000-0000-0000ACD30000}"/>
    <cellStyle name="Year Estimate" xfId="5977" xr:uid="{00000000-0005-0000-0000-0000ADD30000}"/>
    <cellStyle name="Year, Actual" xfId="5978" xr:uid="{00000000-0005-0000-0000-0000AED30000}"/>
    <cellStyle name="YearE_ Pies " xfId="5979" xr:uid="{00000000-0005-0000-0000-0000AFD30000}"/>
    <cellStyle name="YearFormat" xfId="5980" xr:uid="{00000000-0005-0000-0000-0000B0D30000}"/>
    <cellStyle name="Yen" xfId="5981" xr:uid="{00000000-0005-0000-0000-0000B1D30000}"/>
    <cellStyle name="YesNo" xfId="5982" xr:uid="{00000000-0005-0000-0000-0000B2D30000}"/>
    <cellStyle name="쬞\?1@" xfId="5983" xr:uid="{00000000-0005-0000-0000-0000B3D30000}"/>
    <cellStyle name="常规 2" xfId="5984" xr:uid="{00000000-0005-0000-0000-0000B4D30000}"/>
    <cellStyle name="標準_car_JP" xfId="5985" xr:uid="{00000000-0005-0000-0000-0000B5D30000}"/>
  </cellStyles>
  <dxfs count="135">
    <dxf>
      <font>
        <b/>
        <i val="0"/>
        <condense val="0"/>
        <extend val="0"/>
        <color auto="1"/>
      </font>
      <fill>
        <patternFill>
          <bgColor indexed="1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99"/>
      <color rgb="FF4BEB35"/>
      <color rgb="FFCCFFCC"/>
      <color rgb="FF97F6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Monthly Predicted vs Actual kWh </a:t>
            </a:r>
          </a:p>
        </c:rich>
      </c:tx>
      <c:overlay val="0"/>
    </c:title>
    <c:autoTitleDeleted val="0"/>
    <c:plotArea>
      <c:layout>
        <c:manualLayout>
          <c:layoutTarget val="inner"/>
          <c:xMode val="edge"/>
          <c:yMode val="edge"/>
          <c:x val="0.11816225180067355"/>
          <c:y val="0.1687808174556755"/>
          <c:w val="0.70708685180478059"/>
          <c:h val="0.69338878115451885"/>
        </c:manualLayout>
      </c:layout>
      <c:lineChart>
        <c:grouping val="standard"/>
        <c:varyColors val="0"/>
        <c:ser>
          <c:idx val="1"/>
          <c:order val="0"/>
          <c:tx>
            <c:strRef>
              <c:f>'Purchased Power Model No CDM'!$V$5</c:f>
              <c:strCache>
                <c:ptCount val="1"/>
                <c:pt idx="0">
                  <c:v>Predicted Purchases(kWh)</c:v>
                </c:pt>
              </c:strCache>
            </c:strRef>
          </c:tx>
          <c:spPr>
            <a:ln>
              <a:solidFill>
                <a:srgbClr val="0070C0"/>
              </a:solidFill>
            </a:ln>
          </c:spPr>
          <c:marker>
            <c:symbol val="none"/>
          </c:marker>
          <c:cat>
            <c:numRef>
              <c:extLst>
                <c:ext xmlns:c15="http://schemas.microsoft.com/office/drawing/2012/chart" uri="{02D57815-91ED-43cb-92C2-25804820EDAC}">
                  <c15:fullRef>
                    <c15:sqref>'Purchased Power Model No CDM'!$B$6:$B$137</c15:sqref>
                  </c15:fullRef>
                </c:ext>
              </c:extLst>
              <c:f>('Purchased Power Model No CDM'!$B$6:$B$10,'Purchased Power Model No CDM'!$B$18:$B$137)</c:f>
              <c:numCache>
                <c:formatCode>mmm\-yy</c:formatCode>
                <c:ptCount val="125"/>
                <c:pt idx="0">
                  <c:v>40574</c:v>
                </c:pt>
                <c:pt idx="1">
                  <c:v>40602</c:v>
                </c:pt>
                <c:pt idx="2">
                  <c:v>40633</c:v>
                </c:pt>
                <c:pt idx="3">
                  <c:v>40663</c:v>
                </c:pt>
                <c:pt idx="4">
                  <c:v>40694</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pt idx="121">
                  <c:v>44469</c:v>
                </c:pt>
                <c:pt idx="122">
                  <c:v>44500</c:v>
                </c:pt>
                <c:pt idx="123">
                  <c:v>44530</c:v>
                </c:pt>
                <c:pt idx="124">
                  <c:v>44561</c:v>
                </c:pt>
              </c:numCache>
            </c:numRef>
          </c:cat>
          <c:val>
            <c:numRef>
              <c:extLst>
                <c:ext xmlns:c15="http://schemas.microsoft.com/office/drawing/2012/chart" uri="{02D57815-91ED-43cb-92C2-25804820EDAC}">
                  <c15:fullRef>
                    <c15:sqref>'Purchased Power Model No CDM'!$V$6:$V$137</c15:sqref>
                  </c15:fullRef>
                </c:ext>
              </c:extLst>
              <c:f>('Purchased Power Model No CDM'!$V$6:$V$10,'Purchased Power Model No CDM'!$V$18:$V$137)</c:f>
              <c:numCache>
                <c:formatCode>_-* #,##0_-;\-* #,##0_-;_-* "-"??_-;_-@_-</c:formatCode>
                <c:ptCount val="125"/>
                <c:pt idx="0">
                  <c:v>11972330.942754088</c:v>
                </c:pt>
                <c:pt idx="1">
                  <c:v>10751088.334753316</c:v>
                </c:pt>
                <c:pt idx="2">
                  <c:v>11005120.34260444</c:v>
                </c:pt>
                <c:pt idx="3">
                  <c:v>8993227.7856842652</c:v>
                </c:pt>
                <c:pt idx="4">
                  <c:v>8607611.8101226855</c:v>
                </c:pt>
                <c:pt idx="5">
                  <c:v>11653131.861446839</c:v>
                </c:pt>
                <c:pt idx="6">
                  <c:v>10577646.618456421</c:v>
                </c:pt>
                <c:pt idx="7">
                  <c:v>10067343.839188626</c:v>
                </c:pt>
                <c:pt idx="8">
                  <c:v>8989642.5168151055</c:v>
                </c:pt>
                <c:pt idx="9">
                  <c:v>8429151.6084366757</c:v>
                </c:pt>
                <c:pt idx="10">
                  <c:v>9017771.4104956314</c:v>
                </c:pt>
                <c:pt idx="11">
                  <c:v>10114691.978525821</c:v>
                </c:pt>
                <c:pt idx="12">
                  <c:v>9941820.8360393401</c:v>
                </c:pt>
                <c:pt idx="13">
                  <c:v>8543131.652225541</c:v>
                </c:pt>
                <c:pt idx="14">
                  <c:v>8748542.0297161024</c:v>
                </c:pt>
                <c:pt idx="15">
                  <c:v>9813431.929801831</c:v>
                </c:pt>
                <c:pt idx="16">
                  <c:v>10943679.451963034</c:v>
                </c:pt>
                <c:pt idx="17">
                  <c:v>11624988.669342354</c:v>
                </c:pt>
                <c:pt idx="18">
                  <c:v>10494453.486344257</c:v>
                </c:pt>
                <c:pt idx="19">
                  <c:v>10503682.956864249</c:v>
                </c:pt>
                <c:pt idx="20">
                  <c:v>9006427.7173660435</c:v>
                </c:pt>
                <c:pt idx="21">
                  <c:v>8303427.1493035825</c:v>
                </c:pt>
                <c:pt idx="22">
                  <c:v>8488834.1680316292</c:v>
                </c:pt>
                <c:pt idx="23">
                  <c:v>9667777.6479812935</c:v>
                </c:pt>
                <c:pt idx="24">
                  <c:v>9175663.520534493</c:v>
                </c:pt>
                <c:pt idx="25">
                  <c:v>8342829.0313335471</c:v>
                </c:pt>
                <c:pt idx="26">
                  <c:v>8660940.4390460402</c:v>
                </c:pt>
                <c:pt idx="27">
                  <c:v>9720853.7592961472</c:v>
                </c:pt>
                <c:pt idx="28">
                  <c:v>11484537.412624311</c:v>
                </c:pt>
                <c:pt idx="29">
                  <c:v>11846069.418437539</c:v>
                </c:pt>
                <c:pt idx="30">
                  <c:v>10655662.378351187</c:v>
                </c:pt>
                <c:pt idx="31">
                  <c:v>11182639.507597711</c:v>
                </c:pt>
                <c:pt idx="32">
                  <c:v>8843926.2101149522</c:v>
                </c:pt>
                <c:pt idx="33">
                  <c:v>8055577.4847912705</c:v>
                </c:pt>
                <c:pt idx="34">
                  <c:v>8491388.5652576759</c:v>
                </c:pt>
                <c:pt idx="35">
                  <c:v>8761856.2627111785</c:v>
                </c:pt>
                <c:pt idx="36">
                  <c:v>9013369.5280753169</c:v>
                </c:pt>
                <c:pt idx="37">
                  <c:v>8349909.5156569965</c:v>
                </c:pt>
                <c:pt idx="38">
                  <c:v>8543848.3278466854</c:v>
                </c:pt>
                <c:pt idx="39">
                  <c:v>9325420.1365119126</c:v>
                </c:pt>
                <c:pt idx="40">
                  <c:v>10710399.621617245</c:v>
                </c:pt>
                <c:pt idx="41">
                  <c:v>11888093.671166766</c:v>
                </c:pt>
                <c:pt idx="42">
                  <c:v>11253455.104162265</c:v>
                </c:pt>
                <c:pt idx="43">
                  <c:v>10831537.903900368</c:v>
                </c:pt>
                <c:pt idx="44">
                  <c:v>8584284.019085452</c:v>
                </c:pt>
                <c:pt idx="45">
                  <c:v>7984808.2616715739</c:v>
                </c:pt>
                <c:pt idx="46">
                  <c:v>8009065.0347641269</c:v>
                </c:pt>
                <c:pt idx="47">
                  <c:v>9205984.9543220196</c:v>
                </c:pt>
                <c:pt idx="48">
                  <c:v>8998487.6907975115</c:v>
                </c:pt>
                <c:pt idx="49">
                  <c:v>8335022.8817019574</c:v>
                </c:pt>
                <c:pt idx="50">
                  <c:v>8667836.4670090228</c:v>
                </c:pt>
                <c:pt idx="51">
                  <c:v>8901773.0709412098</c:v>
                </c:pt>
                <c:pt idx="52">
                  <c:v>9817514.2121871375</c:v>
                </c:pt>
                <c:pt idx="53">
                  <c:v>10997952.440908765</c:v>
                </c:pt>
                <c:pt idx="54">
                  <c:v>10462502.92023248</c:v>
                </c:pt>
                <c:pt idx="55">
                  <c:v>10099598.223028854</c:v>
                </c:pt>
                <c:pt idx="56">
                  <c:v>8872106.9048992824</c:v>
                </c:pt>
                <c:pt idx="57">
                  <c:v>8193026.408297508</c:v>
                </c:pt>
                <c:pt idx="58">
                  <c:v>8328802.4881977458</c:v>
                </c:pt>
                <c:pt idx="59">
                  <c:v>9140504.5811407305</c:v>
                </c:pt>
                <c:pt idx="60">
                  <c:v>9834037.6090495829</c:v>
                </c:pt>
                <c:pt idx="61">
                  <c:v>8002977.7396060377</c:v>
                </c:pt>
                <c:pt idx="62">
                  <c:v>8289883.6784111392</c:v>
                </c:pt>
                <c:pt idx="63">
                  <c:v>8924324.2979771439</c:v>
                </c:pt>
                <c:pt idx="64">
                  <c:v>10574504.583138172</c:v>
                </c:pt>
                <c:pt idx="65">
                  <c:v>10614948.314821329</c:v>
                </c:pt>
                <c:pt idx="66">
                  <c:v>9718097.2350215428</c:v>
                </c:pt>
                <c:pt idx="67">
                  <c:v>10700205.986734238</c:v>
                </c:pt>
                <c:pt idx="68">
                  <c:v>8105271.7939217268</c:v>
                </c:pt>
                <c:pt idx="69">
                  <c:v>8025756.6455157297</c:v>
                </c:pt>
                <c:pt idx="70">
                  <c:v>8170275.6468446907</c:v>
                </c:pt>
                <c:pt idx="71">
                  <c:v>8285881.0251381695</c:v>
                </c:pt>
                <c:pt idx="72">
                  <c:v>8709077.9534898829</c:v>
                </c:pt>
                <c:pt idx="73">
                  <c:v>8214263.8677354027</c:v>
                </c:pt>
                <c:pt idx="74">
                  <c:v>7818979.0705967378</c:v>
                </c:pt>
                <c:pt idx="75">
                  <c:v>9201780.7373233158</c:v>
                </c:pt>
                <c:pt idx="76">
                  <c:v>11001107.187967146</c:v>
                </c:pt>
                <c:pt idx="77">
                  <c:v>11199071.340093829</c:v>
                </c:pt>
                <c:pt idx="78">
                  <c:v>9520074.9844989367</c:v>
                </c:pt>
                <c:pt idx="79">
                  <c:v>9944789.2337552998</c:v>
                </c:pt>
                <c:pt idx="80">
                  <c:v>8664540.4462561645</c:v>
                </c:pt>
                <c:pt idx="81">
                  <c:v>7654569.8942385223</c:v>
                </c:pt>
                <c:pt idx="82">
                  <c:v>7803678.7165960018</c:v>
                </c:pt>
                <c:pt idx="83">
                  <c:v>9608098.6971887574</c:v>
                </c:pt>
                <c:pt idx="84">
                  <c:v>9461207.8193698935</c:v>
                </c:pt>
                <c:pt idx="85">
                  <c:v>8118341.5820935406</c:v>
                </c:pt>
                <c:pt idx="86">
                  <c:v>8463585.0167840701</c:v>
                </c:pt>
                <c:pt idx="87">
                  <c:v>9336768.3780507166</c:v>
                </c:pt>
                <c:pt idx="88">
                  <c:v>10422002.752182063</c:v>
                </c:pt>
                <c:pt idx="89">
                  <c:v>11310896.875524314</c:v>
                </c:pt>
                <c:pt idx="90">
                  <c:v>9912467.9086203724</c:v>
                </c:pt>
                <c:pt idx="91">
                  <c:v>10175921.462507637</c:v>
                </c:pt>
                <c:pt idx="92">
                  <c:v>8300013.2501085503</c:v>
                </c:pt>
                <c:pt idx="93">
                  <c:v>7744467.9024019241</c:v>
                </c:pt>
                <c:pt idx="94">
                  <c:v>7634370.3991914559</c:v>
                </c:pt>
                <c:pt idx="95">
                  <c:v>9180550.0285514183</c:v>
                </c:pt>
                <c:pt idx="96">
                  <c:v>8379019.4219617583</c:v>
                </c:pt>
                <c:pt idx="97">
                  <c:v>7470809.8309675828</c:v>
                </c:pt>
                <c:pt idx="98">
                  <c:v>8015472.0843652561</c:v>
                </c:pt>
                <c:pt idx="99">
                  <c:v>9210976.6225909628</c:v>
                </c:pt>
                <c:pt idx="100">
                  <c:v>10139076.401811492</c:v>
                </c:pt>
                <c:pt idx="101">
                  <c:v>10405774.882163759</c:v>
                </c:pt>
                <c:pt idx="102">
                  <c:v>9788968.6237987354</c:v>
                </c:pt>
                <c:pt idx="103">
                  <c:v>9538134.1781541184</c:v>
                </c:pt>
                <c:pt idx="104">
                  <c:v>8217801.5260705277</c:v>
                </c:pt>
                <c:pt idx="105">
                  <c:v>8288433.1880070306</c:v>
                </c:pt>
                <c:pt idx="106">
                  <c:v>8600312.2628812753</c:v>
                </c:pt>
                <c:pt idx="107">
                  <c:v>10299540.277931523</c:v>
                </c:pt>
                <c:pt idx="108">
                  <c:v>8965439.6848594602</c:v>
                </c:pt>
                <c:pt idx="109">
                  <c:v>7995289.5607359447</c:v>
                </c:pt>
                <c:pt idx="110">
                  <c:v>8459113.7311975788</c:v>
                </c:pt>
                <c:pt idx="111">
                  <c:v>8740248.5874329153</c:v>
                </c:pt>
                <c:pt idx="112">
                  <c:v>10321572.490324203</c:v>
                </c:pt>
                <c:pt idx="113">
                  <c:v>10749023.786468709</c:v>
                </c:pt>
                <c:pt idx="114">
                  <c:v>10026858.994488291</c:v>
                </c:pt>
                <c:pt idx="115">
                  <c:v>9981531.7168981377</c:v>
                </c:pt>
                <c:pt idx="116">
                  <c:v>8046869.7972084191</c:v>
                </c:pt>
                <c:pt idx="117">
                  <c:v>8032479.856121581</c:v>
                </c:pt>
                <c:pt idx="118">
                  <c:v>8637590.816031171</c:v>
                </c:pt>
                <c:pt idx="119">
                  <c:v>8401901.6329881586</c:v>
                </c:pt>
                <c:pt idx="120">
                  <c:v>9799866.5684041902</c:v>
                </c:pt>
                <c:pt idx="121">
                  <c:v>7507067.2982987855</c:v>
                </c:pt>
                <c:pt idx="122">
                  <c:v>7743458.57497981</c:v>
                </c:pt>
                <c:pt idx="123">
                  <c:v>9020205.0978628863</c:v>
                </c:pt>
                <c:pt idx="124">
                  <c:v>10285684.976880012</c:v>
                </c:pt>
              </c:numCache>
            </c:numRef>
          </c:val>
          <c:smooth val="0"/>
          <c:extLst>
            <c:ext xmlns:c16="http://schemas.microsoft.com/office/drawing/2014/chart" uri="{C3380CC4-5D6E-409C-BE32-E72D297353CC}">
              <c16:uniqueId val="{00000000-C679-43C2-AE13-AA9E4865C5B2}"/>
            </c:ext>
          </c:extLst>
        </c:ser>
        <c:ser>
          <c:idx val="0"/>
          <c:order val="1"/>
          <c:tx>
            <c:strRef>
              <c:f>'Purchased Power Model No CDM'!$H$5</c:f>
              <c:strCache>
                <c:ptCount val="1"/>
                <c:pt idx="0">
                  <c:v>Adjusted Actual Purchases kWh</c:v>
                </c:pt>
              </c:strCache>
            </c:strRef>
          </c:tx>
          <c:spPr>
            <a:ln>
              <a:solidFill>
                <a:srgbClr val="C00000"/>
              </a:solidFill>
            </a:ln>
          </c:spPr>
          <c:marker>
            <c:symbol val="none"/>
          </c:marker>
          <c:cat>
            <c:numRef>
              <c:extLst>
                <c:ext xmlns:c15="http://schemas.microsoft.com/office/drawing/2012/chart" uri="{02D57815-91ED-43cb-92C2-25804820EDAC}">
                  <c15:fullRef>
                    <c15:sqref>'Purchased Power Model No CDM'!$B$6:$B$137</c15:sqref>
                  </c15:fullRef>
                </c:ext>
              </c:extLst>
              <c:f>('Purchased Power Model No CDM'!$B$6:$B$10,'Purchased Power Model No CDM'!$B$18:$B$137)</c:f>
              <c:numCache>
                <c:formatCode>mmm\-yy</c:formatCode>
                <c:ptCount val="125"/>
                <c:pt idx="0">
                  <c:v>40574</c:v>
                </c:pt>
                <c:pt idx="1">
                  <c:v>40602</c:v>
                </c:pt>
                <c:pt idx="2">
                  <c:v>40633</c:v>
                </c:pt>
                <c:pt idx="3">
                  <c:v>40663</c:v>
                </c:pt>
                <c:pt idx="4">
                  <c:v>40694</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pt idx="113">
                  <c:v>44227</c:v>
                </c:pt>
                <c:pt idx="114">
                  <c:v>44255</c:v>
                </c:pt>
                <c:pt idx="115">
                  <c:v>44286</c:v>
                </c:pt>
                <c:pt idx="116">
                  <c:v>44316</c:v>
                </c:pt>
                <c:pt idx="117">
                  <c:v>44347</c:v>
                </c:pt>
                <c:pt idx="118">
                  <c:v>44377</c:v>
                </c:pt>
                <c:pt idx="119">
                  <c:v>44408</c:v>
                </c:pt>
                <c:pt idx="120">
                  <c:v>44439</c:v>
                </c:pt>
                <c:pt idx="121">
                  <c:v>44469</c:v>
                </c:pt>
                <c:pt idx="122">
                  <c:v>44500</c:v>
                </c:pt>
                <c:pt idx="123">
                  <c:v>44530</c:v>
                </c:pt>
                <c:pt idx="124">
                  <c:v>44561</c:v>
                </c:pt>
              </c:numCache>
            </c:numRef>
          </c:cat>
          <c:val>
            <c:numRef>
              <c:extLst>
                <c:ext xmlns:c15="http://schemas.microsoft.com/office/drawing/2012/chart" uri="{02D57815-91ED-43cb-92C2-25804820EDAC}">
                  <c15:fullRef>
                    <c15:sqref>'Purchased Power Model No CDM'!$H$6:$H$137</c15:sqref>
                  </c15:fullRef>
                </c:ext>
              </c:extLst>
              <c:f>('Purchased Power Model No CDM'!$H$6:$H$10,'Purchased Power Model No CDM'!$H$18:$H$137)</c:f>
              <c:numCache>
                <c:formatCode>_-* #,##0_-;\-* #,##0_-;_-* "-"??_-;_-@_-</c:formatCode>
                <c:ptCount val="125"/>
                <c:pt idx="0">
                  <c:v>12134384</c:v>
                </c:pt>
                <c:pt idx="1">
                  <c:v>10867487</c:v>
                </c:pt>
                <c:pt idx="2">
                  <c:v>11070010</c:v>
                </c:pt>
                <c:pt idx="3">
                  <c:v>9075017</c:v>
                </c:pt>
                <c:pt idx="4">
                  <c:v>8659105</c:v>
                </c:pt>
                <c:pt idx="5">
                  <c:v>11700033</c:v>
                </c:pt>
                <c:pt idx="6">
                  <c:v>10398024</c:v>
                </c:pt>
                <c:pt idx="7">
                  <c:v>9874057</c:v>
                </c:pt>
                <c:pt idx="8">
                  <c:v>8708404</c:v>
                </c:pt>
                <c:pt idx="9">
                  <c:v>8482332</c:v>
                </c:pt>
                <c:pt idx="10">
                  <c:v>9036890</c:v>
                </c:pt>
                <c:pt idx="11">
                  <c:v>9784641</c:v>
                </c:pt>
                <c:pt idx="12">
                  <c:v>9437648</c:v>
                </c:pt>
                <c:pt idx="13">
                  <c:v>8462407</c:v>
                </c:pt>
                <c:pt idx="14">
                  <c:v>8667157</c:v>
                </c:pt>
                <c:pt idx="15">
                  <c:v>9769298</c:v>
                </c:pt>
                <c:pt idx="16">
                  <c:v>10959599</c:v>
                </c:pt>
                <c:pt idx="17">
                  <c:v>12001631</c:v>
                </c:pt>
                <c:pt idx="18">
                  <c:v>10704529</c:v>
                </c:pt>
                <c:pt idx="19">
                  <c:v>10579437</c:v>
                </c:pt>
                <c:pt idx="20">
                  <c:v>9123026</c:v>
                </c:pt>
                <c:pt idx="21">
                  <c:v>8213090</c:v>
                </c:pt>
                <c:pt idx="22">
                  <c:v>8286351</c:v>
                </c:pt>
                <c:pt idx="23">
                  <c:v>9600048</c:v>
                </c:pt>
                <c:pt idx="24">
                  <c:v>9618514</c:v>
                </c:pt>
                <c:pt idx="25">
                  <c:v>8193461</c:v>
                </c:pt>
                <c:pt idx="26">
                  <c:v>8730286</c:v>
                </c:pt>
                <c:pt idx="27">
                  <c:v>9929183</c:v>
                </c:pt>
                <c:pt idx="28">
                  <c:v>11615539</c:v>
                </c:pt>
                <c:pt idx="29">
                  <c:v>12523093</c:v>
                </c:pt>
                <c:pt idx="30">
                  <c:v>10696289</c:v>
                </c:pt>
                <c:pt idx="31">
                  <c:v>11276393</c:v>
                </c:pt>
                <c:pt idx="32">
                  <c:v>9034518</c:v>
                </c:pt>
                <c:pt idx="33">
                  <c:v>8288462</c:v>
                </c:pt>
                <c:pt idx="34">
                  <c:v>8579621</c:v>
                </c:pt>
                <c:pt idx="35">
                  <c:v>9079781</c:v>
                </c:pt>
                <c:pt idx="36">
                  <c:v>8988796</c:v>
                </c:pt>
                <c:pt idx="37">
                  <c:v>8463316</c:v>
                </c:pt>
                <c:pt idx="38">
                  <c:v>8667688</c:v>
                </c:pt>
                <c:pt idx="39">
                  <c:v>9596696</c:v>
                </c:pt>
                <c:pt idx="40">
                  <c:v>10755083</c:v>
                </c:pt>
                <c:pt idx="41">
                  <c:v>12181568.15</c:v>
                </c:pt>
                <c:pt idx="42">
                  <c:v>11447914.18</c:v>
                </c:pt>
                <c:pt idx="43">
                  <c:v>10929864.359999999</c:v>
                </c:pt>
                <c:pt idx="44">
                  <c:v>8733624</c:v>
                </c:pt>
                <c:pt idx="45">
                  <c:v>8224665.5700000003</c:v>
                </c:pt>
                <c:pt idx="46">
                  <c:v>8091482.46</c:v>
                </c:pt>
                <c:pt idx="47">
                  <c:v>8980189.4600000009</c:v>
                </c:pt>
                <c:pt idx="48">
                  <c:v>8937907.9100000001</c:v>
                </c:pt>
                <c:pt idx="49">
                  <c:v>8495279.6799999997</c:v>
                </c:pt>
                <c:pt idx="50">
                  <c:v>8448427.8100000005</c:v>
                </c:pt>
                <c:pt idx="51">
                  <c:v>8792027.0199999996</c:v>
                </c:pt>
                <c:pt idx="52">
                  <c:v>9421435.3499999996</c:v>
                </c:pt>
                <c:pt idx="53">
                  <c:v>10991287.470000001</c:v>
                </c:pt>
                <c:pt idx="54">
                  <c:v>10463596.439999999</c:v>
                </c:pt>
                <c:pt idx="55">
                  <c:v>9911616</c:v>
                </c:pt>
                <c:pt idx="56">
                  <c:v>8458651</c:v>
                </c:pt>
                <c:pt idx="57">
                  <c:v>7981694</c:v>
                </c:pt>
                <c:pt idx="58">
                  <c:v>8163034</c:v>
                </c:pt>
                <c:pt idx="59">
                  <c:v>9091044</c:v>
                </c:pt>
                <c:pt idx="60">
                  <c:v>9527175</c:v>
                </c:pt>
                <c:pt idx="61">
                  <c:v>8062338.4400000004</c:v>
                </c:pt>
                <c:pt idx="62">
                  <c:v>8079602</c:v>
                </c:pt>
                <c:pt idx="63">
                  <c:v>8796258</c:v>
                </c:pt>
                <c:pt idx="64">
                  <c:v>10208176</c:v>
                </c:pt>
                <c:pt idx="65">
                  <c:v>10466845</c:v>
                </c:pt>
                <c:pt idx="66">
                  <c:v>9415533</c:v>
                </c:pt>
                <c:pt idx="67">
                  <c:v>10455799</c:v>
                </c:pt>
                <c:pt idx="68">
                  <c:v>8080526</c:v>
                </c:pt>
                <c:pt idx="69">
                  <c:v>7844439</c:v>
                </c:pt>
                <c:pt idx="70">
                  <c:v>7891979</c:v>
                </c:pt>
                <c:pt idx="71">
                  <c:v>8455074</c:v>
                </c:pt>
                <c:pt idx="72">
                  <c:v>8648638</c:v>
                </c:pt>
                <c:pt idx="73">
                  <c:v>8083641</c:v>
                </c:pt>
                <c:pt idx="74">
                  <c:v>7989198</c:v>
                </c:pt>
                <c:pt idx="75">
                  <c:v>9164555</c:v>
                </c:pt>
                <c:pt idx="76">
                  <c:v>10690172</c:v>
                </c:pt>
                <c:pt idx="77">
                  <c:v>11414673</c:v>
                </c:pt>
                <c:pt idx="78">
                  <c:v>9441551.3499999996</c:v>
                </c:pt>
                <c:pt idx="79">
                  <c:v>9783376</c:v>
                </c:pt>
                <c:pt idx="80">
                  <c:v>8763985</c:v>
                </c:pt>
                <c:pt idx="81">
                  <c:v>7680410</c:v>
                </c:pt>
                <c:pt idx="82">
                  <c:v>7845956</c:v>
                </c:pt>
                <c:pt idx="83">
                  <c:v>9709721</c:v>
                </c:pt>
                <c:pt idx="84">
                  <c:v>9521412</c:v>
                </c:pt>
                <c:pt idx="85">
                  <c:v>8256576</c:v>
                </c:pt>
                <c:pt idx="86">
                  <c:v>8277307</c:v>
                </c:pt>
                <c:pt idx="87">
                  <c:v>9373459</c:v>
                </c:pt>
                <c:pt idx="88">
                  <c:v>10217163</c:v>
                </c:pt>
                <c:pt idx="89">
                  <c:v>11358371</c:v>
                </c:pt>
                <c:pt idx="90">
                  <c:v>9958176</c:v>
                </c:pt>
                <c:pt idx="91">
                  <c:v>10092612</c:v>
                </c:pt>
                <c:pt idx="92">
                  <c:v>8531518</c:v>
                </c:pt>
                <c:pt idx="93">
                  <c:v>7809399.8799999999</c:v>
                </c:pt>
                <c:pt idx="94">
                  <c:v>7774207.0300000003</c:v>
                </c:pt>
                <c:pt idx="95">
                  <c:v>9568434.4900000002</c:v>
                </c:pt>
                <c:pt idx="96">
                  <c:v>8698039.0899999999</c:v>
                </c:pt>
                <c:pt idx="97">
                  <c:v>7571101.8399999999</c:v>
                </c:pt>
                <c:pt idx="98">
                  <c:v>7912986.9900000002</c:v>
                </c:pt>
                <c:pt idx="99">
                  <c:v>9266906.8499999996</c:v>
                </c:pt>
                <c:pt idx="100">
                  <c:v>10208594.110000001</c:v>
                </c:pt>
                <c:pt idx="101">
                  <c:v>10476515.59</c:v>
                </c:pt>
                <c:pt idx="102">
                  <c:v>9819257</c:v>
                </c:pt>
                <c:pt idx="103">
                  <c:v>9516021</c:v>
                </c:pt>
                <c:pt idx="104">
                  <c:v>8032448.8899999997</c:v>
                </c:pt>
                <c:pt idx="105">
                  <c:v>7949233</c:v>
                </c:pt>
                <c:pt idx="106">
                  <c:v>8525132.0999999996</c:v>
                </c:pt>
                <c:pt idx="107">
                  <c:v>10343833.210000001</c:v>
                </c:pt>
                <c:pt idx="108">
                  <c:v>9215374.9000000004</c:v>
                </c:pt>
                <c:pt idx="109">
                  <c:v>7634416.9900000002</c:v>
                </c:pt>
                <c:pt idx="110">
                  <c:v>8199976.1500000004</c:v>
                </c:pt>
                <c:pt idx="111">
                  <c:v>8714889.8900000006</c:v>
                </c:pt>
                <c:pt idx="112">
                  <c:v>10056660.689999999</c:v>
                </c:pt>
                <c:pt idx="113">
                  <c:v>10500575.33</c:v>
                </c:pt>
                <c:pt idx="114">
                  <c:v>9794475.1699999999</c:v>
                </c:pt>
                <c:pt idx="115">
                  <c:v>9794288.4199999999</c:v>
                </c:pt>
                <c:pt idx="116">
                  <c:v>7935328.9500000002</c:v>
                </c:pt>
                <c:pt idx="117">
                  <c:v>8052762.0499999998</c:v>
                </c:pt>
                <c:pt idx="118">
                  <c:v>8747054.9199999999</c:v>
                </c:pt>
                <c:pt idx="119">
                  <c:v>8951818.2600000016</c:v>
                </c:pt>
                <c:pt idx="120">
                  <c:v>10035743.069999998</c:v>
                </c:pt>
                <c:pt idx="121">
                  <c:v>8061276.46</c:v>
                </c:pt>
                <c:pt idx="122">
                  <c:v>8079990.7800000003</c:v>
                </c:pt>
                <c:pt idx="123">
                  <c:v>9089121.3999999985</c:v>
                </c:pt>
                <c:pt idx="124">
                  <c:v>10220537.16</c:v>
                </c:pt>
              </c:numCache>
            </c:numRef>
          </c:val>
          <c:smooth val="0"/>
          <c:extLst>
            <c:ext xmlns:c16="http://schemas.microsoft.com/office/drawing/2014/chart" uri="{C3380CC4-5D6E-409C-BE32-E72D297353CC}">
              <c16:uniqueId val="{00000001-C679-43C2-AE13-AA9E4865C5B2}"/>
            </c:ext>
          </c:extLst>
        </c:ser>
        <c:dLbls>
          <c:showLegendKey val="0"/>
          <c:showVal val="0"/>
          <c:showCatName val="0"/>
          <c:showSerName val="0"/>
          <c:showPercent val="0"/>
          <c:showBubbleSize val="0"/>
        </c:dLbls>
        <c:smooth val="0"/>
        <c:axId val="227378752"/>
        <c:axId val="227378360"/>
      </c:lineChart>
      <c:dateAx>
        <c:axId val="227378752"/>
        <c:scaling>
          <c:orientation val="minMax"/>
        </c:scaling>
        <c:delete val="0"/>
        <c:axPos val="b"/>
        <c:numFmt formatCode="mmm\-yy" sourceLinked="1"/>
        <c:majorTickMark val="out"/>
        <c:minorTickMark val="none"/>
        <c:tickLblPos val="nextTo"/>
        <c:crossAx val="227378360"/>
        <c:crosses val="autoZero"/>
        <c:auto val="1"/>
        <c:lblOffset val="100"/>
        <c:baseTimeUnit val="months"/>
      </c:dateAx>
      <c:valAx>
        <c:axId val="227378360"/>
        <c:scaling>
          <c:orientation val="minMax"/>
          <c:max val="14000000"/>
          <c:min val="7000000"/>
        </c:scaling>
        <c:delete val="0"/>
        <c:axPos val="l"/>
        <c:majorGridlines/>
        <c:numFmt formatCode="_-* #,##0_-;\-* #,##0_-;_-* &quot;-&quot;??_-;_-@_-" sourceLinked="1"/>
        <c:majorTickMark val="out"/>
        <c:minorTickMark val="none"/>
        <c:tickLblPos val="nextTo"/>
        <c:crossAx val="227378752"/>
        <c:crosses val="autoZero"/>
        <c:crossBetween val="between"/>
      </c:valAx>
    </c:plotArea>
    <c:legend>
      <c:legendPos val="r"/>
      <c:layout>
        <c:manualLayout>
          <c:xMode val="edge"/>
          <c:yMode val="edge"/>
          <c:x val="0.50020156509687419"/>
          <c:y val="0.19244661555114798"/>
          <c:w val="0.27422544973720964"/>
          <c:h val="0.1268976728547238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 Predicted</a:t>
            </a:r>
            <a:r>
              <a:rPr lang="en-US" sz="1100" baseline="0"/>
              <a:t> Purchase vs Actual Purchase </a:t>
            </a:r>
            <a:endParaRPr lang="en-US" sz="1100"/>
          </a:p>
        </c:rich>
      </c:tx>
      <c:overlay val="1"/>
    </c:title>
    <c:autoTitleDeleted val="0"/>
    <c:plotArea>
      <c:layout>
        <c:manualLayout>
          <c:layoutTarget val="inner"/>
          <c:xMode val="edge"/>
          <c:yMode val="edge"/>
          <c:x val="0.17085544398261196"/>
          <c:y val="0.20097373324517642"/>
          <c:w val="0.72609264993784484"/>
          <c:h val="0.59340528775366497"/>
        </c:manualLayout>
      </c:layout>
      <c:barChart>
        <c:barDir val="col"/>
        <c:grouping val="clustered"/>
        <c:varyColors val="0"/>
        <c:ser>
          <c:idx val="0"/>
          <c:order val="0"/>
          <c:tx>
            <c:strRef>
              <c:f>'Purchased Power Model No CDM'!$AC$37</c:f>
              <c:strCache>
                <c:ptCount val="1"/>
                <c:pt idx="0">
                  <c:v>Predicted Purchase</c:v>
                </c:pt>
              </c:strCache>
            </c:strRef>
          </c:tx>
          <c:invertIfNegative val="0"/>
          <c:cat>
            <c:strRef>
              <c:f>'Purchased Power Model No CDM'!$AB$38:$AB$48</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'Purchased Power Model No CDM'!$AC$38:$AC$48</c:f>
              <c:numCache>
                <c:formatCode>_-* #,##0_-;\-* #,##0_-;_-* "-"??_-;_-@_-</c:formatCode>
                <c:ptCount val="11"/>
                <c:pt idx="0">
                  <c:v>117835341.89024752</c:v>
                </c:pt>
                <c:pt idx="1">
                  <c:v>116839985.73311096</c:v>
                </c:pt>
                <c:pt idx="2">
                  <c:v>115474415.95806794</c:v>
                </c:pt>
                <c:pt idx="3">
                  <c:v>113780066.95696968</c:v>
                </c:pt>
                <c:pt idx="4">
                  <c:v>112477863.27170941</c:v>
                </c:pt>
                <c:pt idx="5">
                  <c:v>111720221.87488745</c:v>
                </c:pt>
                <c:pt idx="6">
                  <c:v>108565645.46510991</c:v>
                </c:pt>
                <c:pt idx="7">
                  <c:v>110196728.8611078</c:v>
                </c:pt>
                <c:pt idx="8">
                  <c:v>107474042.1886027</c:v>
                </c:pt>
                <c:pt idx="9">
                  <c:v>109620628.99355707</c:v>
                </c:pt>
                <c:pt idx="10">
                  <c:v>108232539.11663017</c:v>
                </c:pt>
              </c:numCache>
            </c:numRef>
          </c:val>
          <c:extLst>
            <c:ext xmlns:c16="http://schemas.microsoft.com/office/drawing/2014/chart" uri="{C3380CC4-5D6E-409C-BE32-E72D297353CC}">
              <c16:uniqueId val="{00000000-36DA-42A0-9DF8-260A7CD7D45B}"/>
            </c:ext>
          </c:extLst>
        </c:ser>
        <c:ser>
          <c:idx val="1"/>
          <c:order val="1"/>
          <c:tx>
            <c:strRef>
              <c:f>'Purchased Power Model No CDM'!$AD$37</c:f>
              <c:strCache>
                <c:ptCount val="1"/>
                <c:pt idx="0">
                  <c:v>Actual Purchase</c:v>
                </c:pt>
              </c:strCache>
            </c:strRef>
          </c:tx>
          <c:invertIfNegative val="0"/>
          <c:cat>
            <c:strRef>
              <c:f>'Purchased Power Model No CDM'!$AB$38:$AB$48</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'Purchased Power Model No CDM'!$AD$38:$AD$48</c:f>
              <c:numCache>
                <c:formatCode>_-* #,##0_-;\-* #,##0_-;_-* "-"??_-;_-@_-</c:formatCode>
                <c:ptCount val="11"/>
                <c:pt idx="0">
                  <c:v>118004234</c:v>
                </c:pt>
                <c:pt idx="1">
                  <c:v>115280490</c:v>
                </c:pt>
                <c:pt idx="2">
                  <c:v>116595095</c:v>
                </c:pt>
                <c:pt idx="3">
                  <c:v>115949736</c:v>
                </c:pt>
                <c:pt idx="4">
                  <c:v>112684385.95</c:v>
                </c:pt>
                <c:pt idx="5">
                  <c:v>109734472.34999999</c:v>
                </c:pt>
                <c:pt idx="6">
                  <c:v>107186399</c:v>
                </c:pt>
                <c:pt idx="7">
                  <c:v>110285589.34999999</c:v>
                </c:pt>
                <c:pt idx="8">
                  <c:v>108750347.28</c:v>
                </c:pt>
                <c:pt idx="9">
                  <c:v>108483759.41</c:v>
                </c:pt>
                <c:pt idx="10">
                  <c:v>109262971.97</c:v>
                </c:pt>
              </c:numCache>
            </c:numRef>
          </c:val>
          <c:extLst>
            <c:ext xmlns:c16="http://schemas.microsoft.com/office/drawing/2014/chart" uri="{C3380CC4-5D6E-409C-BE32-E72D297353CC}">
              <c16:uniqueId val="{00000001-36DA-42A0-9DF8-260A7CD7D45B}"/>
            </c:ext>
          </c:extLst>
        </c:ser>
        <c:dLbls>
          <c:showLegendKey val="0"/>
          <c:showVal val="0"/>
          <c:showCatName val="0"/>
          <c:showSerName val="0"/>
          <c:showPercent val="0"/>
          <c:showBubbleSize val="0"/>
        </c:dLbls>
        <c:gapWidth val="150"/>
        <c:axId val="227379144"/>
        <c:axId val="227377576"/>
      </c:barChart>
      <c:dateAx>
        <c:axId val="227379144"/>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227377576"/>
        <c:crosses val="autoZero"/>
        <c:auto val="0"/>
        <c:lblOffset val="100"/>
        <c:baseTimeUnit val="days"/>
      </c:dateAx>
      <c:valAx>
        <c:axId val="227377576"/>
        <c:scaling>
          <c:orientation val="minMax"/>
          <c:max val="125000000"/>
          <c:min val="95000000"/>
        </c:scaling>
        <c:delete val="0"/>
        <c:axPos val="l"/>
        <c:majorGridlines/>
        <c:title>
          <c:tx>
            <c:rich>
              <a:bodyPr rot="-5400000" vert="horz"/>
              <a:lstStyle/>
              <a:p>
                <a:pPr>
                  <a:defRPr/>
                </a:pPr>
                <a:r>
                  <a:rPr lang="en-US"/>
                  <a:t>kWh</a:t>
                </a:r>
              </a:p>
            </c:rich>
          </c:tx>
          <c:layout>
            <c:manualLayout>
              <c:xMode val="edge"/>
              <c:yMode val="edge"/>
              <c:x val="8.9159595047855686E-3"/>
              <c:y val="0.41550332925941508"/>
            </c:manualLayout>
          </c:layout>
          <c:overlay val="0"/>
        </c:title>
        <c:numFmt formatCode="#,##0" sourceLinked="0"/>
        <c:majorTickMark val="out"/>
        <c:minorTickMark val="none"/>
        <c:tickLblPos val="nextTo"/>
        <c:crossAx val="227379144"/>
        <c:crossesAt val="1"/>
        <c:crossBetween val="between"/>
        <c:majorUnit val="5000000"/>
      </c:valAx>
    </c:plotArea>
    <c:legend>
      <c:legendPos val="r"/>
      <c:layout>
        <c:manualLayout>
          <c:xMode val="edge"/>
          <c:yMode val="edge"/>
          <c:x val="0.82943033906475971"/>
          <c:y val="0.23848022813942155"/>
          <c:w val="0.16206625957469603"/>
          <c:h val="0.1227000060106990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 Predicted</a:t>
            </a:r>
            <a:r>
              <a:rPr lang="en-US" sz="1100" baseline="0"/>
              <a:t> Purchase vs Actual Purchase </a:t>
            </a:r>
            <a:endParaRPr lang="en-US" sz="1100"/>
          </a:p>
        </c:rich>
      </c:tx>
      <c:overlay val="1"/>
    </c:title>
    <c:autoTitleDeleted val="0"/>
    <c:plotArea>
      <c:layout>
        <c:manualLayout>
          <c:layoutTarget val="inner"/>
          <c:xMode val="edge"/>
          <c:yMode val="edge"/>
          <c:x val="0.17085544398261196"/>
          <c:y val="0.20097373324517642"/>
          <c:w val="0.72609264993784484"/>
          <c:h val="0.59340528775366497"/>
        </c:manualLayout>
      </c:layout>
      <c:lineChart>
        <c:grouping val="standard"/>
        <c:varyColors val="0"/>
        <c:ser>
          <c:idx val="0"/>
          <c:order val="0"/>
          <c:tx>
            <c:strRef>
              <c:f>'Purchased Power Model No CDM'!$AC$171</c:f>
              <c:strCache>
                <c:ptCount val="1"/>
                <c:pt idx="0">
                  <c:v>Weather Normalized Purchase</c:v>
                </c:pt>
              </c:strCache>
            </c:strRef>
          </c:tx>
          <c:cat>
            <c:strRef>
              <c:f>'Purchased Power Model No CDM'!$AB$172:$AB$183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'Purchased Power Model No CDM'!$AC$172:$AC$183</c:f>
              <c:numCache>
                <c:formatCode>_-* #,##0_-;\-* #,##0_-;_-* "-"??_-;_-@_-</c:formatCode>
                <c:ptCount val="12"/>
                <c:pt idx="0">
                  <c:v>118415995.09846276</c:v>
                </c:pt>
                <c:pt idx="1">
                  <c:v>117168660.32613999</c:v>
                </c:pt>
                <c:pt idx="2">
                  <c:v>115553454.22827533</c:v>
                </c:pt>
                <c:pt idx="3">
                  <c:v>114094931.0167875</c:v>
                </c:pt>
                <c:pt idx="4">
                  <c:v>112636407.8052997</c:v>
                </c:pt>
                <c:pt idx="5">
                  <c:v>111334567.48018874</c:v>
                </c:pt>
                <c:pt idx="6">
                  <c:v>109664855.82953592</c:v>
                </c:pt>
                <c:pt idx="7">
                  <c:v>108260838.1708363</c:v>
                </c:pt>
                <c:pt idx="8">
                  <c:v>106802314.9593485</c:v>
                </c:pt>
                <c:pt idx="9">
                  <c:v>109093062.85571662</c:v>
                </c:pt>
                <c:pt idx="10">
                  <c:v>109192392.53940925</c:v>
                </c:pt>
                <c:pt idx="11" formatCode="#,##0">
                  <c:v>103699020.77285595</c:v>
                </c:pt>
              </c:numCache>
            </c:numRef>
          </c:val>
          <c:smooth val="0"/>
          <c:extLst>
            <c:ext xmlns:c16="http://schemas.microsoft.com/office/drawing/2014/chart" uri="{C3380CC4-5D6E-409C-BE32-E72D297353CC}">
              <c16:uniqueId val="{00000000-088B-4C4D-9877-0DDA44BEB74A}"/>
            </c:ext>
          </c:extLst>
        </c:ser>
        <c:ser>
          <c:idx val="1"/>
          <c:order val="1"/>
          <c:tx>
            <c:strRef>
              <c:f>'Purchased Power Model No CDM'!$AD$171</c:f>
              <c:strCache>
                <c:ptCount val="1"/>
                <c:pt idx="0">
                  <c:v>Actual Purchase</c:v>
                </c:pt>
              </c:strCache>
            </c:strRef>
          </c:tx>
          <c:cat>
            <c:strRef>
              <c:f>'Purchased Power Model No CDM'!$AB$172:$AB$183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'Purchased Power Model No CDM'!$AD$172:$AD$183</c:f>
              <c:numCache>
                <c:formatCode>_-* #,##0_-;\-* #,##0_-;_-* "-"??_-;_-@_-</c:formatCode>
                <c:ptCount val="12"/>
                <c:pt idx="0">
                  <c:v>118004234</c:v>
                </c:pt>
                <c:pt idx="1">
                  <c:v>115280490</c:v>
                </c:pt>
                <c:pt idx="2">
                  <c:v>116595095</c:v>
                </c:pt>
                <c:pt idx="3">
                  <c:v>115949736</c:v>
                </c:pt>
                <c:pt idx="4">
                  <c:v>112684385.95</c:v>
                </c:pt>
                <c:pt idx="5">
                  <c:v>109734472.34999999</c:v>
                </c:pt>
                <c:pt idx="6">
                  <c:v>107186399</c:v>
                </c:pt>
                <c:pt idx="7">
                  <c:v>110285589.34999999</c:v>
                </c:pt>
                <c:pt idx="8">
                  <c:v>108750347.28</c:v>
                </c:pt>
                <c:pt idx="9">
                  <c:v>108483759.41</c:v>
                </c:pt>
                <c:pt idx="10">
                  <c:v>109262971.97000003</c:v>
                </c:pt>
              </c:numCache>
            </c:numRef>
          </c:val>
          <c:smooth val="0"/>
          <c:extLst>
            <c:ext xmlns:c16="http://schemas.microsoft.com/office/drawing/2014/chart" uri="{C3380CC4-5D6E-409C-BE32-E72D297353CC}">
              <c16:uniqueId val="{00000001-088B-4C4D-9877-0DDA44BEB74A}"/>
            </c:ext>
          </c:extLst>
        </c:ser>
        <c:dLbls>
          <c:showLegendKey val="0"/>
          <c:showVal val="0"/>
          <c:showCatName val="0"/>
          <c:showSerName val="0"/>
          <c:showPercent val="0"/>
          <c:showBubbleSize val="0"/>
        </c:dLbls>
        <c:marker val="1"/>
        <c:smooth val="0"/>
        <c:axId val="227379144"/>
        <c:axId val="227377576"/>
      </c:lineChart>
      <c:dateAx>
        <c:axId val="227379144"/>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227377576"/>
        <c:crosses val="autoZero"/>
        <c:auto val="0"/>
        <c:lblOffset val="100"/>
        <c:baseTimeUnit val="days"/>
      </c:dateAx>
      <c:valAx>
        <c:axId val="227377576"/>
        <c:scaling>
          <c:orientation val="minMax"/>
          <c:max val="125000000"/>
          <c:min val="95000000"/>
        </c:scaling>
        <c:delete val="0"/>
        <c:axPos val="l"/>
        <c:majorGridlines/>
        <c:title>
          <c:tx>
            <c:rich>
              <a:bodyPr rot="-5400000" vert="horz"/>
              <a:lstStyle/>
              <a:p>
                <a:pPr>
                  <a:defRPr/>
                </a:pPr>
                <a:r>
                  <a:rPr lang="en-US"/>
                  <a:t>kWh</a:t>
                </a:r>
              </a:p>
            </c:rich>
          </c:tx>
          <c:layout>
            <c:manualLayout>
              <c:xMode val="edge"/>
              <c:yMode val="edge"/>
              <c:x val="8.9159595047855686E-3"/>
              <c:y val="0.41550332925941508"/>
            </c:manualLayout>
          </c:layout>
          <c:overlay val="0"/>
        </c:title>
        <c:numFmt formatCode="#,##0" sourceLinked="0"/>
        <c:majorTickMark val="out"/>
        <c:minorTickMark val="none"/>
        <c:tickLblPos val="nextTo"/>
        <c:crossAx val="227379144"/>
        <c:crossesAt val="1"/>
        <c:crossBetween val="between"/>
        <c:majorUnit val="5000000"/>
      </c:valAx>
    </c:plotArea>
    <c:legend>
      <c:legendPos val="r"/>
      <c:layout>
        <c:manualLayout>
          <c:xMode val="edge"/>
          <c:yMode val="edge"/>
          <c:x val="0.69374886174942418"/>
          <c:y val="0.28597810769836968"/>
          <c:w val="0.26203345117574584"/>
          <c:h val="0.12270000601069904"/>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8"/>
          <c:order val="5"/>
          <c:tx>
            <c:strRef>
              <c:f>'Weather Normalized Historical'!$L$58</c:f>
              <c:strCache>
                <c:ptCount val="1"/>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'Weather Normalized Historical'!$A$59:$A$70</c:f>
              <c:strCache>
                <c:ptCount val="12"/>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'Weather Normalized Historical'!$L$59:$L$70</c:f>
              <c:numCache>
                <c:formatCode>#,##0</c:formatCode>
                <c:ptCount val="12"/>
              </c:numCache>
            </c:numRef>
          </c:val>
          <c:smooth val="0"/>
          <c:extLst>
            <c:ext xmlns:c16="http://schemas.microsoft.com/office/drawing/2014/chart" uri="{C3380CC4-5D6E-409C-BE32-E72D297353CC}">
              <c16:uniqueId val="{00000000-9425-46FD-965D-A58546F5A9B5}"/>
            </c:ext>
          </c:extLst>
        </c:ser>
        <c:dLbls>
          <c:showLegendKey val="0"/>
          <c:showVal val="0"/>
          <c:showCatName val="0"/>
          <c:showSerName val="0"/>
          <c:showPercent val="0"/>
          <c:showBubbleSize val="0"/>
        </c:dLbls>
        <c:marker val="1"/>
        <c:smooth val="0"/>
        <c:axId val="292708024"/>
        <c:axId val="292708416"/>
        <c:extLst>
          <c:ext xmlns:c15="http://schemas.microsoft.com/office/drawing/2012/chart" uri="{02D57815-91ED-43cb-92C2-25804820EDAC}">
            <c15:filteredLineSeries>
              <c15:ser>
                <c:idx val="2"/>
                <c:order val="0"/>
                <c:tx>
                  <c:strRef>
                    <c:extLst>
                      <c:ext uri="{02D57815-91ED-43cb-92C2-25804820EDAC}">
                        <c15:formulaRef>
                          <c15:sqref>'Weather Normalized Historical'!$G$57</c15:sqref>
                        </c15:formulaRef>
                      </c:ext>
                    </c:extLst>
                    <c:strCache>
                      <c:ptCount val="1"/>
                      <c:pt idx="0">
                        <c:v>55%</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'Weather Normalized Historical'!$A$59:$A$70</c15:sqref>
                        </c15:formulaRef>
                      </c:ext>
                    </c:extLst>
                    <c:strCache>
                      <c:ptCount val="12"/>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c:ext uri="{02D57815-91ED-43cb-92C2-25804820EDAC}">
                        <c15:formulaRef>
                          <c15:sqref>'Weather Normalized Historical'!$G$59:$G$70</c15:sqref>
                        </c15:formulaRef>
                      </c:ext>
                    </c:extLst>
                    <c:numCache>
                      <c:formatCode>#,##0</c:formatCode>
                      <c:ptCount val="12"/>
                      <c:pt idx="1">
                        <c:v>210841.559493176</c:v>
                      </c:pt>
                      <c:pt idx="2">
                        <c:v>921497.19327267795</c:v>
                      </c:pt>
                      <c:pt idx="3">
                        <c:v>-463115.20639369934</c:v>
                      </c:pt>
                      <c:pt idx="4">
                        <c:v>-836844.29279204481</c:v>
                      </c:pt>
                      <c:pt idx="5">
                        <c:v>14467.377402121399</c:v>
                      </c:pt>
                      <c:pt idx="6">
                        <c:v>789133.87513439171</c:v>
                      </c:pt>
                      <c:pt idx="7">
                        <c:v>1189825.3081893607</c:v>
                      </c:pt>
                      <c:pt idx="8">
                        <c:v>-947163.14807765407</c:v>
                      </c:pt>
                      <c:pt idx="9">
                        <c:v>-913953.95709290588</c:v>
                      </c:pt>
                      <c:pt idx="10">
                        <c:v>341951.7888162228</c:v>
                      </c:pt>
                      <c:pt idx="11">
                        <c:v>-825.39122123948039</c:v>
                      </c:pt>
                    </c:numCache>
                  </c:numRef>
                </c:val>
                <c:smooth val="0"/>
                <c:extLst>
                  <c:ext xmlns:c16="http://schemas.microsoft.com/office/drawing/2014/chart" uri="{C3380CC4-5D6E-409C-BE32-E72D297353CC}">
                    <c16:uniqueId val="{00000001-9425-46FD-965D-A58546F5A9B5}"/>
                  </c:ext>
                </c:extLst>
              </c15:ser>
            </c15:filteredLineSeries>
            <c15:filteredLineSeries>
              <c15:ser>
                <c:idx val="3"/>
                <c:order val="1"/>
                <c:tx>
                  <c:strRef>
                    <c:extLst xmlns:c15="http://schemas.microsoft.com/office/drawing/2012/chart">
                      <c:ext xmlns:c15="http://schemas.microsoft.com/office/drawing/2012/chart" uri="{02D57815-91ED-43cb-92C2-25804820EDAC}">
                        <c15:formulaRef>
                          <c15:sqref>'Weather Normalized Historical'!$H$57</c15:sqref>
                        </c15:formulaRef>
                      </c:ext>
                    </c:extLst>
                    <c:strCache>
                      <c:ptCount val="1"/>
                      <c:pt idx="0">
                        <c:v>23%</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2"/>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xmlns:c15="http://schemas.microsoft.com/office/drawing/2012/chart">
                      <c:ext xmlns:c15="http://schemas.microsoft.com/office/drawing/2012/chart" uri="{02D57815-91ED-43cb-92C2-25804820EDAC}">
                        <c15:formulaRef>
                          <c15:sqref>'Weather Normalized Historical'!$H$59:$H$70</c15:sqref>
                        </c15:formulaRef>
                      </c:ext>
                    </c:extLst>
                    <c:numCache>
                      <c:formatCode>#,##0</c:formatCode>
                      <c:ptCount val="12"/>
                      <c:pt idx="1">
                        <c:v>99532.236425271505</c:v>
                      </c:pt>
                      <c:pt idx="2">
                        <c:v>430351.275608178</c:v>
                      </c:pt>
                      <c:pt idx="3">
                        <c:v>-217606.91543012514</c:v>
                      </c:pt>
                      <c:pt idx="4">
                        <c:v>-410576.31814556394</c:v>
                      </c:pt>
                      <c:pt idx="5">
                        <c:v>7298.7053610514304</c:v>
                      </c:pt>
                      <c:pt idx="6">
                        <c:v>396684.05380939774</c:v>
                      </c:pt>
                      <c:pt idx="7">
                        <c:v>598739.45487786259</c:v>
                      </c:pt>
                      <c:pt idx="8">
                        <c:v>-450938.39205669367</c:v>
                      </c:pt>
                      <c:pt idx="9">
                        <c:v>-426838.64845260495</c:v>
                      </c:pt>
                      <c:pt idx="10">
                        <c:v>145377.76494790585</c:v>
                      </c:pt>
                      <c:pt idx="11">
                        <c:v>-335.73222871494738</c:v>
                      </c:pt>
                    </c:numCache>
                  </c:numRef>
                </c:val>
                <c:smooth val="0"/>
                <c:extLst xmlns:c15="http://schemas.microsoft.com/office/drawing/2012/chart">
                  <c:ext xmlns:c16="http://schemas.microsoft.com/office/drawing/2014/chart" uri="{C3380CC4-5D6E-409C-BE32-E72D297353CC}">
                    <c16:uniqueId val="{00000002-9425-46FD-965D-A58546F5A9B5}"/>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'Weather Normalized Historical'!$I$57</c15:sqref>
                        </c15:formulaRef>
                      </c:ext>
                    </c:extLst>
                    <c:strCache>
                      <c:ptCount val="1"/>
                      <c:pt idx="0">
                        <c:v>22%</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2"/>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xmlns:c15="http://schemas.microsoft.com/office/drawing/2012/chart">
                      <c:ext xmlns:c15="http://schemas.microsoft.com/office/drawing/2012/chart" uri="{02D57815-91ED-43cb-92C2-25804820EDAC}">
                        <c15:formulaRef>
                          <c15:sqref>'Weather Normalized Historical'!$I$59:$I$70</c15:sqref>
                        </c15:formulaRef>
                      </c:ext>
                    </c:extLst>
                    <c:numCache>
                      <c:formatCode>#,##0</c:formatCode>
                      <c:ptCount val="12"/>
                      <c:pt idx="1">
                        <c:v>101621.48181520627</c:v>
                      </c:pt>
                      <c:pt idx="2">
                        <c:v>451380.03949165944</c:v>
                      </c:pt>
                      <c:pt idx="3">
                        <c:v>-221819.14064902868</c:v>
                      </c:pt>
                      <c:pt idx="4">
                        <c:v>-408739.17007188668</c:v>
                      </c:pt>
                      <c:pt idx="5">
                        <c:v>7011.0190692020988</c:v>
                      </c:pt>
                      <c:pt idx="6">
                        <c:v>372931.46297077206</c:v>
                      </c:pt>
                      <c:pt idx="7">
                        <c:v>560875.33686976845</c:v>
                      </c:pt>
                      <c:pt idx="8">
                        <c:v>-407034.85629446077</c:v>
                      </c:pt>
                      <c:pt idx="9">
                        <c:v>-388727.87950302177</c:v>
                      </c:pt>
                      <c:pt idx="10">
                        <c:v>137324.56430005137</c:v>
                      </c:pt>
                      <c:pt idx="11">
                        <c:v>-347.15000998672099</c:v>
                      </c:pt>
                    </c:numCache>
                  </c:numRef>
                </c:val>
                <c:smooth val="0"/>
                <c:extLst xmlns:c15="http://schemas.microsoft.com/office/drawing/2012/chart">
                  <c:ext xmlns:c16="http://schemas.microsoft.com/office/drawing/2014/chart" uri="{C3380CC4-5D6E-409C-BE32-E72D297353CC}">
                    <c16:uniqueId val="{00000003-9425-46FD-965D-A58546F5A9B5}"/>
                  </c:ext>
                </c:extLst>
              </c15:ser>
            </c15:filteredLineSeries>
            <c15:filteredLineSeries>
              <c15:ser>
                <c:idx val="6"/>
                <c:order val="3"/>
                <c:tx>
                  <c:strRef>
                    <c:extLst xmlns:c15="http://schemas.microsoft.com/office/drawing/2012/chart">
                      <c:ext xmlns:c15="http://schemas.microsoft.com/office/drawing/2012/chart" uri="{02D57815-91ED-43cb-92C2-25804820EDAC}">
                        <c15:formulaRef>
                          <c15:sqref>'Weather Normalized Historical'!$J$58</c15:sqref>
                        </c15:formulaRef>
                      </c:ext>
                    </c:extLst>
                    <c:strCache>
                      <c:ptCount val="1"/>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2"/>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xmlns:c15="http://schemas.microsoft.com/office/drawing/2012/chart">
                      <c:ext xmlns:c15="http://schemas.microsoft.com/office/drawing/2012/chart" uri="{02D57815-91ED-43cb-92C2-25804820EDAC}">
                        <c15:formulaRef>
                          <c15:sqref>'Weather Normalized Historical'!$J$59:$J$70</c15:sqref>
                        </c15:formulaRef>
                      </c:ext>
                    </c:extLst>
                    <c:numCache>
                      <c:formatCode>#,##0</c:formatCode>
                      <c:ptCount val="12"/>
                    </c:numCache>
                  </c:numRef>
                </c:val>
                <c:smooth val="0"/>
                <c:extLst xmlns:c15="http://schemas.microsoft.com/office/drawing/2012/chart">
                  <c:ext xmlns:c16="http://schemas.microsoft.com/office/drawing/2014/chart" uri="{C3380CC4-5D6E-409C-BE32-E72D297353CC}">
                    <c16:uniqueId val="{00000004-9425-46FD-965D-A58546F5A9B5}"/>
                  </c:ext>
                </c:extLst>
              </c15:ser>
            </c15:filteredLineSeries>
            <c15:filteredLineSeries>
              <c15:ser>
                <c:idx val="7"/>
                <c:order val="4"/>
                <c:tx>
                  <c:strRef>
                    <c:extLst xmlns:c15="http://schemas.microsoft.com/office/drawing/2012/chart">
                      <c:ext xmlns:c15="http://schemas.microsoft.com/office/drawing/2012/chart" uri="{02D57815-91ED-43cb-92C2-25804820EDAC}">
                        <c15:formulaRef>
                          <c15:sqref>'Weather Normalized Historical'!$K$58</c15:sqref>
                        </c15:formulaRef>
                      </c:ext>
                    </c:extLst>
                    <c:strCache>
                      <c:ptCount val="1"/>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2"/>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xmlns:c15="http://schemas.microsoft.com/office/drawing/2012/chart">
                      <c:ext xmlns:c15="http://schemas.microsoft.com/office/drawing/2012/chart" uri="{02D57815-91ED-43cb-92C2-25804820EDAC}">
                        <c15:formulaRef>
                          <c15:sqref>'Weather Normalized Historical'!$K$59:$K$70</c15:sqref>
                        </c15:formulaRef>
                      </c:ext>
                    </c:extLst>
                    <c:numCache>
                      <c:formatCode>#,##0</c:formatCode>
                      <c:ptCount val="12"/>
                    </c:numCache>
                  </c:numRef>
                </c:val>
                <c:smooth val="0"/>
                <c:extLst xmlns:c15="http://schemas.microsoft.com/office/drawing/2012/chart">
                  <c:ext xmlns:c16="http://schemas.microsoft.com/office/drawing/2014/chart" uri="{C3380CC4-5D6E-409C-BE32-E72D297353CC}">
                    <c16:uniqueId val="{00000005-9425-46FD-965D-A58546F5A9B5}"/>
                  </c:ext>
                </c:extLst>
              </c15:ser>
            </c15:filteredLineSeries>
          </c:ext>
        </c:extLst>
      </c:lineChart>
      <c:catAx>
        <c:axId val="29270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708416"/>
        <c:crosses val="autoZero"/>
        <c:auto val="1"/>
        <c:lblAlgn val="ctr"/>
        <c:lblOffset val="100"/>
        <c:noMultiLvlLbl val="0"/>
      </c:catAx>
      <c:valAx>
        <c:axId val="292708416"/>
        <c:scaling>
          <c:orientation val="minMax"/>
          <c:min val="6000"/>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92708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33</xdr:col>
      <xdr:colOff>466726</xdr:colOff>
      <xdr:row>70</xdr:row>
      <xdr:rowOff>19050</xdr:rowOff>
    </xdr:from>
    <xdr:to>
      <xdr:col>42</xdr:col>
      <xdr:colOff>281940</xdr:colOff>
      <xdr:row>92</xdr:row>
      <xdr:rowOff>104775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85725</xdr:colOff>
      <xdr:row>69</xdr:row>
      <xdr:rowOff>152400</xdr:rowOff>
    </xdr:from>
    <xdr:to>
      <xdr:col>32</xdr:col>
      <xdr:colOff>638175</xdr:colOff>
      <xdr:row>93</xdr:row>
      <xdr:rowOff>9525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47625</xdr:colOff>
      <xdr:row>186</xdr:row>
      <xdr:rowOff>28575</xdr:rowOff>
    </xdr:from>
    <xdr:to>
      <xdr:col>32</xdr:col>
      <xdr:colOff>600075</xdr:colOff>
      <xdr:row>209</xdr:row>
      <xdr:rowOff>47625</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46</xdr:row>
      <xdr:rowOff>0</xdr:rowOff>
    </xdr:from>
    <xdr:to>
      <xdr:col>13</xdr:col>
      <xdr:colOff>600069</xdr:colOff>
      <xdr:row>70</xdr:row>
      <xdr:rowOff>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bacon/Documents/London/2013%20Rate%20Applicaiton/Interrogatories/Dummy%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pplications%20Department/Department%20Applications/Rates/2013%20Electricity%20Rates/$Models/Final%202013%20IRM%20RG.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ome/Market%20Operations/Department%20Applications/Reports/Rates/Electricity%20Rates%20-%20Billing%20Determinants%20Database/2012%20IRM%20DEVELOPMENT/2012%20IRM%20MODEL%20(2ND%20AND%203R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Hybrid%20Load%20Forecast%20Feb%2025/RSL%202012%20cop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RSL%202012%20cop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2022%20RSL%20Rate%20Design/2022%20RSL%20Rate%20Design%20Mode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RSL_2022_Filing_Requirements_Chapter2_Appendices_1.0_2021071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RS_2022_Rev_Reqt_Workform_1.0_2021062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ate%20Application/2021%20Cost%20of%20Service/RSL%202021%20COS%20Models/RSL_2021_Filing_Requirements_Chapter2_Appendices-202008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CCalhoun/Local%20Settings/Temporary%20Internet%20Files/Content.Outlook/EIW673TU/Documents%20and%20Settings/dferraro/Local%20Settings/Temporary%20Internet%20Files/OLKB/Dummy%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ate%20Application/2021%20Cost%20of%20Service/RSL%202021%20COS%20Models/2021%20RSL%20Rate%20Design/2021%20RSL%20Rate%20Design%20Model.xlsx"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Holidays%20in%20months/Holidays%20and%20Peak%20hours.xlsx?0FE041B8" TargetMode="External"/><Relationship Id="rId1" Type="http://schemas.openxmlformats.org/officeDocument/2006/relationships/externalLinkPath" Target="file:///\\0FE041B8\Holidays%20and%20Peak%20hou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Intervenors/New%20folder/Clean%20RSL_2022_Load_Forecast_Model_COVID%2032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Rate%20Application\2021%20Cost%20of%20Service\2021%20RSL%20Load%20Forecast\CDM%20data\Data%20Use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Rate%20Application\2021%20Cost%20of%20Service\2021%20RSL%20Load%20Forecast\CDM%20data\Pre%202011\2006-2010%20Final%20OPA%20CDM%20Results.Rideau%20St.%20Lawrence%20Distribution%20In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016%20COS/RSL/RSL%202016%20OEB%20Model/RSL%202016_RTSR_MODEL_V4_DRAFT.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016%20COS/RSL/RSLOEB%202016%20Model%20Final/2016_RTSR%20MODEL_V4_0_FINAL.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016%20COS/RSL/RSLOEB%202016%20Model%20Final/2016%20RSL%20Rate%20Design/2016%20RSL%20Rate%20Design%20Mode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RSL_2022_RTSR_Workform_1.0_20210624-rev.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gulatory%20Asset%20Accounting/2020/15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g/Desktop/Dummy%20Fil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LDC%20FTY%20-%20LF\CostAllo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Jane%20CHEC_Load%20Forecast_Wholesale_Sept%208%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Hybrid%20Load%20Forecast%20Feb%2025/Jane%20CHEC_Load%20Forecast_Wholesale_Sept%208%202014.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srvtm\Applications%20Department\Department%20Applications\Application%20Review%20Process\Rec%20#1 - Application Filing Requirements\Testing Protocols for Models and Appendices\2014 IRM Rate Generator_V2.3_FOR TESTING.xlsm?96936F47" TargetMode="External"/><Relationship Id="rId1" Type="http://schemas.openxmlformats.org/officeDocument/2006/relationships/externalLinkPath" Target="file:///\\96936F47\2014%20IRM%20Rate%20Generator_V2.3_FOR%20TESTIN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ane/Downloads/2015_Filing_Requirements_Chapter2_Appendices%20(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DC%20FTY%20-%20LF/CostAllo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refreshError="1"/>
      <sheetData sheetId="1" refreshError="1"/>
      <sheetData sheetId="2" refreshError="1"/>
      <sheetData sheetId="3" refreshError="1">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Rate App"/>
      <sheetName val="Summary"/>
      <sheetName val="Purchased Power Model"/>
      <sheetName val="StLawrence"/>
      <sheetName val="Rate Class Energy Model"/>
      <sheetName val="Rate Class Customer Model"/>
      <sheetName val="Rate Class Load Model"/>
      <sheetName val="Weather data"/>
      <sheetName val="Tables Used for Exhibits"/>
      <sheetName val="Exhibit 3 Energy by Rate Class"/>
      <sheetName val="RSL Loss Factor"/>
      <sheetName val="2011 COP"/>
      <sheetName val="2012 COP"/>
      <sheetName val="Sheet 1"/>
    </sheetNames>
    <sheetDataSet>
      <sheetData sheetId="0"/>
      <sheetData sheetId="1"/>
      <sheetData sheetId="2">
        <row r="115">
          <cell r="B115">
            <v>129569190</v>
          </cell>
        </row>
      </sheetData>
      <sheetData sheetId="3">
        <row r="29">
          <cell r="H29">
            <v>6094000</v>
          </cell>
        </row>
      </sheetData>
      <sheetData sheetId="4">
        <row r="11">
          <cell r="G11">
            <v>126336267</v>
          </cell>
        </row>
      </sheetData>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Rate App"/>
      <sheetName val="Summary"/>
      <sheetName val="Purchased Power Model"/>
      <sheetName val="StLawrence"/>
      <sheetName val="Rate Class Energy Model"/>
      <sheetName val="Rate Class Customer Model"/>
      <sheetName val="Rate Class Load Model"/>
      <sheetName val="Weather data"/>
      <sheetName val="Tables Used for Exhibits"/>
      <sheetName val="Exhibit 3 Energy by Rate Class"/>
      <sheetName val="RSL Loss Factor"/>
      <sheetName val="2011 COP"/>
      <sheetName val="2012 COP"/>
      <sheetName val="Sheet 1"/>
    </sheetNames>
    <sheetDataSet>
      <sheetData sheetId="0"/>
      <sheetData sheetId="1"/>
      <sheetData sheetId="2">
        <row r="115">
          <cell r="B115">
            <v>129569190</v>
          </cell>
        </row>
      </sheetData>
      <sheetData sheetId="3">
        <row r="29">
          <cell r="H29">
            <v>6094000</v>
          </cell>
        </row>
      </sheetData>
      <sheetData sheetId="4">
        <row r="11">
          <cell r="G11">
            <v>126336267</v>
          </cell>
        </row>
      </sheetData>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in Exhibit 8"/>
      <sheetName val="2022 Rev Deficiency"/>
      <sheetName val="Revenue Requirement"/>
      <sheetName val="Return on Capital"/>
      <sheetName val="Revenue Input"/>
      <sheetName val="Transformer Allowance"/>
      <sheetName val="Forecast Data For 2022"/>
      <sheetName val="2022 Existing Rates"/>
      <sheetName val="2022 Test Yr Revenue"/>
      <sheetName val="Cost Allocation Study"/>
      <sheetName val="Rates By Rate Class"/>
      <sheetName val="Low Voltage Rates"/>
      <sheetName val="Low Voltage Rates Not Used"/>
      <sheetName val="LV Costs Forecast"/>
      <sheetName val="LV Volume Forecast"/>
      <sheetName val="2016 Rate Rider "/>
      <sheetName val="Current Tariff "/>
      <sheetName val="2016 Rate Schedule (Part 1)"/>
      <sheetName val="Bill Impact - Res RPP"/>
      <sheetName val="Bill Impact - Res Non RPP"/>
      <sheetName val="Bill Impact - R Low RPP"/>
      <sheetName val="Bill Impact - R Low Non RPP"/>
      <sheetName val="Bill Impact - Com RPP "/>
      <sheetName val="Bill Impact - Com Non RPP"/>
      <sheetName val="Bill Impact - Ind Non RPP"/>
      <sheetName val="Bill Impact - Street"/>
      <sheetName val="BILL IMPACTS"/>
      <sheetName val="Bill Impact - Sentinel"/>
      <sheetName val="Bill Impact - USL"/>
      <sheetName val="Appendix 2-O Table a"/>
      <sheetName val="Appendix 2-O Table b"/>
      <sheetName val="Appendix 2-O Table c"/>
      <sheetName val="Appendix 2-O Table d"/>
    </sheetNames>
    <sheetDataSet>
      <sheetData sheetId="0"/>
      <sheetData sheetId="1"/>
      <sheetData sheetId="2"/>
      <sheetData sheetId="3"/>
      <sheetData sheetId="4"/>
      <sheetData sheetId="5"/>
      <sheetData sheetId="6"/>
      <sheetData sheetId="7"/>
      <sheetData sheetId="8">
        <row r="22">
          <cell r="J22">
            <v>2072304.7419469878</v>
          </cell>
        </row>
        <row r="23">
          <cell r="J23">
            <v>502426.08649255388</v>
          </cell>
        </row>
        <row r="24">
          <cell r="J24">
            <v>442160.50544025196</v>
          </cell>
        </row>
        <row r="25">
          <cell r="J25">
            <v>109633.96750015172</v>
          </cell>
        </row>
        <row r="26">
          <cell r="J26">
            <v>9487.2544469687637</v>
          </cell>
        </row>
        <row r="27">
          <cell r="J27">
            <v>16474.424914084302</v>
          </cell>
        </row>
        <row r="37">
          <cell r="J37">
            <v>1633051.44</v>
          </cell>
        </row>
        <row r="38">
          <cell r="J38">
            <v>488345.74426121591</v>
          </cell>
        </row>
        <row r="39">
          <cell r="J39">
            <v>436424.10900114826</v>
          </cell>
        </row>
        <row r="40">
          <cell r="J40">
            <v>96241.728329999998</v>
          </cell>
        </row>
        <row r="41">
          <cell r="J41">
            <v>7898.4042243914537</v>
          </cell>
        </row>
        <row r="42">
          <cell r="J42">
            <v>14246.772799999999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sheetName val="2016 Adjusted SAIDI and SAIFI"/>
      <sheetName val="2017 Adjusted SAIDI and SAIFI"/>
      <sheetName val="2018 Adjusted SAIDI and SAIFI"/>
      <sheetName val="2019 Adjusted SAIDI and SAIFI"/>
      <sheetName val="2020"/>
      <sheetName val="App.2-H_Other_Oper_Rev"/>
      <sheetName val="Hidden_Other Revenue"/>
      <sheetName val="Several_Accounts"/>
      <sheetName val="App_2-I LF_CDM"/>
      <sheetName val="lists"/>
      <sheetName val="App.2-IA_Load_Forecast_Instrct"/>
      <sheetName val="App.2-IB_Load_Forecast_Analysis"/>
      <sheetName val="App.2-JA_OM&amp;A_Summary_Analys"/>
      <sheetName val="Hidden_OM&amp;A Summary"/>
      <sheetName val="OM&amp;A_Expenses"/>
      <sheetName val="App.2-JB_OM&amp;A_Cost _Drivers"/>
      <sheetName val="App.2-JC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24">
          <cell r="E24">
            <v>2022</v>
          </cell>
        </row>
      </sheetData>
      <sheetData sheetId="1"/>
      <sheetData sheetId="2"/>
      <sheetData sheetId="3"/>
      <sheetData sheetId="4"/>
      <sheetData sheetId="5"/>
      <sheetData sheetId="6"/>
      <sheetData sheetId="7"/>
      <sheetData sheetId="8"/>
      <sheetData sheetId="9"/>
      <sheetData sheetId="10">
        <row r="396">
          <cell r="M396">
            <v>6676306.5899999999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A15">
            <v>4082</v>
          </cell>
          <cell r="B15" t="str">
            <v>Retail Services Revenues</v>
          </cell>
          <cell r="F15">
            <v>-6755.64</v>
          </cell>
          <cell r="G15">
            <v>-6491.6</v>
          </cell>
          <cell r="H15">
            <v>-6160.2</v>
          </cell>
          <cell r="I15">
            <v>-7044.88</v>
          </cell>
          <cell r="J15">
            <v>-7151.58</v>
          </cell>
          <cell r="K15">
            <v>-7260</v>
          </cell>
          <cell r="L15">
            <v>-9300</v>
          </cell>
        </row>
        <row r="16">
          <cell r="A16">
            <v>4084</v>
          </cell>
          <cell r="B16" t="str">
            <v>Service Transaction Requests (STR) Revenues</v>
          </cell>
          <cell r="F16">
            <v>-45</v>
          </cell>
          <cell r="G16">
            <v>-27.5</v>
          </cell>
          <cell r="H16">
            <v>-31.25</v>
          </cell>
          <cell r="I16">
            <v>-35.5</v>
          </cell>
          <cell r="J16">
            <v>-34</v>
          </cell>
          <cell r="K16">
            <v>-40</v>
          </cell>
          <cell r="L16">
            <v>-40</v>
          </cell>
        </row>
        <row r="17">
          <cell r="A17" t="str">
            <v>4086</v>
          </cell>
          <cell r="B17" t="str">
            <v>SSS Administration Revenue</v>
          </cell>
          <cell r="F17">
            <v>-21243.06</v>
          </cell>
          <cell r="G17">
            <v>-22042.61</v>
          </cell>
          <cell r="H17">
            <v>-21942.45</v>
          </cell>
          <cell r="I17">
            <v>-21856.18</v>
          </cell>
          <cell r="J17">
            <v>-21747.82</v>
          </cell>
          <cell r="K17">
            <v>-21000</v>
          </cell>
          <cell r="L17">
            <v>-21000</v>
          </cell>
        </row>
        <row r="18">
          <cell r="A18">
            <v>4090</v>
          </cell>
          <cell r="B18" t="str">
            <v>Electric Services Incidental to Energy Sales</v>
          </cell>
          <cell r="F18">
            <v>0</v>
          </cell>
          <cell r="G18">
            <v>0</v>
          </cell>
          <cell r="H18">
            <v>0</v>
          </cell>
          <cell r="I18">
            <v>0</v>
          </cell>
          <cell r="J18">
            <v>0</v>
          </cell>
        </row>
        <row r="19">
          <cell r="A19">
            <v>4205</v>
          </cell>
          <cell r="B19" t="str">
            <v>Interdepartmental Rents</v>
          </cell>
          <cell r="F19">
            <v>0</v>
          </cell>
          <cell r="G19">
            <v>0</v>
          </cell>
          <cell r="H19">
            <v>0</v>
          </cell>
          <cell r="I19">
            <v>0</v>
          </cell>
          <cell r="J19">
            <v>0</v>
          </cell>
        </row>
        <row r="20">
          <cell r="A20">
            <v>4210</v>
          </cell>
          <cell r="B20" t="str">
            <v>Rent from Electric Property</v>
          </cell>
          <cell r="F20">
            <v>-43738.83</v>
          </cell>
          <cell r="G20">
            <v>-43738.83</v>
          </cell>
          <cell r="H20">
            <v>-42401.86</v>
          </cell>
          <cell r="I20">
            <v>-44208.3</v>
          </cell>
          <cell r="J20">
            <v>-44409.45</v>
          </cell>
          <cell r="K20">
            <v>-44409.64999999998</v>
          </cell>
          <cell r="L20">
            <v>-88902.625140000018</v>
          </cell>
        </row>
        <row r="21">
          <cell r="A21">
            <v>4215</v>
          </cell>
          <cell r="B21" t="str">
            <v>Other Utility Operating Income</v>
          </cell>
          <cell r="F21">
            <v>0</v>
          </cell>
          <cell r="G21">
            <v>0</v>
          </cell>
          <cell r="H21">
            <v>0</v>
          </cell>
          <cell r="I21">
            <v>0</v>
          </cell>
          <cell r="J21">
            <v>0</v>
          </cell>
        </row>
        <row r="22">
          <cell r="A22">
            <v>4220</v>
          </cell>
          <cell r="B22" t="str">
            <v>Other Electric Revenues</v>
          </cell>
          <cell r="F22">
            <v>-2233.71</v>
          </cell>
          <cell r="G22">
            <v>-3953.95</v>
          </cell>
          <cell r="H22">
            <v>-7283.88</v>
          </cell>
          <cell r="I22">
            <v>-7688.02</v>
          </cell>
          <cell r="J22">
            <v>-11968.3</v>
          </cell>
          <cell r="K22">
            <v>-9000</v>
          </cell>
          <cell r="L22">
            <v>-9000</v>
          </cell>
        </row>
        <row r="23">
          <cell r="A23">
            <v>4225</v>
          </cell>
          <cell r="B23" t="str">
            <v>Late Payment Charges</v>
          </cell>
          <cell r="F23">
            <v>-75313.67</v>
          </cell>
          <cell r="G23">
            <v>-70389.820000000007</v>
          </cell>
          <cell r="H23">
            <v>-58515.08</v>
          </cell>
          <cell r="I23">
            <v>-55105.61</v>
          </cell>
          <cell r="J23">
            <v>-69106.820000000007</v>
          </cell>
          <cell r="K23">
            <v>-60000</v>
          </cell>
          <cell r="L23">
            <v>-60000</v>
          </cell>
        </row>
        <row r="24">
          <cell r="A24">
            <v>4230</v>
          </cell>
          <cell r="B24" t="str">
            <v>Sales of Water and Water Power</v>
          </cell>
          <cell r="F24">
            <v>0</v>
          </cell>
          <cell r="G24">
            <v>0</v>
          </cell>
          <cell r="H24">
            <v>0</v>
          </cell>
          <cell r="I24">
            <v>0</v>
          </cell>
          <cell r="J24">
            <v>0</v>
          </cell>
        </row>
        <row r="25">
          <cell r="A25">
            <v>4235</v>
          </cell>
          <cell r="B25" t="str">
            <v>Miscellaneous Service Revenues</v>
          </cell>
          <cell r="F25">
            <v>-116375.67</v>
          </cell>
          <cell r="G25">
            <v>-97263.67</v>
          </cell>
          <cell r="H25">
            <v>-81166.87</v>
          </cell>
          <cell r="I25">
            <v>-78315.3</v>
          </cell>
          <cell r="J25">
            <v>-106103.75</v>
          </cell>
          <cell r="K25">
            <v>-107197</v>
          </cell>
          <cell r="L25">
            <v>-23875</v>
          </cell>
        </row>
        <row r="26">
          <cell r="A26">
            <v>4240</v>
          </cell>
          <cell r="B26" t="str">
            <v>Provision for Rate Refunds</v>
          </cell>
          <cell r="F26">
            <v>0</v>
          </cell>
          <cell r="G26">
            <v>0</v>
          </cell>
          <cell r="H26">
            <v>0</v>
          </cell>
          <cell r="I26">
            <v>0</v>
          </cell>
          <cell r="J26">
            <v>0</v>
          </cell>
        </row>
        <row r="27">
          <cell r="A27">
            <v>4245</v>
          </cell>
          <cell r="B27" t="str">
            <v>Government and Other Assistance Directly Credited to Income</v>
          </cell>
          <cell r="F27">
            <v>0</v>
          </cell>
          <cell r="G27">
            <v>0</v>
          </cell>
          <cell r="H27">
            <v>0</v>
          </cell>
          <cell r="I27">
            <v>0</v>
          </cell>
          <cell r="J27">
            <v>0</v>
          </cell>
        </row>
        <row r="28">
          <cell r="A28">
            <v>4305</v>
          </cell>
          <cell r="B28" t="str">
            <v>Regulatory Debits</v>
          </cell>
          <cell r="F28">
            <v>0</v>
          </cell>
          <cell r="G28">
            <v>0</v>
          </cell>
          <cell r="H28">
            <v>0</v>
          </cell>
          <cell r="I28">
            <v>0</v>
          </cell>
          <cell r="J28">
            <v>0</v>
          </cell>
        </row>
        <row r="29">
          <cell r="A29">
            <v>4310</v>
          </cell>
          <cell r="B29" t="str">
            <v>Regulatory Credits</v>
          </cell>
          <cell r="F29">
            <v>0</v>
          </cell>
          <cell r="G29">
            <v>0</v>
          </cell>
          <cell r="H29">
            <v>0</v>
          </cell>
          <cell r="I29">
            <v>0</v>
          </cell>
          <cell r="J29">
            <v>0</v>
          </cell>
        </row>
        <row r="30">
          <cell r="A30">
            <v>4315</v>
          </cell>
          <cell r="B30" t="str">
            <v>Revenues from Electric Plant Leased to Others</v>
          </cell>
          <cell r="F30">
            <v>0</v>
          </cell>
          <cell r="G30">
            <v>0</v>
          </cell>
          <cell r="H30">
            <v>0</v>
          </cell>
          <cell r="I30">
            <v>0</v>
          </cell>
          <cell r="J30">
            <v>0</v>
          </cell>
        </row>
        <row r="31">
          <cell r="A31">
            <v>4320</v>
          </cell>
          <cell r="B31" t="str">
            <v>Expenses of Electric Plant Leased to Others</v>
          </cell>
          <cell r="F31">
            <v>0</v>
          </cell>
          <cell r="G31">
            <v>0</v>
          </cell>
          <cell r="H31">
            <v>0</v>
          </cell>
          <cell r="I31">
            <v>0</v>
          </cell>
          <cell r="J31">
            <v>0</v>
          </cell>
        </row>
        <row r="32">
          <cell r="A32">
            <v>4325</v>
          </cell>
          <cell r="B32" t="str">
            <v>Revenues from Merchandise</v>
          </cell>
          <cell r="F32">
            <v>0</v>
          </cell>
          <cell r="G32">
            <v>0</v>
          </cell>
          <cell r="H32">
            <v>0</v>
          </cell>
          <cell r="I32">
            <v>0</v>
          </cell>
          <cell r="J32">
            <v>0</v>
          </cell>
        </row>
        <row r="33">
          <cell r="A33">
            <v>4330</v>
          </cell>
          <cell r="B33" t="str">
            <v>Costs and Expenses of Merchandising</v>
          </cell>
          <cell r="F33">
            <v>0</v>
          </cell>
          <cell r="G33">
            <v>0</v>
          </cell>
          <cell r="H33">
            <v>0</v>
          </cell>
          <cell r="I33">
            <v>0</v>
          </cell>
          <cell r="J33">
            <v>0</v>
          </cell>
        </row>
        <row r="34">
          <cell r="A34">
            <v>4335</v>
          </cell>
          <cell r="B34" t="str">
            <v>Profits and Losses from Financial Instrument Hedges</v>
          </cell>
          <cell r="F34">
            <v>0</v>
          </cell>
          <cell r="G34">
            <v>0</v>
          </cell>
          <cell r="H34">
            <v>0</v>
          </cell>
          <cell r="I34">
            <v>0</v>
          </cell>
          <cell r="J34">
            <v>0</v>
          </cell>
        </row>
        <row r="35">
          <cell r="A35">
            <v>4340</v>
          </cell>
          <cell r="B35" t="str">
            <v>Profits and Losses from Financial Instrument Investments</v>
          </cell>
          <cell r="F35">
            <v>0</v>
          </cell>
          <cell r="G35">
            <v>0</v>
          </cell>
          <cell r="H35">
            <v>0</v>
          </cell>
          <cell r="I35">
            <v>0</v>
          </cell>
          <cell r="J35">
            <v>0</v>
          </cell>
        </row>
        <row r="36">
          <cell r="A36">
            <v>4345</v>
          </cell>
          <cell r="B36" t="str">
            <v>Gains from Disposition of Future Use Utility Plant</v>
          </cell>
          <cell r="F36">
            <v>0</v>
          </cell>
          <cell r="G36">
            <v>0</v>
          </cell>
          <cell r="H36">
            <v>0</v>
          </cell>
          <cell r="I36">
            <v>0</v>
          </cell>
          <cell r="J36">
            <v>0</v>
          </cell>
        </row>
        <row r="37">
          <cell r="A37">
            <v>4350</v>
          </cell>
          <cell r="B37" t="str">
            <v>Losses from Disposition of Future Use Utility Plant</v>
          </cell>
          <cell r="F37">
            <v>0</v>
          </cell>
          <cell r="G37">
            <v>0</v>
          </cell>
          <cell r="H37">
            <v>0</v>
          </cell>
          <cell r="I37">
            <v>0</v>
          </cell>
          <cell r="J37">
            <v>0</v>
          </cell>
        </row>
        <row r="38">
          <cell r="A38">
            <v>4355</v>
          </cell>
          <cell r="B38" t="str">
            <v>Gain on Disposition of Utility and Other Property</v>
          </cell>
          <cell r="F38">
            <v>-3285</v>
          </cell>
          <cell r="G38">
            <v>-5007.93</v>
          </cell>
          <cell r="H38">
            <v>0</v>
          </cell>
          <cell r="I38">
            <v>0</v>
          </cell>
          <cell r="J38">
            <v>0</v>
          </cell>
        </row>
        <row r="39">
          <cell r="A39">
            <v>4357</v>
          </cell>
          <cell r="B39" t="str">
            <v>Gain from Retirement of Utility and Other Property</v>
          </cell>
          <cell r="F39">
            <v>0</v>
          </cell>
          <cell r="G39">
            <v>0</v>
          </cell>
          <cell r="H39">
            <v>0</v>
          </cell>
          <cell r="I39">
            <v>0</v>
          </cell>
          <cell r="J39">
            <v>0</v>
          </cell>
        </row>
        <row r="40">
          <cell r="A40">
            <v>4360</v>
          </cell>
          <cell r="B40" t="str">
            <v>Loss on Disposition of Utility and Other Property</v>
          </cell>
          <cell r="F40">
            <v>8789.7999999999993</v>
          </cell>
          <cell r="G40">
            <v>5278.18</v>
          </cell>
          <cell r="H40">
            <v>8613.94</v>
          </cell>
          <cell r="I40">
            <v>7731.31</v>
          </cell>
          <cell r="J40">
            <v>4075.61</v>
          </cell>
          <cell r="K40">
            <v>6000</v>
          </cell>
          <cell r="L40">
            <v>8000</v>
          </cell>
        </row>
        <row r="41">
          <cell r="A41">
            <v>4362</v>
          </cell>
          <cell r="B41" t="str">
            <v>Loss from Retirement of Utility and Other Property</v>
          </cell>
          <cell r="F41">
            <v>0</v>
          </cell>
          <cell r="G41">
            <v>0</v>
          </cell>
          <cell r="H41">
            <v>0</v>
          </cell>
          <cell r="I41">
            <v>0</v>
          </cell>
          <cell r="J41">
            <v>0</v>
          </cell>
        </row>
        <row r="42">
          <cell r="A42">
            <v>4365</v>
          </cell>
          <cell r="B42" t="str">
            <v>Gains from Disposition of Allowances for Emission</v>
          </cell>
          <cell r="F42">
            <v>0</v>
          </cell>
          <cell r="G42">
            <v>0</v>
          </cell>
          <cell r="H42">
            <v>0</v>
          </cell>
          <cell r="I42">
            <v>0</v>
          </cell>
          <cell r="J42">
            <v>0</v>
          </cell>
        </row>
        <row r="43">
          <cell r="A43">
            <v>4370</v>
          </cell>
          <cell r="B43" t="str">
            <v>Losses from Disposition of Allowances for Emission</v>
          </cell>
          <cell r="F43">
            <v>0</v>
          </cell>
          <cell r="G43">
            <v>0</v>
          </cell>
          <cell r="H43">
            <v>0</v>
          </cell>
          <cell r="I43">
            <v>0</v>
          </cell>
          <cell r="J43">
            <v>0</v>
          </cell>
        </row>
        <row r="44">
          <cell r="A44">
            <v>4375</v>
          </cell>
          <cell r="B44" t="str">
            <v>Revenues from Non Rate-Regulated Utility Operations</v>
          </cell>
          <cell r="F44">
            <v>-6799.02</v>
          </cell>
          <cell r="G44">
            <v>-39528.86</v>
          </cell>
          <cell r="H44">
            <v>-5063.54</v>
          </cell>
          <cell r="I44">
            <v>0</v>
          </cell>
          <cell r="J44">
            <v>0</v>
          </cell>
          <cell r="K44">
            <v>0</v>
          </cell>
          <cell r="L44">
            <v>0</v>
          </cell>
        </row>
        <row r="45">
          <cell r="A45">
            <v>4380</v>
          </cell>
          <cell r="B45" t="str">
            <v>Expenses of Non Rate-Regulated Utility Operations</v>
          </cell>
          <cell r="F45">
            <v>0</v>
          </cell>
          <cell r="G45">
            <v>0</v>
          </cell>
          <cell r="H45">
            <v>0</v>
          </cell>
          <cell r="I45">
            <v>0</v>
          </cell>
          <cell r="J45">
            <v>0</v>
          </cell>
        </row>
        <row r="46">
          <cell r="A46">
            <v>4385</v>
          </cell>
          <cell r="B46" t="str">
            <v>Non Rate-Regulated Utility Rental Income</v>
          </cell>
          <cell r="F46">
            <v>0</v>
          </cell>
          <cell r="G46">
            <v>0</v>
          </cell>
          <cell r="H46">
            <v>0</v>
          </cell>
          <cell r="I46">
            <v>0</v>
          </cell>
          <cell r="J46">
            <v>0</v>
          </cell>
        </row>
        <row r="47">
          <cell r="A47">
            <v>4390</v>
          </cell>
          <cell r="B47" t="str">
            <v>Miscellaneous Non-Operating Income</v>
          </cell>
          <cell r="F47">
            <v>0</v>
          </cell>
          <cell r="G47">
            <v>0</v>
          </cell>
          <cell r="H47">
            <v>0</v>
          </cell>
          <cell r="I47">
            <v>0</v>
          </cell>
          <cell r="J47">
            <v>0</v>
          </cell>
        </row>
        <row r="48">
          <cell r="A48">
            <v>4395</v>
          </cell>
          <cell r="B48" t="str">
            <v>Rate-Payer Benefit Including Interest</v>
          </cell>
          <cell r="F48">
            <v>0</v>
          </cell>
          <cell r="G48">
            <v>0</v>
          </cell>
          <cell r="H48">
            <v>0</v>
          </cell>
          <cell r="I48">
            <v>0</v>
          </cell>
          <cell r="J48">
            <v>0</v>
          </cell>
        </row>
        <row r="49">
          <cell r="A49">
            <v>4398</v>
          </cell>
          <cell r="B49" t="str">
            <v>Foreign Exchange Gains and Losses, Including Amortization</v>
          </cell>
          <cell r="F49">
            <v>0</v>
          </cell>
          <cell r="G49">
            <v>0</v>
          </cell>
          <cell r="H49">
            <v>0</v>
          </cell>
          <cell r="I49">
            <v>0</v>
          </cell>
          <cell r="J49">
            <v>0</v>
          </cell>
        </row>
        <row r="50">
          <cell r="A50">
            <v>4405</v>
          </cell>
          <cell r="B50" t="str">
            <v>Interest and Dividend Income</v>
          </cell>
          <cell r="F50">
            <v>-17299.689999999999</v>
          </cell>
          <cell r="G50">
            <v>-17346.830000000002</v>
          </cell>
          <cell r="H50">
            <v>-17944.849999999999</v>
          </cell>
          <cell r="I50">
            <v>-20164.45</v>
          </cell>
          <cell r="J50">
            <v>-10282.26</v>
          </cell>
          <cell r="K50">
            <v>-3500</v>
          </cell>
          <cell r="L50">
            <v>-3500</v>
          </cell>
        </row>
        <row r="51">
          <cell r="A51">
            <v>4410</v>
          </cell>
          <cell r="B51" t="str">
            <v>Lessor's Net Investment in Finance Lease</v>
          </cell>
          <cell r="F51">
            <v>0</v>
          </cell>
          <cell r="G51">
            <v>0</v>
          </cell>
          <cell r="H51">
            <v>0</v>
          </cell>
          <cell r="I51">
            <v>0</v>
          </cell>
          <cell r="J51">
            <v>0</v>
          </cell>
        </row>
        <row r="52">
          <cell r="A52">
            <v>4415</v>
          </cell>
          <cell r="B52" t="str">
            <v>Equity in Earnings of Subsidiary Companies</v>
          </cell>
          <cell r="F52">
            <v>0</v>
          </cell>
          <cell r="G52">
            <v>0</v>
          </cell>
          <cell r="H52">
            <v>0</v>
          </cell>
          <cell r="I52">
            <v>0</v>
          </cell>
          <cell r="J52">
            <v>0</v>
          </cell>
        </row>
        <row r="53">
          <cell r="A53">
            <v>4420</v>
          </cell>
          <cell r="B53" t="str">
            <v>Share of Profit or Loss of Joint Venture</v>
          </cell>
          <cell r="F53">
            <v>0</v>
          </cell>
          <cell r="G53">
            <v>0</v>
          </cell>
          <cell r="H53">
            <v>0</v>
          </cell>
          <cell r="I53">
            <v>0</v>
          </cell>
          <cell r="J53">
            <v>0</v>
          </cell>
        </row>
        <row r="65">
          <cell r="K65">
            <v>-107197</v>
          </cell>
          <cell r="L65">
            <v>-23875</v>
          </cell>
        </row>
        <row r="66">
          <cell r="K66">
            <v>-60000</v>
          </cell>
          <cell r="L66">
            <v>-60000</v>
          </cell>
        </row>
        <row r="67">
          <cell r="K67">
            <v>-81709.64999999998</v>
          </cell>
          <cell r="L67">
            <v>-128242.62514000002</v>
          </cell>
        </row>
        <row r="68">
          <cell r="K68">
            <v>2500</v>
          </cell>
          <cell r="L68">
            <v>4500</v>
          </cell>
        </row>
      </sheetData>
      <sheetData sheetId="31"/>
      <sheetData sheetId="32"/>
      <sheetData sheetId="33"/>
      <sheetData sheetId="34"/>
      <sheetData sheetId="35"/>
      <sheetData sheetId="36">
        <row r="69">
          <cell r="G69">
            <v>5129</v>
          </cell>
        </row>
      </sheetData>
      <sheetData sheetId="37">
        <row r="25">
          <cell r="L25">
            <v>2488912</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2">
          <cell r="K22">
            <v>3.6853845735923887E-2</v>
          </cell>
        </row>
      </sheetData>
      <sheetData sheetId="52"/>
      <sheetData sheetId="53"/>
      <sheetData sheetId="54">
        <row r="27">
          <cell r="I27">
            <v>1.083540582119245</v>
          </cell>
        </row>
      </sheetData>
      <sheetData sheetId="55">
        <row r="29">
          <cell r="B29" t="str">
            <v xml:space="preserve">Residential </v>
          </cell>
        </row>
        <row r="30">
          <cell r="B30" t="str">
            <v>General Service &lt; 50 kW</v>
          </cell>
        </row>
        <row r="31">
          <cell r="B31" t="str">
            <v>General Service 50 to 4,999 kW</v>
          </cell>
        </row>
        <row r="32">
          <cell r="B32" t="str">
            <v xml:space="preserve">Street Lights </v>
          </cell>
        </row>
        <row r="33">
          <cell r="B33" t="str">
            <v>Sentinel Lights</v>
          </cell>
        </row>
        <row r="34">
          <cell r="B34" t="str">
            <v xml:space="preserve">Unmetered Loads </v>
          </cell>
        </row>
        <row r="35">
          <cell r="J35">
            <v>1.7610000000000001E-2</v>
          </cell>
          <cell r="K35">
            <v>0.10364</v>
          </cell>
        </row>
        <row r="36">
          <cell r="J36">
            <v>1.7610000000000001E-2</v>
          </cell>
          <cell r="K36">
            <v>0.10364</v>
          </cell>
        </row>
        <row r="37">
          <cell r="J37">
            <v>1.7610000000000001E-2</v>
          </cell>
          <cell r="K37">
            <v>0.10364</v>
          </cell>
        </row>
        <row r="38">
          <cell r="J38">
            <v>1.7610000000000001E-2</v>
          </cell>
          <cell r="K38">
            <v>0.10364</v>
          </cell>
        </row>
        <row r="39">
          <cell r="J39">
            <v>1.7610000000000001E-2</v>
          </cell>
          <cell r="K39">
            <v>0.10364</v>
          </cell>
        </row>
        <row r="45">
          <cell r="B45" t="str">
            <v>General Service 50 to 4,999 kW</v>
          </cell>
        </row>
        <row r="46">
          <cell r="L46">
            <v>0</v>
          </cell>
        </row>
        <row r="47">
          <cell r="L47">
            <v>0</v>
          </cell>
        </row>
        <row r="48">
          <cell r="L48">
            <v>0</v>
          </cell>
        </row>
        <row r="49">
          <cell r="L49">
            <v>0</v>
          </cell>
        </row>
        <row r="61">
          <cell r="L61">
            <v>0</v>
          </cell>
        </row>
        <row r="62">
          <cell r="L62">
            <v>0</v>
          </cell>
        </row>
        <row r="63">
          <cell r="L63">
            <v>0</v>
          </cell>
        </row>
        <row r="64">
          <cell r="L64">
            <v>0</v>
          </cell>
        </row>
        <row r="65">
          <cell r="L65">
            <v>0</v>
          </cell>
        </row>
      </sheetData>
      <sheetData sheetId="56">
        <row r="48">
          <cell r="D48">
            <v>46542356.38890218</v>
          </cell>
        </row>
      </sheetData>
      <sheetData sheetId="57"/>
      <sheetData sheetId="58"/>
      <sheetData sheetId="59"/>
      <sheetData sheetId="60"/>
      <sheetData sheetId="6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Hidden_Data Input"/>
      <sheetName val="4. Rate_Base"/>
      <sheetName val="5. Utility Income"/>
      <sheetName val="6. Taxes_PILs"/>
      <sheetName val="7. Cost_of_Capital"/>
      <sheetName val="8. Rev_Def_Suff"/>
      <sheetName val="9. Rev_Reqt"/>
      <sheetName val="Hidden Data_Rev Reqt"/>
      <sheetName val="10. Load Forecast"/>
      <sheetName val="11. Cost_Allocation"/>
      <sheetName val="12. Res_Rate_Design"/>
      <sheetName val="13. Rate Design"/>
      <sheetName val="14. Tracking_Sheet"/>
      <sheetName val="Sheet4"/>
    </sheetNames>
    <sheetDataSet>
      <sheetData sheetId="0"/>
      <sheetData sheetId="1"/>
      <sheetData sheetId="2">
        <row r="20">
          <cell r="E20">
            <v>11323764.12570525</v>
          </cell>
        </row>
      </sheetData>
      <sheetData sheetId="3"/>
      <sheetData sheetId="4">
        <row r="15">
          <cell r="G15">
            <v>6949648.370000002</v>
          </cell>
        </row>
      </sheetData>
      <sheetData sheetId="5"/>
      <sheetData sheetId="6"/>
      <sheetData sheetId="7">
        <row r="24">
          <cell r="F24">
            <v>0.4</v>
          </cell>
        </row>
      </sheetData>
      <sheetData sheetId="8">
        <row r="52">
          <cell r="F52">
            <v>489919.25847626722</v>
          </cell>
        </row>
      </sheetData>
      <sheetData sheetId="9">
        <row r="19">
          <cell r="F19">
            <v>0</v>
          </cell>
        </row>
        <row r="33">
          <cell r="F33">
            <v>3367679.2811760516</v>
          </cell>
        </row>
        <row r="34">
          <cell r="F34"/>
        </row>
      </sheetData>
      <sheetData sheetId="10"/>
      <sheetData sheetId="11"/>
      <sheetData sheetId="12">
        <row r="83">
          <cell r="I83">
            <v>3152486.9807409979</v>
          </cell>
        </row>
      </sheetData>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5">
          <cell r="K15">
            <v>107806.39999999999</v>
          </cell>
        </row>
      </sheetData>
      <sheetData sheetId="25" refreshError="1"/>
      <sheetData sheetId="26" refreshError="1"/>
      <sheetData sheetId="27" refreshError="1"/>
      <sheetData sheetId="28" refreshError="1"/>
      <sheetData sheetId="29">
        <row r="64">
          <cell r="G64">
            <v>5071</v>
          </cell>
          <cell r="M64">
            <v>41213686.838305987</v>
          </cell>
        </row>
        <row r="65">
          <cell r="G65">
            <v>5089</v>
          </cell>
          <cell r="M65">
            <v>40560828.988547392</v>
          </cell>
        </row>
        <row r="66">
          <cell r="G66">
            <v>5105</v>
          </cell>
          <cell r="M66">
            <v>41635821.356398188</v>
          </cell>
        </row>
        <row r="67">
          <cell r="G67">
            <v>5113</v>
          </cell>
          <cell r="M67">
            <v>41364680.179797292</v>
          </cell>
        </row>
        <row r="68">
          <cell r="G68">
            <v>5107</v>
          </cell>
          <cell r="M68">
            <v>41777083.760053806</v>
          </cell>
        </row>
        <row r="69">
          <cell r="G69">
            <v>5107</v>
          </cell>
          <cell r="M69">
            <v>41531416.974855475</v>
          </cell>
        </row>
        <row r="85">
          <cell r="G85">
            <v>1412657.6300000001</v>
          </cell>
        </row>
        <row r="86">
          <cell r="G86">
            <v>1500817.69</v>
          </cell>
        </row>
        <row r="87">
          <cell r="G87">
            <v>1609147.7399999998</v>
          </cell>
        </row>
        <row r="88">
          <cell r="G88">
            <v>1623109.1295849946</v>
          </cell>
        </row>
        <row r="89">
          <cell r="G89">
            <v>1598899.56</v>
          </cell>
        </row>
        <row r="90">
          <cell r="G90">
            <v>1547492.6407823511</v>
          </cell>
        </row>
        <row r="107">
          <cell r="G107">
            <v>740</v>
          </cell>
          <cell r="M107">
            <v>20717412.954381142</v>
          </cell>
        </row>
        <row r="108">
          <cell r="G108">
            <v>741</v>
          </cell>
          <cell r="M108">
            <v>20410869.117378075</v>
          </cell>
        </row>
        <row r="109">
          <cell r="G109">
            <v>739</v>
          </cell>
          <cell r="M109">
            <v>19822551.555684723</v>
          </cell>
        </row>
        <row r="110">
          <cell r="G110">
            <v>735</v>
          </cell>
          <cell r="M110">
            <v>19318308.15392394</v>
          </cell>
        </row>
        <row r="111">
          <cell r="G111">
            <v>731</v>
          </cell>
          <cell r="M111">
            <v>19157006.289290287</v>
          </cell>
        </row>
        <row r="112">
          <cell r="G112">
            <v>729.2698103550307</v>
          </cell>
          <cell r="M112">
            <v>18734722.200039841</v>
          </cell>
        </row>
        <row r="128">
          <cell r="G128">
            <v>466732.02999999997</v>
          </cell>
        </row>
        <row r="129">
          <cell r="G129">
            <v>495354.92000000004</v>
          </cell>
        </row>
        <row r="130">
          <cell r="G130">
            <v>503343.12</v>
          </cell>
        </row>
        <row r="131">
          <cell r="G131">
            <v>531692.80000000005</v>
          </cell>
        </row>
        <row r="132">
          <cell r="G132">
            <v>496374.55169790925</v>
          </cell>
        </row>
        <row r="133">
          <cell r="G133">
            <v>504772.00329809322</v>
          </cell>
        </row>
        <row r="150">
          <cell r="G150">
            <v>64</v>
          </cell>
          <cell r="M150">
            <v>39802726.644729987</v>
          </cell>
        </row>
        <row r="151">
          <cell r="G151">
            <v>63</v>
          </cell>
          <cell r="M151">
            <v>38843531.56505508</v>
          </cell>
        </row>
        <row r="152">
          <cell r="G152">
            <v>65</v>
          </cell>
          <cell r="M152">
            <v>37315824.14402625</v>
          </cell>
        </row>
        <row r="153">
          <cell r="G153">
            <v>62</v>
          </cell>
          <cell r="M153">
            <v>36656118.457809255</v>
          </cell>
        </row>
        <row r="154">
          <cell r="G154">
            <v>61</v>
          </cell>
          <cell r="M154">
            <v>35561045.565628916</v>
          </cell>
        </row>
        <row r="155">
          <cell r="G155">
            <v>61</v>
          </cell>
          <cell r="M155">
            <v>34779128.632275321</v>
          </cell>
        </row>
        <row r="171">
          <cell r="G171">
            <v>419957.24000000005</v>
          </cell>
          <cell r="M171">
            <v>116491.61778031432</v>
          </cell>
        </row>
        <row r="172">
          <cell r="G172">
            <v>425839.14</v>
          </cell>
          <cell r="M172">
            <v>113328.86124644258</v>
          </cell>
        </row>
        <row r="173">
          <cell r="G173">
            <v>456243.20999999996</v>
          </cell>
          <cell r="M173">
            <v>111335.63592947567</v>
          </cell>
        </row>
        <row r="174">
          <cell r="G174">
            <v>460312.73000000004</v>
          </cell>
          <cell r="M174">
            <v>108731.68887752414</v>
          </cell>
        </row>
        <row r="175">
          <cell r="G175">
            <v>436011.13265644439</v>
          </cell>
          <cell r="M175">
            <v>104853.20972316948</v>
          </cell>
        </row>
        <row r="176">
          <cell r="G176">
            <v>457430.82839669031</v>
          </cell>
          <cell r="M176">
            <v>102547.69539154743</v>
          </cell>
        </row>
        <row r="193">
          <cell r="G193">
            <v>1711</v>
          </cell>
          <cell r="M193">
            <v>773158</v>
          </cell>
        </row>
        <row r="194">
          <cell r="G194">
            <v>1711</v>
          </cell>
          <cell r="M194">
            <v>716670</v>
          </cell>
        </row>
        <row r="195">
          <cell r="G195">
            <v>1711</v>
          </cell>
          <cell r="M195">
            <v>714488.57293399889</v>
          </cell>
        </row>
        <row r="196">
          <cell r="G196">
            <v>1711</v>
          </cell>
          <cell r="M196">
            <v>691963</v>
          </cell>
        </row>
        <row r="197">
          <cell r="G197">
            <v>1712</v>
          </cell>
          <cell r="M197">
            <v>641856.39800000004</v>
          </cell>
        </row>
        <row r="198">
          <cell r="G198">
            <v>1712</v>
          </cell>
          <cell r="M198">
            <v>641856.39800000004</v>
          </cell>
        </row>
        <row r="214">
          <cell r="G214">
            <v>98402.84</v>
          </cell>
          <cell r="M214">
            <v>2070.3199999999997</v>
          </cell>
        </row>
        <row r="215">
          <cell r="G215">
            <v>127247.22</v>
          </cell>
          <cell r="M215">
            <v>1944.6200000000001</v>
          </cell>
        </row>
        <row r="216">
          <cell r="G216">
            <v>101589.66</v>
          </cell>
          <cell r="M216">
            <v>1938.5</v>
          </cell>
        </row>
        <row r="217">
          <cell r="G217">
            <v>97215.610000000015</v>
          </cell>
          <cell r="M217">
            <v>1886.9</v>
          </cell>
        </row>
        <row r="218">
          <cell r="G218">
            <v>94334.265948000015</v>
          </cell>
          <cell r="M218">
            <v>1741.56</v>
          </cell>
        </row>
        <row r="219">
          <cell r="G219">
            <v>107317.88269386216</v>
          </cell>
          <cell r="M219">
            <v>1741.56</v>
          </cell>
        </row>
        <row r="236">
          <cell r="G236">
            <v>73</v>
          </cell>
          <cell r="M236">
            <v>106791</v>
          </cell>
        </row>
        <row r="237">
          <cell r="G237">
            <v>71</v>
          </cell>
          <cell r="M237">
            <v>99906</v>
          </cell>
        </row>
        <row r="238">
          <cell r="G238">
            <v>72</v>
          </cell>
          <cell r="M238">
            <v>97401</v>
          </cell>
        </row>
        <row r="239">
          <cell r="G239">
            <v>74</v>
          </cell>
          <cell r="M239">
            <v>98084</v>
          </cell>
        </row>
        <row r="240">
          <cell r="G240">
            <v>73</v>
          </cell>
          <cell r="M240">
            <v>96758.540540540533</v>
          </cell>
        </row>
        <row r="241">
          <cell r="G241">
            <v>73</v>
          </cell>
          <cell r="M241">
            <v>96758.540540540533</v>
          </cell>
        </row>
        <row r="257">
          <cell r="G257">
            <v>6474.3600000000006</v>
          </cell>
          <cell r="M257">
            <v>302</v>
          </cell>
        </row>
        <row r="258">
          <cell r="G258">
            <v>7063.5999999999995</v>
          </cell>
          <cell r="M258">
            <v>275.7</v>
          </cell>
        </row>
        <row r="259">
          <cell r="G259">
            <v>7498.51</v>
          </cell>
          <cell r="M259">
            <v>270.2</v>
          </cell>
        </row>
        <row r="260">
          <cell r="G260">
            <v>7969.7200000000012</v>
          </cell>
          <cell r="M260">
            <v>272.39999999999998</v>
          </cell>
        </row>
        <row r="261">
          <cell r="G261">
            <v>7862.9455767567542</v>
          </cell>
          <cell r="M261">
            <v>268.71891891891886</v>
          </cell>
        </row>
        <row r="262">
          <cell r="G262">
            <v>8002.8772381130939</v>
          </cell>
          <cell r="M262">
            <v>268.71891891891886</v>
          </cell>
        </row>
        <row r="279">
          <cell r="G279">
            <v>58</v>
          </cell>
          <cell r="M279">
            <v>546384</v>
          </cell>
        </row>
        <row r="280">
          <cell r="G280">
            <v>57</v>
          </cell>
          <cell r="M280">
            <v>539097</v>
          </cell>
        </row>
        <row r="281">
          <cell r="G281">
            <v>57</v>
          </cell>
          <cell r="M281">
            <v>541637</v>
          </cell>
        </row>
        <row r="282">
          <cell r="G282">
            <v>57</v>
          </cell>
          <cell r="M282">
            <v>542146</v>
          </cell>
        </row>
        <row r="283">
          <cell r="G283">
            <v>57</v>
          </cell>
          <cell r="M283">
            <v>542146</v>
          </cell>
        </row>
        <row r="284">
          <cell r="G284">
            <v>57</v>
          </cell>
          <cell r="M284">
            <v>542146</v>
          </cell>
        </row>
        <row r="300">
          <cell r="G300">
            <v>12978.57</v>
          </cell>
        </row>
        <row r="301">
          <cell r="G301">
            <v>13086.92</v>
          </cell>
        </row>
        <row r="302">
          <cell r="G302">
            <v>13920.650000000001</v>
          </cell>
        </row>
        <row r="303">
          <cell r="G303">
            <v>14140.06</v>
          </cell>
        </row>
        <row r="304">
          <cell r="G304">
            <v>14117.258400000001</v>
          </cell>
        </row>
        <row r="305">
          <cell r="G305">
            <v>14535.533420578719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in Exhibit 8"/>
      <sheetName val="2021 Rev Deficiency"/>
      <sheetName val="Revenue Requirement"/>
      <sheetName val="Return on Capital"/>
      <sheetName val="Revenue Input"/>
      <sheetName val="Transformer Allowance"/>
      <sheetName val="Forecast Data For 2021"/>
      <sheetName val="2021 Existing Rates"/>
      <sheetName val="2021 Test Yr Revenue"/>
      <sheetName val="Cost Allocation Study"/>
      <sheetName val="Rates By Rate Class"/>
      <sheetName val="Low Voltage Rates"/>
      <sheetName val="Low Voltage Rates Not Used"/>
      <sheetName val="LV Costs Forecast"/>
      <sheetName val="LV Volume Forecast"/>
      <sheetName val="2016 Rate Rider "/>
      <sheetName val="Current Tariff "/>
      <sheetName val="2016 Rate Schedule (Part 1)"/>
      <sheetName val="Bill Impact - Res RPP"/>
      <sheetName val="Bill Impact - Res Non RPP"/>
      <sheetName val="Bill Impact - R Low RPP"/>
      <sheetName val="Bill Impact - R Low Non RPP"/>
      <sheetName val="Bill Impact - Com RPP "/>
      <sheetName val="Bill Impact - Com Non RPP"/>
      <sheetName val="Bill Impact - Ind Non RPP"/>
      <sheetName val="Bill Impact - Street"/>
      <sheetName val="BILL IMPACTS"/>
      <sheetName val="Bill Impact - Sentinel"/>
      <sheetName val="Bill Impact - USL"/>
      <sheetName val="Dist. Rev. Reconciliation"/>
      <sheetName val="Revenue Deficiency Analysis"/>
      <sheetName val="Appendix 2-O Table a"/>
      <sheetName val="Appendix 2-O Table b"/>
      <sheetName val="Appendix 2-O Table c"/>
      <sheetName val="Appendix 2-O Table d"/>
      <sheetName val="Other Electriciy Rates"/>
      <sheetName val="Rate Schedule (Part 2)"/>
      <sheetName val="Revenue Deficiency Analysis (2"/>
      <sheetName val="Customer Imp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2">
          <cell r="J22">
            <v>1547492.6407823511</v>
          </cell>
        </row>
        <row r="23">
          <cell r="J23">
            <v>504772.00329809322</v>
          </cell>
        </row>
        <row r="24">
          <cell r="J24">
            <v>457430.82839669031</v>
          </cell>
        </row>
        <row r="25">
          <cell r="J25">
            <v>107317.88269386216</v>
          </cell>
        </row>
        <row r="26">
          <cell r="J26">
            <v>8002.8772381130939</v>
          </cell>
        </row>
        <row r="27">
          <cell r="J27">
            <v>14535.533420578719</v>
          </cell>
        </row>
        <row r="37">
          <cell r="J37">
            <v>1598899.56</v>
          </cell>
        </row>
        <row r="38">
          <cell r="J38">
            <v>496374.55169790925</v>
          </cell>
        </row>
        <row r="39">
          <cell r="J39">
            <v>436011.13265644439</v>
          </cell>
        </row>
        <row r="40">
          <cell r="J40">
            <v>94334.265948000015</v>
          </cell>
        </row>
        <row r="41">
          <cell r="J41">
            <v>7862.9455767567542</v>
          </cell>
        </row>
        <row r="42">
          <cell r="J42">
            <v>14117.258400000001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4">
          <cell r="D64">
            <v>20</v>
          </cell>
        </row>
        <row r="76">
          <cell r="D76">
            <v>20</v>
          </cell>
        </row>
        <row r="77">
          <cell r="D77">
            <v>19</v>
          </cell>
        </row>
        <row r="78">
          <cell r="D78">
            <v>23</v>
          </cell>
        </row>
        <row r="79">
          <cell r="D79">
            <v>19</v>
          </cell>
        </row>
        <row r="80">
          <cell r="D80">
            <v>21</v>
          </cell>
        </row>
        <row r="81">
          <cell r="D81">
            <v>22</v>
          </cell>
        </row>
        <row r="82">
          <cell r="D82">
            <v>20</v>
          </cell>
        </row>
        <row r="83">
          <cell r="D83">
            <v>22</v>
          </cell>
        </row>
        <row r="84">
          <cell r="D84">
            <v>21</v>
          </cell>
        </row>
        <row r="85">
          <cell r="D85">
            <v>20</v>
          </cell>
        </row>
        <row r="86">
          <cell r="D86">
            <v>22</v>
          </cell>
        </row>
        <row r="87">
          <cell r="D87">
            <v>20</v>
          </cell>
        </row>
        <row r="88">
          <cell r="D88">
            <v>21</v>
          </cell>
        </row>
        <row r="89">
          <cell r="D89">
            <v>20</v>
          </cell>
        </row>
        <row r="90">
          <cell r="D90">
            <v>22</v>
          </cell>
        </row>
        <row r="91">
          <cell r="D91">
            <v>19</v>
          </cell>
        </row>
        <row r="92">
          <cell r="D92">
            <v>22</v>
          </cell>
        </row>
        <row r="93">
          <cell r="D93">
            <v>21</v>
          </cell>
        </row>
        <row r="94">
          <cell r="D94">
            <v>21</v>
          </cell>
        </row>
        <row r="95">
          <cell r="D95">
            <v>22</v>
          </cell>
        </row>
        <row r="96">
          <cell r="D96">
            <v>19</v>
          </cell>
        </row>
        <row r="97">
          <cell r="D97">
            <v>22</v>
          </cell>
        </row>
        <row r="98">
          <cell r="D98">
            <v>22</v>
          </cell>
        </row>
        <row r="99">
          <cell r="D99">
            <v>19</v>
          </cell>
        </row>
        <row r="100">
          <cell r="D100">
            <v>22</v>
          </cell>
        </row>
        <row r="101">
          <cell r="D101">
            <v>19</v>
          </cell>
        </row>
        <row r="102">
          <cell r="D102">
            <v>20</v>
          </cell>
        </row>
        <row r="103">
          <cell r="D103">
            <v>21</v>
          </cell>
        </row>
        <row r="104">
          <cell r="D104">
            <v>22</v>
          </cell>
        </row>
        <row r="105">
          <cell r="D105">
            <v>20</v>
          </cell>
        </row>
        <row r="106">
          <cell r="D106">
            <v>22</v>
          </cell>
        </row>
        <row r="107">
          <cell r="D107">
            <v>21</v>
          </cell>
        </row>
        <row r="108">
          <cell r="D108">
            <v>20</v>
          </cell>
        </row>
        <row r="109">
          <cell r="D109">
            <v>22</v>
          </cell>
        </row>
        <row r="110">
          <cell r="D110">
            <v>21</v>
          </cell>
        </row>
        <row r="111">
          <cell r="D111">
            <v>20</v>
          </cell>
        </row>
        <row r="112">
          <cell r="D112">
            <v>22</v>
          </cell>
        </row>
        <row r="113">
          <cell r="D113">
            <v>19</v>
          </cell>
        </row>
        <row r="114">
          <cell r="D114">
            <v>21</v>
          </cell>
        </row>
        <row r="115">
          <cell r="D115">
            <v>20</v>
          </cell>
        </row>
        <row r="116">
          <cell r="D116">
            <v>21</v>
          </cell>
        </row>
        <row r="117">
          <cell r="D117">
            <v>21</v>
          </cell>
        </row>
        <row r="118">
          <cell r="D118">
            <v>22</v>
          </cell>
        </row>
        <row r="119">
          <cell r="D119">
            <v>20</v>
          </cell>
        </row>
        <row r="120">
          <cell r="D120">
            <v>21</v>
          </cell>
        </row>
        <row r="121">
          <cell r="D121">
            <v>22</v>
          </cell>
        </row>
        <row r="122">
          <cell r="D122">
            <v>20</v>
          </cell>
        </row>
        <row r="123">
          <cell r="D123">
            <v>21</v>
          </cell>
        </row>
        <row r="124">
          <cell r="D124">
            <v>21</v>
          </cell>
        </row>
        <row r="125">
          <cell r="D125">
            <v>19</v>
          </cell>
        </row>
        <row r="126">
          <cell r="D126">
            <v>22</v>
          </cell>
        </row>
        <row r="127">
          <cell r="D127">
            <v>20</v>
          </cell>
        </row>
        <row r="128">
          <cell r="D128">
            <v>20</v>
          </cell>
        </row>
        <row r="129">
          <cell r="D129">
            <v>22</v>
          </cell>
        </row>
        <row r="130">
          <cell r="D130">
            <v>22</v>
          </cell>
        </row>
        <row r="131">
          <cell r="D131">
            <v>20</v>
          </cell>
        </row>
        <row r="132">
          <cell r="D132">
            <v>21</v>
          </cell>
        </row>
        <row r="133">
          <cell r="D133">
            <v>21</v>
          </cell>
        </row>
        <row r="134">
          <cell r="D134">
            <v>21</v>
          </cell>
        </row>
        <row r="135">
          <cell r="D135">
            <v>21</v>
          </cell>
        </row>
        <row r="136">
          <cell r="D136">
            <v>20</v>
          </cell>
        </row>
        <row r="137">
          <cell r="D137">
            <v>20</v>
          </cell>
        </row>
        <row r="138">
          <cell r="D138">
            <v>21</v>
          </cell>
        </row>
        <row r="139">
          <cell r="D139">
            <v>21</v>
          </cell>
        </row>
        <row r="140">
          <cell r="D140">
            <v>21</v>
          </cell>
        </row>
        <row r="141">
          <cell r="D141">
            <v>22</v>
          </cell>
        </row>
        <row r="142">
          <cell r="D142">
            <v>20</v>
          </cell>
        </row>
        <row r="143">
          <cell r="D143">
            <v>22</v>
          </cell>
        </row>
        <row r="144">
          <cell r="D144">
            <v>21</v>
          </cell>
        </row>
        <row r="145">
          <cell r="D145">
            <v>20</v>
          </cell>
        </row>
        <row r="146">
          <cell r="D146">
            <v>22</v>
          </cell>
        </row>
        <row r="147">
          <cell r="D147">
            <v>20</v>
          </cell>
        </row>
        <row r="148">
          <cell r="D148">
            <v>21</v>
          </cell>
        </row>
        <row r="149">
          <cell r="D149">
            <v>19</v>
          </cell>
        </row>
        <row r="150">
          <cell r="D150">
            <v>23</v>
          </cell>
        </row>
        <row r="151">
          <cell r="D151">
            <v>18</v>
          </cell>
        </row>
        <row r="152">
          <cell r="D152">
            <v>22</v>
          </cell>
        </row>
        <row r="153">
          <cell r="D153">
            <v>22</v>
          </cell>
        </row>
        <row r="154">
          <cell r="D154">
            <v>20</v>
          </cell>
        </row>
        <row r="155">
          <cell r="D155">
            <v>22</v>
          </cell>
        </row>
        <row r="156">
          <cell r="D156">
            <v>20</v>
          </cell>
        </row>
        <row r="157">
          <cell r="D157">
            <v>21</v>
          </cell>
        </row>
        <row r="158">
          <cell r="D158">
            <v>22</v>
          </cell>
        </row>
        <row r="159">
          <cell r="D159">
            <v>19</v>
          </cell>
        </row>
        <row r="160">
          <cell r="D160">
            <v>22</v>
          </cell>
        </row>
        <row r="161">
          <cell r="D161">
            <v>19</v>
          </cell>
        </row>
        <row r="162">
          <cell r="D162">
            <v>21</v>
          </cell>
        </row>
        <row r="163">
          <cell r="D163">
            <v>20</v>
          </cell>
        </row>
        <row r="164">
          <cell r="D164">
            <v>22</v>
          </cell>
        </row>
        <row r="165">
          <cell r="D165">
            <v>21</v>
          </cell>
        </row>
        <row r="166">
          <cell r="D166">
            <v>21</v>
          </cell>
        </row>
        <row r="167">
          <cell r="D167">
            <v>22</v>
          </cell>
        </row>
        <row r="168">
          <cell r="D168">
            <v>19</v>
          </cell>
        </row>
        <row r="169">
          <cell r="D169">
            <v>22</v>
          </cell>
        </row>
        <row r="170">
          <cell r="D170">
            <v>22</v>
          </cell>
        </row>
        <row r="171">
          <cell r="D171">
            <v>19</v>
          </cell>
        </row>
        <row r="172">
          <cell r="D172">
            <v>22</v>
          </cell>
        </row>
        <row r="173">
          <cell r="D173">
            <v>19</v>
          </cell>
        </row>
        <row r="174">
          <cell r="D174">
            <v>21</v>
          </cell>
        </row>
        <row r="175">
          <cell r="D175">
            <v>20</v>
          </cell>
        </row>
        <row r="176">
          <cell r="D176">
            <v>22</v>
          </cell>
        </row>
        <row r="177">
          <cell r="D177">
            <v>20</v>
          </cell>
        </row>
        <row r="178">
          <cell r="D178">
            <v>22</v>
          </cell>
        </row>
        <row r="179">
          <cell r="D179">
            <v>21</v>
          </cell>
        </row>
        <row r="180">
          <cell r="D180">
            <v>20</v>
          </cell>
        </row>
        <row r="181">
          <cell r="D181">
            <v>22</v>
          </cell>
        </row>
        <row r="182">
          <cell r="D182">
            <v>21</v>
          </cell>
        </row>
        <row r="183">
          <cell r="D183">
            <v>20</v>
          </cell>
        </row>
        <row r="184">
          <cell r="D184">
            <v>22</v>
          </cell>
        </row>
        <row r="185">
          <cell r="D185">
            <v>19</v>
          </cell>
        </row>
        <row r="186">
          <cell r="D186">
            <v>22</v>
          </cell>
        </row>
        <row r="187">
          <cell r="D187">
            <v>20</v>
          </cell>
        </row>
        <row r="188">
          <cell r="D188">
            <v>20</v>
          </cell>
        </row>
        <row r="189">
          <cell r="D189">
            <v>22</v>
          </cell>
        </row>
        <row r="190">
          <cell r="D190">
            <v>22</v>
          </cell>
        </row>
        <row r="191">
          <cell r="D191">
            <v>20</v>
          </cell>
        </row>
        <row r="192">
          <cell r="D192">
            <v>21</v>
          </cell>
        </row>
        <row r="193">
          <cell r="D193">
            <v>21</v>
          </cell>
        </row>
        <row r="194">
          <cell r="D194">
            <v>21</v>
          </cell>
        </row>
        <row r="195">
          <cell r="D195">
            <v>21</v>
          </cell>
        </row>
        <row r="196">
          <cell r="D196">
            <v>20</v>
          </cell>
        </row>
        <row r="197">
          <cell r="D197">
            <v>19</v>
          </cell>
        </row>
        <row r="198">
          <cell r="D198">
            <v>23</v>
          </cell>
        </row>
        <row r="199">
          <cell r="D199">
            <v>20</v>
          </cell>
        </row>
        <row r="200">
          <cell r="D200">
            <v>20</v>
          </cell>
        </row>
        <row r="201">
          <cell r="D201">
            <v>22</v>
          </cell>
        </row>
        <row r="202">
          <cell r="D202">
            <v>21</v>
          </cell>
        </row>
        <row r="203">
          <cell r="D203">
            <v>21</v>
          </cell>
        </row>
        <row r="204">
          <cell r="D204">
            <v>21</v>
          </cell>
        </row>
        <row r="205">
          <cell r="D205">
            <v>20</v>
          </cell>
        </row>
        <row r="206">
          <cell r="D206">
            <v>22</v>
          </cell>
        </row>
        <row r="207">
          <cell r="D207">
            <v>21</v>
          </cell>
        </row>
        <row r="208">
          <cell r="D208">
            <v>20</v>
          </cell>
        </row>
        <row r="209">
          <cell r="D209">
            <v>19</v>
          </cell>
        </row>
        <row r="210">
          <cell r="D210">
            <v>23</v>
          </cell>
        </row>
        <row r="211">
          <cell r="D211">
            <v>19</v>
          </cell>
        </row>
        <row r="212">
          <cell r="D212">
            <v>21</v>
          </cell>
        </row>
        <row r="213">
          <cell r="D213">
            <v>22</v>
          </cell>
        </row>
        <row r="214">
          <cell r="D214">
            <v>20</v>
          </cell>
        </row>
        <row r="215">
          <cell r="D215">
            <v>22</v>
          </cell>
        </row>
        <row r="216">
          <cell r="D216">
            <v>21</v>
          </cell>
        </row>
        <row r="217">
          <cell r="D217">
            <v>20</v>
          </cell>
        </row>
        <row r="218">
          <cell r="D218">
            <v>22</v>
          </cell>
        </row>
        <row r="219">
          <cell r="D219">
            <v>20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Tables 1"/>
      <sheetName val="Exhibit 3 Tables 2"/>
      <sheetName val="Summary"/>
      <sheetName val="Purchased Power Model No CDM"/>
      <sheetName val="Purchased Power Model No CD (2)"/>
      <sheetName val="Purchased Power Model No CD 1"/>
      <sheetName val="Purchased Power Model No CDM 2"/>
      <sheetName val="Purchased Power Model 3"/>
      <sheetName val="Purchased Power Model 4"/>
      <sheetName val="Rate Class Energy Model "/>
      <sheetName val="Rate Class Customer Model"/>
      <sheetName val="Rate Class Load Model"/>
      <sheetName val="Weather Normalized Historical"/>
      <sheetName val="HDD &amp; CDD"/>
      <sheetName val="CDM Activity"/>
      <sheetName val="App.2-R_Loss Factors"/>
      <sheetName val="2022 COP Forecast"/>
      <sheetName val="Bridge RPP Split"/>
      <sheetName val="Bridge COP Forecast"/>
      <sheetName val="Commodity Price"/>
      <sheetName val="Sheet3"/>
      <sheetName val="Regression Senarios "/>
    </sheetNames>
    <sheetDataSet>
      <sheetData sheetId="0"/>
      <sheetData sheetId="1"/>
      <sheetData sheetId="2"/>
      <sheetData sheetId="3"/>
      <sheetData sheetId="4"/>
      <sheetData sheetId="5"/>
      <sheetData sheetId="6"/>
      <sheetData sheetId="7"/>
      <sheetData sheetId="8"/>
      <sheetData sheetId="9"/>
      <sheetData sheetId="10">
        <row r="14">
          <cell r="A14">
            <v>2021</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C9">
            <v>1.014</v>
          </cell>
          <cell r="D9">
            <v>1.014</v>
          </cell>
          <cell r="E9">
            <v>1.014</v>
          </cell>
          <cell r="F9">
            <v>0.92800000000000005</v>
          </cell>
        </row>
        <row r="10">
          <cell r="C10">
            <v>-0.14699999999999999</v>
          </cell>
          <cell r="D10">
            <v>0.47499999999999998</v>
          </cell>
          <cell r="E10">
            <v>0.47499999999999998</v>
          </cell>
          <cell r="F10">
            <v>0.47499999999999998</v>
          </cell>
        </row>
        <row r="11">
          <cell r="C11">
            <v>0</v>
          </cell>
          <cell r="D11">
            <v>7.0000000000000001E-3</v>
          </cell>
          <cell r="E11">
            <v>0.28000000000000003</v>
          </cell>
          <cell r="F11">
            <v>0.28000000000000003</v>
          </cell>
        </row>
        <row r="12">
          <cell r="D12">
            <v>9.9000000000000005E-2</v>
          </cell>
          <cell r="E12">
            <v>0.126</v>
          </cell>
          <cell r="F12">
            <v>1.2110000000000001</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Filter"/>
      <sheetName val="Allocation Methodology"/>
      <sheetName val="Summary - LDC"/>
      <sheetName val="Summary - Prov"/>
      <sheetName val="Annual Net Demand Savings - LDC"/>
      <sheetName val="Annual Net Energy Savings - LDC"/>
      <sheetName val="Annual Net Demand Savings -Prov"/>
      <sheetName val="Annual Net Energy Savings -Prov"/>
      <sheetName val="Initiative Level - LDC"/>
      <sheetName val="Initiative Level - Prov"/>
      <sheetName val="Measures - LDC"/>
      <sheetName val="Measures - Prov"/>
      <sheetName val="Local Distribution Companies"/>
    </sheetNames>
    <sheetDataSet>
      <sheetData sheetId="0"/>
      <sheetData sheetId="1"/>
      <sheetData sheetId="2">
        <row r="19">
          <cell r="E19">
            <v>415.55269487282038</v>
          </cell>
          <cell r="F19">
            <v>415.55269487282038</v>
          </cell>
          <cell r="G19">
            <v>415.55269487282038</v>
          </cell>
          <cell r="H19">
            <v>415.55269487282038</v>
          </cell>
          <cell r="I19">
            <v>72.172301702875501</v>
          </cell>
          <cell r="J19">
            <v>72.172301702875501</v>
          </cell>
          <cell r="K19">
            <v>66.018006726847346</v>
          </cell>
          <cell r="L19">
            <v>66.018006726847346</v>
          </cell>
          <cell r="M19">
            <v>62.034088982352685</v>
          </cell>
          <cell r="N19">
            <v>62.034088982352685</v>
          </cell>
          <cell r="O19">
            <v>58.608530728798215</v>
          </cell>
        </row>
        <row r="20">
          <cell r="F20">
            <v>333.55357076283673</v>
          </cell>
          <cell r="G20">
            <v>237.97483517482442</v>
          </cell>
          <cell r="H20">
            <v>226.1541924168321</v>
          </cell>
          <cell r="I20">
            <v>226.1541924168321</v>
          </cell>
          <cell r="J20">
            <v>225.99892110914436</v>
          </cell>
          <cell r="K20">
            <v>219.86694770573743</v>
          </cell>
          <cell r="L20">
            <v>219.86694770573743</v>
          </cell>
          <cell r="M20">
            <v>219.86694770573743</v>
          </cell>
          <cell r="N20">
            <v>85.173205446111922</v>
          </cell>
          <cell r="O20">
            <v>51.547191357416935</v>
          </cell>
        </row>
        <row r="21">
          <cell r="G21">
            <v>386.16137392585819</v>
          </cell>
          <cell r="H21">
            <v>336.57625334211514</v>
          </cell>
          <cell r="I21">
            <v>336.57625334211514</v>
          </cell>
          <cell r="J21">
            <v>336.57625334211514</v>
          </cell>
          <cell r="K21">
            <v>316.58993506054526</v>
          </cell>
          <cell r="L21">
            <v>316.16441506054531</v>
          </cell>
          <cell r="M21">
            <v>295.79524860914103</v>
          </cell>
          <cell r="N21">
            <v>280.57775641037466</v>
          </cell>
          <cell r="O21">
            <v>217.80913852963698</v>
          </cell>
        </row>
        <row r="22">
          <cell r="H22">
            <v>823.88674545574236</v>
          </cell>
          <cell r="I22">
            <v>753.9467189411165</v>
          </cell>
          <cell r="J22">
            <v>753.9467189411165</v>
          </cell>
          <cell r="K22">
            <v>753.11627831212445</v>
          </cell>
          <cell r="L22">
            <v>725.05040238512959</v>
          </cell>
          <cell r="M22">
            <v>654.15012527158876</v>
          </cell>
          <cell r="N22">
            <v>643.46090401315996</v>
          </cell>
          <cell r="O22">
            <v>643.2276728764499</v>
          </cell>
        </row>
        <row r="23">
          <cell r="I23">
            <v>490.6592263035426</v>
          </cell>
          <cell r="J23">
            <v>372.93592627486282</v>
          </cell>
          <cell r="K23">
            <v>372.35519439150494</v>
          </cell>
          <cell r="L23">
            <v>372.08638908714732</v>
          </cell>
          <cell r="M23">
            <v>350.30973119312461</v>
          </cell>
          <cell r="N23">
            <v>286.64710263024449</v>
          </cell>
          <cell r="O23">
            <v>284.49686309639668</v>
          </cell>
        </row>
      </sheetData>
      <sheetData sheetId="3"/>
      <sheetData sheetId="4" refreshError="1"/>
      <sheetData sheetId="5" refreshError="1"/>
      <sheetData sheetId="6" refreshError="1"/>
      <sheetData sheetId="7" refreshError="1"/>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Rate Classes"/>
      <sheetName val="4. RRR Data"/>
      <sheetName val="5. UTRs and Sub-Transmission"/>
      <sheetName val="6. Historical Wholesale"/>
      <sheetName val="7. Current Wholesale"/>
      <sheetName val="8. Forecast Wholesale"/>
      <sheetName val="9. RTSR Rates to Forecast"/>
      <sheetName val="hidden1"/>
      <sheetName val="Sheet1"/>
      <sheetName val="RSL 2016_RTSR_MODEL_V4_DRAFT"/>
    </sheetNames>
    <sheetDataSet>
      <sheetData sheetId="0"/>
      <sheetData sheetId="1"/>
      <sheetData sheetId="2">
        <row r="19">
          <cell r="G19">
            <v>3.1307999999999998</v>
          </cell>
        </row>
      </sheetData>
      <sheetData sheetId="3">
        <row r="21">
          <cell r="G21">
            <v>121199</v>
          </cell>
        </row>
      </sheetData>
      <sheetData sheetId="4"/>
      <sheetData sheetId="5"/>
      <sheetData sheetId="6"/>
      <sheetData sheetId="7"/>
      <sheetData sheetId="8">
        <row r="39">
          <cell r="J39">
            <v>7.7368368365435874E-3</v>
          </cell>
        </row>
        <row r="40">
          <cell r="J40">
            <v>7.736836809709712E-3</v>
          </cell>
        </row>
        <row r="41">
          <cell r="J41">
            <v>2.4216298897614097</v>
          </cell>
        </row>
        <row r="42">
          <cell r="J42">
            <v>2.7078926404982528</v>
          </cell>
        </row>
        <row r="43">
          <cell r="J43">
            <v>7.7368422293920746E-3</v>
          </cell>
        </row>
        <row r="44">
          <cell r="J44">
            <v>1.8336423904109167</v>
          </cell>
        </row>
        <row r="45">
          <cell r="J45">
            <v>1.8258922714716779</v>
          </cell>
        </row>
        <row r="50">
          <cell r="J50">
            <v>6.6745326589538675E-3</v>
          </cell>
        </row>
        <row r="51">
          <cell r="J51">
            <v>6.6745323855041247E-3</v>
          </cell>
        </row>
        <row r="52">
          <cell r="J52">
            <v>1.4416990307865478</v>
          </cell>
        </row>
        <row r="53">
          <cell r="J53">
            <v>1.6085625309221667</v>
          </cell>
        </row>
        <row r="54">
          <cell r="J54">
            <v>6.674535599270625E-3</v>
          </cell>
        </row>
        <row r="55">
          <cell r="J55">
            <v>1.1413576213306393</v>
          </cell>
        </row>
        <row r="56">
          <cell r="J56">
            <v>1.1146464141491461</v>
          </cell>
        </row>
      </sheetData>
      <sheetData sheetId="9"/>
      <sheetData sheetId="10"/>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Rate Classes"/>
      <sheetName val="4. RRR Data"/>
      <sheetName val="5. UTRs and Sub-Transmission"/>
      <sheetName val="6. Historical Wholesale"/>
      <sheetName val="7. Current Wholesale"/>
      <sheetName val="8. Forecast Wholesale"/>
      <sheetName val="9. RTSR Rates to Forecast"/>
      <sheetName val="hidden1"/>
      <sheetName val="Sheet1"/>
    </sheetNames>
    <sheetDataSet>
      <sheetData sheetId="0"/>
      <sheetData sheetId="1"/>
      <sheetData sheetId="2"/>
      <sheetData sheetId="3"/>
      <sheetData sheetId="4"/>
      <sheetData sheetId="5"/>
      <sheetData sheetId="6"/>
      <sheetData sheetId="7"/>
      <sheetData sheetId="8">
        <row r="17">
          <cell r="E17">
            <v>44201094.343512006</v>
          </cell>
        </row>
        <row r="18">
          <cell r="E18">
            <v>22299187.702259403</v>
          </cell>
        </row>
        <row r="19">
          <cell r="F19">
            <v>115031.54000000001</v>
          </cell>
        </row>
        <row r="20">
          <cell r="F20">
            <v>10702.9</v>
          </cell>
        </row>
        <row r="21">
          <cell r="E21">
            <v>586893.6087000001</v>
          </cell>
        </row>
        <row r="22">
          <cell r="F22">
            <v>302</v>
          </cell>
        </row>
        <row r="23">
          <cell r="F23">
            <v>2861.6</v>
          </cell>
        </row>
        <row r="39">
          <cell r="J39">
            <v>7.4867353041797912E-3</v>
          </cell>
        </row>
        <row r="40">
          <cell r="J40">
            <v>6.8476239429030887E-3</v>
          </cell>
        </row>
        <row r="41">
          <cell r="J41">
            <v>2.8584720632500615</v>
          </cell>
        </row>
        <row r="42">
          <cell r="J42">
            <v>3.1936400753094629</v>
          </cell>
        </row>
        <row r="43">
          <cell r="J43">
            <v>6.8476125536060155E-3</v>
          </cell>
        </row>
        <row r="44">
          <cell r="J44">
            <v>2.1666887646702979</v>
          </cell>
        </row>
        <row r="45">
          <cell r="J45">
            <v>2.1557205987338679</v>
          </cell>
        </row>
        <row r="50">
          <cell r="J50">
            <v>5.9886670344349996E-3</v>
          </cell>
        </row>
        <row r="51">
          <cell r="J51">
            <v>5.4811524999585073E-3</v>
          </cell>
        </row>
        <row r="52">
          <cell r="J52">
            <v>2.194288164269794</v>
          </cell>
        </row>
        <row r="53">
          <cell r="J53">
            <v>2.4458127854957286</v>
          </cell>
        </row>
        <row r="54">
          <cell r="J54">
            <v>5.4811637250149758E-3</v>
          </cell>
        </row>
        <row r="55">
          <cell r="J55">
            <v>1.7317218319369294</v>
          </cell>
        </row>
        <row r="56">
          <cell r="J56">
            <v>1.6965194077766683</v>
          </cell>
        </row>
      </sheetData>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in Exhibit 8"/>
      <sheetName val="Revenue Input"/>
      <sheetName val="Transformer Allowance"/>
      <sheetName val="Forecast Data For 2016"/>
      <sheetName val="2015 Existing Rates"/>
      <sheetName val="2016 Test Yr On Existing Rates"/>
      <sheetName val="Cost Allocation Study"/>
      <sheetName val="Rates By Rate Class"/>
      <sheetName val="Allocation Low Voltage Costs"/>
      <sheetName val="Low Voltage Rates"/>
      <sheetName val="LV Costs Forecast"/>
      <sheetName val="LV Volume Forecast"/>
      <sheetName val="2016 Rate Rider "/>
      <sheetName val="Current Tariff "/>
      <sheetName val="2016 Rate Schedule (Part 1)"/>
      <sheetName val="Bill Impact - Res RPP"/>
      <sheetName val="Bill Impact - Res Non RPP"/>
      <sheetName val="Bill Impact - R Low RPP"/>
      <sheetName val="Bill Impact - R Low Non RPP"/>
      <sheetName val="Bill Impact - Com RPP "/>
      <sheetName val="Bill Impact - Com Non RPP"/>
      <sheetName val="Bill Impact - Ind Non RPP"/>
      <sheetName val="Bill Impact - Street"/>
      <sheetName val="BILL IMPACTS"/>
      <sheetName val="Bill Impact - Sentinel"/>
      <sheetName val="Bill Impact - USL"/>
      <sheetName val="Sheet1"/>
      <sheetName val="Dist. Rev. Reconciliation"/>
      <sheetName val="Revenue Deficiency Analysis"/>
      <sheetName val="Appendix 2-O Table a"/>
      <sheetName val="Appendix 2-O Table b"/>
      <sheetName val="Appendix 2-O Table c"/>
      <sheetName val="Appendix 2-O Table d"/>
      <sheetName val="Other Electriciy Rates"/>
      <sheetName val="Rate Schedule (Part 2)"/>
      <sheetName val="Revenue Deficiency Analysis (2"/>
      <sheetName val="Customer Impact"/>
      <sheetName val="2016 Rev Deficiency"/>
      <sheetName val="Revenue Requirement"/>
      <sheetName val="Return on Capital"/>
      <sheetName val="LRAM and SSM Rate Rider"/>
      <sheetName val="Bill Impact - Str (2)"/>
      <sheetName val="Bill Impact - Str"/>
      <sheetName val="Distribution Rate Schedule"/>
      <sheetName val="Bill Impact - Res. D"/>
      <sheetName val="Bill Impact - Res. R"/>
      <sheetName val="Bill Impact - Res. D (2)"/>
      <sheetName val="Bill Impact - Res. R (2)"/>
      <sheetName val="Bill Impact - Com. D "/>
      <sheetName val="Bill Impact - Ccom. R"/>
      <sheetName val="Bill Impact - Ind.D"/>
      <sheetName val="Sheet2"/>
      <sheetName val="Rate Schedule "/>
    </sheetNames>
    <sheetDataSet>
      <sheetData sheetId="0"/>
      <sheetData sheetId="1"/>
      <sheetData sheetId="2"/>
      <sheetData sheetId="3">
        <row r="6">
          <cell r="C6">
            <v>41307918.062203318</v>
          </cell>
        </row>
      </sheetData>
      <sheetData sheetId="4"/>
      <sheetData sheetId="5">
        <row r="22">
          <cell r="J22">
            <v>1617327.567244105</v>
          </cell>
        </row>
      </sheetData>
      <sheetData sheetId="6">
        <row r="5">
          <cell r="K5">
            <v>1617327.567244105</v>
          </cell>
        </row>
      </sheetData>
      <sheetData sheetId="7"/>
      <sheetData sheetId="8"/>
      <sheetData sheetId="9">
        <row r="6">
          <cell r="E6">
            <v>4.6475792588182617E-3</v>
          </cell>
        </row>
        <row r="7">
          <cell r="E7">
            <v>4.2537163156258816E-3</v>
          </cell>
        </row>
        <row r="8">
          <cell r="E8">
            <v>1.7195204383792004</v>
          </cell>
        </row>
        <row r="9">
          <cell r="E9">
            <v>1.3166049083090101</v>
          </cell>
        </row>
        <row r="10">
          <cell r="E10">
            <v>1.3439241857787063</v>
          </cell>
        </row>
        <row r="11">
          <cell r="E11">
            <v>4.2537250269700459E-3</v>
          </cell>
        </row>
        <row r="12">
          <cell r="B12">
            <v>486897.97644599993</v>
          </cell>
        </row>
      </sheetData>
      <sheetData sheetId="10"/>
      <sheetData sheetId="11"/>
      <sheetData sheetId="12"/>
      <sheetData sheetId="13"/>
      <sheetData sheetId="14"/>
      <sheetData sheetId="15"/>
      <sheetData sheetId="16"/>
      <sheetData sheetId="17"/>
      <sheetData sheetId="18"/>
      <sheetData sheetId="19"/>
      <sheetData sheetId="20"/>
      <sheetData sheetId="21">
        <row r="5">
          <cell r="C5">
            <v>147135</v>
          </cell>
        </row>
      </sheetData>
      <sheetData sheetId="22">
        <row r="5">
          <cell r="C5">
            <v>22825</v>
          </cell>
        </row>
      </sheetData>
      <sheetData sheetId="23"/>
      <sheetData sheetId="24">
        <row r="5">
          <cell r="C5">
            <v>293.51010201246379</v>
          </cell>
        </row>
      </sheetData>
      <sheetData sheetId="25">
        <row r="5">
          <cell r="C5">
            <v>727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021 List"/>
      <sheetName val="Sheet1"/>
      <sheetName val="2. Table of Contents"/>
      <sheetName val="3. RRR Data"/>
      <sheetName val="4. UTRs and Sub-Transmission"/>
      <sheetName val="5. Historical Wholesale"/>
      <sheetName val="6. Current Wholesale"/>
      <sheetName val="7. Forecast Wholesale"/>
      <sheetName val="8. RTSR Rates to Forecast"/>
      <sheetName val="RateClasses"/>
      <sheetName val="DELETE 3. Rate Classes"/>
      <sheetName val="2 1 5 TotalConsumptionData_Dist"/>
      <sheetName val="hidden1"/>
    </sheetNames>
    <sheetDataSet>
      <sheetData sheetId="0"/>
      <sheetData sheetId="1"/>
      <sheetData sheetId="2"/>
      <sheetData sheetId="3"/>
      <sheetData sheetId="4"/>
      <sheetData sheetId="5"/>
      <sheetData sheetId="6"/>
      <sheetData sheetId="7"/>
      <sheetData sheetId="8"/>
      <sheetData sheetId="9">
        <row r="17">
          <cell r="D17">
            <v>6.4999999999999997E-3</v>
          </cell>
        </row>
        <row r="18">
          <cell r="D18">
            <v>6.0000000000000001E-3</v>
          </cell>
        </row>
        <row r="19">
          <cell r="D19">
            <v>2.4830999999999999</v>
          </cell>
        </row>
        <row r="20">
          <cell r="D20">
            <v>2.7743000000000002</v>
          </cell>
        </row>
        <row r="21">
          <cell r="D21">
            <v>6.0000000000000001E-3</v>
          </cell>
        </row>
        <row r="22">
          <cell r="D22">
            <v>1.8821000000000001</v>
          </cell>
        </row>
        <row r="23">
          <cell r="D23">
            <v>1.8726</v>
          </cell>
        </row>
        <row r="28">
          <cell r="D28">
            <v>5.7999999999999996E-3</v>
          </cell>
        </row>
        <row r="29">
          <cell r="D29">
            <v>5.3E-3</v>
          </cell>
        </row>
        <row r="30">
          <cell r="D30">
            <v>2.13</v>
          </cell>
        </row>
        <row r="31">
          <cell r="D31">
            <v>2.3740000000000001</v>
          </cell>
        </row>
        <row r="32">
          <cell r="D32">
            <v>5.3E-3</v>
          </cell>
        </row>
        <row r="33">
          <cell r="D33">
            <v>1.6809000000000001</v>
          </cell>
        </row>
        <row r="34">
          <cell r="D34">
            <v>1.6469</v>
          </cell>
        </row>
      </sheetData>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89"/>
      <sheetName val="Class A"/>
      <sheetName val="Billed GA Sales"/>
      <sheetName val="Actaul GA Sales"/>
      <sheetName val="RPP GA Cost"/>
      <sheetName val="Variance Allocation"/>
    </sheetNames>
    <sheetDataSet>
      <sheetData sheetId="0"/>
      <sheetData sheetId="1"/>
      <sheetData sheetId="2">
        <row r="66">
          <cell r="B66">
            <v>2850760</v>
          </cell>
          <cell r="C66">
            <v>245111.87</v>
          </cell>
        </row>
        <row r="90">
          <cell r="B90">
            <v>302568</v>
          </cell>
          <cell r="C90">
            <v>26027.109999999986</v>
          </cell>
        </row>
        <row r="91">
          <cell r="B91">
            <v>76395</v>
          </cell>
          <cell r="C91">
            <v>6657.429999999993</v>
          </cell>
        </row>
        <row r="92">
          <cell r="B92">
            <v>2401945</v>
          </cell>
          <cell r="C92">
            <v>206441.67</v>
          </cell>
        </row>
        <row r="93">
          <cell r="B93">
            <v>4653</v>
          </cell>
          <cell r="C93">
            <v>398.71000000000004</v>
          </cell>
        </row>
        <row r="94">
          <cell r="B94">
            <v>238</v>
          </cell>
          <cell r="C94">
            <v>20.419999999999959</v>
          </cell>
        </row>
        <row r="95">
          <cell r="B95">
            <v>64961</v>
          </cell>
          <cell r="C95">
            <v>5566.53</v>
          </cell>
        </row>
      </sheetData>
      <sheetData sheetId="3">
        <row r="66">
          <cell r="B66">
            <v>3065318</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lassRevenues"/>
      <sheetName val="ExistingRatesDetails"/>
      <sheetName val="ExistingRatesSummary"/>
      <sheetName val="LoadForecastDetails"/>
      <sheetName val="LoadForecastSummary"/>
      <sheetName val="Refs"/>
    </sheetNames>
    <sheetDataSet>
      <sheetData sheetId="0" refreshError="1"/>
      <sheetData sheetId="1"/>
      <sheetData sheetId="2"/>
      <sheetData sheetId="3"/>
      <sheetData sheetId="4"/>
      <sheetData sheetId="5"/>
      <sheetData sheetId="6" refreshError="1">
        <row r="2">
          <cell r="B2" t="str">
            <v>Horizon_Utilities_Corporation_Detailed_CA_model_Run2.xls</v>
          </cell>
        </row>
        <row r="5">
          <cell r="B5" t="str">
            <v>Revenue Requirement (includes NI)</v>
          </cell>
        </row>
        <row r="6">
          <cell r="B6">
            <v>92033309.222477198</v>
          </cell>
        </row>
        <row r="8">
          <cell r="B8">
            <v>498976676.05552793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
      <sheetName val="2. Customer Classes"/>
      <sheetName val="3. Consumption by Rate Class"/>
      <sheetName val="4. Customer Growth"/>
      <sheetName val="5.Variables"/>
      <sheetName val="6. WS Regression Analysis"/>
      <sheetName val="6.1 Regression Scenarios"/>
      <sheetName val="Rate Class Energy Model"/>
      <sheetName val="Rate Class Load Model"/>
      <sheetName val="7. Weather Senstive Class"/>
      <sheetName val="8. KW and Non-Weather Sensitive"/>
      <sheetName val="9. Weather Adj LF"/>
      <sheetName val="10. CDM Adjustment"/>
      <sheetName val="10.1 CDM Allocation"/>
      <sheetName val="11. Final Load Forecast"/>
      <sheetName val="12. Analysis_ Avg Per Cust"/>
      <sheetName val="13. Analysis_Weather adj LF"/>
      <sheetName val="Sheet1"/>
      <sheetName val="App.2-R_Loss Factors"/>
      <sheetName val="RSL Loss Factor"/>
      <sheetName val="6. WS Regression Analysis 20Y"/>
      <sheetName val="6. WS Regression Analysis (2)"/>
      <sheetName val="6. WS Regression Analysis ( (3"/>
      <sheetName val="Sheet2"/>
    </sheetNames>
    <sheetDataSet>
      <sheetData sheetId="0"/>
      <sheetData sheetId="1"/>
      <sheetData sheetId="2">
        <row r="25">
          <cell r="B25">
            <v>2005</v>
          </cell>
        </row>
      </sheetData>
      <sheetData sheetId="3">
        <row r="17">
          <cell r="B17">
            <v>2005</v>
          </cell>
        </row>
      </sheetData>
      <sheetData sheetId="4">
        <row r="16">
          <cell r="B16" t="str">
            <v>HDD</v>
          </cell>
        </row>
        <row r="43">
          <cell r="B43" t="str">
            <v>CDD</v>
          </cell>
        </row>
        <row r="70">
          <cell r="B70" t="str">
            <v>Number of Days in Month</v>
          </cell>
        </row>
        <row r="100">
          <cell r="B100" t="str">
            <v>Spring/Fall Flag</v>
          </cell>
        </row>
        <row r="116">
          <cell r="B116" t="str">
            <v>Holidays in Month</v>
          </cell>
        </row>
        <row r="132">
          <cell r="B132" t="str">
            <v>HDD</v>
          </cell>
        </row>
        <row r="133">
          <cell r="B133" t="str">
            <v>CDD</v>
          </cell>
        </row>
        <row r="134">
          <cell r="B134" t="str">
            <v>Number of Days in Month</v>
          </cell>
        </row>
        <row r="135">
          <cell r="B135" t="str">
            <v>Population</v>
          </cell>
        </row>
        <row r="136">
          <cell r="B136" t="str">
            <v>Spring/Fall Flag</v>
          </cell>
        </row>
        <row r="137">
          <cell r="B137" t="str">
            <v>Holidays in Month</v>
          </cell>
        </row>
      </sheetData>
      <sheetData sheetId="5"/>
      <sheetData sheetId="6"/>
      <sheetData sheetId="7">
        <row r="4">
          <cell r="F4">
            <v>1.0760105974916543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
      <sheetName val="2. Customer Classes"/>
      <sheetName val="3. Consumption by Rate Class"/>
      <sheetName val="4. Customer Growth"/>
      <sheetName val="5.Variables"/>
      <sheetName val="6. WS Regression Analysis"/>
      <sheetName val="6.1 Regression Scenarios"/>
      <sheetName val="Rate Class Energy Mode Usedl"/>
      <sheetName val="Rate Class Load Model"/>
      <sheetName val="7. Weather Senstive Class"/>
      <sheetName val="8. KW and Non-Weather Sensitive"/>
      <sheetName val="9. Weather Adj LF"/>
      <sheetName val="10. CDM Adjustment"/>
      <sheetName val="10.1 CDM Allocation"/>
      <sheetName val="11. Final Load Forecast"/>
      <sheetName val="12. Analysis_ Avg Per Cust"/>
      <sheetName val="13. Analysis_Weather adj LF"/>
      <sheetName val="Sheet1"/>
      <sheetName val="App.2-R_Loss Factors"/>
      <sheetName val="RSL Loss Factor"/>
      <sheetName val="6. WS Regression Analysis 20Y"/>
      <sheetName val="6. WS Regression Analysis (2)"/>
      <sheetName val="6. WS Regression Analysis ( (3"/>
      <sheetName val="Sheet2"/>
    </sheetNames>
    <sheetDataSet>
      <sheetData sheetId="0" refreshError="1"/>
      <sheetData sheetId="1" refreshError="1"/>
      <sheetData sheetId="2" refreshError="1"/>
      <sheetData sheetId="3">
        <row r="17">
          <cell r="B17">
            <v>2005</v>
          </cell>
        </row>
      </sheetData>
      <sheetData sheetId="4">
        <row r="16">
          <cell r="B16" t="str">
            <v>HDD</v>
          </cell>
        </row>
        <row r="43">
          <cell r="B43" t="str">
            <v>CDD</v>
          </cell>
        </row>
        <row r="70">
          <cell r="B70" t="str">
            <v>Number of Days in Month</v>
          </cell>
        </row>
        <row r="100">
          <cell r="B100" t="str">
            <v>Spring/Fall Flag</v>
          </cell>
        </row>
        <row r="116">
          <cell r="B116" t="str">
            <v>Holidays in Month</v>
          </cell>
        </row>
        <row r="132">
          <cell r="B132" t="str">
            <v>HDD</v>
          </cell>
        </row>
        <row r="133">
          <cell r="B133" t="str">
            <v>CDD</v>
          </cell>
        </row>
        <row r="134">
          <cell r="B134" t="str">
            <v>Number of Days in Month</v>
          </cell>
        </row>
        <row r="135">
          <cell r="B135" t="str">
            <v>Population</v>
          </cell>
        </row>
        <row r="136">
          <cell r="B136" t="str">
            <v>Spring/Fall Flag</v>
          </cell>
        </row>
        <row r="137">
          <cell r="B137" t="str">
            <v>Holidays in Month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refreshError="1"/>
      <sheetData sheetId="1" refreshError="1"/>
      <sheetData sheetId="2" refreshError="1">
        <row r="19">
          <cell r="B19" t="str">
            <v>UNMETERED SCATTERED LOAD</v>
          </cell>
        </row>
        <row r="20">
          <cell r="B20" t="str">
            <v>RESIDENTIAL URBAN</v>
          </cell>
        </row>
        <row r="21">
          <cell r="B21" t="str">
            <v>microFIT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v>0</v>
          </cell>
        </row>
        <row r="24">
          <cell r="E24">
            <v>0</v>
          </cell>
        </row>
        <row r="26">
          <cell r="E26" t="str">
            <v/>
          </cell>
        </row>
        <row r="28">
          <cell r="E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sheetData sheetId="56"/>
      <sheetData sheetId="5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lassRevenues"/>
      <sheetName val="ExistingRatesDetails"/>
      <sheetName val="ExistingRatesSummary"/>
      <sheetName val="LoadForecastDetails"/>
      <sheetName val="LoadForecastSummary"/>
      <sheetName val="Refs"/>
    </sheetNames>
    <sheetDataSet>
      <sheetData sheetId="0" refreshError="1">
        <row r="8">
          <cell r="C8" t="str">
            <v>C:\Documents and Settings\jcochrane.ERA-INC\My Documents\2008EDR\FTYv1.3</v>
          </cell>
        </row>
      </sheetData>
      <sheetData sheetId="1"/>
      <sheetData sheetId="2"/>
      <sheetData sheetId="3"/>
      <sheetData sheetId="4"/>
      <sheetData sheetId="5"/>
      <sheetData sheetId="6" refreshError="1">
        <row r="2">
          <cell r="B2" t="str">
            <v>Horizon_Utilities_Corporation_Detailed_CA_model_Run2.xls</v>
          </cell>
        </row>
        <row r="3">
          <cell r="B3" t="str">
            <v>'[Horizon_Utilities_Corporation_Detailed_CA_model_Run2.xls]I2 LDC class'!$C:$G</v>
          </cell>
        </row>
        <row r="4">
          <cell r="B4" t="str">
            <v>'[Horizon_Utilities_Corporation_Detailed_CA_model_Run2.xls]O1 Revenue to cost|RR'!$D$17:$W$17</v>
          </cell>
        </row>
        <row r="5">
          <cell r="B5" t="str">
            <v>Revenue Requirement (includes NI)</v>
          </cell>
        </row>
        <row r="6">
          <cell r="B6">
            <v>92033309.222477198</v>
          </cell>
        </row>
        <row r="7">
          <cell r="B7" t="str">
            <v>'[Horizon_Utilities_Corporation_Detailed_CA_model_Run2.xls]O1 Revenue to cost|RR'!$B:$W</v>
          </cell>
        </row>
        <row r="8">
          <cell r="B8">
            <v>498976676.05552793</v>
          </cell>
        </row>
      </sheetData>
    </sheetDataSet>
  </externalBook>
</externalLink>
</file>

<file path=xl/persons/person.xml><?xml version="1.0" encoding="utf-8"?>
<personList xmlns="http://schemas.microsoft.com/office/spreadsheetml/2018/threadedcomments" xmlns:x="http://schemas.openxmlformats.org/spreadsheetml/2006/main">
  <person displayName="Jane Wei" id="{A0132581-0F10-492F-AE65-A91615E0EB60}" userId="S::jwei@rslu.ca::9b6ae84f-4a3f-44f3-a8a0-7b16cff743f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3" dT="2021-07-26T22:23:09.56" personId="{A0132581-0F10-492F-AE65-A91615E0EB60}" id="{D4CDE0B5-D46E-4B6E-83CC-3BFED706E8D6}">
    <text>=IESO purchase/Billed. This calculation is used in Tab Loss Factors in Ch2</text>
  </threadedComment>
  <threadedComment ref="H7" dT="2021-11-15T15:25:04.58" personId="{A0132581-0F10-492F-AE65-A91615E0EB60}" id="{7B38661D-FE88-4350-9CDD-F6B718329B0D}">
    <text>Reduction due to CDM</text>
  </threadedComment>
  <threadedComment ref="H47" dT="2021-11-15T15:25:55.87" personId="{A0132581-0F10-492F-AE65-A91615E0EB60}" id="{AB2FF379-AFBC-4C0D-880E-56422450C01C}">
    <text>Reduced usage due to CDM</text>
  </threadedComment>
  <threadedComment ref="E52" dT="2021-07-27T01:48:31.10" personId="{A0132581-0F10-492F-AE65-A91615E0EB60}" id="{414754B4-A27D-4746-9E8F-2E2236D9BE7C}">
    <text>Hot summer drove higher consumption for residential. But commercial consumption dropped due to shut down in the pandemic.</text>
  </threadedComment>
  <threadedComment ref="E55" dT="2022-04-05T15:49:23.39" personId="{A0132581-0F10-492F-AE65-A91615E0EB60}" id="{C273A4BB-D02A-42FD-BCE3-DD72568FB113}">
    <text>To exclude COVID effect</text>
  </threadedComment>
  <threadedComment ref="F55" dT="2022-04-05T15:49:23.39" personId="{A0132581-0F10-492F-AE65-A91615E0EB60}" id="{11868F2A-7485-4AE7-BBE6-8A4AB1AC2D92}">
    <text>To exclude COVID effect</text>
  </threadedComment>
  <threadedComment ref="H63" dT="2021-10-08T16:14:01.44" personId="{A0132581-0F10-492F-AE65-A91615E0EB60}" id="{1A530C7D-5383-411E-B900-2BA0EBD4899F}">
    <text>Use 2020 actual with adjustment for 28 days in 2022 February. 2020 February is 29 days. = 644,750 - 57,866 + 57,866/29*28</text>
  </threadedComment>
</ThreadedComments>
</file>

<file path=xl/threadedComments/threadedComment2.xml><?xml version="1.0" encoding="utf-8"?>
<ThreadedComments xmlns="http://schemas.microsoft.com/office/spreadsheetml/2018/threadedcomments" xmlns:x="http://schemas.openxmlformats.org/spreadsheetml/2006/main">
  <threadedComment ref="B14" dT="2020-12-06T20:00:17.26" personId="{A0132581-0F10-492F-AE65-A91615E0EB60}" id="{DAD2581D-7181-4A36-8EF3-1343AB2539FC}">
    <text>2020 is actual. Use 2020 actual for 2021 test</text>
  </threadedComment>
</ThreadedComments>
</file>

<file path=xl/threadedComments/threadedComment3.xml><?xml version="1.0" encoding="utf-8"?>
<ThreadedComments xmlns="http://schemas.microsoft.com/office/spreadsheetml/2018/threadedcomments" xmlns:x="http://schemas.openxmlformats.org/spreadsheetml/2006/main">
  <threadedComment ref="C13" dT="2021-09-28T18:54:33.90" personId="{A0132581-0F10-492F-AE65-A91615E0EB60}" id="{6E65ED0B-0504-4FEC-9CF3-8D6901ECE3C8}">
    <text>Use 2021 Actual for 2022. No change is expected.</text>
  </threadedComment>
  <threadedComment ref="C30" dT="2021-09-28T18:56:37.99" personId="{A0132581-0F10-492F-AE65-A91615E0EB60}" id="{EFC95695-134D-4D13-9C23-707E8CDCB1C9}">
    <text>Use 2020 actual. This is how we blll.</text>
  </threadedComment>
</ThreadedComments>
</file>

<file path=xl/threadedComments/threadedComment4.xml><?xml version="1.0" encoding="utf-8"?>
<ThreadedComments xmlns="http://schemas.microsoft.com/office/spreadsheetml/2018/threadedcomments" xmlns:x="http://schemas.openxmlformats.org/spreadsheetml/2006/main">
  <threadedComment ref="V17" dT="2021-07-28T16:30:03.19" personId="{A0132581-0F10-492F-AE65-A91615E0EB60}" id="{F408F423-FEAA-42AF-9C1E-C601D10DEBF7}">
    <text>22 interval customers in 2020. 49 in 2021 July. More interval customers in future. So use 90%</text>
  </threadedComment>
  <threadedComment ref="Y17" dT="2021-07-28T16:30:03.19" personId="{A0132581-0F10-492F-AE65-A91615E0EB60}" id="{0E4A43E7-3E27-4727-9901-02224C7D4711}">
    <text>22 interval customers in 2020. 49 in 2021 July. More interval customers in future. So use 90%</text>
  </threadedComment>
  <threadedComment ref="L26" dT="2021-08-17T20:24:22.62" personId="{A0132581-0F10-492F-AE65-A91615E0EB60}" id="{1B1A5641-4494-4033-95D0-9FF37349F6B4}">
    <text>All interval customers are Non RPP according to 2021.7 Customer account</text>
  </threadedComment>
  <threadedComment ref="K29" dT="2021-07-28T16:30:03.19" personId="{A0132581-0F10-492F-AE65-A91615E0EB60}" id="{75791F7F-C6B8-4D01-998D-B708E246158C}">
    <text>22 interval customers in 2020. 49 in 2021 July. More interval customers in future. So use 90%</text>
  </threadedComment>
  <threadedComment ref="L38" dT="2021-08-17T20:24:22.62" personId="{A0132581-0F10-492F-AE65-A91615E0EB60}" id="{90DB116B-B66F-496C-8301-C66B1497A469}">
    <text>All interval customers are Non RPP according to 2021.7 Customer account</text>
  </threadedComment>
  <threadedComment ref="K41" dT="2021-07-28T16:30:03.19" personId="{A0132581-0F10-492F-AE65-A91615E0EB60}" id="{0A205D0C-BF87-4E82-B658-685C94920C85}">
    <text>22 interval customers in 2020. 49 in 2021 July. More interval customers in future. So use 90%</text>
  </threadedComment>
</ThreadedComments>
</file>

<file path=xl/threadedComments/threadedComment5.xml><?xml version="1.0" encoding="utf-8"?>
<ThreadedComments xmlns="http://schemas.microsoft.com/office/spreadsheetml/2018/threadedcomments" xmlns:x="http://schemas.openxmlformats.org/spreadsheetml/2006/main">
  <threadedComment ref="O24" dT="2021-01-21T15:21:29.20" personId="{A0132581-0F10-492F-AE65-A91615E0EB60}" id="{BD629FB7-8A3F-4DF6-A3A9-077E3D5EBB1D}">
    <text>Allocate all credit to RPP energy cost</text>
  </threadedComment>
  <threadedComment ref="D50" dT="2021-09-29T20:57:17.41" personId="{A0132581-0F10-492F-AE65-A91615E0EB60}" id="{D71457D9-909E-4922-A315-72B61F206E2D}">
    <text>RPP are non interval</text>
  </threadedComment>
  <threadedComment ref="H50" dT="2021-09-29T20:49:35.83" personId="{A0132581-0F10-492F-AE65-A91615E0EB60}" id="{E97A483B-F282-44D9-9733-94A2CB41D501}">
    <text>Non RPP Industrial customers can be non interval or interval. This is non interval.</text>
  </threadedComment>
  <threadedComment ref="I50" dT="2021-08-17T21:36:40.59" personId="{A0132581-0F10-492F-AE65-A91615E0EB60}" id="{A3C33CD3-77EC-40BC-BEB9-C3FC36CB821D}">
    <text>Non Interval rate</text>
  </threadedComment>
  <threadedComment ref="H55" dT="2021-09-29T20:52:44.67" personId="{A0132581-0F10-492F-AE65-A91615E0EB60}" id="{CDF3FD81-5138-4D16-A713-2DD36768F09D}">
    <text>Interval. All interval are Non RPP</text>
  </threadedComment>
  <threadedComment ref="I55" dT="2021-09-30T14:56:58.45" personId="{A0132581-0F10-492F-AE65-A91615E0EB60}" id="{F7B140D8-6C69-41CA-B7BB-85071B807BB6}">
    <text>Intercal rate</text>
  </threadedComment>
  <threadedComment ref="D65" dT="2021-09-29T20:57:17.41" personId="{A0132581-0F10-492F-AE65-A91615E0EB60}" id="{041DB469-F854-43C5-8B25-C1433F13DB0C}">
    <text>RPP are non interval</text>
  </threadedComment>
  <threadedComment ref="H65" dT="2021-09-29T20:49:35.83" personId="{A0132581-0F10-492F-AE65-A91615E0EB60}" id="{EF113EF9-1615-40C7-987D-A905DC5A597F}">
    <text>Non RPP Industrial customers can be non interval or interval. This is non interval.</text>
  </threadedComment>
  <threadedComment ref="I65" dT="2021-08-17T21:36:40.59" personId="{A0132581-0F10-492F-AE65-A91615E0EB60}" id="{A6A006C4-A7E4-4D7A-BA09-4E732EED65B7}">
    <text>Non Interval rate</text>
  </threadedComment>
  <threadedComment ref="H70" dT="2021-09-29T20:52:44.67" personId="{A0132581-0F10-492F-AE65-A91615E0EB60}" id="{427A8AEB-4102-423A-B8BC-6E405D4BE902}">
    <text>Interval. All interval are Non RPP</text>
  </threadedComment>
  <threadedComment ref="I70" dT="2021-09-30T14:56:58.45" personId="{A0132581-0F10-492F-AE65-A91615E0EB60}" id="{027D5D03-5F07-4E38-B755-A61CE1B6CF8B}">
    <text>Intercal rate</text>
  </threadedComment>
  <threadedComment ref="E138" dT="2021-08-20T22:25:43.44" personId="{A0132581-0F10-492F-AE65-A91615E0EB60}" id="{DE1A3C4C-AA42-475A-A490-E6B80D252CEF}">
    <text>Update</text>
  </threadedComment>
  <threadedComment ref="H153" dT="2021-08-17T22:01:00.52" personId="{A0132581-0F10-492F-AE65-A91615E0EB60}" id="{D52F266F-473C-4035-A858-A752D79D4AA8}">
    <text>Use 2020 year end actual</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4.x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39997558519241921"/>
  </sheetPr>
  <dimension ref="B1:U919"/>
  <sheetViews>
    <sheetView topLeftCell="A46" zoomScaleNormal="100" workbookViewId="0">
      <selection activeCell="J19" sqref="B3:J19"/>
    </sheetView>
  </sheetViews>
  <sheetFormatPr defaultColWidth="9.109375" defaultRowHeight="13.8"/>
  <cols>
    <col min="1" max="1" width="1" style="417" customWidth="1"/>
    <col min="2" max="2" width="25.109375" style="417" customWidth="1"/>
    <col min="3" max="3" width="13.88671875" style="417" customWidth="1"/>
    <col min="4" max="4" width="12.33203125" style="417" customWidth="1"/>
    <col min="5" max="6" width="12" style="417" customWidth="1"/>
    <col min="7" max="7" width="11.109375" style="417" customWidth="1"/>
    <col min="8" max="8" width="12.109375" style="417" customWidth="1"/>
    <col min="9" max="9" width="11.33203125" style="417" customWidth="1"/>
    <col min="10" max="10" width="9.6640625" style="417" customWidth="1"/>
    <col min="11" max="11" width="13.5546875" style="417" customWidth="1"/>
    <col min="12" max="12" width="12.44140625" style="417" customWidth="1"/>
    <col min="13" max="13" width="9.33203125" style="417" customWidth="1"/>
    <col min="14" max="14" width="8.44140625" style="417" customWidth="1"/>
    <col min="15" max="15" width="7" style="417" customWidth="1"/>
    <col min="16" max="16" width="10.33203125" style="417" customWidth="1"/>
    <col min="17" max="17" width="9.44140625" style="417" customWidth="1"/>
    <col min="18" max="18" width="9.33203125" style="417" customWidth="1"/>
    <col min="19" max="19" width="9.109375" style="417"/>
    <col min="20" max="20" width="10.109375" style="417" customWidth="1"/>
    <col min="21" max="16384" width="9.109375" style="417"/>
  </cols>
  <sheetData>
    <row r="1" spans="2:19" ht="15.6">
      <c r="C1" s="416" t="s">
        <v>279</v>
      </c>
    </row>
    <row r="2" spans="2:19" ht="14.4" thickBot="1"/>
    <row r="3" spans="2:19" ht="27" thickTop="1">
      <c r="B3" s="634"/>
      <c r="C3" s="635" t="s">
        <v>529</v>
      </c>
      <c r="D3" s="636" t="s">
        <v>530</v>
      </c>
      <c r="E3" s="636" t="s">
        <v>531</v>
      </c>
      <c r="F3" s="636" t="s">
        <v>532</v>
      </c>
      <c r="G3" s="636" t="s">
        <v>447</v>
      </c>
      <c r="H3" s="636" t="s">
        <v>600</v>
      </c>
      <c r="I3" s="635" t="s">
        <v>638</v>
      </c>
      <c r="J3" s="635" t="s">
        <v>637</v>
      </c>
      <c r="N3" s="417" t="s">
        <v>280</v>
      </c>
      <c r="O3" s="417" t="s">
        <v>281</v>
      </c>
      <c r="P3" s="417" t="s">
        <v>282</v>
      </c>
      <c r="Q3" s="417" t="s">
        <v>283</v>
      </c>
      <c r="R3" s="417" t="s">
        <v>312</v>
      </c>
      <c r="S3" s="417" t="s">
        <v>284</v>
      </c>
    </row>
    <row r="4" spans="2:19">
      <c r="B4" s="637" t="s">
        <v>285</v>
      </c>
      <c r="C4" s="638"/>
      <c r="D4" s="638"/>
      <c r="E4" s="638"/>
      <c r="F4" s="638"/>
      <c r="G4" s="638"/>
      <c r="H4" s="638"/>
      <c r="I4" s="638"/>
      <c r="J4" s="638"/>
      <c r="M4" s="417" t="s">
        <v>285</v>
      </c>
    </row>
    <row r="5" spans="2:19">
      <c r="B5" s="639" t="s">
        <v>256</v>
      </c>
      <c r="C5" s="640">
        <v>1530713</v>
      </c>
      <c r="D5" s="640">
        <v>1412657.6300000001</v>
      </c>
      <c r="E5" s="640">
        <v>1500817.69</v>
      </c>
      <c r="F5" s="640">
        <v>1609147.7399999998</v>
      </c>
      <c r="G5" s="640">
        <v>1623109.1295849946</v>
      </c>
      <c r="H5" s="640">
        <v>1634619.0399999996</v>
      </c>
      <c r="I5" s="1679">
        <f>'[16]2022 Test Yr Revenue'!J37</f>
        <v>1633051.44</v>
      </c>
      <c r="J5" s="1679">
        <f>'[16]2022 Test Yr Revenue'!J22</f>
        <v>2072304.7419469878</v>
      </c>
      <c r="M5" s="417" t="s">
        <v>256</v>
      </c>
      <c r="N5" s="405">
        <v>1415689</v>
      </c>
      <c r="O5" s="405">
        <v>1471752.2499999995</v>
      </c>
      <c r="P5" s="405">
        <v>1440178.5199999996</v>
      </c>
      <c r="Q5" s="405">
        <v>1394352.4100000001</v>
      </c>
      <c r="R5" s="405">
        <v>1418450.81</v>
      </c>
      <c r="S5" s="405">
        <v>1617327.567244105</v>
      </c>
    </row>
    <row r="6" spans="2:19">
      <c r="B6" s="639" t="s">
        <v>286</v>
      </c>
      <c r="C6" s="640">
        <v>494424</v>
      </c>
      <c r="D6" s="640">
        <v>466732.02999999997</v>
      </c>
      <c r="E6" s="640">
        <v>495354.92000000004</v>
      </c>
      <c r="F6" s="640">
        <v>503343.12</v>
      </c>
      <c r="G6" s="640">
        <v>531692.80000000005</v>
      </c>
      <c r="H6" s="640">
        <v>506732.87</v>
      </c>
      <c r="I6" s="1679">
        <f>'[16]2022 Test Yr Revenue'!J38</f>
        <v>488345.74426121591</v>
      </c>
      <c r="J6" s="1679">
        <f>'[16]2022 Test Yr Revenue'!J23</f>
        <v>502426.08649255388</v>
      </c>
      <c r="M6" s="417" t="s">
        <v>286</v>
      </c>
      <c r="N6" s="405">
        <v>450671</v>
      </c>
      <c r="O6" s="405">
        <v>466848.19</v>
      </c>
      <c r="P6" s="405">
        <v>496050.63999999996</v>
      </c>
      <c r="Q6" s="405">
        <v>456057.91000000003</v>
      </c>
      <c r="R6" s="405">
        <v>482663.68999999994</v>
      </c>
      <c r="S6" s="405">
        <v>523092.72231881169</v>
      </c>
    </row>
    <row r="7" spans="2:19">
      <c r="B7" s="639" t="s">
        <v>746</v>
      </c>
      <c r="C7" s="640">
        <v>450385</v>
      </c>
      <c r="D7" s="640">
        <v>419957.24000000005</v>
      </c>
      <c r="E7" s="640">
        <v>425839.14</v>
      </c>
      <c r="F7" s="640">
        <v>456243.20999999996</v>
      </c>
      <c r="G7" s="640">
        <v>460312.73000000004</v>
      </c>
      <c r="H7" s="640">
        <v>454448.13</v>
      </c>
      <c r="I7" s="1679">
        <f>'[16]2022 Test Yr Revenue'!J39</f>
        <v>436424.10900114826</v>
      </c>
      <c r="J7" s="1679">
        <f>'[16]2022 Test Yr Revenue'!J24</f>
        <v>442160.50544025196</v>
      </c>
      <c r="M7" s="417" t="s">
        <v>287</v>
      </c>
      <c r="N7" s="405">
        <v>423173</v>
      </c>
      <c r="O7" s="405">
        <v>367847.63000000006</v>
      </c>
      <c r="P7" s="405">
        <v>449444.11</v>
      </c>
      <c r="Q7" s="405">
        <v>436506.12</v>
      </c>
      <c r="R7" s="405">
        <v>448662.22</v>
      </c>
      <c r="S7" s="405">
        <v>474033.29767730366</v>
      </c>
    </row>
    <row r="8" spans="2:19">
      <c r="B8" s="639" t="s">
        <v>159</v>
      </c>
      <c r="C8" s="640">
        <v>8220</v>
      </c>
      <c r="D8" s="640">
        <v>6474.3600000000006</v>
      </c>
      <c r="E8" s="640">
        <v>7063.5999999999995</v>
      </c>
      <c r="F8" s="640">
        <v>7498.51</v>
      </c>
      <c r="G8" s="640">
        <v>7969.7200000000012</v>
      </c>
      <c r="H8" s="640">
        <v>7969.1400000000012</v>
      </c>
      <c r="I8" s="1679">
        <f>'[16]2022 Test Yr Revenue'!$J$41</f>
        <v>7898.4042243914537</v>
      </c>
      <c r="J8" s="1679">
        <f>'[16]2022 Test Yr Revenue'!$J$26</f>
        <v>9487.2544469687637</v>
      </c>
      <c r="M8" s="417" t="s">
        <v>159</v>
      </c>
      <c r="N8" s="405">
        <v>6382</v>
      </c>
      <c r="O8" s="405">
        <v>4749.51</v>
      </c>
      <c r="P8" s="405">
        <v>6608.08</v>
      </c>
      <c r="Q8" s="405">
        <v>6491.74</v>
      </c>
      <c r="R8" s="405">
        <v>6580.8099999999995</v>
      </c>
      <c r="S8" s="405">
        <v>7649.2328468337228</v>
      </c>
    </row>
    <row r="9" spans="2:19">
      <c r="B9" s="639" t="s">
        <v>253</v>
      </c>
      <c r="C9" s="640">
        <v>94907</v>
      </c>
      <c r="D9" s="640">
        <v>98402.84</v>
      </c>
      <c r="E9" s="640">
        <v>127247.22</v>
      </c>
      <c r="F9" s="640">
        <v>101589.66</v>
      </c>
      <c r="G9" s="640">
        <v>97215.610000000015</v>
      </c>
      <c r="H9" s="640">
        <v>99152.91</v>
      </c>
      <c r="I9" s="1679">
        <f>'[16]2022 Test Yr Revenue'!$J$40</f>
        <v>96241.728329999998</v>
      </c>
      <c r="J9" s="1679">
        <f>'[16]2022 Test Yr Revenue'!$J$25</f>
        <v>109633.96750015172</v>
      </c>
      <c r="M9" s="417" t="s">
        <v>253</v>
      </c>
      <c r="N9" s="405">
        <v>117106</v>
      </c>
      <c r="O9" s="405">
        <v>94392.63</v>
      </c>
      <c r="P9" s="405">
        <v>121371.07999999999</v>
      </c>
      <c r="Q9" s="405">
        <v>115976.8</v>
      </c>
      <c r="R9" s="405">
        <v>107656.33</v>
      </c>
      <c r="S9" s="405">
        <v>102074.17066656453</v>
      </c>
    </row>
    <row r="10" spans="2:19">
      <c r="B10" s="639" t="s">
        <v>288</v>
      </c>
      <c r="C10" s="640">
        <v>13785</v>
      </c>
      <c r="D10" s="640">
        <v>12978.57</v>
      </c>
      <c r="E10" s="640">
        <v>13086.92</v>
      </c>
      <c r="F10" s="640">
        <v>13920.650000000001</v>
      </c>
      <c r="G10" s="640">
        <v>14140.06</v>
      </c>
      <c r="H10" s="640">
        <v>13949.380000000001</v>
      </c>
      <c r="I10" s="1679">
        <f>'[16]2022 Test Yr Revenue'!$J$42</f>
        <v>14246.772799999999</v>
      </c>
      <c r="J10" s="1679">
        <f>'[16]2022 Test Yr Revenue'!$J$27</f>
        <v>16474.424914084302</v>
      </c>
      <c r="K10" s="417">
        <v>-1</v>
      </c>
      <c r="M10" s="417" t="s">
        <v>288</v>
      </c>
      <c r="N10" s="405">
        <v>10285</v>
      </c>
      <c r="O10" s="405">
        <v>17449.12</v>
      </c>
      <c r="P10" s="405">
        <v>11305.98</v>
      </c>
      <c r="Q10" s="405">
        <v>13043.37</v>
      </c>
      <c r="R10" s="405">
        <v>12576.75</v>
      </c>
      <c r="S10" s="405">
        <v>15063.101157843697</v>
      </c>
    </row>
    <row r="11" spans="2:19">
      <c r="B11" s="641" t="s">
        <v>289</v>
      </c>
      <c r="C11" s="642">
        <f t="shared" ref="C11:F11" si="0">SUM(C5:C10)</f>
        <v>2592434</v>
      </c>
      <c r="D11" s="642">
        <f t="shared" si="0"/>
        <v>2417202.67</v>
      </c>
      <c r="E11" s="642">
        <f t="shared" si="0"/>
        <v>2569409.4900000002</v>
      </c>
      <c r="F11" s="642">
        <f t="shared" si="0"/>
        <v>2691742.8899999997</v>
      </c>
      <c r="G11" s="642">
        <f t="shared" ref="G11:H11" si="1">SUM(G5:G10)</f>
        <v>2734440.049584995</v>
      </c>
      <c r="H11" s="642">
        <f t="shared" si="1"/>
        <v>2716871.4699999997</v>
      </c>
      <c r="I11" s="1459">
        <f>SUM(I5:I10)</f>
        <v>2676208.1986167557</v>
      </c>
      <c r="J11" s="642">
        <f>SUM(J5:J10)</f>
        <v>3152486.9807409984</v>
      </c>
      <c r="M11" s="417" t="s">
        <v>289</v>
      </c>
      <c r="N11" s="405">
        <v>2423306</v>
      </c>
      <c r="O11" s="405">
        <v>2423039.3299999991</v>
      </c>
      <c r="P11" s="405">
        <v>2524958.4099999997</v>
      </c>
      <c r="Q11" s="405">
        <v>2422428.3500000006</v>
      </c>
      <c r="R11" s="405">
        <v>2476590.61</v>
      </c>
      <c r="S11" s="405">
        <v>2739240.0919114626</v>
      </c>
    </row>
    <row r="12" spans="2:19">
      <c r="B12" s="641" t="s">
        <v>290</v>
      </c>
      <c r="C12" s="638"/>
      <c r="D12" s="638"/>
      <c r="E12" s="638"/>
      <c r="F12" s="638"/>
      <c r="G12" s="638"/>
      <c r="H12" s="1460"/>
      <c r="I12" s="638"/>
      <c r="J12" s="638"/>
      <c r="M12" s="417" t="s">
        <v>290</v>
      </c>
      <c r="N12" s="405"/>
      <c r="O12" s="405"/>
      <c r="P12" s="405"/>
      <c r="Q12" s="405"/>
      <c r="R12" s="405"/>
      <c r="S12" s="405"/>
    </row>
    <row r="13" spans="2:19">
      <c r="B13" s="643" t="s">
        <v>291</v>
      </c>
      <c r="C13" s="640">
        <v>116376</v>
      </c>
      <c r="D13" s="640">
        <v>116375.67500000002</v>
      </c>
      <c r="E13" s="640">
        <v>97264.175000000017</v>
      </c>
      <c r="F13" s="640">
        <v>81167</v>
      </c>
      <c r="G13" s="640">
        <v>78315.3</v>
      </c>
      <c r="H13" s="1458">
        <v>106103.75</v>
      </c>
      <c r="I13" s="1679">
        <f>-'[17]App.2-H_Other_Oper_Rev'!K65</f>
        <v>107197</v>
      </c>
      <c r="J13" s="1679">
        <f>-'[17]App.2-H_Other_Oper_Rev'!L65</f>
        <v>23875</v>
      </c>
      <c r="M13" s="417" t="s">
        <v>291</v>
      </c>
      <c r="N13" s="405">
        <v>88900</v>
      </c>
      <c r="O13" s="405">
        <v>113461.25</v>
      </c>
      <c r="P13" s="405">
        <v>98803.450000000012</v>
      </c>
      <c r="Q13" s="405">
        <v>116016.3</v>
      </c>
      <c r="R13" s="405">
        <v>105241.84000000001</v>
      </c>
      <c r="S13" s="405">
        <v>113950.76816000001</v>
      </c>
    </row>
    <row r="14" spans="2:19">
      <c r="B14" s="643" t="s">
        <v>292</v>
      </c>
      <c r="C14" s="640">
        <v>75314</v>
      </c>
      <c r="D14" s="640">
        <v>75314</v>
      </c>
      <c r="E14" s="640">
        <v>70390</v>
      </c>
      <c r="F14" s="640">
        <v>58516</v>
      </c>
      <c r="G14" s="640">
        <v>55106</v>
      </c>
      <c r="H14" s="1458">
        <v>69106.820000000007</v>
      </c>
      <c r="I14" s="1679">
        <f>-'[17]App.2-H_Other_Oper_Rev'!K66</f>
        <v>60000</v>
      </c>
      <c r="J14" s="1679">
        <f>-'[17]App.2-H_Other_Oper_Rev'!L66</f>
        <v>60000</v>
      </c>
      <c r="M14" s="417" t="s">
        <v>292</v>
      </c>
      <c r="N14" s="405">
        <v>32400</v>
      </c>
      <c r="O14" s="405">
        <v>57518.62</v>
      </c>
      <c r="P14" s="405">
        <v>59435.51</v>
      </c>
      <c r="Q14" s="405">
        <v>66569.210000000006</v>
      </c>
      <c r="R14" s="405">
        <v>72601.590000000011</v>
      </c>
      <c r="S14" s="405">
        <v>76000</v>
      </c>
    </row>
    <row r="15" spans="2:19">
      <c r="B15" s="643" t="s">
        <v>293</v>
      </c>
      <c r="C15" s="640">
        <v>72038</v>
      </c>
      <c r="D15" s="640">
        <v>74017.440500000012</v>
      </c>
      <c r="E15" s="640">
        <v>76254.55</v>
      </c>
      <c r="F15" s="640">
        <v>77819.23000000001</v>
      </c>
      <c r="G15" s="640">
        <v>80833.597000000009</v>
      </c>
      <c r="H15" s="1458">
        <v>85311.150000000009</v>
      </c>
      <c r="I15" s="1679">
        <f>-'[17]App.2-H_Other_Oper_Rev'!K67</f>
        <v>81709.64999999998</v>
      </c>
      <c r="J15" s="1679">
        <f>-'[17]App.2-H_Other_Oper_Rev'!L67</f>
        <v>128242.62514000002</v>
      </c>
      <c r="M15" s="417" t="s">
        <v>293</v>
      </c>
      <c r="N15" s="405">
        <v>74243</v>
      </c>
      <c r="O15" s="405">
        <v>74343.63</v>
      </c>
      <c r="P15" s="405">
        <v>73240.929999999993</v>
      </c>
      <c r="Q15" s="405">
        <v>70786.149999999994</v>
      </c>
      <c r="R15" s="405">
        <v>72070.91</v>
      </c>
      <c r="S15" s="405">
        <v>71401.25</v>
      </c>
    </row>
    <row r="16" spans="2:19">
      <c r="B16" s="643" t="s">
        <v>294</v>
      </c>
      <c r="C16" s="640">
        <v>6526</v>
      </c>
      <c r="D16" s="640">
        <v>18593.689999999999</v>
      </c>
      <c r="E16" s="640">
        <v>56605.58</v>
      </c>
      <c r="F16" s="640">
        <v>14394.910000000002</v>
      </c>
      <c r="G16" s="640">
        <v>12433.14</v>
      </c>
      <c r="H16" s="1458">
        <v>6206.65</v>
      </c>
      <c r="I16" s="1679">
        <f>-'[17]App.2-H_Other_Oper_Rev'!K68</f>
        <v>-2500</v>
      </c>
      <c r="J16" s="1679">
        <f>-'[17]App.2-H_Other_Oper_Rev'!L68</f>
        <v>-4500</v>
      </c>
      <c r="M16" s="417" t="s">
        <v>294</v>
      </c>
      <c r="N16" s="405">
        <v>12000</v>
      </c>
      <c r="O16" s="405">
        <v>27478.77</v>
      </c>
      <c r="P16" s="405">
        <v>21760.83</v>
      </c>
      <c r="Q16" s="405">
        <v>16683.37</v>
      </c>
      <c r="R16" s="405">
        <v>39209.17</v>
      </c>
      <c r="S16" s="405">
        <v>6219.9586136004218</v>
      </c>
    </row>
    <row r="17" spans="2:19">
      <c r="B17" s="637" t="s">
        <v>289</v>
      </c>
      <c r="C17" s="642">
        <f t="shared" ref="C17:F17" si="2">SUM(C13:C16)</f>
        <v>270254</v>
      </c>
      <c r="D17" s="642">
        <f t="shared" si="2"/>
        <v>284300.80550000002</v>
      </c>
      <c r="E17" s="642">
        <f t="shared" si="2"/>
        <v>300514.30500000005</v>
      </c>
      <c r="F17" s="642">
        <f t="shared" si="2"/>
        <v>231897.14</v>
      </c>
      <c r="G17" s="642">
        <f t="shared" ref="G17:J17" si="3">SUM(G13:G16)</f>
        <v>226688.03700000001</v>
      </c>
      <c r="H17" s="642">
        <f t="shared" si="3"/>
        <v>266728.37000000005</v>
      </c>
      <c r="I17" s="642">
        <f t="shared" si="3"/>
        <v>246406.64999999997</v>
      </c>
      <c r="J17" s="642">
        <f t="shared" si="3"/>
        <v>207617.62514000002</v>
      </c>
      <c r="M17" s="417" t="s">
        <v>289</v>
      </c>
      <c r="N17" s="405">
        <v>207543</v>
      </c>
      <c r="O17" s="405">
        <v>272802.27</v>
      </c>
      <c r="P17" s="405">
        <v>253240.72000000003</v>
      </c>
      <c r="Q17" s="405">
        <v>270055.03000000003</v>
      </c>
      <c r="R17" s="405">
        <v>289123.51</v>
      </c>
      <c r="S17" s="405">
        <v>267571.97677360044</v>
      </c>
    </row>
    <row r="18" spans="2:19">
      <c r="B18" s="637"/>
      <c r="C18" s="638"/>
      <c r="D18" s="638"/>
      <c r="E18" s="638"/>
      <c r="F18" s="638"/>
      <c r="G18" s="638"/>
      <c r="H18" s="638"/>
      <c r="I18" s="638"/>
      <c r="J18" s="638"/>
      <c r="N18" s="405"/>
      <c r="O18" s="405"/>
      <c r="P18" s="405"/>
      <c r="Q18" s="405"/>
      <c r="R18" s="405"/>
      <c r="S18" s="405"/>
    </row>
    <row r="19" spans="2:19">
      <c r="B19" s="637" t="s">
        <v>295</v>
      </c>
      <c r="C19" s="642">
        <f t="shared" ref="C19:F19" si="4">C11+C17</f>
        <v>2862688</v>
      </c>
      <c r="D19" s="642">
        <f t="shared" si="4"/>
        <v>2701503.4754999997</v>
      </c>
      <c r="E19" s="642">
        <f t="shared" si="4"/>
        <v>2869923.7950000004</v>
      </c>
      <c r="F19" s="642">
        <f t="shared" si="4"/>
        <v>2923640.03</v>
      </c>
      <c r="G19" s="642">
        <f t="shared" ref="G19:J19" si="5">G11+G17</f>
        <v>2961128.086584995</v>
      </c>
      <c r="H19" s="642">
        <f>H11+H17</f>
        <v>2983599.84</v>
      </c>
      <c r="I19" s="642">
        <f t="shared" si="5"/>
        <v>2922614.8486167556</v>
      </c>
      <c r="J19" s="642">
        <f t="shared" si="5"/>
        <v>3360104.6058809985</v>
      </c>
      <c r="M19" s="417" t="s">
        <v>295</v>
      </c>
      <c r="N19" s="405">
        <v>2630849</v>
      </c>
      <c r="O19" s="405">
        <v>2695841.5999999992</v>
      </c>
      <c r="P19" s="405">
        <v>2778199.13</v>
      </c>
      <c r="Q19" s="405">
        <v>2692483.3800000008</v>
      </c>
      <c r="R19" s="405">
        <v>2765714.12</v>
      </c>
      <c r="S19" s="405">
        <v>3006812.0686850632</v>
      </c>
    </row>
    <row r="20" spans="2:19">
      <c r="B20" s="644"/>
      <c r="C20" s="1678" t="s">
        <v>639</v>
      </c>
      <c r="D20" s="1678">
        <v>-284299.49</v>
      </c>
      <c r="E20" s="1678">
        <v>-300513.42</v>
      </c>
      <c r="F20" s="1678">
        <v>-231896.04000000004</v>
      </c>
      <c r="G20" s="1678">
        <v>-226686.93</v>
      </c>
      <c r="H20" s="1678">
        <v>-266728.37000000005</v>
      </c>
      <c r="I20" s="1678">
        <v>-241406.65</v>
      </c>
      <c r="J20" s="1678" cm="1">
        <f t="array" ref="J20:J21">'[18]9. Rev_Reqt'!$F$33:$F$34</f>
        <v>3367679.2811760516</v>
      </c>
    </row>
    <row r="21" spans="2:19">
      <c r="B21" s="644"/>
      <c r="C21" s="645"/>
      <c r="D21" s="645"/>
      <c r="E21" s="645"/>
      <c r="F21" s="645"/>
      <c r="G21" s="645"/>
      <c r="H21" s="645"/>
      <c r="J21" s="417">
        <v>0</v>
      </c>
    </row>
    <row r="22" spans="2:19">
      <c r="B22" s="644" t="s">
        <v>349</v>
      </c>
      <c r="C22" s="645"/>
      <c r="D22" s="645"/>
      <c r="E22" s="645"/>
      <c r="F22" s="645"/>
      <c r="G22" s="645"/>
      <c r="H22" s="645"/>
    </row>
    <row r="23" spans="2:19">
      <c r="B23" s="497" t="s">
        <v>351</v>
      </c>
      <c r="C23" s="645"/>
      <c r="D23" s="645"/>
      <c r="E23" s="645"/>
      <c r="F23" s="645"/>
      <c r="G23" s="645"/>
      <c r="H23" s="645"/>
    </row>
    <row r="24" spans="2:19">
      <c r="B24" s="644"/>
      <c r="C24" s="645"/>
      <c r="D24" s="645"/>
      <c r="E24" s="645"/>
      <c r="F24" s="645"/>
      <c r="G24" s="645"/>
      <c r="H24" s="645"/>
    </row>
    <row r="25" spans="2:19">
      <c r="B25" s="644"/>
      <c r="C25" s="645"/>
      <c r="D25" s="645"/>
      <c r="E25" s="645"/>
      <c r="F25" s="645"/>
      <c r="G25" s="645"/>
      <c r="H25" s="645"/>
    </row>
    <row r="26" spans="2:19">
      <c r="D26" s="409" t="s">
        <v>350</v>
      </c>
      <c r="E26" s="645"/>
      <c r="F26" s="645"/>
      <c r="G26" s="645"/>
      <c r="H26" s="645"/>
    </row>
    <row r="27" spans="2:19" ht="14.4" thickBot="1">
      <c r="B27" s="644"/>
      <c r="C27" s="645"/>
      <c r="D27" s="645"/>
      <c r="E27" s="645"/>
      <c r="F27" s="645"/>
      <c r="G27" s="645"/>
      <c r="H27" s="645"/>
    </row>
    <row r="28" spans="2:19" ht="40.200000000000003" thickTop="1">
      <c r="B28" s="650" t="s">
        <v>341</v>
      </c>
      <c r="C28" s="651" t="s">
        <v>342</v>
      </c>
      <c r="D28" s="651" t="s">
        <v>343</v>
      </c>
      <c r="E28" s="652" t="s">
        <v>344</v>
      </c>
      <c r="F28" s="652" t="s">
        <v>346</v>
      </c>
      <c r="G28" s="652" t="s">
        <v>345</v>
      </c>
      <c r="H28" s="651" t="s">
        <v>347</v>
      </c>
    </row>
    <row r="29" spans="2:19">
      <c r="B29" s="653" t="s">
        <v>39</v>
      </c>
      <c r="C29" s="649">
        <f t="shared" ref="C29:C40" si="6">I29/1000000</f>
        <v>108.81068</v>
      </c>
      <c r="D29" s="640"/>
      <c r="E29" s="640"/>
      <c r="F29" s="646">
        <f t="array" ref="F29:F40">TRANSPOSE(Summary!B43:M43)</f>
        <v>7676</v>
      </c>
      <c r="G29" s="640"/>
      <c r="H29" s="640"/>
      <c r="I29" s="450">
        <f t="array" ref="I29:I40">TRANSPOSE(Summary!B12:M12)</f>
        <v>108810680</v>
      </c>
    </row>
    <row r="30" spans="2:19">
      <c r="B30" s="653" t="s">
        <v>40</v>
      </c>
      <c r="C30" s="649">
        <f t="shared" si="6"/>
        <v>106.39750100000001</v>
      </c>
      <c r="D30" s="647">
        <f>C30-C29</f>
        <v>-2.4131789999999995</v>
      </c>
      <c r="E30" s="648">
        <f>D30/C29</f>
        <v>-2.2177777034386694E-2</v>
      </c>
      <c r="F30" s="646">
        <v>7700</v>
      </c>
      <c r="G30" s="640">
        <f>F30-F29</f>
        <v>24</v>
      </c>
      <c r="H30" s="648">
        <f>G30/F29</f>
        <v>3.126628452318916E-3</v>
      </c>
      <c r="I30" s="450">
        <v>106397501</v>
      </c>
    </row>
    <row r="31" spans="2:19">
      <c r="B31" s="653" t="s">
        <v>41</v>
      </c>
      <c r="C31" s="649">
        <f t="shared" si="6"/>
        <v>107.193012</v>
      </c>
      <c r="D31" s="647">
        <f t="shared" ref="D31:D40" si="7">C31-C30</f>
        <v>0.79551099999999053</v>
      </c>
      <c r="E31" s="648">
        <f t="shared" ref="E31:E40" si="8">D31/C30</f>
        <v>7.4767827488729319E-3</v>
      </c>
      <c r="F31" s="646">
        <v>7702</v>
      </c>
      <c r="G31" s="640">
        <f t="shared" ref="G31:G40" si="9">F31-F30</f>
        <v>2</v>
      </c>
      <c r="H31" s="648">
        <f t="shared" ref="H31:H40" si="10">G31/F30</f>
        <v>2.5974025974025974E-4</v>
      </c>
      <c r="I31" s="450">
        <v>107193012</v>
      </c>
    </row>
    <row r="32" spans="2:19">
      <c r="B32" s="653" t="s">
        <v>83</v>
      </c>
      <c r="C32" s="649">
        <f t="shared" si="6"/>
        <v>107.593001</v>
      </c>
      <c r="D32" s="647">
        <f t="shared" si="7"/>
        <v>0.39998900000000503</v>
      </c>
      <c r="E32" s="648">
        <f t="shared" si="8"/>
        <v>3.7314839142686376E-3</v>
      </c>
      <c r="F32" s="646">
        <v>7701</v>
      </c>
      <c r="G32" s="640">
        <f t="shared" si="9"/>
        <v>-1</v>
      </c>
      <c r="H32" s="648">
        <f t="shared" si="10"/>
        <v>-1.2983640612827837E-4</v>
      </c>
      <c r="I32" s="450">
        <v>107593001</v>
      </c>
    </row>
    <row r="33" spans="2:12">
      <c r="B33" s="653" t="s">
        <v>90</v>
      </c>
      <c r="C33" s="649">
        <f t="shared" si="6"/>
        <v>104.215271962</v>
      </c>
      <c r="D33" s="647">
        <f t="shared" si="7"/>
        <v>-3.3777290379999982</v>
      </c>
      <c r="E33" s="648">
        <f t="shared" si="8"/>
        <v>-3.139357585164855E-2</v>
      </c>
      <c r="F33" s="646">
        <v>7705</v>
      </c>
      <c r="G33" s="640">
        <f t="shared" si="9"/>
        <v>4</v>
      </c>
      <c r="H33" s="648">
        <f t="shared" si="10"/>
        <v>5.1941306323854042E-4</v>
      </c>
      <c r="I33" s="450">
        <v>104215271.962</v>
      </c>
    </row>
    <row r="34" spans="2:12">
      <c r="B34" s="653" t="s">
        <v>84</v>
      </c>
      <c r="C34" s="649">
        <f t="shared" si="6"/>
        <v>101.711018284</v>
      </c>
      <c r="D34" s="647">
        <f t="shared" si="7"/>
        <v>-2.5042536779999978</v>
      </c>
      <c r="E34" s="648">
        <f t="shared" si="8"/>
        <v>-2.4029622826423399E-2</v>
      </c>
      <c r="F34" s="646">
        <v>7717</v>
      </c>
      <c r="G34" s="640">
        <f t="shared" si="9"/>
        <v>12</v>
      </c>
      <c r="H34" s="648">
        <f t="shared" si="10"/>
        <v>1.5574302401038286E-3</v>
      </c>
      <c r="I34" s="450">
        <v>101711018.28400001</v>
      </c>
    </row>
    <row r="35" spans="2:12">
      <c r="B35" s="653" t="s">
        <v>85</v>
      </c>
      <c r="C35" s="649">
        <f t="shared" si="6"/>
        <v>98.838309294999988</v>
      </c>
      <c r="D35" s="647">
        <f t="shared" si="7"/>
        <v>-2.8727089890000173</v>
      </c>
      <c r="E35" s="648">
        <f t="shared" si="8"/>
        <v>-2.8243832747586586E-2</v>
      </c>
      <c r="F35" s="646">
        <v>7732</v>
      </c>
      <c r="G35" s="640">
        <f t="shared" si="9"/>
        <v>15</v>
      </c>
      <c r="H35" s="648">
        <f t="shared" si="10"/>
        <v>1.9437605287028637E-3</v>
      </c>
      <c r="I35" s="450">
        <v>98838309.294999987</v>
      </c>
    </row>
    <row r="36" spans="2:12">
      <c r="B36" s="653" t="s">
        <v>91</v>
      </c>
      <c r="C36" s="649">
        <f t="shared" si="6"/>
        <v>101.848630358208</v>
      </c>
      <c r="D36" s="647">
        <f t="shared" si="7"/>
        <v>3.0103210632080106</v>
      </c>
      <c r="E36" s="648">
        <f t="shared" si="8"/>
        <v>3.0457027084742901E-2</v>
      </c>
      <c r="F36" s="646">
        <v>7749</v>
      </c>
      <c r="G36" s="640">
        <f t="shared" si="9"/>
        <v>17</v>
      </c>
      <c r="H36" s="648">
        <f t="shared" si="10"/>
        <v>2.1986549405069839E-3</v>
      </c>
      <c r="I36" s="450">
        <v>101848630.358208</v>
      </c>
    </row>
    <row r="37" spans="2:12">
      <c r="B37" s="653" t="s">
        <v>111</v>
      </c>
      <c r="C37" s="649">
        <f t="shared" si="6"/>
        <v>100.219092</v>
      </c>
      <c r="D37" s="647">
        <f t="shared" si="7"/>
        <v>-1.629538358207995</v>
      </c>
      <c r="E37" s="648">
        <f t="shared" si="8"/>
        <v>-1.5999609935615302E-2</v>
      </c>
      <c r="F37" s="646">
        <v>7752</v>
      </c>
      <c r="G37" s="640">
        <f t="shared" si="9"/>
        <v>3</v>
      </c>
      <c r="H37" s="648">
        <f t="shared" si="10"/>
        <v>3.8714672861014324E-4</v>
      </c>
      <c r="I37" s="450">
        <v>100219092</v>
      </c>
    </row>
    <row r="38" spans="2:12">
      <c r="B38" s="653" t="s">
        <v>112</v>
      </c>
      <c r="C38" s="649">
        <f t="shared" si="6"/>
        <v>99.512150000000005</v>
      </c>
      <c r="D38" s="647">
        <f t="shared" si="7"/>
        <v>-0.70694199999999796</v>
      </c>
      <c r="E38" s="648">
        <f t="shared" si="8"/>
        <v>-7.0539653262873103E-3</v>
      </c>
      <c r="F38" s="646">
        <v>7741</v>
      </c>
      <c r="G38" s="640">
        <f t="shared" si="9"/>
        <v>-11</v>
      </c>
      <c r="H38" s="648">
        <f t="shared" si="10"/>
        <v>-1.4189886480908153E-3</v>
      </c>
      <c r="I38" s="450">
        <v>99512150</v>
      </c>
    </row>
    <row r="39" spans="2:12">
      <c r="B39" s="653" t="s">
        <v>311</v>
      </c>
      <c r="C39" s="649">
        <f t="shared" si="6"/>
        <v>100.472426</v>
      </c>
      <c r="D39" s="647">
        <f t="shared" si="7"/>
        <v>0.96027599999999325</v>
      </c>
      <c r="E39" s="648">
        <f t="shared" si="8"/>
        <v>9.64983672847982E-3</v>
      </c>
      <c r="F39" s="646">
        <v>7747</v>
      </c>
      <c r="G39" s="640">
        <f t="shared" si="9"/>
        <v>6</v>
      </c>
      <c r="H39" s="648">
        <f t="shared" si="10"/>
        <v>7.7509365715023898E-4</v>
      </c>
      <c r="I39" s="450">
        <v>100472426</v>
      </c>
    </row>
    <row r="40" spans="2:12">
      <c r="B40" s="654" t="s">
        <v>348</v>
      </c>
      <c r="C40" s="649">
        <f t="shared" si="6"/>
        <v>95.548715353225802</v>
      </c>
      <c r="D40" s="647">
        <f t="shared" si="7"/>
        <v>-4.9237106467741967</v>
      </c>
      <c r="E40" s="648">
        <f t="shared" si="8"/>
        <v>-4.9005591312925964E-2</v>
      </c>
      <c r="F40" s="646">
        <v>7752</v>
      </c>
      <c r="G40" s="640">
        <f t="shared" si="9"/>
        <v>5</v>
      </c>
      <c r="H40" s="648">
        <f t="shared" si="10"/>
        <v>6.4541112688782753E-4</v>
      </c>
      <c r="I40" s="450">
        <v>95548715.353225797</v>
      </c>
    </row>
    <row r="43" spans="2:12" s="402" customFormat="1" ht="14.4">
      <c r="E43" s="403" t="s">
        <v>640</v>
      </c>
    </row>
    <row r="44" spans="2:12" s="402" customFormat="1" ht="15" thickBot="1"/>
    <row r="45" spans="2:12" s="402" customFormat="1" ht="15" thickTop="1">
      <c r="B45" s="656"/>
      <c r="C45" s="657">
        <v>2011</v>
      </c>
      <c r="D45" s="657">
        <v>2012</v>
      </c>
      <c r="E45" s="657">
        <v>2013</v>
      </c>
      <c r="F45" s="657">
        <v>2014</v>
      </c>
      <c r="G45" s="657">
        <v>2015</v>
      </c>
      <c r="H45" s="657">
        <v>2016</v>
      </c>
      <c r="I45" s="657">
        <v>2017</v>
      </c>
      <c r="J45" s="657">
        <v>2018</v>
      </c>
      <c r="K45" s="657">
        <v>2019</v>
      </c>
      <c r="L45" s="657">
        <v>2020</v>
      </c>
    </row>
    <row r="46" spans="2:12" s="402" customFormat="1" ht="14.4">
      <c r="B46" s="658" t="s">
        <v>97</v>
      </c>
      <c r="C46" s="659">
        <f>'Purchased Power Model No CDM'!C6</f>
        <v>12132585</v>
      </c>
      <c r="D46" s="659">
        <f>'Purchased Power Model No CDM'!C18</f>
        <v>11698538</v>
      </c>
      <c r="E46" s="659">
        <f>'Purchased Power Model No CDM'!C30</f>
        <v>11999817</v>
      </c>
      <c r="F46" s="659">
        <f>'Purchased Power Model No CDM'!C42</f>
        <v>12521267</v>
      </c>
      <c r="G46" s="659">
        <f>'Purchased Power Model No CDM'!C54</f>
        <v>12178875.15</v>
      </c>
      <c r="H46" s="659">
        <f>'Purchased Power Model No CDM'!C66</f>
        <v>10989034.470000001</v>
      </c>
      <c r="I46" s="659">
        <f>'Purchased Power Model No CDM'!C78</f>
        <v>10464420</v>
      </c>
      <c r="J46" s="659">
        <f>'Purchased Power Model No CDM'!C90</f>
        <v>11412898</v>
      </c>
      <c r="K46" s="659">
        <f>'Purchased Power Model No CDM'!C102</f>
        <v>11356602</v>
      </c>
      <c r="L46" s="659">
        <f>'Purchased Power Model No CDM'!C114</f>
        <v>10475745.59</v>
      </c>
    </row>
    <row r="47" spans="2:12" s="402" customFormat="1" ht="14.4">
      <c r="B47" s="658" t="s">
        <v>98</v>
      </c>
      <c r="C47" s="659">
        <f>'Purchased Power Model No CDM'!C7</f>
        <v>10866454</v>
      </c>
      <c r="D47" s="659">
        <f>'Purchased Power Model No CDM'!C19</f>
        <v>10394346</v>
      </c>
      <c r="E47" s="659">
        <f>'Purchased Power Model No CDM'!C31</f>
        <v>10701983</v>
      </c>
      <c r="F47" s="659">
        <f>'Purchased Power Model No CDM'!C43</f>
        <v>10693642</v>
      </c>
      <c r="G47" s="659">
        <f>'Purchased Power Model No CDM'!C55</f>
        <v>11445612.18</v>
      </c>
      <c r="H47" s="659">
        <f>'Purchased Power Model No CDM'!C67</f>
        <v>10461168.439999999</v>
      </c>
      <c r="I47" s="659">
        <f>'Purchased Power Model No CDM'!C79</f>
        <v>9412266</v>
      </c>
      <c r="J47" s="659">
        <f>'Purchased Power Model No CDM'!C91</f>
        <v>9438920.3499999996</v>
      </c>
      <c r="K47" s="659">
        <f>'Purchased Power Model No CDM'!C103</f>
        <v>9954781</v>
      </c>
      <c r="L47" s="659">
        <f>'Purchased Power Model No CDM'!C115</f>
        <v>9817627</v>
      </c>
    </row>
    <row r="48" spans="2:12" s="402" customFormat="1" ht="14.4">
      <c r="B48" s="658" t="s">
        <v>99</v>
      </c>
      <c r="C48" s="659">
        <f>'Purchased Power Model No CDM'!C8</f>
        <v>11067608</v>
      </c>
      <c r="D48" s="659">
        <f>'Purchased Power Model No CDM'!C20</f>
        <v>9868346</v>
      </c>
      <c r="E48" s="659">
        <f>'Purchased Power Model No CDM'!C32</f>
        <v>10574475</v>
      </c>
      <c r="F48" s="659">
        <f>'Purchased Power Model No CDM'!C44</f>
        <v>11270883</v>
      </c>
      <c r="G48" s="659">
        <f>'Purchased Power Model No CDM'!C56</f>
        <v>10922675.359999999</v>
      </c>
      <c r="H48" s="659">
        <f>'Purchased Power Model No CDM'!C68</f>
        <v>9905017</v>
      </c>
      <c r="I48" s="659">
        <f>'Purchased Power Model No CDM'!C80</f>
        <v>10449490</v>
      </c>
      <c r="J48" s="659">
        <f>'Purchased Power Model No CDM'!C92</f>
        <v>9778013</v>
      </c>
      <c r="K48" s="659">
        <f>'Purchased Power Model No CDM'!C104</f>
        <v>10085138</v>
      </c>
      <c r="L48" s="659">
        <f>'Purchased Power Model No CDM'!C116</f>
        <v>9509806</v>
      </c>
    </row>
    <row r="49" spans="2:17" s="402" customFormat="1" ht="14.4">
      <c r="B49" s="658" t="s">
        <v>100</v>
      </c>
      <c r="C49" s="659">
        <f>'Purchased Power Model No CDM'!C9</f>
        <v>9072415</v>
      </c>
      <c r="D49" s="659">
        <f>'Purchased Power Model No CDM'!C21</f>
        <v>8701738</v>
      </c>
      <c r="E49" s="659">
        <f>'Purchased Power Model No CDM'!C33</f>
        <v>9116700</v>
      </c>
      <c r="F49" s="659">
        <f>'Purchased Power Model No CDM'!C45</f>
        <v>9026483</v>
      </c>
      <c r="G49" s="659">
        <f>'Purchased Power Model No CDM'!C57</f>
        <v>8724747</v>
      </c>
      <c r="H49" s="659">
        <f>'Purchased Power Model No CDM'!C69</f>
        <v>8448753</v>
      </c>
      <c r="I49" s="659">
        <f>'Purchased Power Model No CDM'!C81</f>
        <v>8073164</v>
      </c>
      <c r="J49" s="659">
        <f>'Purchased Power Model No CDM'!C93</f>
        <v>8757348</v>
      </c>
      <c r="K49" s="659">
        <f>'Purchased Power Model No CDM'!C105</f>
        <v>8524502</v>
      </c>
      <c r="L49" s="659">
        <f>'Purchased Power Model No CDM'!C117</f>
        <v>8024762.8899999997</v>
      </c>
    </row>
    <row r="50" spans="2:17" s="402" customFormat="1" ht="14.4">
      <c r="B50" s="658" t="s">
        <v>54</v>
      </c>
      <c r="C50" s="659">
        <f>'Purchased Power Model No CDM'!C10</f>
        <v>8656277</v>
      </c>
      <c r="D50" s="659">
        <f>'Purchased Power Model No CDM'!C22</f>
        <v>8473818</v>
      </c>
      <c r="E50" s="659">
        <f>'Purchased Power Model No CDM'!C34</f>
        <v>8204917</v>
      </c>
      <c r="F50" s="659">
        <f>'Purchased Power Model No CDM'!C46</f>
        <v>8278885</v>
      </c>
      <c r="G50" s="659">
        <f>'Purchased Power Model No CDM'!C58</f>
        <v>8214245.5700000003</v>
      </c>
      <c r="H50" s="659">
        <f>'Purchased Power Model No CDM'!C70</f>
        <v>7971052</v>
      </c>
      <c r="I50" s="659">
        <f>'Purchased Power Model No CDM'!C82</f>
        <v>7836699</v>
      </c>
      <c r="J50" s="659">
        <f>'Purchased Power Model No CDM'!C94</f>
        <v>7670323</v>
      </c>
      <c r="K50" s="659">
        <f>'Purchased Power Model No CDM'!C106</f>
        <v>7801649</v>
      </c>
      <c r="L50" s="659">
        <f>'Purchased Power Model No CDM'!C118</f>
        <v>7939253</v>
      </c>
    </row>
    <row r="51" spans="2:17" s="402" customFormat="1" ht="14.4">
      <c r="B51" s="658" t="s">
        <v>101</v>
      </c>
      <c r="C51" s="659">
        <f>'Purchased Power Model No CDM'!C11</f>
        <v>8776092</v>
      </c>
      <c r="D51" s="659">
        <f>'Purchased Power Model No CDM'!C23</f>
        <v>9028518</v>
      </c>
      <c r="E51" s="659">
        <f>'Purchased Power Model No CDM'!C35</f>
        <v>8279408</v>
      </c>
      <c r="F51" s="659">
        <f>'Purchased Power Model No CDM'!C47</f>
        <v>8570154</v>
      </c>
      <c r="G51" s="659">
        <f>'Purchased Power Model No CDM'!C59</f>
        <v>8082238.46</v>
      </c>
      <c r="H51" s="659">
        <f>'Purchased Power Model No CDM'!C71</f>
        <v>8152771</v>
      </c>
      <c r="I51" s="659">
        <f>'Purchased Power Model No CDM'!C83</f>
        <v>7883609</v>
      </c>
      <c r="J51" s="659">
        <f>'Purchased Power Model No CDM'!C95</f>
        <v>7836187</v>
      </c>
      <c r="K51" s="659">
        <f>'Purchased Power Model No CDM'!C107</f>
        <v>7764971</v>
      </c>
      <c r="L51" s="659">
        <f>'Purchased Power Model No CDM'!C119</f>
        <v>8515024.5999999996</v>
      </c>
    </row>
    <row r="52" spans="2:17" s="402" customFormat="1" ht="14.4">
      <c r="B52" s="658" t="s">
        <v>102</v>
      </c>
      <c r="C52" s="659">
        <f>'Purchased Power Model No CDM'!C12</f>
        <v>9998192</v>
      </c>
      <c r="D52" s="659">
        <f>'Purchased Power Model No CDM'!C24</f>
        <v>9776500</v>
      </c>
      <c r="E52" s="659">
        <f>'Purchased Power Model No CDM'!C36</f>
        <v>9591758</v>
      </c>
      <c r="F52" s="659">
        <f>'Purchased Power Model No CDM'!C48</f>
        <v>9070654</v>
      </c>
      <c r="G52" s="659">
        <f>'Purchased Power Model No CDM'!C60</f>
        <v>8969560.4600000009</v>
      </c>
      <c r="H52" s="659">
        <f>'Purchased Power Model No CDM'!C72</f>
        <v>9080665</v>
      </c>
      <c r="I52" s="659">
        <f>'Purchased Power Model No CDM'!C84</f>
        <v>8447553</v>
      </c>
      <c r="J52" s="659">
        <f>'Purchased Power Model No CDM'!C96</f>
        <v>9698694</v>
      </c>
      <c r="K52" s="659">
        <f>'Purchased Power Model No CDM'!C108</f>
        <v>9557985</v>
      </c>
      <c r="L52" s="659">
        <f>'Purchased Power Model No CDM'!C120</f>
        <v>10333884</v>
      </c>
    </row>
    <row r="53" spans="2:17" s="402" customFormat="1" ht="14.4">
      <c r="B53" s="658" t="s">
        <v>103</v>
      </c>
      <c r="C53" s="659">
        <f>'Purchased Power Model No CDM'!C13</f>
        <v>9450654</v>
      </c>
      <c r="D53" s="659">
        <f>'Purchased Power Model No CDM'!C25</f>
        <v>9430200</v>
      </c>
      <c r="E53" s="659">
        <f>'Purchased Power Model No CDM'!C37</f>
        <v>9610958</v>
      </c>
      <c r="F53" s="659">
        <f>'Purchased Power Model No CDM'!C49</f>
        <v>8980123</v>
      </c>
      <c r="G53" s="659">
        <f>'Purchased Power Model No CDM'!C61</f>
        <v>8928792.9100000001</v>
      </c>
      <c r="H53" s="659">
        <f>'Purchased Power Model No CDM'!C73</f>
        <v>9517733</v>
      </c>
      <c r="I53" s="659">
        <f>'Purchased Power Model No CDM'!C85</f>
        <v>8640906</v>
      </c>
      <c r="J53" s="659">
        <f>'Purchased Power Model No CDM'!C97</f>
        <v>9512830</v>
      </c>
      <c r="K53" s="659">
        <f>'Purchased Power Model No CDM'!C109</f>
        <v>8688391.3699999992</v>
      </c>
      <c r="L53" s="659">
        <f>'Purchased Power Model No CDM'!C121</f>
        <v>9206403</v>
      </c>
    </row>
    <row r="54" spans="2:17" s="402" customFormat="1" ht="14.4">
      <c r="B54" s="658" t="s">
        <v>104</v>
      </c>
      <c r="C54" s="659">
        <f>'Purchased Power Model No CDM'!C14</f>
        <v>8631923</v>
      </c>
      <c r="D54" s="659">
        <f>'Purchased Power Model No CDM'!C26</f>
        <v>8456345</v>
      </c>
      <c r="E54" s="659">
        <f>'Purchased Power Model No CDM'!C38</f>
        <v>8187217</v>
      </c>
      <c r="F54" s="659">
        <f>'Purchased Power Model No CDM'!C50</f>
        <v>8455877</v>
      </c>
      <c r="G54" s="659">
        <f>'Purchased Power Model No CDM'!C62</f>
        <v>8487585.6799999997</v>
      </c>
      <c r="H54" s="659">
        <f>'Purchased Power Model No CDM'!C74</f>
        <v>8054076.4400000004</v>
      </c>
      <c r="I54" s="659">
        <f>'Purchased Power Model No CDM'!C86</f>
        <v>8076439</v>
      </c>
      <c r="J54" s="659">
        <f>'Purchased Power Model No CDM'!C98</f>
        <v>8248876</v>
      </c>
      <c r="K54" s="659">
        <f>'Purchased Power Model No CDM'!C110</f>
        <v>7563722.3099999996</v>
      </c>
      <c r="L54" s="659">
        <f>'Purchased Power Model No CDM'!C122</f>
        <v>7627587</v>
      </c>
    </row>
    <row r="55" spans="2:17" s="402" customFormat="1" ht="14.4">
      <c r="B55" s="658" t="s">
        <v>105</v>
      </c>
      <c r="C55" s="659">
        <f>'Purchased Power Model No CDM'!C15</f>
        <v>8921515</v>
      </c>
      <c r="D55" s="659">
        <f>'Purchased Power Model No CDM'!C27</f>
        <v>8663345</v>
      </c>
      <c r="E55" s="659">
        <f>'Purchased Power Model No CDM'!C39</f>
        <v>8725825</v>
      </c>
      <c r="F55" s="659">
        <f>'Purchased Power Model No CDM'!C51</f>
        <v>8663323</v>
      </c>
      <c r="G55" s="659">
        <f>'Purchased Power Model No CDM'!C63</f>
        <v>8442807.8100000005</v>
      </c>
      <c r="H55" s="659">
        <f>'Purchased Power Model No CDM'!C75</f>
        <v>8074621</v>
      </c>
      <c r="I55" s="659">
        <f>'Purchased Power Model No CDM'!C87</f>
        <v>7983759</v>
      </c>
      <c r="J55" s="659">
        <f>'Purchased Power Model No CDM'!C99</f>
        <v>8273205</v>
      </c>
      <c r="K55" s="659">
        <f>'Purchased Power Model No CDM'!C111</f>
        <v>7908177</v>
      </c>
      <c r="L55" s="659">
        <f>'Purchased Power Model No CDM'!C123</f>
        <v>8195562</v>
      </c>
    </row>
    <row r="56" spans="2:17" s="402" customFormat="1" ht="14.4">
      <c r="B56" s="658" t="s">
        <v>106</v>
      </c>
      <c r="C56" s="659">
        <f>'Purchased Power Model No CDM'!C16</f>
        <v>9478715</v>
      </c>
      <c r="D56" s="659">
        <f>'Purchased Power Model No CDM'!C28</f>
        <v>9765918</v>
      </c>
      <c r="E56" s="659">
        <f>'Purchased Power Model No CDM'!C40</f>
        <v>9926917</v>
      </c>
      <c r="F56" s="659">
        <f>'Purchased Power Model No CDM'!C52</f>
        <v>9594308</v>
      </c>
      <c r="G56" s="659">
        <f>'Purchased Power Model No CDM'!C64</f>
        <v>8788398.0199999996</v>
      </c>
      <c r="H56" s="659">
        <f>'Purchased Power Model No CDM'!C76</f>
        <v>8792790</v>
      </c>
      <c r="I56" s="659">
        <f>'Purchased Power Model No CDM'!C88</f>
        <v>9161805</v>
      </c>
      <c r="J56" s="659">
        <f>'Purchased Power Model No CDM'!C100</f>
        <v>9371732</v>
      </c>
      <c r="K56" s="659">
        <f>'Purchased Power Model No CDM'!C112</f>
        <v>9264874</v>
      </c>
      <c r="L56" s="659">
        <f>'Purchased Power Model No CDM'!C124</f>
        <v>8711856.7599999998</v>
      </c>
    </row>
    <row r="57" spans="2:17" s="402" customFormat="1" ht="14.4">
      <c r="B57" s="658" t="s">
        <v>107</v>
      </c>
      <c r="C57" s="659">
        <f>'Purchased Power Model No CDM'!C17</f>
        <v>10916892</v>
      </c>
      <c r="D57" s="659">
        <f>'Purchased Power Model No CDM'!C29</f>
        <v>10958364</v>
      </c>
      <c r="E57" s="659">
        <f>'Purchased Power Model No CDM'!C41</f>
        <v>11614675</v>
      </c>
      <c r="F57" s="659">
        <f>'Purchased Power Model No CDM'!C53</f>
        <v>10753031</v>
      </c>
      <c r="G57" s="659">
        <f>'Purchased Power Model No CDM'!C65</f>
        <v>9419775.3499999996</v>
      </c>
      <c r="H57" s="659">
        <f>'Purchased Power Model No CDM'!C77</f>
        <v>10206407</v>
      </c>
      <c r="I57" s="659">
        <f>'Purchased Power Model No CDM'!C89</f>
        <v>10688479</v>
      </c>
      <c r="J57" s="659">
        <f>'Purchased Power Model No CDM'!C101</f>
        <v>10215218</v>
      </c>
      <c r="K57" s="659">
        <f>'Purchased Power Model No CDM'!C113</f>
        <v>10207018.220000001</v>
      </c>
      <c r="L57" s="659">
        <f>'Purchased Power Model No CDM'!C125</f>
        <v>10055027.689999999</v>
      </c>
    </row>
    <row r="58" spans="2:17" s="402" customFormat="1" ht="14.4">
      <c r="B58" s="660" t="s">
        <v>5</v>
      </c>
      <c r="C58" s="661">
        <f>SUM(C46:C57)</f>
        <v>117969322</v>
      </c>
      <c r="D58" s="661">
        <f>SUM(D46:D57)</f>
        <v>115215976</v>
      </c>
      <c r="E58" s="661">
        <f t="shared" ref="E58:L58" si="11">SUM(E46:E57)</f>
        <v>116534650</v>
      </c>
      <c r="F58" s="661">
        <f t="shared" si="11"/>
        <v>115878630</v>
      </c>
      <c r="G58" s="661">
        <f t="shared" si="11"/>
        <v>112605313.95</v>
      </c>
      <c r="H58" s="661">
        <f t="shared" si="11"/>
        <v>109654088.34999999</v>
      </c>
      <c r="I58" s="661">
        <f t="shared" si="11"/>
        <v>107118589</v>
      </c>
      <c r="J58" s="661">
        <f t="shared" si="11"/>
        <v>110214244.34999999</v>
      </c>
      <c r="K58" s="661">
        <f t="shared" si="11"/>
        <v>108677810.90000001</v>
      </c>
      <c r="L58" s="661">
        <f t="shared" si="11"/>
        <v>108412539.53</v>
      </c>
    </row>
    <row r="59" spans="2:17" s="402" customFormat="1" ht="14.4">
      <c r="B59" s="660" t="s">
        <v>296</v>
      </c>
      <c r="C59" s="662"/>
      <c r="D59" s="663">
        <f>D58/C58</f>
        <v>0.97666049144539457</v>
      </c>
      <c r="E59" s="663">
        <f>E58/D58</f>
        <v>1.0114452356850234</v>
      </c>
      <c r="F59" s="663">
        <f t="shared" ref="F59:K59" si="12">F58/E58</f>
        <v>0.99437060136191258</v>
      </c>
      <c r="G59" s="663">
        <f t="shared" si="12"/>
        <v>0.9717522027141674</v>
      </c>
      <c r="H59" s="663">
        <f t="shared" si="12"/>
        <v>0.97379141803813596</v>
      </c>
      <c r="I59" s="663">
        <f t="shared" si="12"/>
        <v>0.97687729305717219</v>
      </c>
      <c r="J59" s="663">
        <f t="shared" si="12"/>
        <v>1.0288993290417594</v>
      </c>
      <c r="K59" s="663">
        <f t="shared" si="12"/>
        <v>0.98605957461250804</v>
      </c>
      <c r="L59" s="663">
        <f>L58/K58</f>
        <v>0.99755910274780846</v>
      </c>
    </row>
    <row r="60" spans="2:17" s="402" customFormat="1" ht="14.4">
      <c r="L60" s="1463">
        <f>L58/C58-1</f>
        <v>-8.101074336936509E-2</v>
      </c>
    </row>
    <row r="61" spans="2:17" s="402" customFormat="1" ht="14.4"/>
    <row r="62" spans="2:17" s="402" customFormat="1" ht="14.4">
      <c r="E62" s="403" t="s">
        <v>641</v>
      </c>
    </row>
    <row r="63" spans="2:17" s="402" customFormat="1" ht="15" thickBot="1"/>
    <row r="64" spans="2:17" s="402" customFormat="1" ht="15" thickTop="1">
      <c r="B64" s="656"/>
      <c r="C64" s="657">
        <v>2011</v>
      </c>
      <c r="D64" s="657">
        <v>2012</v>
      </c>
      <c r="E64" s="657">
        <v>2013</v>
      </c>
      <c r="F64" s="657">
        <v>2014</v>
      </c>
      <c r="G64" s="657">
        <v>2015</v>
      </c>
      <c r="H64" s="657">
        <v>2016</v>
      </c>
      <c r="I64" s="657">
        <v>2017</v>
      </c>
      <c r="J64" s="657">
        <v>2018</v>
      </c>
      <c r="K64" s="657">
        <v>2019</v>
      </c>
      <c r="L64" s="657">
        <v>2020</v>
      </c>
      <c r="M64" s="686"/>
      <c r="N64" s="508" t="s">
        <v>331</v>
      </c>
      <c r="O64" s="508" t="s">
        <v>328</v>
      </c>
      <c r="P64" s="508" t="s">
        <v>329</v>
      </c>
      <c r="Q64" s="508" t="s">
        <v>330</v>
      </c>
    </row>
    <row r="65" spans="2:17" s="402" customFormat="1" ht="14.4">
      <c r="B65" s="658" t="s">
        <v>97</v>
      </c>
      <c r="C65" s="659">
        <f>'Purchased Power Model No CDM'!H6</f>
        <v>12134384</v>
      </c>
      <c r="D65" s="659">
        <f>'Purchased Power Model No CDM'!H18</f>
        <v>11700033</v>
      </c>
      <c r="E65" s="659">
        <f>'Purchased Power Model No CDM'!H30</f>
        <v>12001631</v>
      </c>
      <c r="F65" s="659">
        <f>'Purchased Power Model No CDM'!H42</f>
        <v>12523093</v>
      </c>
      <c r="G65" s="659">
        <f>'Purchased Power Model No CDM'!H54</f>
        <v>12181568.15</v>
      </c>
      <c r="H65" s="659">
        <f>'Purchased Power Model No CDM'!H66</f>
        <v>10991287.470000001</v>
      </c>
      <c r="I65" s="659">
        <f>'Purchased Power Model No CDM'!H78</f>
        <v>10466845</v>
      </c>
      <c r="J65" s="659">
        <f>'Purchased Power Model No CDM'!H90</f>
        <v>11414673</v>
      </c>
      <c r="K65" s="659">
        <f>'Purchased Power Model No CDM'!H102</f>
        <v>11358371</v>
      </c>
      <c r="L65" s="659">
        <f>'Purchased Power Model No CDM'!H114</f>
        <v>10476515.59</v>
      </c>
      <c r="M65" s="686"/>
      <c r="N65" s="404">
        <f t="shared" ref="N65:N77" si="13">G65-F65</f>
        <v>-341524.84999999963</v>
      </c>
      <c r="O65" s="506">
        <f t="shared" ref="O65:O77" si="14">J65-I65</f>
        <v>947828</v>
      </c>
      <c r="P65" s="506">
        <f t="shared" ref="P65:P77" si="15">L65-K65</f>
        <v>-881855.41000000015</v>
      </c>
      <c r="Q65" s="506" t="e">
        <f>M65-#REF!</f>
        <v>#REF!</v>
      </c>
    </row>
    <row r="66" spans="2:17" s="402" customFormat="1" ht="14.4">
      <c r="B66" s="658" t="s">
        <v>98</v>
      </c>
      <c r="C66" s="659">
        <f>'Purchased Power Model No CDM'!H7</f>
        <v>10867487</v>
      </c>
      <c r="D66" s="659">
        <f>'Purchased Power Model No CDM'!H19</f>
        <v>10398024</v>
      </c>
      <c r="E66" s="659">
        <f>'Purchased Power Model No CDM'!H31</f>
        <v>10704529</v>
      </c>
      <c r="F66" s="659">
        <f>'Purchased Power Model No CDM'!H43</f>
        <v>10696289</v>
      </c>
      <c r="G66" s="659">
        <f>'Purchased Power Model No CDM'!H55</f>
        <v>11447914.18</v>
      </c>
      <c r="H66" s="659">
        <f>'Purchased Power Model No CDM'!H67</f>
        <v>10463596.439999999</v>
      </c>
      <c r="I66" s="659">
        <f>'Purchased Power Model No CDM'!H79</f>
        <v>9415533</v>
      </c>
      <c r="J66" s="664">
        <f>'Purchased Power Model No CDM'!H91</f>
        <v>9441551.3499999996</v>
      </c>
      <c r="K66" s="664">
        <f>'Purchased Power Model No CDM'!H103</f>
        <v>9958176</v>
      </c>
      <c r="L66" s="664">
        <f>'Purchased Power Model No CDM'!H115</f>
        <v>9819257</v>
      </c>
      <c r="M66" s="686"/>
      <c r="N66" s="404">
        <f t="shared" si="13"/>
        <v>751625.1799999997</v>
      </c>
      <c r="O66" s="511">
        <f t="shared" si="14"/>
        <v>26018.349999999627</v>
      </c>
      <c r="P66" s="506">
        <f t="shared" si="15"/>
        <v>-138919</v>
      </c>
      <c r="Q66" s="506" t="e">
        <f>M66-#REF!</f>
        <v>#REF!</v>
      </c>
    </row>
    <row r="67" spans="2:17" s="402" customFormat="1" ht="14.4">
      <c r="B67" s="658" t="s">
        <v>99</v>
      </c>
      <c r="C67" s="659">
        <f>'Purchased Power Model No CDM'!H8</f>
        <v>11070010</v>
      </c>
      <c r="D67" s="659">
        <f>'Purchased Power Model No CDM'!H20</f>
        <v>9874057</v>
      </c>
      <c r="E67" s="659">
        <f>'Purchased Power Model No CDM'!H32</f>
        <v>10579437</v>
      </c>
      <c r="F67" s="659">
        <f>'Purchased Power Model No CDM'!H44</f>
        <v>11276393</v>
      </c>
      <c r="G67" s="659">
        <f>'Purchased Power Model No CDM'!H56</f>
        <v>10929864.359999999</v>
      </c>
      <c r="H67" s="659">
        <f>'Purchased Power Model No CDM'!H68</f>
        <v>9911616</v>
      </c>
      <c r="I67" s="659">
        <f>'Purchased Power Model No CDM'!H80</f>
        <v>10455799</v>
      </c>
      <c r="J67" s="664">
        <f>'Purchased Power Model No CDM'!H92</f>
        <v>9783376</v>
      </c>
      <c r="K67" s="664">
        <f>'Purchased Power Model No CDM'!H104</f>
        <v>10092612</v>
      </c>
      <c r="L67" s="664">
        <f>'Purchased Power Model No CDM'!H116</f>
        <v>9516021</v>
      </c>
      <c r="M67" s="686"/>
      <c r="N67" s="404">
        <f t="shared" si="13"/>
        <v>-346528.6400000006</v>
      </c>
      <c r="O67" s="507">
        <f t="shared" si="14"/>
        <v>-672423</v>
      </c>
      <c r="P67" s="507">
        <f t="shared" si="15"/>
        <v>-576591</v>
      </c>
      <c r="Q67" s="506" t="e">
        <f>M67-#REF!</f>
        <v>#REF!</v>
      </c>
    </row>
    <row r="68" spans="2:17" s="402" customFormat="1" ht="14.4">
      <c r="B68" s="658" t="s">
        <v>100</v>
      </c>
      <c r="C68" s="659">
        <f>'Purchased Power Model No CDM'!H9</f>
        <v>9075017</v>
      </c>
      <c r="D68" s="659">
        <f>'Purchased Power Model No CDM'!H21</f>
        <v>8708404</v>
      </c>
      <c r="E68" s="659">
        <f>'Purchased Power Model No CDM'!H33</f>
        <v>9123026</v>
      </c>
      <c r="F68" s="659">
        <f>'Purchased Power Model No CDM'!H45</f>
        <v>9034518</v>
      </c>
      <c r="G68" s="659">
        <f>'Purchased Power Model No CDM'!H57</f>
        <v>8733624</v>
      </c>
      <c r="H68" s="659">
        <f>'Purchased Power Model No CDM'!H69</f>
        <v>8458651</v>
      </c>
      <c r="I68" s="659">
        <f>'Purchased Power Model No CDM'!H81</f>
        <v>8080526</v>
      </c>
      <c r="J68" s="664">
        <f>'Purchased Power Model No CDM'!H93</f>
        <v>8763985</v>
      </c>
      <c r="K68" s="664">
        <f>'Purchased Power Model No CDM'!H105</f>
        <v>8531518</v>
      </c>
      <c r="L68" s="664">
        <f>'Purchased Power Model No CDM'!H117</f>
        <v>8032448.8899999997</v>
      </c>
      <c r="M68" s="686"/>
      <c r="N68" s="404">
        <f t="shared" si="13"/>
        <v>-300894</v>
      </c>
      <c r="O68" s="507">
        <f t="shared" si="14"/>
        <v>683459</v>
      </c>
      <c r="P68" s="511">
        <f t="shared" si="15"/>
        <v>-499069.11000000034</v>
      </c>
      <c r="Q68" s="506" t="e">
        <f>M68-#REF!</f>
        <v>#REF!</v>
      </c>
    </row>
    <row r="69" spans="2:17" s="402" customFormat="1" ht="14.4">
      <c r="B69" s="658" t="s">
        <v>54</v>
      </c>
      <c r="C69" s="659">
        <f>'Purchased Power Model No CDM'!H10</f>
        <v>8659105</v>
      </c>
      <c r="D69" s="659">
        <f>'Purchased Power Model No CDM'!H22</f>
        <v>8482332</v>
      </c>
      <c r="E69" s="659">
        <f>'Purchased Power Model No CDM'!H34</f>
        <v>8213090</v>
      </c>
      <c r="F69" s="659">
        <f>'Purchased Power Model No CDM'!H46</f>
        <v>8288462</v>
      </c>
      <c r="G69" s="659">
        <f>'Purchased Power Model No CDM'!H58</f>
        <v>8224665.5700000003</v>
      </c>
      <c r="H69" s="659">
        <f>'Purchased Power Model No CDM'!H70</f>
        <v>7981694</v>
      </c>
      <c r="I69" s="659">
        <f>'Purchased Power Model No CDM'!H82</f>
        <v>7844439</v>
      </c>
      <c r="J69" s="664">
        <f>'Purchased Power Model No CDM'!H94</f>
        <v>7680410</v>
      </c>
      <c r="K69" s="664">
        <f>'Purchased Power Model No CDM'!H106</f>
        <v>7809399.8799999999</v>
      </c>
      <c r="L69" s="664">
        <f>'Purchased Power Model No CDM'!H118</f>
        <v>7949233</v>
      </c>
      <c r="M69" s="686"/>
      <c r="N69" s="404">
        <f t="shared" si="13"/>
        <v>-63796.429999999702</v>
      </c>
      <c r="O69" s="506">
        <f t="shared" si="14"/>
        <v>-164029</v>
      </c>
      <c r="P69" s="506">
        <f t="shared" si="15"/>
        <v>139833.12000000011</v>
      </c>
      <c r="Q69" s="506" t="e">
        <f>M69-#REF!</f>
        <v>#REF!</v>
      </c>
    </row>
    <row r="70" spans="2:17" s="402" customFormat="1" ht="14.4">
      <c r="B70" s="658" t="s">
        <v>101</v>
      </c>
      <c r="C70" s="659">
        <f>'Purchased Power Model No CDM'!H11</f>
        <v>8779481</v>
      </c>
      <c r="D70" s="659">
        <f>'Purchased Power Model No CDM'!H23</f>
        <v>9036890</v>
      </c>
      <c r="E70" s="659">
        <f>'Purchased Power Model No CDM'!H35</f>
        <v>8286351</v>
      </c>
      <c r="F70" s="659">
        <f>'Purchased Power Model No CDM'!H47</f>
        <v>8579621</v>
      </c>
      <c r="G70" s="659">
        <f>'Purchased Power Model No CDM'!H59</f>
        <v>8091482.46</v>
      </c>
      <c r="H70" s="659">
        <f>'Purchased Power Model No CDM'!H71</f>
        <v>8163034</v>
      </c>
      <c r="I70" s="659">
        <f>'Purchased Power Model No CDM'!H83</f>
        <v>7891979</v>
      </c>
      <c r="J70" s="659">
        <f>'Purchased Power Model No CDM'!H95</f>
        <v>7845956</v>
      </c>
      <c r="K70" s="659">
        <f>'Purchased Power Model No CDM'!H107</f>
        <v>7774207.0300000003</v>
      </c>
      <c r="L70" s="659">
        <f>'Purchased Power Model No CDM'!H119</f>
        <v>8525132.0999999996</v>
      </c>
      <c r="M70" s="686"/>
      <c r="N70" s="404">
        <f t="shared" si="13"/>
        <v>-488138.54000000004</v>
      </c>
      <c r="O70" s="506">
        <f t="shared" si="14"/>
        <v>-46023</v>
      </c>
      <c r="P70" s="506">
        <f t="shared" si="15"/>
        <v>750925.06999999937</v>
      </c>
      <c r="Q70" s="507" t="e">
        <f>M70-#REF!</f>
        <v>#REF!</v>
      </c>
    </row>
    <row r="71" spans="2:17" s="402" customFormat="1" ht="14.4">
      <c r="B71" s="658" t="s">
        <v>102</v>
      </c>
      <c r="C71" s="659">
        <f>'Purchased Power Model No CDM'!H12</f>
        <v>10001974</v>
      </c>
      <c r="D71" s="659">
        <f>'Purchased Power Model No CDM'!H24</f>
        <v>9784641</v>
      </c>
      <c r="E71" s="659">
        <f>'Purchased Power Model No CDM'!H36</f>
        <v>9600048</v>
      </c>
      <c r="F71" s="659">
        <f>'Purchased Power Model No CDM'!H48</f>
        <v>9079781</v>
      </c>
      <c r="G71" s="659">
        <f>'Purchased Power Model No CDM'!H60</f>
        <v>8980189.4600000009</v>
      </c>
      <c r="H71" s="659">
        <f>'Purchased Power Model No CDM'!H72</f>
        <v>9091044</v>
      </c>
      <c r="I71" s="659">
        <f>'Purchased Power Model No CDM'!H84</f>
        <v>8455074</v>
      </c>
      <c r="J71" s="659">
        <f>'Purchased Power Model No CDM'!H96</f>
        <v>9709721</v>
      </c>
      <c r="K71" s="659">
        <f>'Purchased Power Model No CDM'!H108</f>
        <v>9568434.4900000002</v>
      </c>
      <c r="L71" s="659">
        <f>'Purchased Power Model No CDM'!H120</f>
        <v>10343833.210000001</v>
      </c>
      <c r="M71" s="686"/>
      <c r="N71" s="404">
        <f t="shared" si="13"/>
        <v>-99591.539999999106</v>
      </c>
      <c r="O71" s="506">
        <f t="shared" si="14"/>
        <v>1254647</v>
      </c>
      <c r="P71" s="506">
        <f t="shared" si="15"/>
        <v>775398.72000000067</v>
      </c>
      <c r="Q71" s="506" t="e">
        <f>M71-#REF!</f>
        <v>#REF!</v>
      </c>
    </row>
    <row r="72" spans="2:17" s="402" customFormat="1" ht="14.4">
      <c r="B72" s="658" t="s">
        <v>103</v>
      </c>
      <c r="C72" s="659">
        <f>'Purchased Power Model No CDM'!H13</f>
        <v>9453692</v>
      </c>
      <c r="D72" s="659">
        <f>'Purchased Power Model No CDM'!H25</f>
        <v>9437648</v>
      </c>
      <c r="E72" s="659">
        <f>'Purchased Power Model No CDM'!H37</f>
        <v>9618514</v>
      </c>
      <c r="F72" s="659">
        <f>'Purchased Power Model No CDM'!H49</f>
        <v>8988796</v>
      </c>
      <c r="G72" s="659">
        <f>'Purchased Power Model No CDM'!H61</f>
        <v>8937907.9100000001</v>
      </c>
      <c r="H72" s="659">
        <f>'Purchased Power Model No CDM'!H73</f>
        <v>9527175</v>
      </c>
      <c r="I72" s="659">
        <f>'Purchased Power Model No CDM'!H85</f>
        <v>8648638</v>
      </c>
      <c r="J72" s="659">
        <f>'Purchased Power Model No CDM'!H97</f>
        <v>9521412</v>
      </c>
      <c r="K72" s="659">
        <f>'Purchased Power Model No CDM'!H109</f>
        <v>8698039.0899999999</v>
      </c>
      <c r="L72" s="659">
        <f>'Purchased Power Model No CDM'!H121</f>
        <v>9215374.9000000004</v>
      </c>
      <c r="M72" s="686"/>
      <c r="N72" s="512">
        <f t="shared" si="13"/>
        <v>-50888.089999999851</v>
      </c>
      <c r="O72" s="506">
        <f t="shared" si="14"/>
        <v>872774</v>
      </c>
      <c r="P72" s="506">
        <f t="shared" si="15"/>
        <v>517335.81000000052</v>
      </c>
      <c r="Q72" s="506" t="e">
        <f>M72-#REF!</f>
        <v>#REF!</v>
      </c>
    </row>
    <row r="73" spans="2:17" s="402" customFormat="1" ht="14.4">
      <c r="B73" s="658" t="s">
        <v>104</v>
      </c>
      <c r="C73" s="659">
        <f>'Purchased Power Model No CDM'!H14</f>
        <v>8637539</v>
      </c>
      <c r="D73" s="659">
        <f>'Purchased Power Model No CDM'!H26</f>
        <v>8462407</v>
      </c>
      <c r="E73" s="659">
        <f>'Purchased Power Model No CDM'!H38</f>
        <v>8193461</v>
      </c>
      <c r="F73" s="659">
        <f>'Purchased Power Model No CDM'!H50</f>
        <v>8463316</v>
      </c>
      <c r="G73" s="659">
        <f>'Purchased Power Model No CDM'!H62</f>
        <v>8495279.6799999997</v>
      </c>
      <c r="H73" s="659">
        <f>'Purchased Power Model No CDM'!H74</f>
        <v>8062338.4400000004</v>
      </c>
      <c r="I73" s="659">
        <f>'Purchased Power Model No CDM'!H86</f>
        <v>8083641</v>
      </c>
      <c r="J73" s="659">
        <f>'Purchased Power Model No CDM'!H98</f>
        <v>8256576</v>
      </c>
      <c r="K73" s="659">
        <f>'Purchased Power Model No CDM'!H110</f>
        <v>7571101.8399999999</v>
      </c>
      <c r="L73" s="659">
        <f>'Purchased Power Model No CDM'!H122</f>
        <v>7634416.9900000002</v>
      </c>
      <c r="M73" s="686"/>
      <c r="N73" s="404">
        <f t="shared" si="13"/>
        <v>31963.679999999702</v>
      </c>
      <c r="O73" s="506">
        <f t="shared" si="14"/>
        <v>172935</v>
      </c>
      <c r="P73" s="506">
        <f t="shared" si="15"/>
        <v>63315.150000000373</v>
      </c>
      <c r="Q73" s="506" t="e">
        <f>M73-#REF!</f>
        <v>#REF!</v>
      </c>
    </row>
    <row r="74" spans="2:17" s="402" customFormat="1" ht="14.4">
      <c r="B74" s="658" t="s">
        <v>105</v>
      </c>
      <c r="C74" s="659">
        <f>'Purchased Power Model No CDM'!H15</f>
        <v>8925375</v>
      </c>
      <c r="D74" s="659">
        <f>'Purchased Power Model No CDM'!H27</f>
        <v>8667157</v>
      </c>
      <c r="E74" s="659">
        <f>'Purchased Power Model No CDM'!H39</f>
        <v>8730286</v>
      </c>
      <c r="F74" s="659">
        <f>'Purchased Power Model No CDM'!H51</f>
        <v>8667688</v>
      </c>
      <c r="G74" s="659">
        <f>'Purchased Power Model No CDM'!H63</f>
        <v>8448427.8100000005</v>
      </c>
      <c r="H74" s="659">
        <f>'Purchased Power Model No CDM'!H75</f>
        <v>8079602</v>
      </c>
      <c r="I74" s="659">
        <f>'Purchased Power Model No CDM'!H87</f>
        <v>7989198</v>
      </c>
      <c r="J74" s="659">
        <f>'Purchased Power Model No CDM'!H99</f>
        <v>8277307</v>
      </c>
      <c r="K74" s="659">
        <f>'Purchased Power Model No CDM'!H111</f>
        <v>7912986.9900000002</v>
      </c>
      <c r="L74" s="659">
        <f>'Purchased Power Model No CDM'!H123</f>
        <v>8199976.1500000004</v>
      </c>
      <c r="M74" s="686"/>
      <c r="N74" s="404">
        <f t="shared" si="13"/>
        <v>-219260.18999999948</v>
      </c>
      <c r="O74" s="506">
        <f t="shared" si="14"/>
        <v>288109</v>
      </c>
      <c r="P74" s="506">
        <f t="shared" si="15"/>
        <v>286989.16000000015</v>
      </c>
      <c r="Q74" s="506" t="e">
        <f>M74-#REF!</f>
        <v>#REF!</v>
      </c>
    </row>
    <row r="75" spans="2:17" s="402" customFormat="1" ht="14.4">
      <c r="B75" s="658" t="s">
        <v>106</v>
      </c>
      <c r="C75" s="659">
        <f>'Purchased Power Model No CDM'!H16</f>
        <v>9481486</v>
      </c>
      <c r="D75" s="659">
        <f>'Purchased Power Model No CDM'!H28</f>
        <v>9769298</v>
      </c>
      <c r="E75" s="659">
        <f>'Purchased Power Model No CDM'!H40</f>
        <v>9929183</v>
      </c>
      <c r="F75" s="659">
        <f>'Purchased Power Model No CDM'!H52</f>
        <v>9596696</v>
      </c>
      <c r="G75" s="659">
        <f>'Purchased Power Model No CDM'!H64</f>
        <v>8792027.0199999996</v>
      </c>
      <c r="H75" s="659">
        <f>'Purchased Power Model No CDM'!H76</f>
        <v>8796258</v>
      </c>
      <c r="I75" s="659">
        <f>'Purchased Power Model No CDM'!H88</f>
        <v>9164555</v>
      </c>
      <c r="J75" s="659">
        <f>'Purchased Power Model No CDM'!H100</f>
        <v>9373459</v>
      </c>
      <c r="K75" s="659">
        <f>'Purchased Power Model No CDM'!H112</f>
        <v>9266906.8499999996</v>
      </c>
      <c r="L75" s="659">
        <f>'Purchased Power Model No CDM'!H124</f>
        <v>8714889.8900000006</v>
      </c>
      <c r="M75" s="686"/>
      <c r="N75" s="512">
        <f t="shared" si="13"/>
        <v>-804668.98000000045</v>
      </c>
      <c r="O75" s="506">
        <f t="shared" si="14"/>
        <v>208904</v>
      </c>
      <c r="P75" s="506">
        <f t="shared" si="15"/>
        <v>-552016.95999999903</v>
      </c>
      <c r="Q75" s="507" t="e">
        <f>M75-#REF!</f>
        <v>#REF!</v>
      </c>
    </row>
    <row r="76" spans="2:17" s="402" customFormat="1" ht="14.4">
      <c r="B76" s="658" t="s">
        <v>107</v>
      </c>
      <c r="C76" s="659">
        <f>'Purchased Power Model No CDM'!H17</f>
        <v>10918684</v>
      </c>
      <c r="D76" s="659">
        <f>'Purchased Power Model No CDM'!H29</f>
        <v>10959599</v>
      </c>
      <c r="E76" s="659">
        <f>'Purchased Power Model No CDM'!H41</f>
        <v>11615539</v>
      </c>
      <c r="F76" s="659">
        <f>'Purchased Power Model No CDM'!H53</f>
        <v>10755083</v>
      </c>
      <c r="G76" s="659">
        <f>'Purchased Power Model No CDM'!H65</f>
        <v>9421435.3499999996</v>
      </c>
      <c r="H76" s="659">
        <f>'Purchased Power Model No CDM'!H77</f>
        <v>10208176</v>
      </c>
      <c r="I76" s="659">
        <f>'Purchased Power Model No CDM'!H89</f>
        <v>10690172</v>
      </c>
      <c r="J76" s="659">
        <f>'Purchased Power Model No CDM'!H101</f>
        <v>10217163</v>
      </c>
      <c r="K76" s="659">
        <f>'Purchased Power Model No CDM'!H113</f>
        <v>10208594.110000001</v>
      </c>
      <c r="L76" s="664">
        <f>'Purchased Power Model No CDM'!H125</f>
        <v>10056660.689999999</v>
      </c>
      <c r="M76" s="686"/>
      <c r="N76" s="404">
        <f t="shared" si="13"/>
        <v>-1333647.6500000004</v>
      </c>
      <c r="O76" s="509">
        <f t="shared" si="14"/>
        <v>-473009</v>
      </c>
      <c r="P76" s="510">
        <f t="shared" si="15"/>
        <v>-151933.42000000179</v>
      </c>
      <c r="Q76" s="510" t="e">
        <f>M76-#REF!</f>
        <v>#REF!</v>
      </c>
    </row>
    <row r="77" spans="2:17" s="402" customFormat="1" ht="14.4">
      <c r="B77" s="660" t="s">
        <v>5</v>
      </c>
      <c r="C77" s="661">
        <f t="shared" ref="C77:L77" si="16">SUM(C65:C76)</f>
        <v>118004234</v>
      </c>
      <c r="D77" s="661">
        <f t="shared" si="16"/>
        <v>115280490</v>
      </c>
      <c r="E77" s="661">
        <f t="shared" si="16"/>
        <v>116595095</v>
      </c>
      <c r="F77" s="661">
        <f t="shared" si="16"/>
        <v>115949736</v>
      </c>
      <c r="G77" s="661">
        <f t="shared" si="16"/>
        <v>112684385.95</v>
      </c>
      <c r="H77" s="661">
        <f t="shared" si="16"/>
        <v>109734472.34999999</v>
      </c>
      <c r="I77" s="661">
        <f t="shared" si="16"/>
        <v>107186399</v>
      </c>
      <c r="J77" s="661">
        <f t="shared" si="16"/>
        <v>110285589.34999999</v>
      </c>
      <c r="K77" s="661">
        <f t="shared" si="16"/>
        <v>108750347.28</v>
      </c>
      <c r="L77" s="661">
        <f t="shared" si="16"/>
        <v>108483759.41</v>
      </c>
      <c r="M77" s="686"/>
      <c r="N77" s="404">
        <f t="shared" si="13"/>
        <v>-3265350.049999997</v>
      </c>
      <c r="O77" s="506">
        <f t="shared" si="14"/>
        <v>3099190.349999994</v>
      </c>
      <c r="P77" s="506">
        <f t="shared" si="15"/>
        <v>-266587.87000000477</v>
      </c>
      <c r="Q77" s="506" t="e">
        <f>M77-#REF!</f>
        <v>#REF!</v>
      </c>
    </row>
    <row r="78" spans="2:17" s="402" customFormat="1" ht="13.5" customHeight="1">
      <c r="B78" s="660" t="s">
        <v>296</v>
      </c>
      <c r="C78" s="662"/>
      <c r="D78" s="663">
        <f t="shared" ref="D78:L78" si="17">D77/C77</f>
        <v>0.97691825193323145</v>
      </c>
      <c r="E78" s="663">
        <f t="shared" si="17"/>
        <v>1.0114035341105854</v>
      </c>
      <c r="F78" s="663">
        <f t="shared" si="17"/>
        <v>0.99446495583712158</v>
      </c>
      <c r="G78" s="663">
        <f t="shared" si="17"/>
        <v>0.97183822781623241</v>
      </c>
      <c r="H78" s="663">
        <f t="shared" si="17"/>
        <v>0.97382145205717374</v>
      </c>
      <c r="I78" s="663">
        <f t="shared" si="17"/>
        <v>0.97677964548940588</v>
      </c>
      <c r="J78" s="663">
        <f t="shared" si="17"/>
        <v>1.0289140262096126</v>
      </c>
      <c r="K78" s="663">
        <f t="shared" si="17"/>
        <v>0.98607939551261059</v>
      </c>
      <c r="L78" s="663">
        <f t="shared" si="17"/>
        <v>0.99754862511552611</v>
      </c>
      <c r="M78" s="686"/>
    </row>
    <row r="79" spans="2:17" s="402" customFormat="1" ht="13.5" customHeight="1">
      <c r="B79" s="684"/>
      <c r="C79" s="685"/>
      <c r="D79" s="686"/>
      <c r="E79" s="686"/>
      <c r="F79" s="686"/>
      <c r="G79" s="686"/>
      <c r="H79" s="686"/>
      <c r="I79" s="686"/>
      <c r="J79" s="686"/>
      <c r="K79" s="686"/>
      <c r="L79" s="1463">
        <f>L77/C77-1</f>
        <v>-8.0679093175588967E-2</v>
      </c>
      <c r="M79" s="686"/>
    </row>
    <row r="81" spans="2:7">
      <c r="B81" s="409" t="s">
        <v>352</v>
      </c>
    </row>
    <row r="82" spans="2:7">
      <c r="B82" s="451" t="s">
        <v>353</v>
      </c>
    </row>
    <row r="83" spans="2:7">
      <c r="B83" s="451"/>
    </row>
    <row r="84" spans="2:7">
      <c r="B84" s="451"/>
      <c r="C84" s="409" t="s">
        <v>540</v>
      </c>
    </row>
    <row r="85" spans="2:7" customFormat="1" ht="13.2"/>
    <row r="86" spans="2:7">
      <c r="B86" s="1177" t="s">
        <v>539</v>
      </c>
      <c r="C86" s="1178"/>
      <c r="D86" s="1178"/>
      <c r="E86" s="1178"/>
      <c r="F86" s="1178"/>
      <c r="G86" s="1179"/>
    </row>
    <row r="87" spans="2:7">
      <c r="B87" s="1180"/>
      <c r="C87" s="432"/>
      <c r="D87" s="1181" t="s">
        <v>372</v>
      </c>
      <c r="E87" s="14" t="s">
        <v>534</v>
      </c>
      <c r="F87" s="432"/>
      <c r="G87" s="1182">
        <f>'Purchased Power Model No CDM'!AC21</f>
        <v>1779439.7759714294</v>
      </c>
    </row>
    <row r="88" spans="2:7">
      <c r="B88" s="1180"/>
      <c r="C88" s="432"/>
      <c r="D88" s="1181" t="s">
        <v>536</v>
      </c>
      <c r="E88" s="14" t="s">
        <v>535</v>
      </c>
      <c r="F88" s="513" t="s">
        <v>537</v>
      </c>
      <c r="G88" s="1182">
        <f>'Purchased Power Model No CDM'!AC22</f>
        <v>4370.2085465880464</v>
      </c>
    </row>
    <row r="89" spans="2:7">
      <c r="B89" s="1180"/>
      <c r="C89" s="432"/>
      <c r="D89" s="1181" t="s">
        <v>536</v>
      </c>
      <c r="E89" s="14" t="s">
        <v>538</v>
      </c>
      <c r="F89" s="513" t="s">
        <v>537</v>
      </c>
      <c r="G89" s="1182">
        <f>'Purchased Power Model No CDM'!AC23</f>
        <v>15147.505061689913</v>
      </c>
    </row>
    <row r="90" spans="2:7">
      <c r="B90" s="1180"/>
      <c r="C90" s="432"/>
      <c r="D90" s="1181" t="s">
        <v>536</v>
      </c>
      <c r="E90" s="14" t="str">
        <f>'Purchased Power Model No CDM'!AB24</f>
        <v>Number of Days in Month</v>
      </c>
      <c r="F90" s="513" t="s">
        <v>537</v>
      </c>
      <c r="G90" s="1182">
        <f>'Purchased Power Model No CDM'!AC24</f>
        <v>156682.88637682746</v>
      </c>
    </row>
    <row r="91" spans="2:7">
      <c r="B91" s="1180"/>
      <c r="C91" s="432"/>
      <c r="D91" s="1181" t="s">
        <v>536</v>
      </c>
      <c r="E91" s="14" t="str">
        <f>'Purchased Power Model No CDM'!AB25</f>
        <v>Winter/ Summer Flag</v>
      </c>
      <c r="F91" s="513" t="s">
        <v>537</v>
      </c>
      <c r="G91" s="1182">
        <f>'Purchased Power Model No CDM'!AC25</f>
        <v>371934.93139735772</v>
      </c>
    </row>
    <row r="92" spans="2:7">
      <c r="B92" s="1180"/>
      <c r="C92" s="432"/>
      <c r="D92" s="1181" t="s">
        <v>536</v>
      </c>
      <c r="E92" s="14" t="str">
        <f>'Purchased Power Model No CDM'!AB26</f>
        <v>Number of Workdays in Month</v>
      </c>
      <c r="F92" s="513" t="s">
        <v>537</v>
      </c>
      <c r="G92" s="1182">
        <f>'Purchased Power Model No CDM'!AC26</f>
        <v>54505.552788198103</v>
      </c>
    </row>
    <row r="93" spans="2:7">
      <c r="B93" s="1180"/>
      <c r="C93" s="432"/>
      <c r="D93" s="1181" t="s">
        <v>536</v>
      </c>
      <c r="E93" s="14" t="str">
        <f>'Purchased Power Model No CDM'!AB27</f>
        <v>Trend</v>
      </c>
      <c r="F93" s="513" t="s">
        <v>537</v>
      </c>
      <c r="G93" s="1182">
        <f>'Purchased Power Model No CDM'!AC27</f>
        <v>-10128.633413109766</v>
      </c>
    </row>
    <row r="94" spans="2:7">
      <c r="B94" s="1183"/>
      <c r="C94" s="1184"/>
      <c r="D94" s="1185" t="s">
        <v>536</v>
      </c>
      <c r="E94" s="1186" t="str">
        <f>'Purchased Power Model No CDM'!AB28</f>
        <v>August Flag</v>
      </c>
      <c r="F94" s="1187" t="s">
        <v>537</v>
      </c>
      <c r="G94" s="1188">
        <f>'Purchased Power Model No CDM'!AC28</f>
        <v>421620.91209846403</v>
      </c>
    </row>
    <row r="97" spans="2:13">
      <c r="F97" s="409" t="s">
        <v>642</v>
      </c>
    </row>
    <row r="98" spans="2:13">
      <c r="F98" s="409"/>
      <c r="I98" s="405"/>
    </row>
    <row r="99" spans="2:13">
      <c r="C99" s="410"/>
      <c r="D99" s="411"/>
      <c r="E99" s="411" t="s">
        <v>297</v>
      </c>
      <c r="F99" s="411"/>
      <c r="G99" s="411"/>
      <c r="H99" s="411"/>
      <c r="I99" s="411"/>
      <c r="J99" s="411"/>
      <c r="K99" s="412"/>
      <c r="L99" s="410" t="s">
        <v>298</v>
      </c>
      <c r="M99" s="412"/>
    </row>
    <row r="100" spans="2:13">
      <c r="B100" s="107"/>
      <c r="C100" s="413">
        <f>'CDM Activity'!D46</f>
        <v>2006</v>
      </c>
      <c r="D100" s="413">
        <f>'CDM Activity'!E46</f>
        <v>2007</v>
      </c>
      <c r="E100" s="413">
        <f>'CDM Activity'!F46</f>
        <v>2008</v>
      </c>
      <c r="F100" s="413">
        <f>'CDM Activity'!G46</f>
        <v>2009</v>
      </c>
      <c r="G100" s="413">
        <f>'CDM Activity'!H46</f>
        <v>2010</v>
      </c>
      <c r="H100" s="413">
        <f>'CDM Activity'!I46</f>
        <v>2011</v>
      </c>
      <c r="I100" s="413">
        <f>'CDM Activity'!J46</f>
        <v>2012</v>
      </c>
      <c r="J100" s="413">
        <f>'CDM Activity'!K46</f>
        <v>2013</v>
      </c>
      <c r="K100" s="413">
        <f>'CDM Activity'!L46</f>
        <v>2014</v>
      </c>
      <c r="L100" s="413">
        <f>'CDM Activity'!M46</f>
        <v>2015</v>
      </c>
      <c r="M100" s="413">
        <f>'CDM Activity'!N46</f>
        <v>2016</v>
      </c>
    </row>
    <row r="101" spans="2:13">
      <c r="B101" s="107"/>
      <c r="C101" s="414"/>
      <c r="D101" s="415"/>
      <c r="E101" s="415"/>
      <c r="F101" s="415"/>
      <c r="G101" s="415"/>
      <c r="H101" s="415"/>
      <c r="I101" s="415"/>
      <c r="J101" s="415"/>
      <c r="K101" s="415"/>
      <c r="L101" s="415"/>
      <c r="M101" s="415"/>
    </row>
    <row r="102" spans="2:13">
      <c r="B102" s="107"/>
      <c r="C102" s="406" t="s">
        <v>299</v>
      </c>
      <c r="D102" s="407"/>
      <c r="E102" s="407"/>
      <c r="F102" s="407"/>
      <c r="G102" s="407"/>
      <c r="H102" s="407"/>
      <c r="I102" s="407"/>
      <c r="J102" s="407"/>
      <c r="K102" s="407"/>
      <c r="L102" s="407"/>
      <c r="M102" s="408"/>
    </row>
    <row r="103" spans="2:13">
      <c r="B103" s="107"/>
      <c r="C103" s="432"/>
      <c r="D103" s="432"/>
      <c r="E103" s="432"/>
      <c r="F103" s="432"/>
      <c r="G103" s="432"/>
      <c r="H103" s="432"/>
      <c r="I103" s="432"/>
      <c r="J103" s="432"/>
      <c r="K103" s="432"/>
      <c r="L103" s="432"/>
      <c r="M103" s="432"/>
    </row>
    <row r="104" spans="2:13">
      <c r="B104" s="107"/>
      <c r="C104" s="432"/>
      <c r="D104" s="432"/>
      <c r="E104" s="432"/>
      <c r="F104" s="432"/>
      <c r="G104" s="432"/>
      <c r="H104" s="432"/>
      <c r="I104" s="432"/>
      <c r="J104" s="432"/>
      <c r="K104" s="432"/>
      <c r="L104" s="432"/>
      <c r="M104" s="432"/>
    </row>
    <row r="105" spans="2:13">
      <c r="B105" s="235" t="s">
        <v>541</v>
      </c>
      <c r="C105" s="432"/>
      <c r="D105" s="432"/>
      <c r="E105" s="432"/>
      <c r="F105" s="432"/>
      <c r="G105" s="432"/>
      <c r="H105" s="432"/>
      <c r="I105" s="432"/>
      <c r="J105" s="432"/>
      <c r="K105" s="432"/>
      <c r="L105" s="432"/>
      <c r="M105" s="432"/>
    </row>
    <row r="106" spans="2:13">
      <c r="B106" s="107" t="s">
        <v>356</v>
      </c>
      <c r="C106" s="432"/>
      <c r="D106" s="432"/>
      <c r="E106" s="432"/>
      <c r="F106" s="432"/>
      <c r="G106" s="432"/>
      <c r="H106" s="432"/>
      <c r="I106" s="432"/>
      <c r="J106" s="432"/>
      <c r="K106" s="432"/>
      <c r="L106" s="432"/>
      <c r="M106" s="432"/>
    </row>
    <row r="107" spans="2:13">
      <c r="B107" s="107"/>
      <c r="C107" s="432"/>
      <c r="D107" s="432"/>
      <c r="E107" s="432"/>
      <c r="F107" s="432"/>
      <c r="G107" s="432"/>
      <c r="H107" s="432"/>
      <c r="I107" s="432"/>
      <c r="J107" s="432"/>
      <c r="K107" s="432"/>
      <c r="L107" s="432"/>
      <c r="M107" s="432"/>
    </row>
    <row r="108" spans="2:13">
      <c r="B108" s="107"/>
      <c r="C108" s="432"/>
      <c r="D108" s="432"/>
      <c r="E108" s="432"/>
      <c r="F108" s="432"/>
      <c r="G108" s="432"/>
      <c r="H108" s="432"/>
      <c r="I108" s="432"/>
      <c r="J108" s="432"/>
      <c r="K108" s="432"/>
      <c r="L108" s="432"/>
      <c r="M108" s="432"/>
    </row>
    <row r="109" spans="2:13">
      <c r="B109" s="235" t="s">
        <v>357</v>
      </c>
      <c r="C109" s="432"/>
      <c r="D109" s="432"/>
      <c r="E109" s="432"/>
      <c r="F109" s="432"/>
      <c r="G109" s="432"/>
      <c r="H109" s="432"/>
      <c r="I109" s="432"/>
      <c r="J109" s="432"/>
      <c r="K109" s="432"/>
      <c r="L109" s="432"/>
      <c r="M109" s="432"/>
    </row>
    <row r="110" spans="2:13">
      <c r="B110" s="107" t="s">
        <v>356</v>
      </c>
      <c r="C110" s="432"/>
      <c r="D110" s="432"/>
      <c r="E110" s="432"/>
      <c r="F110" s="432"/>
      <c r="G110" s="432"/>
      <c r="H110" s="432"/>
      <c r="I110" s="432"/>
      <c r="J110" s="432"/>
      <c r="K110" s="432"/>
      <c r="L110" s="432"/>
      <c r="M110" s="432"/>
    </row>
    <row r="111" spans="2:13">
      <c r="B111" s="107"/>
      <c r="C111" s="432"/>
      <c r="D111" s="432"/>
      <c r="E111" s="432"/>
      <c r="F111" s="432"/>
      <c r="G111" s="432"/>
      <c r="H111" s="432"/>
      <c r="I111" s="432"/>
      <c r="J111" s="432"/>
      <c r="K111" s="432"/>
      <c r="L111" s="432"/>
      <c r="M111" s="432"/>
    </row>
    <row r="112" spans="2:13">
      <c r="B112" s="107"/>
    </row>
    <row r="113" spans="2:13">
      <c r="B113" s="235" t="s">
        <v>358</v>
      </c>
      <c r="C113" s="432"/>
      <c r="D113" s="432"/>
      <c r="E113" s="432"/>
      <c r="F113" s="432"/>
      <c r="G113" s="432"/>
      <c r="H113" s="432"/>
      <c r="I113" s="432"/>
      <c r="J113" s="432"/>
      <c r="K113" s="432"/>
      <c r="L113" s="432"/>
      <c r="M113" s="432"/>
    </row>
    <row r="114" spans="2:13">
      <c r="B114" s="107" t="s">
        <v>356</v>
      </c>
      <c r="C114" s="432"/>
      <c r="D114" s="432"/>
      <c r="E114" s="432"/>
      <c r="F114" s="432"/>
      <c r="G114" s="432"/>
      <c r="H114" s="432"/>
      <c r="I114" s="432"/>
      <c r="J114" s="432"/>
      <c r="K114" s="432"/>
      <c r="L114" s="432"/>
      <c r="M114" s="432"/>
    </row>
    <row r="115" spans="2:13">
      <c r="B115" s="107"/>
      <c r="C115" s="432"/>
      <c r="D115" s="432"/>
      <c r="E115" s="432"/>
      <c r="F115" s="432"/>
      <c r="G115" s="432"/>
      <c r="H115" s="432"/>
      <c r="I115" s="432"/>
      <c r="J115" s="432"/>
      <c r="K115" s="432"/>
      <c r="L115" s="432"/>
      <c r="M115" s="432"/>
    </row>
    <row r="116" spans="2:13">
      <c r="B116" s="107"/>
    </row>
    <row r="117" spans="2:13">
      <c r="B117" s="107"/>
      <c r="D117" s="409" t="s">
        <v>354</v>
      </c>
    </row>
    <row r="118" spans="2:13" ht="14.4" thickBot="1">
      <c r="B118" s="107"/>
    </row>
    <row r="119" spans="2:13" ht="40.200000000000003" thickTop="1">
      <c r="B119" s="107"/>
      <c r="C119" s="780"/>
      <c r="D119" s="705" t="s">
        <v>121</v>
      </c>
      <c r="E119" s="705" t="s">
        <v>122</v>
      </c>
      <c r="F119" s="705" t="s">
        <v>3</v>
      </c>
      <c r="G119" s="705" t="s">
        <v>412</v>
      </c>
      <c r="H119" s="705" t="s">
        <v>422</v>
      </c>
      <c r="I119" s="705" t="s">
        <v>398</v>
      </c>
      <c r="J119" s="705" t="s">
        <v>400</v>
      </c>
      <c r="K119" s="706" t="s">
        <v>355</v>
      </c>
    </row>
    <row r="120" spans="2:13">
      <c r="B120" s="107"/>
      <c r="C120" s="781">
        <v>44592</v>
      </c>
      <c r="D120" s="782">
        <f>'Purchased Power Model No CDM'!J138</f>
        <v>849.19090909090926</v>
      </c>
      <c r="E120" s="782">
        <f>'Purchased Power Model No CDM'!K138</f>
        <v>0</v>
      </c>
      <c r="F120" s="783">
        <f>'Purchased Power Model No CDM'!L138</f>
        <v>31</v>
      </c>
      <c r="G120" s="783">
        <f>'Purchased Power Model No CDM'!M138</f>
        <v>1</v>
      </c>
      <c r="H120" s="783">
        <f>'Purchased Power Model No CDM'!N138</f>
        <v>20</v>
      </c>
      <c r="I120" s="783">
        <f>'Purchased Power Model No CDM'!O138</f>
        <v>133</v>
      </c>
      <c r="J120" s="783">
        <f>'Purchased Power Model No CDM'!P138</f>
        <v>0</v>
      </c>
      <c r="K120" s="783">
        <f>'Purchased Power Model No CDM'!V138</f>
        <v>10904948.699051129</v>
      </c>
    </row>
    <row r="121" spans="2:13">
      <c r="B121" s="107"/>
      <c r="C121" s="781">
        <v>44620</v>
      </c>
      <c r="D121" s="782">
        <f>'Purchased Power Model No CDM'!J139</f>
        <v>743.30909090909097</v>
      </c>
      <c r="E121" s="782">
        <f>'Purchased Power Model No CDM'!K139</f>
        <v>0</v>
      </c>
      <c r="F121" s="783">
        <f>'Purchased Power Model No CDM'!L139</f>
        <v>28</v>
      </c>
      <c r="G121" s="783">
        <f>'Purchased Power Model No CDM'!M139</f>
        <v>1</v>
      </c>
      <c r="H121" s="783">
        <f>'Purchased Power Model No CDM'!N139</f>
        <v>19</v>
      </c>
      <c r="I121" s="783">
        <f>'Purchased Power Model No CDM'!O139</f>
        <v>134</v>
      </c>
      <c r="J121" s="783">
        <f>'Purchased Power Model No CDM'!P139</f>
        <v>0</v>
      </c>
      <c r="K121" s="783">
        <f>'Purchased Power Model No CDM'!V139</f>
        <v>9907540.2269728761</v>
      </c>
    </row>
    <row r="122" spans="2:13">
      <c r="B122" s="107"/>
      <c r="C122" s="781">
        <v>44651</v>
      </c>
      <c r="D122" s="782">
        <f>'Purchased Power Model No CDM'!J140</f>
        <v>634.18181818181813</v>
      </c>
      <c r="E122" s="782">
        <f>'Purchased Power Model No CDM'!K140</f>
        <v>0</v>
      </c>
      <c r="F122" s="783">
        <f>'Purchased Power Model No CDM'!L140</f>
        <v>31</v>
      </c>
      <c r="G122" s="783">
        <f>'Purchased Power Model No CDM'!M140</f>
        <v>1</v>
      </c>
      <c r="H122" s="783">
        <f>'Purchased Power Model No CDM'!N140</f>
        <v>23</v>
      </c>
      <c r="I122" s="783">
        <f>'Purchased Power Model No CDM'!O140</f>
        <v>135</v>
      </c>
      <c r="J122" s="783">
        <f>'Purchased Power Model No CDM'!P140</f>
        <v>0</v>
      </c>
      <c r="K122" s="783">
        <f>'Purchased Power Model No CDM'!V140</f>
        <v>10108573.523904467</v>
      </c>
    </row>
    <row r="123" spans="2:13">
      <c r="B123" s="107"/>
      <c r="C123" s="781">
        <v>44681</v>
      </c>
      <c r="D123" s="782">
        <f>'Purchased Power Model No CDM'!J141</f>
        <v>376.19090909090914</v>
      </c>
      <c r="E123" s="782">
        <f>'Purchased Power Model No CDM'!K141</f>
        <v>0.4</v>
      </c>
      <c r="F123" s="783">
        <f>'Purchased Power Model No CDM'!L141</f>
        <v>30</v>
      </c>
      <c r="G123" s="783">
        <f>'Purchased Power Model No CDM'!M141</f>
        <v>0</v>
      </c>
      <c r="H123" s="783">
        <f>'Purchased Power Model No CDM'!N141</f>
        <v>19</v>
      </c>
      <c r="I123" s="783">
        <f>'Purchased Power Model No CDM'!O141</f>
        <v>136</v>
      </c>
      <c r="J123" s="783">
        <f>'Purchased Power Model No CDM'!P141</f>
        <v>0</v>
      </c>
      <c r="K123" s="783">
        <f>'Purchased Power Model No CDM'!V141</f>
        <v>7788129.4541515838</v>
      </c>
    </row>
    <row r="124" spans="2:13">
      <c r="B124" s="107"/>
      <c r="C124" s="781">
        <v>44712</v>
      </c>
      <c r="D124" s="782">
        <f>'Purchased Power Model No CDM'!J142</f>
        <v>147.39545454545458</v>
      </c>
      <c r="E124" s="782">
        <f>'Purchased Power Model No CDM'!K142</f>
        <v>17.336363636363636</v>
      </c>
      <c r="F124" s="783">
        <f>'Purchased Power Model No CDM'!L142</f>
        <v>31</v>
      </c>
      <c r="G124" s="783">
        <f>'Purchased Power Model No CDM'!M142</f>
        <v>0</v>
      </c>
      <c r="H124" s="783">
        <f>'Purchased Power Model No CDM'!N142</f>
        <v>21</v>
      </c>
      <c r="I124" s="783">
        <f>'Purchased Power Model No CDM'!O142</f>
        <v>137</v>
      </c>
      <c r="J124" s="783">
        <f>'Purchased Power Model No CDM'!P142</f>
        <v>0</v>
      </c>
      <c r="K124" s="783">
        <f>'Purchased Power Model No CDM'!V142</f>
        <v>7300354.6157250945</v>
      </c>
    </row>
    <row r="125" spans="2:13">
      <c r="B125" s="107"/>
      <c r="C125" s="781">
        <v>44742</v>
      </c>
      <c r="D125" s="782">
        <f>'Purchased Power Model No CDM'!J143</f>
        <v>37.681818181818187</v>
      </c>
      <c r="E125" s="782">
        <f>'Purchased Power Model No CDM'!K143</f>
        <v>51.772727272727273</v>
      </c>
      <c r="F125" s="783">
        <f>'Purchased Power Model No CDM'!L143</f>
        <v>30</v>
      </c>
      <c r="G125" s="783">
        <f>'Purchased Power Model No CDM'!M143</f>
        <v>1</v>
      </c>
      <c r="H125" s="783">
        <f>'Purchased Power Model No CDM'!N143</f>
        <v>22</v>
      </c>
      <c r="I125" s="783">
        <f>'Purchased Power Model No CDM'!O143</f>
        <v>138</v>
      </c>
      <c r="J125" s="783">
        <f>'Purchased Power Model No CDM'!P143</f>
        <v>0</v>
      </c>
      <c r="K125" s="783">
        <f>'Purchased Power Model No CDM'!V143</f>
        <v>7602137.101295108</v>
      </c>
    </row>
    <row r="126" spans="2:13">
      <c r="B126" s="107"/>
      <c r="C126" s="781">
        <v>44773</v>
      </c>
      <c r="D126" s="782">
        <f>'Purchased Power Model No CDM'!J144</f>
        <v>4.5545454545454538</v>
      </c>
      <c r="E126" s="782">
        <f>'Purchased Power Model No CDM'!K144</f>
        <v>116.1</v>
      </c>
      <c r="F126" s="783">
        <f>'Purchased Power Model No CDM'!L144</f>
        <v>31</v>
      </c>
      <c r="G126" s="783">
        <f>'Purchased Power Model No CDM'!M144</f>
        <v>1</v>
      </c>
      <c r="H126" s="783">
        <f>'Purchased Power Model No CDM'!N144</f>
        <v>20</v>
      </c>
      <c r="I126" s="783">
        <f>'Purchased Power Model No CDM'!O144</f>
        <v>139</v>
      </c>
      <c r="J126" s="783">
        <f>'Purchased Power Model No CDM'!P144</f>
        <v>0</v>
      </c>
      <c r="K126" s="783">
        <f>'Purchased Power Model No CDM'!V144</f>
        <v>8469304.847525619</v>
      </c>
    </row>
    <row r="127" spans="2:13">
      <c r="B127" s="107"/>
      <c r="C127" s="781">
        <v>44804</v>
      </c>
      <c r="D127" s="782">
        <f>'Purchased Power Model No CDM'!J145</f>
        <v>10.836363636363636</v>
      </c>
      <c r="E127" s="782">
        <f>'Purchased Power Model No CDM'!K145</f>
        <v>82.954545454545453</v>
      </c>
      <c r="F127" s="783">
        <f>'Purchased Power Model No CDM'!L145</f>
        <v>31</v>
      </c>
      <c r="G127" s="783">
        <f>'Purchased Power Model No CDM'!M145</f>
        <v>1</v>
      </c>
      <c r="H127" s="783">
        <f>'Purchased Power Model No CDM'!N145</f>
        <v>22</v>
      </c>
      <c r="I127" s="783">
        <f>'Purchased Power Model No CDM'!O145</f>
        <v>140</v>
      </c>
      <c r="J127" s="783">
        <f>'Purchased Power Model No CDM'!P145</f>
        <v>1</v>
      </c>
      <c r="K127" s="783">
        <f>'Purchased Power Model No CDM'!V145</f>
        <v>8515190.1467943788</v>
      </c>
    </row>
    <row r="128" spans="2:13">
      <c r="B128" s="107"/>
      <c r="C128" s="781">
        <v>44834</v>
      </c>
      <c r="D128" s="782">
        <f>'Purchased Power Model No CDM'!J146</f>
        <v>93.481818181818198</v>
      </c>
      <c r="E128" s="782">
        <f>'Purchased Power Model No CDM'!K146</f>
        <v>25.536363636363639</v>
      </c>
      <c r="F128" s="783">
        <f>'Purchased Power Model No CDM'!L146</f>
        <v>30</v>
      </c>
      <c r="G128" s="783">
        <f>'Purchased Power Model No CDM'!M146</f>
        <v>1</v>
      </c>
      <c r="H128" s="783">
        <f>'Purchased Power Model No CDM'!N146</f>
        <v>21</v>
      </c>
      <c r="I128" s="783">
        <f>'Purchased Power Model No CDM'!O146</f>
        <v>141</v>
      </c>
      <c r="J128" s="783">
        <f>'Purchased Power Model No CDM'!P146</f>
        <v>0</v>
      </c>
      <c r="K128" s="783">
        <f>'Purchased Power Model No CDM'!V146</f>
        <v>7363687.8341850378</v>
      </c>
    </row>
    <row r="129" spans="2:11">
      <c r="B129" s="107"/>
      <c r="C129" s="781">
        <v>44865</v>
      </c>
      <c r="D129" s="782">
        <f>'Purchased Power Model No CDM'!J147</f>
        <v>276.59632529608206</v>
      </c>
      <c r="E129" s="782">
        <f>'Purchased Power Model No CDM'!K147</f>
        <v>0.63636363636363635</v>
      </c>
      <c r="F129" s="783">
        <f>'Purchased Power Model No CDM'!L147</f>
        <v>31</v>
      </c>
      <c r="G129" s="783">
        <f>'Purchased Power Model No CDM'!M147</f>
        <v>0</v>
      </c>
      <c r="H129" s="783">
        <f>'Purchased Power Model No CDM'!N147</f>
        <v>20</v>
      </c>
      <c r="I129" s="783">
        <f>'Purchased Power Model No CDM'!O147</f>
        <v>142</v>
      </c>
      <c r="J129" s="783">
        <f>'Purchased Power Model No CDM'!P147</f>
        <v>0</v>
      </c>
      <c r="K129" s="783">
        <f>'Purchased Power Model No CDM'!V147</f>
        <v>7506877.3109221356</v>
      </c>
    </row>
    <row r="130" spans="2:11">
      <c r="B130" s="107"/>
      <c r="C130" s="781">
        <v>44895</v>
      </c>
      <c r="D130" s="782">
        <f>'Purchased Power Model No CDM'!J148</f>
        <v>506.81818181818181</v>
      </c>
      <c r="E130" s="782">
        <f>'Purchased Power Model No CDM'!K148</f>
        <v>0</v>
      </c>
      <c r="F130" s="783">
        <f>'Purchased Power Model No CDM'!L148</f>
        <v>30</v>
      </c>
      <c r="G130" s="783">
        <f>'Purchased Power Model No CDM'!M148</f>
        <v>0</v>
      </c>
      <c r="H130" s="783">
        <f>'Purchased Power Model No CDM'!N148</f>
        <v>22</v>
      </c>
      <c r="I130" s="783">
        <f>'Purchased Power Model No CDM'!O148</f>
        <v>143</v>
      </c>
      <c r="J130" s="783">
        <f>'Purchased Power Model No CDM'!P148</f>
        <v>0</v>
      </c>
      <c r="K130" s="783">
        <f>'Purchased Power Model No CDM'!V148</f>
        <v>8445555.1002899464</v>
      </c>
    </row>
    <row r="131" spans="2:11">
      <c r="B131" s="107"/>
      <c r="C131" s="781">
        <v>44926</v>
      </c>
      <c r="D131" s="782">
        <f>'Purchased Power Model No CDM'!J149</f>
        <v>720.0090909090909</v>
      </c>
      <c r="E131" s="782">
        <f>'Purchased Power Model No CDM'!K149</f>
        <v>0</v>
      </c>
      <c r="F131" s="783">
        <f>'Purchased Power Model No CDM'!L149</f>
        <v>31</v>
      </c>
      <c r="G131" s="783">
        <f>'Purchased Power Model No CDM'!M149</f>
        <v>1</v>
      </c>
      <c r="H131" s="783">
        <f>'Purchased Power Model No CDM'!N149</f>
        <v>20</v>
      </c>
      <c r="I131" s="783">
        <f>'Purchased Power Model No CDM'!O149</f>
        <v>144</v>
      </c>
      <c r="J131" s="783">
        <f>'Purchased Power Model No CDM'!P149</f>
        <v>0</v>
      </c>
      <c r="K131" s="783">
        <f>'Purchased Power Model No CDM'!V149</f>
        <v>9786721.9120385945</v>
      </c>
    </row>
    <row r="132" spans="2:11">
      <c r="B132" s="107"/>
      <c r="C132" s="580" t="s">
        <v>5</v>
      </c>
      <c r="D132" s="638"/>
      <c r="E132" s="638"/>
      <c r="F132" s="638"/>
      <c r="G132" s="638"/>
      <c r="H132" s="638"/>
      <c r="I132" s="638"/>
      <c r="J132" s="638"/>
      <c r="K132" s="1189">
        <f>SUM(K120:K131)</f>
        <v>103699020.77285595</v>
      </c>
    </row>
    <row r="133" spans="2:11">
      <c r="B133" s="107"/>
      <c r="C133" s="513"/>
      <c r="D133" s="432"/>
      <c r="E133" s="432"/>
      <c r="F133" s="432"/>
      <c r="G133" s="432"/>
      <c r="H133" s="432"/>
      <c r="I133" s="432"/>
      <c r="J133" s="492"/>
    </row>
    <row r="134" spans="2:11" customFormat="1" ht="13.2"/>
    <row r="135" spans="2:11" customFormat="1">
      <c r="C135" s="417"/>
      <c r="D135" s="409" t="s">
        <v>332</v>
      </c>
      <c r="E135" s="417"/>
      <c r="F135" s="417"/>
      <c r="G135" s="417"/>
      <c r="H135" s="417"/>
      <c r="I135" s="417"/>
      <c r="J135" s="417"/>
    </row>
    <row r="136" spans="2:11" customFormat="1" ht="14.4" thickBot="1">
      <c r="C136" s="417"/>
      <c r="D136" s="417"/>
      <c r="E136" s="417"/>
      <c r="F136" s="417"/>
      <c r="G136" s="417"/>
      <c r="H136" s="417"/>
      <c r="I136" s="417"/>
      <c r="J136" s="417"/>
    </row>
    <row r="137" spans="2:11" customFormat="1" ht="40.200000000000003" thickTop="1">
      <c r="C137" s="780"/>
      <c r="D137" s="705" t="str">
        <f>D119</f>
        <v>HDD</v>
      </c>
      <c r="E137" s="705" t="str">
        <f t="shared" ref="E137:J137" si="18">E119</f>
        <v>CDD</v>
      </c>
      <c r="F137" s="705" t="str">
        <f t="shared" si="18"/>
        <v>Number of Days in Month</v>
      </c>
      <c r="G137" s="705" t="str">
        <f t="shared" si="18"/>
        <v>Winter/Summer Flag</v>
      </c>
      <c r="H137" s="705" t="str">
        <f t="shared" si="18"/>
        <v>Number of Workdays in Month</v>
      </c>
      <c r="I137" s="705" t="str">
        <f t="shared" si="18"/>
        <v>Trend</v>
      </c>
      <c r="J137" s="705" t="str">
        <f t="shared" si="18"/>
        <v>August Flag</v>
      </c>
      <c r="K137" s="706" t="s">
        <v>355</v>
      </c>
    </row>
    <row r="138" spans="2:11">
      <c r="B138" s="107"/>
      <c r="C138" s="781">
        <v>44592</v>
      </c>
      <c r="D138" s="782">
        <f>'Purchased Power Model No CDM'!J154</f>
        <v>827.57473684210527</v>
      </c>
      <c r="E138" s="782">
        <f>'Purchased Power Model No CDM'!K154</f>
        <v>0</v>
      </c>
      <c r="F138" s="783">
        <f>'Purchased Power Model No CDM'!L154</f>
        <v>31</v>
      </c>
      <c r="G138" s="783">
        <f>'Purchased Power Model No CDM'!M154</f>
        <v>1</v>
      </c>
      <c r="H138" s="783">
        <f>'Purchased Power Model No CDM'!N154</f>
        <v>20</v>
      </c>
      <c r="I138" s="783">
        <f>'Purchased Power Model No CDM'!O154</f>
        <v>133</v>
      </c>
      <c r="J138" s="783">
        <f>'Purchased Power Model No CDM'!P154</f>
        <v>0</v>
      </c>
      <c r="K138" s="783">
        <f>'Purchased Power Model No CDM'!V154</f>
        <v>10368221.184758525</v>
      </c>
    </row>
    <row r="139" spans="2:11">
      <c r="B139" s="107"/>
      <c r="C139" s="781">
        <v>44620</v>
      </c>
      <c r="D139" s="782">
        <f>'Purchased Power Model No CDM'!J155</f>
        <v>737.25263157894733</v>
      </c>
      <c r="E139" s="782">
        <f>'Purchased Power Model No CDM'!K155</f>
        <v>0</v>
      </c>
      <c r="F139" s="783">
        <f>'Purchased Power Model No CDM'!L155</f>
        <v>28</v>
      </c>
      <c r="G139" s="783">
        <f>'Purchased Power Model No CDM'!M155</f>
        <v>1</v>
      </c>
      <c r="H139" s="783">
        <f>'Purchased Power Model No CDM'!N155</f>
        <v>19</v>
      </c>
      <c r="I139" s="783">
        <f>'Purchased Power Model No CDM'!O155</f>
        <v>134</v>
      </c>
      <c r="J139" s="783">
        <f>'Purchased Power Model No CDM'!P155</f>
        <v>0</v>
      </c>
      <c r="K139" s="783">
        <f>'Purchased Power Model No CDM'!V155</f>
        <v>9438811.9030598551</v>
      </c>
    </row>
    <row r="140" spans="2:11">
      <c r="B140" s="107"/>
      <c r="C140" s="781">
        <v>44651</v>
      </c>
      <c r="D140" s="782">
        <f>'Purchased Power Model No CDM'!J156</f>
        <v>628.37631578947367</v>
      </c>
      <c r="E140" s="782">
        <f>'Purchased Power Model No CDM'!K156</f>
        <v>0</v>
      </c>
      <c r="F140" s="783">
        <f>'Purchased Power Model No CDM'!L156</f>
        <v>31</v>
      </c>
      <c r="G140" s="783">
        <f>'Purchased Power Model No CDM'!M156</f>
        <v>1</v>
      </c>
      <c r="H140" s="783">
        <f>'Purchased Power Model No CDM'!N156</f>
        <v>23</v>
      </c>
      <c r="I140" s="783">
        <f>'Purchased Power Model No CDM'!O156</f>
        <v>135</v>
      </c>
      <c r="J140" s="783">
        <f>'Purchased Power Model No CDM'!P156</f>
        <v>0</v>
      </c>
      <c r="K140" s="783">
        <f>'Purchased Power Model No CDM'!V156</f>
        <v>9640941.9341458436</v>
      </c>
    </row>
    <row r="141" spans="2:11">
      <c r="B141" s="107"/>
      <c r="C141" s="781">
        <v>44681</v>
      </c>
      <c r="D141" s="782">
        <f>'Purchased Power Model No CDM'!J157</f>
        <v>376.86000000000013</v>
      </c>
      <c r="E141" s="782">
        <f>'Purchased Power Model No CDM'!K157</f>
        <v>-0.74210526315783909</v>
      </c>
      <c r="F141" s="783">
        <f>'Purchased Power Model No CDM'!L157</f>
        <v>30</v>
      </c>
      <c r="G141" s="783">
        <f>'Purchased Power Model No CDM'!M157</f>
        <v>0</v>
      </c>
      <c r="H141" s="783">
        <f>'Purchased Power Model No CDM'!N157</f>
        <v>19</v>
      </c>
      <c r="I141" s="783">
        <f>'Purchased Power Model No CDM'!O157</f>
        <v>136</v>
      </c>
      <c r="J141" s="783">
        <f>'Purchased Power Model No CDM'!P157</f>
        <v>0</v>
      </c>
      <c r="K141" s="783">
        <f>'Purchased Power Model No CDM'!V157</f>
        <v>7773753.47570627</v>
      </c>
    </row>
    <row r="142" spans="2:11">
      <c r="B142" s="107"/>
      <c r="C142" s="781">
        <v>44712</v>
      </c>
      <c r="D142" s="782">
        <f>'Purchased Power Model No CDM'!J158</f>
        <v>148.19921052631594</v>
      </c>
      <c r="E142" s="782">
        <f>'Purchased Power Model No CDM'!K158</f>
        <v>22.246842105263113</v>
      </c>
      <c r="F142" s="783">
        <f>'Purchased Power Model No CDM'!L158</f>
        <v>31</v>
      </c>
      <c r="G142" s="783">
        <f>'Purchased Power Model No CDM'!M158</f>
        <v>0</v>
      </c>
      <c r="H142" s="783">
        <f>'Purchased Power Model No CDM'!N158</f>
        <v>21</v>
      </c>
      <c r="I142" s="783">
        <f>'Purchased Power Model No CDM'!O158</f>
        <v>137</v>
      </c>
      <c r="J142" s="783">
        <f>'Purchased Power Model No CDM'!P158</f>
        <v>0</v>
      </c>
      <c r="K142" s="783">
        <f>'Purchased Power Model No CDM'!V158</f>
        <v>7378248.6944449991</v>
      </c>
    </row>
    <row r="143" spans="2:11">
      <c r="B143" s="107"/>
      <c r="C143" s="781">
        <v>44742</v>
      </c>
      <c r="D143" s="782">
        <f>'Purchased Power Model No CDM'!J159</f>
        <v>36.879999999999995</v>
      </c>
      <c r="E143" s="782">
        <f>'Purchased Power Model No CDM'!K159</f>
        <v>52.368421052631575</v>
      </c>
      <c r="F143" s="783">
        <f>'Purchased Power Model No CDM'!L159</f>
        <v>30</v>
      </c>
      <c r="G143" s="783">
        <f>'Purchased Power Model No CDM'!M159</f>
        <v>1</v>
      </c>
      <c r="H143" s="783">
        <f>'Purchased Power Model No CDM'!N159</f>
        <v>22</v>
      </c>
      <c r="I143" s="783">
        <f>'Purchased Power Model No CDM'!O159</f>
        <v>138</v>
      </c>
      <c r="J143" s="783">
        <f>'Purchased Power Model No CDM'!P159</f>
        <v>0</v>
      </c>
      <c r="K143" s="783">
        <f>'Purchased Power Model No CDM'!V159</f>
        <v>7607656.2631704342</v>
      </c>
    </row>
    <row r="144" spans="2:11">
      <c r="B144" s="107"/>
      <c r="C144" s="781">
        <v>44773</v>
      </c>
      <c r="D144" s="782">
        <f>'Purchased Power Model No CDM'!J160</f>
        <v>5.643157894736845</v>
      </c>
      <c r="E144" s="782">
        <f>'Purchased Power Model No CDM'!K160</f>
        <v>120.53421052631575</v>
      </c>
      <c r="F144" s="783">
        <f>'Purchased Power Model No CDM'!L160</f>
        <v>31</v>
      </c>
      <c r="G144" s="783">
        <f>'Purchased Power Model No CDM'!M160</f>
        <v>1</v>
      </c>
      <c r="H144" s="783">
        <f>'Purchased Power Model No CDM'!N160</f>
        <v>20</v>
      </c>
      <c r="I144" s="783">
        <f>'Purchased Power Model No CDM'!O160</f>
        <v>139</v>
      </c>
      <c r="J144" s="783">
        <f>'Purchased Power Model No CDM'!P160</f>
        <v>0</v>
      </c>
      <c r="K144" s="783">
        <f>'Purchased Power Model No CDM'!V160</f>
        <v>8541229.5373076331</v>
      </c>
    </row>
    <row r="145" spans="2:11">
      <c r="B145" s="107"/>
      <c r="C145" s="781">
        <v>44804</v>
      </c>
      <c r="D145" s="782">
        <f>'Purchased Power Model No CDM'!J161</f>
        <v>10.32421052631571</v>
      </c>
      <c r="E145" s="782">
        <f>'Purchased Power Model No CDM'!K161</f>
        <v>84.447368421052602</v>
      </c>
      <c r="F145" s="783">
        <f>'Purchased Power Model No CDM'!L161</f>
        <v>31</v>
      </c>
      <c r="G145" s="783">
        <f>'Purchased Power Model No CDM'!M161</f>
        <v>1</v>
      </c>
      <c r="H145" s="783">
        <f>'Purchased Power Model No CDM'!N161</f>
        <v>22</v>
      </c>
      <c r="I145" s="783">
        <f>'Purchased Power Model No CDM'!O161</f>
        <v>140</v>
      </c>
      <c r="J145" s="783">
        <f>'Purchased Power Model No CDM'!P161</f>
        <v>1</v>
      </c>
      <c r="K145" s="783">
        <f>'Purchased Power Model No CDM'!V161</f>
        <v>8535564.47433706</v>
      </c>
    </row>
    <row r="146" spans="2:11">
      <c r="B146" s="107"/>
      <c r="C146" s="781">
        <v>44834</v>
      </c>
      <c r="D146" s="782">
        <f>'Purchased Power Model No CDM'!J162</f>
        <v>103.87315789473678</v>
      </c>
      <c r="E146" s="782">
        <f>'Purchased Power Model No CDM'!K162</f>
        <v>22.202105263157875</v>
      </c>
      <c r="F146" s="783">
        <f>'Purchased Power Model No CDM'!L162</f>
        <v>30</v>
      </c>
      <c r="G146" s="783">
        <f>'Purchased Power Model No CDM'!M162</f>
        <v>1</v>
      </c>
      <c r="H146" s="783">
        <f>'Purchased Power Model No CDM'!N162</f>
        <v>21</v>
      </c>
      <c r="I146" s="783">
        <f>'Purchased Power Model No CDM'!O162</f>
        <v>141</v>
      </c>
      <c r="J146" s="783">
        <f>'Purchased Power Model No CDM'!P162</f>
        <v>0</v>
      </c>
      <c r="K146" s="783">
        <f>'Purchased Power Model No CDM'!V162</f>
        <v>7358594.4602238182</v>
      </c>
    </row>
    <row r="147" spans="2:11">
      <c r="B147" s="107"/>
      <c r="C147" s="781">
        <v>44865</v>
      </c>
      <c r="D147" s="782">
        <f>'Purchased Power Model No CDM'!J163</f>
        <v>263.93502821487436</v>
      </c>
      <c r="E147" s="782">
        <f>'Purchased Power Model No CDM'!K163</f>
        <v>-9.7368421052635767E-2</v>
      </c>
      <c r="F147" s="783">
        <f>'Purchased Power Model No CDM'!L163</f>
        <v>31</v>
      </c>
      <c r="G147" s="783">
        <f>'Purchased Power Model No CDM'!M163</f>
        <v>0</v>
      </c>
      <c r="H147" s="783">
        <f>'Purchased Power Model No CDM'!N163</f>
        <v>20</v>
      </c>
      <c r="I147" s="783">
        <f>'Purchased Power Model No CDM'!O163</f>
        <v>142</v>
      </c>
      <c r="J147" s="783">
        <f>'Purchased Power Model No CDM'!P163</f>
        <v>0</v>
      </c>
      <c r="K147" s="783">
        <f>'Purchased Power Model No CDM'!V163</f>
        <v>7440430.5921533136</v>
      </c>
    </row>
    <row r="148" spans="2:11">
      <c r="B148" s="107"/>
      <c r="C148" s="781">
        <v>44895</v>
      </c>
      <c r="D148" s="782">
        <f>'Purchased Power Model No CDM'!J164</f>
        <v>520.75473684210556</v>
      </c>
      <c r="E148" s="782">
        <f>'Purchased Power Model No CDM'!K164</f>
        <v>0</v>
      </c>
      <c r="F148" s="783">
        <f>'Purchased Power Model No CDM'!L164</f>
        <v>30</v>
      </c>
      <c r="G148" s="783">
        <f>'Purchased Power Model No CDM'!M164</f>
        <v>0</v>
      </c>
      <c r="H148" s="783">
        <f>'Purchased Power Model No CDM'!N164</f>
        <v>22</v>
      </c>
      <c r="I148" s="783">
        <f>'Purchased Power Model No CDM'!O164</f>
        <v>143</v>
      </c>
      <c r="J148" s="783">
        <f>'Purchased Power Model No CDM'!P164</f>
        <v>0</v>
      </c>
      <c r="K148" s="783">
        <f>'Purchased Power Model No CDM'!V164</f>
        <v>8506460.7521654926</v>
      </c>
    </row>
    <row r="149" spans="2:11">
      <c r="B149" s="107"/>
      <c r="C149" s="781">
        <v>44926</v>
      </c>
      <c r="D149" s="782">
        <f>'Purchased Power Model No CDM'!J165</f>
        <v>713.03105263157931</v>
      </c>
      <c r="E149" s="782">
        <f>'Purchased Power Model No CDM'!K165</f>
        <v>0</v>
      </c>
      <c r="F149" s="783">
        <f>'Purchased Power Model No CDM'!L165</f>
        <v>31</v>
      </c>
      <c r="G149" s="783">
        <f>'Purchased Power Model No CDM'!M165</f>
        <v>1</v>
      </c>
      <c r="H149" s="783">
        <f>'Purchased Power Model No CDM'!N165</f>
        <v>20</v>
      </c>
      <c r="I149" s="783">
        <f>'Purchased Power Model No CDM'!O165</f>
        <v>144</v>
      </c>
      <c r="J149" s="783">
        <f>'Purchased Power Model No CDM'!P165</f>
        <v>0</v>
      </c>
      <c r="K149" s="783">
        <f>'Purchased Power Model No CDM'!V165</f>
        <v>9756226.4295197949</v>
      </c>
    </row>
    <row r="150" spans="2:11">
      <c r="B150" s="107"/>
      <c r="C150" s="580" t="s">
        <v>5</v>
      </c>
      <c r="D150" s="638"/>
      <c r="E150" s="638"/>
      <c r="F150" s="638"/>
      <c r="G150" s="638"/>
      <c r="H150" s="638"/>
      <c r="I150" s="638"/>
      <c r="J150" s="638"/>
      <c r="K150" s="1189">
        <f>SUM(K138:K149)</f>
        <v>102346139.70099306</v>
      </c>
    </row>
    <row r="151" spans="2:11">
      <c r="B151" s="107"/>
    </row>
    <row r="152" spans="2:11">
      <c r="B152" s="107"/>
    </row>
    <row r="153" spans="2:11">
      <c r="B153" s="409" t="s">
        <v>359</v>
      </c>
    </row>
    <row r="154" spans="2:11">
      <c r="B154" s="107" t="s">
        <v>360</v>
      </c>
    </row>
    <row r="155" spans="2:11">
      <c r="B155" s="107"/>
    </row>
    <row r="156" spans="2:11">
      <c r="B156" s="107"/>
    </row>
    <row r="157" spans="2:11">
      <c r="B157" s="409" t="s">
        <v>335</v>
      </c>
    </row>
    <row r="158" spans="2:11">
      <c r="B158" s="107" t="s">
        <v>360</v>
      </c>
    </row>
    <row r="159" spans="2:11">
      <c r="B159" s="409"/>
    </row>
    <row r="160" spans="2:11">
      <c r="B160" s="107"/>
    </row>
    <row r="161" spans="2:9">
      <c r="B161" s="107"/>
      <c r="D161" s="409" t="s">
        <v>334</v>
      </c>
    </row>
    <row r="162" spans="2:9">
      <c r="B162" s="107"/>
    </row>
    <row r="163" spans="2:9" ht="39.6">
      <c r="B163" s="107"/>
      <c r="C163" s="1190"/>
      <c r="D163" s="424" t="s">
        <v>1</v>
      </c>
      <c r="E163" s="425" t="s">
        <v>110</v>
      </c>
      <c r="F163" s="425" t="s">
        <v>249</v>
      </c>
      <c r="G163" s="425" t="s">
        <v>179</v>
      </c>
      <c r="H163" s="425" t="s">
        <v>159</v>
      </c>
      <c r="I163" s="425" t="s">
        <v>2</v>
      </c>
    </row>
    <row r="164" spans="2:9">
      <c r="C164" s="1190" t="str">
        <f>'Rate Class Energy Model '!A24</f>
        <v>2011</v>
      </c>
      <c r="D164" s="426">
        <f>'Rate Class Energy Model '!E24</f>
        <v>8650.5351718625097</v>
      </c>
      <c r="E164" s="426">
        <f>'Rate Class Energy Model '!F24</f>
        <v>26573.054616384914</v>
      </c>
      <c r="F164" s="426">
        <f>'Rate Class Energy Model '!G24</f>
        <v>651988</v>
      </c>
      <c r="G164" s="426">
        <f>'Rate Class Energy Model '!H24</f>
        <v>853.71344685848499</v>
      </c>
      <c r="H164" s="426">
        <f>'Rate Class Energy Model '!I24</f>
        <v>1443.4933333333333</v>
      </c>
      <c r="I164" s="426">
        <f>'Rate Class Energy Model '!J24</f>
        <v>8396.2542372881362</v>
      </c>
    </row>
    <row r="165" spans="2:9">
      <c r="C165" s="1190" t="str">
        <f>'Rate Class Energy Model '!A25</f>
        <v>2012</v>
      </c>
      <c r="D165" s="426">
        <f>'Rate Class Energy Model '!E25</f>
        <v>8381.4889552238801</v>
      </c>
      <c r="E165" s="426">
        <f>'Rate Class Energy Model '!F25</f>
        <v>25544.393506493507</v>
      </c>
      <c r="F165" s="426">
        <f>'Rate Class Energy Model '!G25</f>
        <v>635074.58208955219</v>
      </c>
      <c r="G165" s="426">
        <f>'Rate Class Energy Model '!H25</f>
        <v>853.67469172049323</v>
      </c>
      <c r="H165" s="426">
        <f>'Rate Class Energy Model '!I25</f>
        <v>1443.5466666666666</v>
      </c>
      <c r="I165" s="426">
        <f>'Rate Class Energy Model '!J25</f>
        <v>8321.0833333333339</v>
      </c>
    </row>
    <row r="166" spans="2:9">
      <c r="C166" s="1190" t="str">
        <f>'Rate Class Energy Model '!A26</f>
        <v>2013</v>
      </c>
      <c r="D166" s="426">
        <f>'Rate Class Energy Model '!E26</f>
        <v>8493.5130089374379</v>
      </c>
      <c r="E166" s="426">
        <f>'Rate Class Energy Model '!F26</f>
        <v>26474.557312252964</v>
      </c>
      <c r="F166" s="426">
        <f>'Rate Class Energy Model '!G26</f>
        <v>649946.19999999995</v>
      </c>
      <c r="G166" s="426">
        <f>'Rate Class Energy Model '!H26</f>
        <v>847.86350322202691</v>
      </c>
      <c r="H166" s="426">
        <f>'Rate Class Energy Model '!I26</f>
        <v>1443.7466666666667</v>
      </c>
      <c r="I166" s="426">
        <f>'Rate Class Energy Model '!J26</f>
        <v>8719.6393442622957</v>
      </c>
    </row>
    <row r="167" spans="2:9">
      <c r="C167" s="1190" t="str">
        <f>'Rate Class Energy Model '!A27</f>
        <v>2014</v>
      </c>
      <c r="D167" s="426">
        <f>'Rate Class Energy Model '!E27</f>
        <v>8387.3468253968258</v>
      </c>
      <c r="E167" s="426">
        <f>'Rate Class Energy Model '!F27</f>
        <v>27506.354111405835</v>
      </c>
      <c r="F167" s="426">
        <f>'Rate Class Energy Model '!G27</f>
        <v>665381.5</v>
      </c>
      <c r="G167" s="426">
        <f>'Rate Class Energy Model '!H27</f>
        <v>774.1681312243702</v>
      </c>
      <c r="H167" s="426">
        <f>'Rate Class Energy Model '!I27</f>
        <v>1457.36</v>
      </c>
      <c r="I167" s="426">
        <f>'Rate Class Energy Model '!J27</f>
        <v>9274.7377049180323</v>
      </c>
    </row>
    <row r="168" spans="2:9">
      <c r="C168" s="1190" t="str">
        <f>'Rate Class Energy Model '!A28</f>
        <v>2015</v>
      </c>
      <c r="D168" s="426">
        <f>'Rate Class Energy Model '!E28</f>
        <v>8100.1802453502178</v>
      </c>
      <c r="E168" s="426">
        <f>'Rate Class Energy Model '!F28</f>
        <v>27834.411053908356</v>
      </c>
      <c r="F168" s="426">
        <f>'Rate Class Energy Model '!G28</f>
        <v>639344.953125</v>
      </c>
      <c r="G168" s="426">
        <f>'Rate Class Energy Model '!H28</f>
        <v>615.24137931034488</v>
      </c>
      <c r="H168" s="426">
        <f>'Rate Class Energy Model '!I28</f>
        <v>1460.0266666666666</v>
      </c>
      <c r="I168" s="426">
        <f>'Rate Class Energy Model '!J28</f>
        <v>9213.0677966101703</v>
      </c>
    </row>
    <row r="169" spans="2:9">
      <c r="C169" s="1190" t="str">
        <f>'Rate Class Energy Model '!A29</f>
        <v>2016</v>
      </c>
      <c r="D169" s="426">
        <f>'Rate Class Energy Model '!E29</f>
        <v>7982.6549652928425</v>
      </c>
      <c r="E169" s="426">
        <f>'Rate Class Energy Model '!F29</f>
        <v>27498.139128378381</v>
      </c>
      <c r="F169" s="426">
        <f>'Rate Class Energy Model '!G29</f>
        <v>616500.296875</v>
      </c>
      <c r="G169" s="426">
        <f>'Rate Class Energy Model '!H29</f>
        <v>451.87492694330803</v>
      </c>
      <c r="H169" s="426">
        <f>'Rate Class Energy Model '!I29</f>
        <v>1462.8904109589041</v>
      </c>
      <c r="I169" s="426">
        <f>'Rate Class Energy Model '!J29</f>
        <v>9420.4137931034475</v>
      </c>
    </row>
    <row r="170" spans="2:9">
      <c r="C170" s="1190" t="str">
        <f>'Rate Class Energy Model '!A30</f>
        <v>2017</v>
      </c>
      <c r="D170" s="426">
        <f>'Rate Class Energy Model '!E30</f>
        <v>7738.1676861858905</v>
      </c>
      <c r="E170" s="426">
        <f>'Rate Class Energy Model '!F30</f>
        <v>26742.810985155193</v>
      </c>
      <c r="F170" s="426">
        <f>'Rate Class Energy Model '!G30</f>
        <v>607725.04761904757</v>
      </c>
      <c r="G170" s="426">
        <f>'Rate Class Energy Model '!H30</f>
        <v>418.86031560490943</v>
      </c>
      <c r="H170" s="426">
        <f>'Rate Class Energy Model '!I30</f>
        <v>1407.1267605633802</v>
      </c>
      <c r="I170" s="426">
        <f>'Rate Class Energy Model '!J30</f>
        <v>9457.8421052631584</v>
      </c>
    </row>
    <row r="171" spans="2:9">
      <c r="C171" s="1190" t="str">
        <f>'Rate Class Energy Model '!A31</f>
        <v>2018</v>
      </c>
      <c r="D171" s="426">
        <f>'Rate Class Energy Model '!E31</f>
        <v>8332.7696025465229</v>
      </c>
      <c r="E171" s="426">
        <f>'Rate Class Energy Model '!F31</f>
        <v>27405.207932341003</v>
      </c>
      <c r="F171" s="426">
        <f>'Rate Class Energy Model '!G31</f>
        <v>580059.48157344596</v>
      </c>
      <c r="G171" s="426">
        <f>'Rate Class Energy Model '!H31</f>
        <v>417.58537284278134</v>
      </c>
      <c r="H171" s="426">
        <f>'Rate Class Energy Model '!I31</f>
        <v>1352.7916666666667</v>
      </c>
      <c r="I171" s="426">
        <f>'Rate Class Energy Model '!J31</f>
        <v>9502.4035087719294</v>
      </c>
    </row>
    <row r="172" spans="2:9">
      <c r="C172" s="1190" t="str">
        <f>'Rate Class Energy Model '!A32</f>
        <v>2019</v>
      </c>
      <c r="D172" s="426">
        <f>'Rate Class Energy Model '!E32</f>
        <v>8250.0686485429305</v>
      </c>
      <c r="E172" s="426">
        <f>'Rate Class Energy Model '!F32</f>
        <v>26803.125170068026</v>
      </c>
      <c r="F172" s="426">
        <f>'Rate Class Energy Model '!G32</f>
        <v>596838.72580645164</v>
      </c>
      <c r="G172" s="426">
        <f>'Rate Class Energy Model '!H32</f>
        <v>404.42022209234364</v>
      </c>
      <c r="H172" s="426">
        <f>'Rate Class Energy Model '!I32</f>
        <v>1325.4594594594594</v>
      </c>
      <c r="I172" s="426">
        <f>'Rate Class Energy Model '!J32</f>
        <v>9511.3333333333339</v>
      </c>
    </row>
    <row r="173" spans="2:9">
      <c r="C173" s="1190" t="str">
        <f>'Rate Class Energy Model '!A33</f>
        <v>2020</v>
      </c>
      <c r="D173" s="426">
        <f>'Rate Class Energy Model '!E33</f>
        <v>8536.1067162717845</v>
      </c>
      <c r="E173" s="426">
        <f>'Rate Class Energy Model '!F33</f>
        <v>25353.704514363886</v>
      </c>
      <c r="F173" s="426">
        <f>'Rate Class Energy Model '!G33</f>
        <v>591933.83606557373</v>
      </c>
      <c r="G173" s="426">
        <f>'Rate Class Energy Model '!H33</f>
        <v>376.60922897196264</v>
      </c>
      <c r="H173" s="426">
        <f>'Rate Class Energy Model '!I33</f>
        <v>1324.1095890410959</v>
      </c>
      <c r="I173" s="426">
        <f>'Rate Class Energy Model '!J33</f>
        <v>9391.5087719298244</v>
      </c>
    </row>
    <row r="174" spans="2:9">
      <c r="C174" s="1190" t="str">
        <f>'Rate Class Energy Model '!A34</f>
        <v>2021</v>
      </c>
      <c r="D174" s="426">
        <f>'Rate Class Energy Model '!E34</f>
        <v>8523.1299589603277</v>
      </c>
      <c r="E174" s="426">
        <f>'Rate Class Energy Model '!F34</f>
        <v>24301.039726027397</v>
      </c>
      <c r="F174" s="426">
        <f>'Rate Class Energy Model '!G34</f>
        <v>620206.03278688528</v>
      </c>
      <c r="G174" s="426">
        <f>'Rate Class Energy Model '!H34</f>
        <v>375.93224299065423</v>
      </c>
      <c r="H174" s="426">
        <f>'Rate Class Energy Model '!I34</f>
        <v>1265.8142857142857</v>
      </c>
      <c r="I174" s="426">
        <f>'Rate Class Energy Model '!J34</f>
        <v>9737.5438596491222</v>
      </c>
    </row>
    <row r="175" spans="2:9">
      <c r="C175" s="1190" t="str">
        <f>'Rate Class Energy Model '!A39</f>
        <v>2022</v>
      </c>
      <c r="D175" s="516">
        <f>'Rate Class Energy Model '!E39</f>
        <v>8168.7826083721748</v>
      </c>
      <c r="E175" s="516">
        <f>'Rate Class Energy Model '!F39</f>
        <v>26389.847308008142</v>
      </c>
      <c r="F175" s="516">
        <f>'Rate Class Energy Model '!G39</f>
        <v>606866.6068776428</v>
      </c>
      <c r="G175" s="516">
        <f>'Rate Class Energy Model '!H39</f>
        <v>375.93224299065423</v>
      </c>
      <c r="H175" s="516">
        <f>'Rate Class Energy Model '!I39</f>
        <v>1242.0237870002541</v>
      </c>
      <c r="I175" s="516">
        <f>'Rate Class Energy Model '!J39</f>
        <v>9786.7248843287853</v>
      </c>
    </row>
    <row r="176" spans="2:9">
      <c r="C176" s="1190"/>
      <c r="D176" s="1190"/>
      <c r="E176" s="1190"/>
      <c r="F176" s="1190"/>
      <c r="G176" s="1190"/>
      <c r="H176" s="1190"/>
      <c r="I176" s="1190"/>
    </row>
    <row r="177" spans="2:10">
      <c r="C177" s="1191" t="s">
        <v>742</v>
      </c>
      <c r="D177" s="1192">
        <f>'Rate Class Energy Model '!E60</f>
        <v>1.0131887302757299</v>
      </c>
      <c r="E177" s="1192">
        <f>'Rate Class Energy Model '!F57</f>
        <v>0.99483368255377203</v>
      </c>
      <c r="F177" s="1192">
        <f>'Rate Class Energy Model '!G57</f>
        <v>0.97849194428293129</v>
      </c>
      <c r="G177" s="1192" t="str">
        <f>'Rate Class Energy Model '!H57</f>
        <v>N/A</v>
      </c>
      <c r="H177" s="1192">
        <f>'Rate Class Energy Model '!I57</f>
        <v>0.98120537982346523</v>
      </c>
      <c r="I177" s="1192">
        <f>'Rate Class Energy Model '!J57</f>
        <v>1.0050506601447478</v>
      </c>
    </row>
    <row r="178" spans="2:10">
      <c r="C178" s="1191" t="s">
        <v>741</v>
      </c>
      <c r="D178" s="1192">
        <f>'Rate Class Energy Model '!E60</f>
        <v>1.0131887302757299</v>
      </c>
      <c r="E178" s="1192">
        <f>'Rate Class Energy Model '!F60</f>
        <v>0.97558319355934009</v>
      </c>
      <c r="F178" s="1192">
        <f>'Rate Class Energy Model '!G60</f>
        <v>1.0011993045170444</v>
      </c>
      <c r="G178" s="1192">
        <f>'Rate Class Energy Model '!H60</f>
        <v>0.96386956284380065</v>
      </c>
      <c r="H178" s="1192">
        <f>'Rate Class Energy Model '!I60</f>
        <v>0.97147502458559587</v>
      </c>
      <c r="I178" s="1192">
        <f>'Rate Class Energy Model '!J60</f>
        <v>1.006643953923481</v>
      </c>
    </row>
    <row r="179" spans="2:10">
      <c r="C179" s="1194"/>
      <c r="D179" s="1195"/>
      <c r="E179" s="1195"/>
      <c r="F179" s="1195"/>
      <c r="G179" s="1195"/>
      <c r="H179" s="1195"/>
      <c r="I179" s="1195"/>
    </row>
    <row r="180" spans="2:10">
      <c r="B180" s="409" t="s">
        <v>644</v>
      </c>
      <c r="C180" s="427"/>
      <c r="D180" s="428"/>
      <c r="E180" s="428"/>
      <c r="F180" s="428"/>
      <c r="G180" s="428"/>
      <c r="H180" s="428"/>
      <c r="I180" s="428"/>
    </row>
    <row r="181" spans="2:10">
      <c r="B181" s="107" t="s">
        <v>543</v>
      </c>
      <c r="C181" s="427"/>
      <c r="D181" s="428"/>
      <c r="E181" s="428"/>
      <c r="F181" s="428"/>
      <c r="G181" s="428"/>
      <c r="H181" s="428"/>
      <c r="I181" s="428"/>
    </row>
    <row r="182" spans="2:10">
      <c r="C182" s="427"/>
      <c r="D182" s="428"/>
      <c r="E182" s="428"/>
      <c r="F182" s="428"/>
      <c r="G182" s="428"/>
      <c r="H182" s="428"/>
      <c r="I182" s="428"/>
    </row>
    <row r="183" spans="2:10">
      <c r="C183" s="427"/>
      <c r="D183" s="428"/>
      <c r="E183" s="428"/>
      <c r="F183" s="428"/>
      <c r="G183" s="428"/>
      <c r="H183" s="428"/>
      <c r="I183" s="428"/>
    </row>
    <row r="184" spans="2:10">
      <c r="B184" s="409" t="s">
        <v>645</v>
      </c>
      <c r="C184" s="427"/>
      <c r="D184" s="428"/>
      <c r="E184" s="428"/>
      <c r="F184" s="428"/>
      <c r="G184" s="428"/>
      <c r="H184" s="428"/>
      <c r="I184" s="428"/>
    </row>
    <row r="185" spans="2:10">
      <c r="B185" s="107" t="s">
        <v>543</v>
      </c>
      <c r="C185" s="427"/>
      <c r="D185" s="428"/>
      <c r="E185" s="428"/>
      <c r="F185" s="428"/>
      <c r="G185" s="428"/>
      <c r="H185" s="428"/>
      <c r="I185" s="428"/>
    </row>
    <row r="186" spans="2:10">
      <c r="B186" s="107"/>
      <c r="C186" s="427"/>
      <c r="D186" s="428"/>
      <c r="E186" s="428"/>
      <c r="F186" s="428"/>
      <c r="G186" s="428"/>
      <c r="H186" s="428"/>
      <c r="I186" s="428"/>
    </row>
    <row r="187" spans="2:10">
      <c r="C187" s="494"/>
      <c r="D187" s="564"/>
      <c r="E187" s="564"/>
      <c r="F187" s="564"/>
      <c r="G187" s="564"/>
      <c r="H187" s="564"/>
      <c r="I187" s="564"/>
      <c r="J187" s="564"/>
    </row>
    <row r="188" spans="2:10">
      <c r="D188" s="409"/>
      <c r="E188" s="409" t="s">
        <v>643</v>
      </c>
      <c r="F188" s="409"/>
      <c r="G188" s="409"/>
      <c r="H188" s="409"/>
      <c r="I188" s="428"/>
    </row>
    <row r="189" spans="2:10" ht="14.4" thickBot="1">
      <c r="C189" s="555"/>
      <c r="D189" s="555"/>
      <c r="E189" s="555"/>
      <c r="F189" s="555"/>
      <c r="G189" s="555"/>
      <c r="H189" s="555"/>
      <c r="I189" s="428"/>
    </row>
    <row r="190" spans="2:10" ht="40.200000000000003" thickTop="1">
      <c r="C190" s="556" t="s">
        <v>1</v>
      </c>
      <c r="D190" s="553" t="s">
        <v>110</v>
      </c>
      <c r="E190" s="553" t="s">
        <v>249</v>
      </c>
      <c r="F190" s="553" t="s">
        <v>179</v>
      </c>
      <c r="G190" s="553" t="s">
        <v>159</v>
      </c>
      <c r="H190" s="553" t="s">
        <v>2</v>
      </c>
      <c r="I190" s="428"/>
    </row>
    <row r="191" spans="2:10">
      <c r="C191" s="557"/>
      <c r="D191" s="558"/>
      <c r="E191" s="558"/>
      <c r="F191" s="558"/>
      <c r="G191" s="558"/>
      <c r="H191" s="558"/>
      <c r="I191" s="428"/>
    </row>
    <row r="192" spans="2:10">
      <c r="C192" s="559">
        <f>(1+E192)/2</f>
        <v>0.66</v>
      </c>
      <c r="D192" s="560">
        <f>(1+E192)/2</f>
        <v>0.66</v>
      </c>
      <c r="E192" s="560">
        <v>0.32</v>
      </c>
      <c r="F192" s="560">
        <v>0</v>
      </c>
      <c r="G192" s="560">
        <v>0</v>
      </c>
      <c r="H192" s="560">
        <v>0</v>
      </c>
      <c r="I192" s="428"/>
    </row>
    <row r="193" spans="2:15">
      <c r="C193" s="565"/>
      <c r="D193" s="565"/>
      <c r="E193" s="565"/>
      <c r="F193" s="565"/>
      <c r="G193" s="565"/>
      <c r="H193" s="565"/>
      <c r="I193" s="428"/>
    </row>
    <row r="194" spans="2:15">
      <c r="C194" s="427"/>
      <c r="D194" s="428"/>
      <c r="E194" s="428"/>
      <c r="F194" s="428"/>
      <c r="G194" s="428"/>
      <c r="H194" s="428"/>
      <c r="I194" s="428"/>
    </row>
    <row r="195" spans="2:15">
      <c r="C195" s="409" t="s">
        <v>646</v>
      </c>
      <c r="E195" s="409"/>
    </row>
    <row r="196" spans="2:15" ht="14.4" thickBot="1"/>
    <row r="197" spans="2:15" ht="16.2" thickTop="1">
      <c r="B197" s="823"/>
      <c r="C197" s="824" t="s">
        <v>300</v>
      </c>
      <c r="D197" s="824"/>
      <c r="E197" s="824"/>
      <c r="F197" s="824"/>
      <c r="G197" s="824"/>
      <c r="H197" s="824"/>
      <c r="I197" s="825"/>
    </row>
    <row r="198" spans="2:15" ht="39.6">
      <c r="B198" s="561" t="s">
        <v>124</v>
      </c>
      <c r="C198" s="713" t="s">
        <v>1</v>
      </c>
      <c r="D198" s="713" t="s">
        <v>110</v>
      </c>
      <c r="E198" s="713" t="s">
        <v>249</v>
      </c>
      <c r="F198" s="713" t="s">
        <v>179</v>
      </c>
      <c r="G198" s="713" t="s">
        <v>159</v>
      </c>
      <c r="H198" s="713" t="s">
        <v>2</v>
      </c>
      <c r="I198" s="714" t="s">
        <v>11</v>
      </c>
    </row>
    <row r="199" spans="2:15">
      <c r="B199" s="818" t="s">
        <v>381</v>
      </c>
      <c r="C199" s="821">
        <f>'Rate Class Energy Model '!E39</f>
        <v>8168.7826083721748</v>
      </c>
      <c r="D199" s="821">
        <f>'Rate Class Energy Model '!F39</f>
        <v>26389.847308008142</v>
      </c>
      <c r="E199" s="821">
        <f>'Rate Class Energy Model '!G39</f>
        <v>606866.6068776428</v>
      </c>
      <c r="F199" s="821">
        <f>'Rate Class Energy Model '!H39</f>
        <v>375.93224299065423</v>
      </c>
      <c r="G199" s="821">
        <f>'Rate Class Energy Model '!I39</f>
        <v>1242.0237870002541</v>
      </c>
      <c r="H199" s="821">
        <f>'Rate Class Energy Model '!J39</f>
        <v>9786.7248843287853</v>
      </c>
      <c r="I199" s="646"/>
    </row>
    <row r="200" spans="2:15">
      <c r="B200" s="818" t="s">
        <v>380</v>
      </c>
      <c r="C200" s="821">
        <f>'Rate Class Customer Model'!B15</f>
        <v>5126</v>
      </c>
      <c r="D200" s="821">
        <f>'Rate Class Customer Model'!C15</f>
        <v>728</v>
      </c>
      <c r="E200" s="821">
        <f>'Rate Class Customer Model'!D15</f>
        <v>60</v>
      </c>
      <c r="F200" s="821">
        <f>'Rate Class Customer Model'!E15</f>
        <v>1712</v>
      </c>
      <c r="G200" s="821">
        <f>'Rate Class Customer Model'!F15</f>
        <v>69</v>
      </c>
      <c r="H200" s="821">
        <f>'Rate Class Customer Model'!G15</f>
        <v>57</v>
      </c>
      <c r="I200" s="646">
        <f t="shared" ref="I200" si="19">SUM(C200:H200)</f>
        <v>7752</v>
      </c>
      <c r="J200" s="417" t="s">
        <v>10</v>
      </c>
    </row>
    <row r="201" spans="2:15">
      <c r="B201" s="822" t="s">
        <v>647</v>
      </c>
      <c r="C201" s="646">
        <f>C199*C200</f>
        <v>41873179.650515765</v>
      </c>
      <c r="D201" s="646">
        <f t="shared" ref="D201:H201" si="20">D199*D200</f>
        <v>19211808.840229928</v>
      </c>
      <c r="E201" s="646">
        <f t="shared" si="20"/>
        <v>36411996.412658565</v>
      </c>
      <c r="F201" s="646">
        <f t="shared" si="20"/>
        <v>643596</v>
      </c>
      <c r="G201" s="646">
        <f t="shared" si="20"/>
        <v>85699.641303017532</v>
      </c>
      <c r="H201" s="646">
        <f t="shared" si="20"/>
        <v>557843.31840674079</v>
      </c>
      <c r="I201" s="646">
        <f>SUM(C201:H201)</f>
        <v>98784123.863114029</v>
      </c>
      <c r="J201" s="452">
        <f>C201-'Rate Class Energy Model '!E64</f>
        <v>0</v>
      </c>
      <c r="K201" s="452">
        <f>D201-'Rate Class Energy Model '!F64</f>
        <v>0</v>
      </c>
      <c r="L201" s="452">
        <f>E201-'Rate Class Energy Model '!G64</f>
        <v>0</v>
      </c>
      <c r="M201" s="452">
        <f>F201-'Rate Class Energy Model '!H64</f>
        <v>0</v>
      </c>
      <c r="N201" s="452">
        <f>G201-'Rate Class Energy Model '!I64</f>
        <v>0</v>
      </c>
      <c r="O201" s="452">
        <f>H201-'Rate Class Energy Model '!J64</f>
        <v>0</v>
      </c>
    </row>
    <row r="202" spans="2:15" ht="17.25" customHeight="1">
      <c r="B202" s="563"/>
      <c r="C202" s="432"/>
      <c r="D202" s="432"/>
      <c r="E202" s="432"/>
      <c r="F202" s="432"/>
      <c r="G202" s="432"/>
      <c r="H202" s="432"/>
      <c r="I202" s="715"/>
    </row>
    <row r="203" spans="2:15" ht="15.6">
      <c r="B203" s="826"/>
      <c r="C203" s="819" t="s">
        <v>382</v>
      </c>
      <c r="D203" s="819"/>
      <c r="E203" s="819"/>
      <c r="F203" s="819"/>
      <c r="G203" s="819"/>
      <c r="H203" s="819"/>
      <c r="I203" s="820"/>
    </row>
    <row r="204" spans="2:15" ht="39.6">
      <c r="B204" s="561" t="s">
        <v>124</v>
      </c>
      <c r="C204" s="713" t="s">
        <v>1</v>
      </c>
      <c r="D204" s="713" t="s">
        <v>110</v>
      </c>
      <c r="E204" s="713" t="s">
        <v>249</v>
      </c>
      <c r="F204" s="713" t="s">
        <v>179</v>
      </c>
      <c r="G204" s="713" t="s">
        <v>159</v>
      </c>
      <c r="H204" s="713" t="s">
        <v>2</v>
      </c>
      <c r="I204" s="714" t="s">
        <v>11</v>
      </c>
    </row>
    <row r="205" spans="2:15" ht="17.25" customHeight="1">
      <c r="B205" s="580">
        <v>2022</v>
      </c>
      <c r="C205" s="646">
        <f>'Rate Class Energy Model '!E74</f>
        <v>-1720574.8509150192</v>
      </c>
      <c r="D205" s="646">
        <f>'Rate Class Energy Model '!F74</f>
        <v>-789415.93179631641</v>
      </c>
      <c r="E205" s="646">
        <f>'Rate Class Energy Model '!G74</f>
        <v>-725417.72717689641</v>
      </c>
      <c r="F205" s="646"/>
      <c r="G205" s="646"/>
      <c r="H205" s="646"/>
      <c r="I205" s="646">
        <f>SUM(C205:H205)</f>
        <v>-3235408.5098882318</v>
      </c>
    </row>
    <row r="206" spans="2:15" ht="19.5" customHeight="1">
      <c r="B206" s="563"/>
      <c r="C206" s="432"/>
      <c r="D206" s="432"/>
      <c r="E206" s="432"/>
      <c r="F206" s="432"/>
      <c r="G206" s="432"/>
      <c r="H206" s="432"/>
      <c r="I206" s="715"/>
    </row>
    <row r="207" spans="2:15" ht="15.6">
      <c r="B207" s="826"/>
      <c r="C207" s="819" t="s">
        <v>302</v>
      </c>
      <c r="D207" s="819"/>
      <c r="E207" s="819"/>
      <c r="F207" s="819"/>
      <c r="G207" s="819"/>
      <c r="H207" s="819"/>
      <c r="I207" s="820"/>
    </row>
    <row r="208" spans="2:15" ht="39.6">
      <c r="B208" s="561" t="s">
        <v>124</v>
      </c>
      <c r="C208" s="713" t="s">
        <v>1</v>
      </c>
      <c r="D208" s="713" t="s">
        <v>110</v>
      </c>
      <c r="E208" s="713" t="s">
        <v>249</v>
      </c>
      <c r="F208" s="713" t="s">
        <v>179</v>
      </c>
      <c r="G208" s="713" t="s">
        <v>159</v>
      </c>
      <c r="H208" s="713" t="s">
        <v>2</v>
      </c>
      <c r="I208" s="714" t="s">
        <v>11</v>
      </c>
    </row>
    <row r="209" spans="2:9">
      <c r="B209" s="580">
        <f>B205</f>
        <v>2022</v>
      </c>
      <c r="C209" s="646">
        <f t="shared" ref="C209:H209" si="21">C201+C205</f>
        <v>40152604.799600743</v>
      </c>
      <c r="D209" s="646">
        <f t="shared" si="21"/>
        <v>18422392.908433612</v>
      </c>
      <c r="E209" s="646">
        <f t="shared" si="21"/>
        <v>35686578.685481668</v>
      </c>
      <c r="F209" s="646">
        <f t="shared" si="21"/>
        <v>643596</v>
      </c>
      <c r="G209" s="646">
        <f t="shared" si="21"/>
        <v>85699.641303017532</v>
      </c>
      <c r="H209" s="646">
        <f t="shared" si="21"/>
        <v>557843.31840674079</v>
      </c>
      <c r="I209" s="646">
        <f>SUM(C209:H209)</f>
        <v>95548715.353225783</v>
      </c>
    </row>
    <row r="210" spans="2:9">
      <c r="C210" s="427"/>
      <c r="D210" s="428"/>
      <c r="E210" s="428"/>
      <c r="F210" s="428"/>
      <c r="G210" s="428"/>
      <c r="H210" s="428"/>
      <c r="I210" s="428"/>
    </row>
    <row r="212" spans="2:9">
      <c r="C212" s="1196" t="s">
        <v>544</v>
      </c>
    </row>
    <row r="213" spans="2:9" ht="14.4" thickBot="1">
      <c r="C213" s="274"/>
      <c r="D213" s="405"/>
    </row>
    <row r="214" spans="2:9" ht="14.4" thickTop="1">
      <c r="B214" s="566"/>
      <c r="C214" s="567">
        <f>'CDM Activity'!B26</f>
        <v>2011</v>
      </c>
      <c r="D214" s="567">
        <f>'CDM Activity'!C26</f>
        <v>2012</v>
      </c>
      <c r="E214" s="567">
        <f>'CDM Activity'!D26</f>
        <v>2013</v>
      </c>
      <c r="F214" s="567">
        <f>'CDM Activity'!E26</f>
        <v>2014</v>
      </c>
      <c r="G214" s="568" t="str">
        <f>'CDM Activity'!F26</f>
        <v>Total</v>
      </c>
    </row>
    <row r="215" spans="2:9">
      <c r="B215" s="569" t="str">
        <f>'CDM Activity'!A27</f>
        <v>2011 Programs</v>
      </c>
      <c r="C215" s="570">
        <f>'CDM Activity'!B27</f>
        <v>0.1988235294117647</v>
      </c>
      <c r="D215" s="570">
        <f>'CDM Activity'!C27</f>
        <v>0.1988235294117647</v>
      </c>
      <c r="E215" s="570">
        <f>'CDM Activity'!D27</f>
        <v>0.1988235294117647</v>
      </c>
      <c r="F215" s="570">
        <f>'CDM Activity'!E27</f>
        <v>0.18196078431372548</v>
      </c>
      <c r="G215" s="570">
        <f>'CDM Activity'!F27</f>
        <v>0.77843137254901951</v>
      </c>
    </row>
    <row r="216" spans="2:9">
      <c r="B216" s="569" t="str">
        <f>'CDM Activity'!A28</f>
        <v>2012 Programs</v>
      </c>
      <c r="C216" s="570">
        <f>'CDM Activity'!B28</f>
        <v>-2.8823529411764706E-2</v>
      </c>
      <c r="D216" s="570">
        <f>'CDM Activity'!C28</f>
        <v>9.3137254901960786E-2</v>
      </c>
      <c r="E216" s="570">
        <f>'CDM Activity'!D28</f>
        <v>9.3137254901960786E-2</v>
      </c>
      <c r="F216" s="570">
        <f>'CDM Activity'!E28</f>
        <v>9.3137254901960786E-2</v>
      </c>
      <c r="G216" s="570">
        <f>'CDM Activity'!F28</f>
        <v>0.25058823529411767</v>
      </c>
    </row>
    <row r="217" spans="2:9">
      <c r="B217" s="569" t="str">
        <f>'CDM Activity'!A29</f>
        <v>2013 Programs</v>
      </c>
      <c r="C217" s="570"/>
      <c r="D217" s="570">
        <f>'CDM Activity'!C29</f>
        <v>1.3725490196078432E-3</v>
      </c>
      <c r="E217" s="570">
        <f>'CDM Activity'!D29</f>
        <v>5.4901960784313725E-2</v>
      </c>
      <c r="F217" s="570">
        <f>'CDM Activity'!E29</f>
        <v>5.4901960784313725E-2</v>
      </c>
      <c r="G217" s="570">
        <f>'CDM Activity'!F29</f>
        <v>0.11117647058823529</v>
      </c>
    </row>
    <row r="218" spans="2:9">
      <c r="B218" s="569" t="str">
        <f>'CDM Activity'!A30</f>
        <v>2014 Programs</v>
      </c>
      <c r="C218" s="570"/>
      <c r="D218" s="570">
        <f>'CDM Activity'!C30</f>
        <v>1.9411764705882354E-2</v>
      </c>
      <c r="E218" s="570">
        <f>'CDM Activity'!D30</f>
        <v>2.4705882352941175E-2</v>
      </c>
      <c r="F218" s="570">
        <f>'CDM Activity'!E30</f>
        <v>0.23745098039215687</v>
      </c>
      <c r="G218" s="570">
        <f>'CDM Activity'!F30</f>
        <v>0.28156862745098038</v>
      </c>
    </row>
    <row r="219" spans="2:9">
      <c r="B219" s="571" t="str">
        <f>'CDM Activity'!A31</f>
        <v>Total</v>
      </c>
      <c r="C219" s="570">
        <f>'CDM Activity'!B31</f>
        <v>0.16999999999999998</v>
      </c>
      <c r="D219" s="570">
        <f>'CDM Activity'!C31</f>
        <v>0.31274509803921569</v>
      </c>
      <c r="E219" s="570">
        <f>'CDM Activity'!D31</f>
        <v>0.37156862745098046</v>
      </c>
      <c r="F219" s="570">
        <f>'CDM Activity'!E31</f>
        <v>0.5674509803921568</v>
      </c>
      <c r="G219" s="572">
        <f>'CDM Activity'!F31</f>
        <v>1.421764705882353</v>
      </c>
    </row>
    <row r="220" spans="2:9">
      <c r="B220" s="569"/>
      <c r="C220" s="573"/>
      <c r="D220" s="573"/>
      <c r="E220" s="573"/>
      <c r="F220" s="573"/>
      <c r="G220" s="573"/>
    </row>
    <row r="221" spans="2:9">
      <c r="B221" s="569" t="str">
        <f>'CDM Activity'!A33</f>
        <v>2011 Programs</v>
      </c>
      <c r="C221" s="438">
        <f>'CDM Activity'!B33</f>
        <v>1014000</v>
      </c>
      <c r="D221" s="438">
        <f>'CDM Activity'!C33</f>
        <v>1014000</v>
      </c>
      <c r="E221" s="438">
        <f>'CDM Activity'!D33</f>
        <v>1014000</v>
      </c>
      <c r="F221" s="438">
        <f>'CDM Activity'!E33</f>
        <v>928000</v>
      </c>
      <c r="G221" s="438">
        <f>'CDM Activity'!F33</f>
        <v>3970000</v>
      </c>
    </row>
    <row r="222" spans="2:9">
      <c r="B222" s="569" t="str">
        <f>'CDM Activity'!A34</f>
        <v>2012 Programs</v>
      </c>
      <c r="C222" s="438">
        <f>'CDM Activity'!B34</f>
        <v>-147000</v>
      </c>
      <c r="D222" s="438">
        <f>'CDM Activity'!C34</f>
        <v>475000</v>
      </c>
      <c r="E222" s="438">
        <f>'CDM Activity'!D34</f>
        <v>475000</v>
      </c>
      <c r="F222" s="438">
        <f>'CDM Activity'!E34</f>
        <v>475000</v>
      </c>
      <c r="G222" s="438">
        <f>'CDM Activity'!F34</f>
        <v>1278000</v>
      </c>
    </row>
    <row r="223" spans="2:9">
      <c r="B223" s="569" t="str">
        <f>'CDM Activity'!A35</f>
        <v>2013 Programs</v>
      </c>
      <c r="C223" s="438">
        <f>'CDM Activity'!B35</f>
        <v>0</v>
      </c>
      <c r="D223" s="438">
        <f>'CDM Activity'!C35</f>
        <v>7000</v>
      </c>
      <c r="E223" s="438">
        <f>'CDM Activity'!D35</f>
        <v>280000</v>
      </c>
      <c r="F223" s="438">
        <f>'CDM Activity'!E35</f>
        <v>280000</v>
      </c>
      <c r="G223" s="438">
        <f>'CDM Activity'!F35</f>
        <v>567000</v>
      </c>
    </row>
    <row r="224" spans="2:9">
      <c r="B224" s="569" t="str">
        <f>'CDM Activity'!A36</f>
        <v>2014 Programs</v>
      </c>
      <c r="C224" s="438">
        <f>'CDM Activity'!B36</f>
        <v>0</v>
      </c>
      <c r="D224" s="438">
        <f>'CDM Activity'!C36</f>
        <v>99000</v>
      </c>
      <c r="E224" s="438">
        <f>'CDM Activity'!D36</f>
        <v>126000</v>
      </c>
      <c r="F224" s="438">
        <f>'CDM Activity'!E36</f>
        <v>1211000</v>
      </c>
      <c r="G224" s="438">
        <f>'CDM Activity'!F36</f>
        <v>1436000</v>
      </c>
    </row>
    <row r="225" spans="2:7">
      <c r="B225" s="571" t="str">
        <f>'CDM Activity'!A37</f>
        <v xml:space="preserve">Total </v>
      </c>
      <c r="C225" s="438">
        <f>'CDM Activity'!B37</f>
        <v>867000</v>
      </c>
      <c r="D225" s="438">
        <f>'CDM Activity'!C37</f>
        <v>1595000</v>
      </c>
      <c r="E225" s="438">
        <f>'CDM Activity'!D37</f>
        <v>1895000</v>
      </c>
      <c r="F225" s="438">
        <f>'CDM Activity'!E37</f>
        <v>2894000</v>
      </c>
      <c r="G225" s="448">
        <f>'CDM Activity'!F37</f>
        <v>7251000</v>
      </c>
    </row>
    <row r="226" spans="2:7">
      <c r="B226" s="574" t="s">
        <v>303</v>
      </c>
      <c r="C226" s="435"/>
      <c r="D226" s="435"/>
      <c r="E226" s="435"/>
      <c r="F226" s="435"/>
      <c r="G226" s="448">
        <v>5100000</v>
      </c>
    </row>
    <row r="227" spans="2:7">
      <c r="B227" s="431"/>
      <c r="C227" s="432"/>
      <c r="D227" s="432"/>
      <c r="E227" s="432"/>
      <c r="F227" s="432"/>
      <c r="G227" s="433"/>
    </row>
    <row r="229" spans="2:7">
      <c r="B229" s="716" t="s">
        <v>648</v>
      </c>
    </row>
    <row r="230" spans="2:7">
      <c r="B230" s="717" t="s">
        <v>361</v>
      </c>
    </row>
    <row r="231" spans="2:7">
      <c r="B231" s="717"/>
    </row>
    <row r="233" spans="2:7">
      <c r="B233" s="716" t="s">
        <v>649</v>
      </c>
    </row>
    <row r="234" spans="2:7">
      <c r="B234" s="417" t="s">
        <v>338</v>
      </c>
    </row>
    <row r="237" spans="2:7">
      <c r="C237" s="1197" t="s">
        <v>545</v>
      </c>
    </row>
    <row r="239" spans="2:7" ht="39.6">
      <c r="B239" s="434" t="s">
        <v>124</v>
      </c>
      <c r="C239" s="443" t="s">
        <v>5</v>
      </c>
      <c r="D239" s="436" t="s">
        <v>1</v>
      </c>
      <c r="E239" s="436" t="s">
        <v>110</v>
      </c>
      <c r="F239" s="436" t="s">
        <v>249</v>
      </c>
      <c r="G239" s="436" t="s">
        <v>179</v>
      </c>
    </row>
    <row r="240" spans="2:7">
      <c r="B240" s="435" t="s">
        <v>304</v>
      </c>
      <c r="C240" s="437" t="e">
        <f>'Rate Class Energy Model '!#REF!</f>
        <v>#REF!</v>
      </c>
      <c r="D240" s="440"/>
      <c r="E240" s="442" t="e">
        <f>C240-G240</f>
        <v>#REF!</v>
      </c>
      <c r="F240" s="441"/>
      <c r="G240" s="438">
        <f>'Rate Class Energy Model '!F92</f>
        <v>0</v>
      </c>
    </row>
    <row r="241" spans="2:9">
      <c r="B241" s="435"/>
      <c r="C241" s="437"/>
      <c r="D241" s="440"/>
      <c r="E241" s="446">
        <f>SUM(D242:F242)</f>
        <v>0</v>
      </c>
      <c r="F241" s="441"/>
      <c r="G241" s="438"/>
    </row>
    <row r="242" spans="2:9">
      <c r="B242" s="435" t="s">
        <v>305</v>
      </c>
      <c r="C242" s="435"/>
      <c r="D242" s="439">
        <f>'Rate Class Energy Model '!C90</f>
        <v>0</v>
      </c>
      <c r="E242" s="439">
        <f>'Rate Class Energy Model '!D90</f>
        <v>0</v>
      </c>
      <c r="F242" s="439">
        <f>'Rate Class Energy Model '!E90</f>
        <v>0</v>
      </c>
      <c r="G242" s="435"/>
    </row>
    <row r="243" spans="2:9">
      <c r="B243" s="443" t="s">
        <v>306</v>
      </c>
      <c r="C243" s="445">
        <f>SUM(D243:G243)</f>
        <v>0</v>
      </c>
      <c r="D243" s="444">
        <f>'Rate Class Energy Model '!C92</f>
        <v>0</v>
      </c>
      <c r="E243" s="444">
        <f>'Rate Class Energy Model '!D92</f>
        <v>0</v>
      </c>
      <c r="F243" s="444">
        <f>'Rate Class Energy Model '!E92</f>
        <v>0</v>
      </c>
      <c r="G243" s="444">
        <f>G240</f>
        <v>0</v>
      </c>
    </row>
    <row r="244" spans="2:9">
      <c r="D244" s="405"/>
      <c r="E244" s="405"/>
      <c r="F244" s="405"/>
      <c r="G244" s="405"/>
    </row>
    <row r="246" spans="2:9">
      <c r="C246" s="1198" t="s">
        <v>546</v>
      </c>
    </row>
    <row r="248" spans="2:9" ht="39.6">
      <c r="B248" s="434" t="s">
        <v>124</v>
      </c>
      <c r="C248" s="436" t="s">
        <v>1</v>
      </c>
      <c r="D248" s="436" t="s">
        <v>110</v>
      </c>
      <c r="E248" s="436" t="s">
        <v>249</v>
      </c>
      <c r="F248" s="436" t="s">
        <v>179</v>
      </c>
      <c r="G248" s="436" t="s">
        <v>159</v>
      </c>
      <c r="H248" s="436" t="s">
        <v>2</v>
      </c>
      <c r="I248" s="447" t="s">
        <v>11</v>
      </c>
    </row>
    <row r="249" spans="2:9">
      <c r="B249" s="449" t="s">
        <v>307</v>
      </c>
      <c r="C249" s="438" t="e">
        <f>#REF!</f>
        <v>#REF!</v>
      </c>
      <c r="D249" s="438" t="e">
        <f>#REF!</f>
        <v>#REF!</v>
      </c>
      <c r="E249" s="438" t="e">
        <f>#REF!</f>
        <v>#REF!</v>
      </c>
      <c r="F249" s="438" t="e">
        <f>#REF!</f>
        <v>#REF!</v>
      </c>
      <c r="G249" s="438"/>
      <c r="H249" s="438"/>
      <c r="I249" s="448" t="e">
        <f>SUM(C249:H249)</f>
        <v>#REF!</v>
      </c>
    </row>
    <row r="250" spans="2:9">
      <c r="B250" s="449" t="s">
        <v>308</v>
      </c>
      <c r="C250" s="435"/>
      <c r="D250" s="435"/>
      <c r="E250" s="437" t="e">
        <f>#REF!</f>
        <v>#REF!</v>
      </c>
      <c r="F250" s="437" t="e">
        <f>#REF!</f>
        <v>#REF!</v>
      </c>
      <c r="G250" s="435"/>
      <c r="H250" s="435"/>
      <c r="I250" s="448" t="e">
        <f>SUM(C250:H250)</f>
        <v>#REF!</v>
      </c>
    </row>
    <row r="251" spans="2:9">
      <c r="B251" s="575"/>
      <c r="C251" s="432"/>
      <c r="D251" s="432"/>
      <c r="E251" s="498"/>
      <c r="F251" s="498"/>
      <c r="G251" s="432"/>
      <c r="H251" s="432"/>
      <c r="I251" s="433"/>
    </row>
    <row r="252" spans="2:9">
      <c r="B252" s="575"/>
      <c r="C252" s="432"/>
      <c r="D252" s="432"/>
      <c r="E252" s="498"/>
      <c r="F252" s="498"/>
      <c r="G252" s="432"/>
      <c r="H252" s="432"/>
      <c r="I252" s="433"/>
    </row>
    <row r="253" spans="2:9">
      <c r="B253" s="718" t="s">
        <v>650</v>
      </c>
    </row>
    <row r="254" spans="2:9">
      <c r="B254" s="417" t="s">
        <v>338</v>
      </c>
    </row>
    <row r="257" spans="3:11">
      <c r="D257" s="1197" t="s">
        <v>547</v>
      </c>
    </row>
    <row r="258" spans="3:11" ht="14.4" thickBot="1"/>
    <row r="259" spans="3:11" ht="14.4" thickTop="1">
      <c r="C259" s="1816" t="s">
        <v>300</v>
      </c>
      <c r="D259" s="1817"/>
      <c r="E259" s="1817"/>
      <c r="F259" s="1817"/>
      <c r="G259" s="1817"/>
      <c r="H259" s="1817"/>
      <c r="I259" s="1817"/>
      <c r="J259" s="1818"/>
    </row>
    <row r="260" spans="3:11" ht="41.25" customHeight="1">
      <c r="C260" s="561" t="s">
        <v>124</v>
      </c>
      <c r="D260" s="436" t="s">
        <v>1</v>
      </c>
      <c r="E260" s="436" t="s">
        <v>110</v>
      </c>
      <c r="F260" s="436" t="s">
        <v>249</v>
      </c>
      <c r="G260" s="436" t="s">
        <v>179</v>
      </c>
      <c r="H260" s="436" t="s">
        <v>159</v>
      </c>
      <c r="I260" s="436" t="s">
        <v>2</v>
      </c>
      <c r="J260" s="447" t="s">
        <v>11</v>
      </c>
    </row>
    <row r="261" spans="3:11">
      <c r="C261" s="580">
        <v>2016</v>
      </c>
      <c r="D261" s="438">
        <f>'Rate Class Energy Model '!E64</f>
        <v>41873179.650515765</v>
      </c>
      <c r="E261" s="438">
        <f>'Rate Class Energy Model '!F64</f>
        <v>19211808.840229928</v>
      </c>
      <c r="F261" s="438">
        <f>'Rate Class Energy Model '!G64</f>
        <v>36411996.412658565</v>
      </c>
      <c r="G261" s="438">
        <f>'Rate Class Energy Model '!H64</f>
        <v>643596</v>
      </c>
      <c r="H261" s="438">
        <f>'Rate Class Energy Model '!I64</f>
        <v>85699.641303017532</v>
      </c>
      <c r="I261" s="438">
        <f>'Rate Class Energy Model '!J64</f>
        <v>557843.31840674079</v>
      </c>
      <c r="J261" s="438">
        <f>SUM(D261:I261)</f>
        <v>98784123.863114029</v>
      </c>
    </row>
    <row r="262" spans="3:11" ht="20.25" customHeight="1">
      <c r="C262" s="563"/>
      <c r="D262" s="432"/>
      <c r="E262" s="432"/>
      <c r="F262" s="432"/>
      <c r="G262" s="432"/>
      <c r="H262" s="432"/>
      <c r="I262" s="432"/>
      <c r="J262" s="432"/>
    </row>
    <row r="263" spans="3:11" ht="15.6">
      <c r="C263" s="1819" t="s">
        <v>301</v>
      </c>
      <c r="D263" s="1820"/>
      <c r="E263" s="1820"/>
      <c r="F263" s="1820"/>
      <c r="G263" s="1820"/>
      <c r="H263" s="1820"/>
      <c r="I263" s="1820"/>
      <c r="J263" s="1821"/>
    </row>
    <row r="264" spans="3:11" ht="39.6">
      <c r="C264" s="561" t="s">
        <v>124</v>
      </c>
      <c r="D264" s="436" t="s">
        <v>1</v>
      </c>
      <c r="E264" s="436" t="s">
        <v>110</v>
      </c>
      <c r="F264" s="436" t="s">
        <v>249</v>
      </c>
      <c r="G264" s="436" t="s">
        <v>179</v>
      </c>
      <c r="H264" s="436" t="s">
        <v>159</v>
      </c>
      <c r="I264" s="436" t="s">
        <v>2</v>
      </c>
      <c r="J264" s="447" t="s">
        <v>11</v>
      </c>
    </row>
    <row r="265" spans="3:11">
      <c r="C265" s="580">
        <v>2016</v>
      </c>
      <c r="D265" s="438">
        <f>'Rate Class Energy Model '!E74</f>
        <v>-1720574.8509150192</v>
      </c>
      <c r="E265" s="438">
        <f>'Rate Class Energy Model '!F74</f>
        <v>-789415.93179631641</v>
      </c>
      <c r="F265" s="438">
        <f>'Rate Class Energy Model '!G74</f>
        <v>-725417.72717689641</v>
      </c>
      <c r="G265" s="438">
        <f>'Rate Class Energy Model '!H74</f>
        <v>0</v>
      </c>
      <c r="H265" s="438">
        <f>'Rate Class Energy Model '!I74</f>
        <v>0</v>
      </c>
      <c r="I265" s="438">
        <f>'Rate Class Energy Model '!J74</f>
        <v>0</v>
      </c>
      <c r="J265" s="438">
        <f>SUM(D265:I265)</f>
        <v>-3235408.5098882318</v>
      </c>
    </row>
    <row r="266" spans="3:11" ht="18" customHeight="1">
      <c r="C266" s="827"/>
      <c r="D266" s="496"/>
      <c r="E266" s="496"/>
      <c r="F266" s="496"/>
      <c r="G266" s="496"/>
      <c r="H266" s="496"/>
      <c r="I266" s="496"/>
      <c r="J266" s="496"/>
    </row>
    <row r="267" spans="3:11" ht="15.6">
      <c r="C267" s="826"/>
      <c r="D267" s="828"/>
      <c r="E267" s="819" t="s">
        <v>383</v>
      </c>
      <c r="F267" s="819"/>
      <c r="G267" s="819"/>
      <c r="H267" s="819"/>
      <c r="I267" s="819"/>
      <c r="J267" s="820"/>
    </row>
    <row r="268" spans="3:11" ht="39.6">
      <c r="C268" s="561" t="s">
        <v>124</v>
      </c>
      <c r="D268" s="713" t="s">
        <v>1</v>
      </c>
      <c r="E268" s="713" t="s">
        <v>110</v>
      </c>
      <c r="F268" s="713" t="s">
        <v>249</v>
      </c>
      <c r="G268" s="713" t="s">
        <v>179</v>
      </c>
      <c r="H268" s="713" t="s">
        <v>159</v>
      </c>
      <c r="I268" s="713" t="s">
        <v>2</v>
      </c>
      <c r="J268" s="714" t="s">
        <v>11</v>
      </c>
      <c r="K268" s="417" t="s">
        <v>10</v>
      </c>
    </row>
    <row r="269" spans="3:11">
      <c r="C269" s="580">
        <v>2016</v>
      </c>
      <c r="D269" s="646">
        <f>D261+D265</f>
        <v>40152604.799600743</v>
      </c>
      <c r="E269" s="646">
        <f t="shared" ref="E269:I269" si="22">E261+E265</f>
        <v>18422392.908433612</v>
      </c>
      <c r="F269" s="646">
        <f t="shared" si="22"/>
        <v>35686578.685481668</v>
      </c>
      <c r="G269" s="646">
        <f t="shared" si="22"/>
        <v>643596</v>
      </c>
      <c r="H269" s="646">
        <f t="shared" si="22"/>
        <v>85699.641303017532</v>
      </c>
      <c r="I269" s="646">
        <f t="shared" si="22"/>
        <v>557843.31840674079</v>
      </c>
      <c r="J269" s="646">
        <f>SUM(D269:I269)</f>
        <v>95548715.353225783</v>
      </c>
      <c r="K269" s="452">
        <f>J269-I209</f>
        <v>0</v>
      </c>
    </row>
    <row r="270" spans="3:11">
      <c r="C270" s="563"/>
      <c r="D270" s="432"/>
      <c r="E270" s="432"/>
      <c r="F270" s="432"/>
      <c r="G270" s="432"/>
      <c r="H270" s="432"/>
      <c r="I270" s="432"/>
      <c r="J270" s="432"/>
    </row>
    <row r="271" spans="3:11" ht="20.25" customHeight="1">
      <c r="C271" s="1819" t="s">
        <v>309</v>
      </c>
      <c r="D271" s="1820"/>
      <c r="E271" s="1820"/>
      <c r="F271" s="1820"/>
      <c r="G271" s="1820"/>
      <c r="H271" s="1820"/>
      <c r="I271" s="1820"/>
      <c r="J271" s="1821"/>
    </row>
    <row r="272" spans="3:11" ht="39.6">
      <c r="C272" s="561" t="s">
        <v>124</v>
      </c>
      <c r="D272" s="436" t="s">
        <v>1</v>
      </c>
      <c r="E272" s="436" t="s">
        <v>110</v>
      </c>
      <c r="F272" s="436" t="s">
        <v>249</v>
      </c>
      <c r="G272" s="436" t="s">
        <v>179</v>
      </c>
      <c r="H272" s="436" t="s">
        <v>159</v>
      </c>
      <c r="I272" s="436" t="s">
        <v>2</v>
      </c>
      <c r="J272" s="447" t="s">
        <v>11</v>
      </c>
    </row>
    <row r="273" spans="2:17">
      <c r="C273" s="580">
        <v>2016</v>
      </c>
      <c r="D273" s="438">
        <f>'Rate Class Energy Model '!C92</f>
        <v>0</v>
      </c>
      <c r="E273" s="438">
        <f>'Rate Class Energy Model '!D92</f>
        <v>0</v>
      </c>
      <c r="F273" s="438">
        <f>'Rate Class Energy Model '!E92</f>
        <v>0</v>
      </c>
      <c r="G273" s="438">
        <f>'Rate Class Energy Model '!F92</f>
        <v>0</v>
      </c>
      <c r="H273" s="438"/>
      <c r="I273" s="438"/>
      <c r="J273" s="438">
        <f>SUM(D273:I273)</f>
        <v>0</v>
      </c>
    </row>
    <row r="274" spans="2:17">
      <c r="C274" s="563"/>
      <c r="D274" s="432"/>
      <c r="E274" s="432"/>
      <c r="F274" s="432"/>
      <c r="G274" s="432"/>
      <c r="H274" s="432"/>
      <c r="I274" s="432"/>
      <c r="J274" s="432"/>
    </row>
    <row r="275" spans="2:17" ht="22.5" customHeight="1">
      <c r="C275" s="1822" t="s">
        <v>302</v>
      </c>
      <c r="D275" s="1823"/>
      <c r="E275" s="1823"/>
      <c r="F275" s="1823"/>
      <c r="G275" s="1823"/>
      <c r="H275" s="1823"/>
      <c r="I275" s="1823"/>
      <c r="J275" s="1823"/>
    </row>
    <row r="276" spans="2:17" ht="41.25" customHeight="1">
      <c r="C276" s="561" t="s">
        <v>124</v>
      </c>
      <c r="D276" s="436" t="s">
        <v>1</v>
      </c>
      <c r="E276" s="436" t="s">
        <v>110</v>
      </c>
      <c r="F276" s="436" t="s">
        <v>249</v>
      </c>
      <c r="G276" s="436" t="s">
        <v>179</v>
      </c>
      <c r="H276" s="436" t="s">
        <v>159</v>
      </c>
      <c r="I276" s="436" t="s">
        <v>2</v>
      </c>
      <c r="J276" s="447" t="s">
        <v>11</v>
      </c>
      <c r="K276" s="417" t="s">
        <v>10</v>
      </c>
    </row>
    <row r="277" spans="2:17">
      <c r="C277" s="580">
        <v>2016</v>
      </c>
      <c r="D277" s="438">
        <f>D269-D273</f>
        <v>40152604.799600743</v>
      </c>
      <c r="E277" s="438">
        <f t="shared" ref="E277:I277" si="23">E269-E273</f>
        <v>18422392.908433612</v>
      </c>
      <c r="F277" s="438">
        <f t="shared" si="23"/>
        <v>35686578.685481668</v>
      </c>
      <c r="G277" s="438">
        <f t="shared" si="23"/>
        <v>643596</v>
      </c>
      <c r="H277" s="438">
        <f t="shared" si="23"/>
        <v>85699.641303017532</v>
      </c>
      <c r="I277" s="438">
        <f t="shared" si="23"/>
        <v>557843.31840674079</v>
      </c>
      <c r="J277" s="438">
        <f>SUM(D277:I277)</f>
        <v>95548715.353225783</v>
      </c>
      <c r="K277" s="452">
        <f>D277-'Rate Class Energy Model '!C97</f>
        <v>40152604.799600743</v>
      </c>
      <c r="L277" s="452">
        <f>E277-'Rate Class Energy Model '!D97</f>
        <v>18422392.908433612</v>
      </c>
      <c r="M277" s="452">
        <f>F277-'Rate Class Energy Model '!E97</f>
        <v>35686578.685481668</v>
      </c>
      <c r="N277" s="452">
        <f>G277-'Rate Class Energy Model '!F97</f>
        <v>643596</v>
      </c>
      <c r="O277" s="452">
        <f>H277-'Rate Class Energy Model '!G97</f>
        <v>85699.641303017532</v>
      </c>
      <c r="P277" s="452">
        <f>I277-'Rate Class Energy Model '!H97</f>
        <v>557843.31840674079</v>
      </c>
      <c r="Q277" s="452">
        <f>J277-'Rate Class Energy Model '!I97</f>
        <v>95548715.353225783</v>
      </c>
    </row>
    <row r="280" spans="2:17">
      <c r="C280" s="409" t="s">
        <v>651</v>
      </c>
    </row>
    <row r="281" spans="2:17" ht="16.2" thickBot="1">
      <c r="C281" s="416"/>
    </row>
    <row r="282" spans="2:17" ht="40.200000000000003" thickTop="1">
      <c r="B282" s="576" t="s">
        <v>124</v>
      </c>
      <c r="C282" s="577" t="s">
        <v>273</v>
      </c>
      <c r="D282" s="577" t="s">
        <v>179</v>
      </c>
      <c r="E282" s="577" t="s">
        <v>159</v>
      </c>
      <c r="F282" s="578" t="s">
        <v>5</v>
      </c>
    </row>
    <row r="283" spans="2:17">
      <c r="B283" s="554"/>
      <c r="C283" s="579"/>
      <c r="D283" s="435"/>
      <c r="E283" s="579"/>
      <c r="F283" s="435"/>
      <c r="H283" s="429"/>
    </row>
    <row r="284" spans="2:17">
      <c r="B284" s="580">
        <f>'Rate Class Load Model'!A3</f>
        <v>2011</v>
      </c>
      <c r="C284" s="438">
        <f>'Rate Class Load Model'!B3</f>
        <v>130762</v>
      </c>
      <c r="D284" s="438">
        <f>'Rate Class Load Model'!C3</f>
        <v>3941</v>
      </c>
      <c r="E284" s="438">
        <f>'Rate Class Load Model'!D3</f>
        <v>300</v>
      </c>
      <c r="F284" s="438">
        <f>SUM(C284:E284)</f>
        <v>135003</v>
      </c>
      <c r="H284" s="429"/>
    </row>
    <row r="285" spans="2:17">
      <c r="B285" s="580">
        <f>'Rate Class Load Model'!A4</f>
        <v>2012</v>
      </c>
      <c r="C285" s="438">
        <f>'Rate Class Load Model'!B4</f>
        <v>125469</v>
      </c>
      <c r="D285" s="438">
        <f>'Rate Class Load Model'!C4</f>
        <v>3919</v>
      </c>
      <c r="E285" s="438">
        <f>'Rate Class Load Model'!D4</f>
        <v>300</v>
      </c>
      <c r="F285" s="438">
        <f t="shared" ref="F285:F294" si="24">SUM(C285:E285)</f>
        <v>129688</v>
      </c>
      <c r="H285" s="429"/>
    </row>
    <row r="286" spans="2:17">
      <c r="B286" s="580">
        <f>'Rate Class Load Model'!A5</f>
        <v>2013</v>
      </c>
      <c r="C286" s="438">
        <f>'Rate Class Load Model'!B5</f>
        <v>133148</v>
      </c>
      <c r="D286" s="438">
        <f>'Rate Class Load Model'!C5</f>
        <v>3920</v>
      </c>
      <c r="E286" s="438">
        <f>'Rate Class Load Model'!D5</f>
        <v>300</v>
      </c>
      <c r="F286" s="438">
        <f t="shared" si="24"/>
        <v>137368</v>
      </c>
      <c r="H286" s="429"/>
    </row>
    <row r="287" spans="2:17">
      <c r="B287" s="580">
        <f>'Rate Class Load Model'!A6</f>
        <v>2014</v>
      </c>
      <c r="C287" s="438">
        <f>'Rate Class Load Model'!B6</f>
        <v>131947</v>
      </c>
      <c r="D287" s="438">
        <f>'Rate Class Load Model'!C6</f>
        <v>3620</v>
      </c>
      <c r="E287" s="438">
        <f>'Rate Class Load Model'!D6</f>
        <v>302</v>
      </c>
      <c r="F287" s="438">
        <f t="shared" si="24"/>
        <v>135869</v>
      </c>
      <c r="H287" s="429"/>
    </row>
    <row r="288" spans="2:17">
      <c r="B288" s="580">
        <f>'Rate Class Load Model'!A7</f>
        <v>2015</v>
      </c>
      <c r="C288" s="438">
        <f>'Rate Class Load Model'!B7</f>
        <v>125734.44</v>
      </c>
      <c r="D288" s="438">
        <f>'Rate Class Load Model'!C7</f>
        <v>2861.6</v>
      </c>
      <c r="E288" s="438">
        <f>'Rate Class Load Model'!D7</f>
        <v>302</v>
      </c>
      <c r="F288" s="438">
        <f t="shared" si="24"/>
        <v>128898.04000000001</v>
      </c>
      <c r="H288" s="429"/>
    </row>
    <row r="289" spans="2:8">
      <c r="B289" s="580">
        <f>'Rate Class Load Model'!A8</f>
        <v>2016</v>
      </c>
      <c r="C289" s="438">
        <f>'Rate Class Load Model'!B8</f>
        <v>115476.9</v>
      </c>
      <c r="D289" s="438">
        <f>'Rate Class Load Model'!C8</f>
        <v>2070.3199999999997</v>
      </c>
      <c r="E289" s="438">
        <f>'Rate Class Load Model'!D8</f>
        <v>302</v>
      </c>
      <c r="F289" s="438">
        <f t="shared" si="24"/>
        <v>117849.22</v>
      </c>
      <c r="H289" s="429"/>
    </row>
    <row r="290" spans="2:8">
      <c r="B290" s="580">
        <f>'Rate Class Load Model'!A9</f>
        <v>2017</v>
      </c>
      <c r="C290" s="438">
        <f>'Rate Class Load Model'!B9</f>
        <v>111704.2</v>
      </c>
      <c r="D290" s="438">
        <f>'Rate Class Load Model'!C9</f>
        <v>1944.6200000000001</v>
      </c>
      <c r="E290" s="438">
        <f>'Rate Class Load Model'!D9</f>
        <v>275.7</v>
      </c>
      <c r="F290" s="438">
        <f t="shared" si="24"/>
        <v>113924.51999999999</v>
      </c>
    </row>
    <row r="291" spans="2:8">
      <c r="B291" s="580">
        <f>'Rate Class Load Model'!A10</f>
        <v>2018</v>
      </c>
      <c r="C291" s="438">
        <f>'Rate Class Load Model'!B10</f>
        <v>112493.40000000001</v>
      </c>
      <c r="D291" s="438">
        <f>'Rate Class Load Model'!C10</f>
        <v>1938.5</v>
      </c>
      <c r="E291" s="438">
        <f>'Rate Class Load Model'!D10</f>
        <v>270.2</v>
      </c>
      <c r="F291" s="438">
        <f t="shared" si="24"/>
        <v>114702.1</v>
      </c>
    </row>
    <row r="292" spans="2:8">
      <c r="B292" s="580">
        <f>'Rate Class Load Model'!A11</f>
        <v>2019</v>
      </c>
      <c r="C292" s="438">
        <f>'Rate Class Load Model'!B11</f>
        <v>109763.6</v>
      </c>
      <c r="D292" s="438">
        <f>'Rate Class Load Model'!C11</f>
        <v>1886.9</v>
      </c>
      <c r="E292" s="438">
        <f>'Rate Class Load Model'!D11</f>
        <v>272.39999999999998</v>
      </c>
      <c r="F292" s="438">
        <f t="shared" si="24"/>
        <v>111922.9</v>
      </c>
    </row>
    <row r="293" spans="2:8">
      <c r="B293" s="580">
        <f>'Rate Class Load Model'!A12</f>
        <v>2020</v>
      </c>
      <c r="C293" s="438">
        <f>'Rate Class Load Model'!B12</f>
        <v>109147</v>
      </c>
      <c r="D293" s="438">
        <f>'Rate Class Load Model'!C12</f>
        <v>1743.9</v>
      </c>
      <c r="E293" s="438">
        <f>'Rate Class Load Model'!D12</f>
        <v>268.5</v>
      </c>
      <c r="F293" s="438">
        <f t="shared" si="24"/>
        <v>111159.4</v>
      </c>
    </row>
    <row r="294" spans="2:8">
      <c r="B294" s="580">
        <f>'Rate Class Load Model'!A13</f>
        <v>2021</v>
      </c>
      <c r="C294" s="438">
        <f>'Rate Class Load Model'!B13</f>
        <v>110834.3</v>
      </c>
      <c r="D294" s="438">
        <f>'Rate Class Load Model'!C13</f>
        <v>1745.6</v>
      </c>
      <c r="E294" s="438">
        <f>'Rate Class Load Model'!D13</f>
        <v>246.13055555555553</v>
      </c>
      <c r="F294" s="438">
        <f t="shared" si="24"/>
        <v>112826.03055555557</v>
      </c>
    </row>
    <row r="295" spans="2:8">
      <c r="B295" s="562" t="str">
        <f>'Rate Class Load Model'!A14</f>
        <v>2022 Test</v>
      </c>
      <c r="C295" s="448">
        <f>'Rate Class Load Model'!B14</f>
        <v>105773.85165015483</v>
      </c>
      <c r="D295" s="448">
        <f>'Rate Class Load Model'!C14</f>
        <v>1745.6</v>
      </c>
      <c r="E295" s="448">
        <f>'Rate Class Load Model'!D14</f>
        <v>238.05455917504869</v>
      </c>
      <c r="F295" s="448">
        <f t="shared" ref="F295" si="25">SUM(C295:E295)</f>
        <v>107757.50620932988</v>
      </c>
    </row>
    <row r="298" spans="2:8" ht="15.6">
      <c r="C298" s="416" t="s">
        <v>653</v>
      </c>
    </row>
    <row r="299" spans="2:8" ht="16.2" thickBot="1">
      <c r="C299" s="416"/>
    </row>
    <row r="300" spans="2:8" ht="40.200000000000003" thickTop="1">
      <c r="B300" s="576" t="s">
        <v>124</v>
      </c>
      <c r="C300" s="577" t="s">
        <v>273</v>
      </c>
      <c r="D300" s="577" t="s">
        <v>175</v>
      </c>
      <c r="E300" s="577" t="s">
        <v>159</v>
      </c>
    </row>
    <row r="301" spans="2:8">
      <c r="B301" s="554"/>
      <c r="C301" s="579"/>
      <c r="D301" s="435"/>
      <c r="E301" s="579"/>
    </row>
    <row r="302" spans="2:8">
      <c r="B302" s="580">
        <f>'Rate Class Load Model'!A20</f>
        <v>2011</v>
      </c>
      <c r="C302" s="581">
        <f>'Rate Class Load Model'!B20</f>
        <v>3.0387713029111337E-3</v>
      </c>
      <c r="D302" s="581">
        <f>'Rate Class Load Model'!C20</f>
        <v>2.71068882172733E-3</v>
      </c>
      <c r="E302" s="581">
        <f>'Rate Class Load Model'!D20</f>
        <v>2.77105540263435E-3</v>
      </c>
    </row>
    <row r="303" spans="2:8">
      <c r="B303" s="580">
        <f>'Rate Class Load Model'!A21</f>
        <v>2012</v>
      </c>
      <c r="C303" s="581">
        <f>'Rate Class Load Model'!B21</f>
        <v>2.9487428636011418E-3</v>
      </c>
      <c r="D303" s="581">
        <f>'Rate Class Load Model'!C21</f>
        <v>2.6956792093591449E-3</v>
      </c>
      <c r="E303" s="581">
        <f>'Rate Class Load Model'!D21</f>
        <v>2.7709530231097481E-3</v>
      </c>
    </row>
    <row r="304" spans="2:8">
      <c r="B304" s="580">
        <f>'Rate Class Load Model'!A22</f>
        <v>2013</v>
      </c>
      <c r="C304" s="581">
        <f>'Rate Class Load Model'!B22</f>
        <v>3.1516928158527111E-3</v>
      </c>
      <c r="D304" s="581">
        <f>'Rate Class Load Model'!C22</f>
        <v>2.7084860599335455E-3</v>
      </c>
      <c r="E304" s="581">
        <f>'Rate Class Load Model'!D22</f>
        <v>2.7705691672592608E-3</v>
      </c>
    </row>
    <row r="305" spans="2:5">
      <c r="B305" s="580">
        <f>'Rate Class Load Model'!A23</f>
        <v>2014</v>
      </c>
      <c r="C305" s="581">
        <f>'Rate Class Load Model'!B23</f>
        <v>3.0984809090724643E-3</v>
      </c>
      <c r="D305" s="581">
        <f>'Rate Class Load Model'!C23</f>
        <v>2.739301024211032E-3</v>
      </c>
      <c r="E305" s="581">
        <f>'Rate Class Load Model'!D23</f>
        <v>2.7629869535781594E-3</v>
      </c>
    </row>
    <row r="306" spans="2:5">
      <c r="B306" s="580">
        <f>'Rate Class Load Model'!A24</f>
        <v>2015</v>
      </c>
      <c r="C306" s="581">
        <f>'Rate Class Load Model'!B24</f>
        <v>3.0728335547147048E-3</v>
      </c>
      <c r="D306" s="581">
        <f>'Rate Class Load Model'!C24</f>
        <v>2.7184001185547716E-3</v>
      </c>
      <c r="E306" s="581">
        <f>'Rate Class Load Model'!D24</f>
        <v>2.757940494237548E-3</v>
      </c>
    </row>
    <row r="307" spans="2:5">
      <c r="B307" s="580">
        <f>'Rate Class Load Model'!A25</f>
        <v>2016</v>
      </c>
      <c r="C307" s="581">
        <f>'Rate Class Load Model'!B25</f>
        <v>2.9267245638745255E-3</v>
      </c>
      <c r="D307" s="581">
        <f>'Rate Class Load Model'!C25</f>
        <v>2.6777450404703823E-3</v>
      </c>
      <c r="E307" s="581">
        <f>'Rate Class Load Model'!D25</f>
        <v>2.8279536665074771E-3</v>
      </c>
    </row>
    <row r="308" spans="2:5">
      <c r="B308" s="580">
        <f>'Rate Class Load Model'!A26</f>
        <v>2017</v>
      </c>
      <c r="C308" s="581">
        <f>'Rate Class Load Model'!B26</f>
        <v>2.9175735748084488E-3</v>
      </c>
      <c r="D308" s="581">
        <f>'Rate Class Load Model'!C26</f>
        <v>2.7134106352993707E-3</v>
      </c>
      <c r="E308" s="581">
        <f>'Rate Class Load Model'!D26</f>
        <v>2.7595940183772747E-3</v>
      </c>
    </row>
    <row r="309" spans="2:5">
      <c r="B309" s="580">
        <f>'Rate Class Load Model'!A27</f>
        <v>2018</v>
      </c>
      <c r="C309" s="581">
        <f>'Rate Class Load Model'!B27</f>
        <v>2.9836038325124054E-3</v>
      </c>
      <c r="D309" s="581">
        <f>'Rate Class Load Model'!C27</f>
        <v>2.7131294655136067E-3</v>
      </c>
      <c r="E309" s="581">
        <f>'Rate Class Load Model'!D27</f>
        <v>2.7740988285541216E-3</v>
      </c>
    </row>
    <row r="310" spans="2:5">
      <c r="B310" s="580">
        <f>'Rate Class Load Model'!A28</f>
        <v>2019</v>
      </c>
      <c r="C310" s="581">
        <f>'Rate Class Load Model'!B28</f>
        <v>2.9662630265305636E-3</v>
      </c>
      <c r="D310" s="581">
        <f>'Rate Class Load Model'!C28</f>
        <v>2.7268799054284694E-3</v>
      </c>
      <c r="E310" s="581">
        <f>'Rate Class Load Model'!D28</f>
        <v>2.7772113698462538E-3</v>
      </c>
    </row>
    <row r="311" spans="2:5">
      <c r="B311" s="580">
        <f>'Rate Class Load Model'!A29</f>
        <v>2020</v>
      </c>
      <c r="C311" s="581">
        <f>'Rate Class Load Model'!B29</f>
        <v>3.0227957466668572E-3</v>
      </c>
      <c r="D311" s="581">
        <f>'Rate Class Load Model'!C29</f>
        <v>2.7047483152515296E-3</v>
      </c>
      <c r="E311" s="581">
        <f>'Rate Class Load Model'!D29</f>
        <v>2.7777777777777779E-3</v>
      </c>
    </row>
    <row r="312" spans="2:5">
      <c r="B312" s="580">
        <f>'Rate Class Load Model'!A30</f>
        <v>2021</v>
      </c>
      <c r="C312" s="581">
        <f>'Rate Class Load Model'!B30</f>
        <v>2.9296002322654916E-3</v>
      </c>
      <c r="D312" s="581">
        <f>'Rate Class Load Model'!C30</f>
        <v>2.7122604863920844E-3</v>
      </c>
      <c r="E312" s="581">
        <f>'Rate Class Load Model'!D30</f>
        <v>2.7777777777777775E-3</v>
      </c>
    </row>
    <row r="313" spans="2:5">
      <c r="B313" s="580" t="str">
        <f>'Rate Class Load Model'!A31</f>
        <v>2022 Test</v>
      </c>
      <c r="C313" s="581">
        <f>'Rate Class Load Model'!B31</f>
        <v>2.9639672825567528E-3</v>
      </c>
      <c r="D313" s="581">
        <f>'Rate Class Load Model'!C31</f>
        <v>2.7122604863920844E-3</v>
      </c>
      <c r="E313" s="581">
        <f>'Rate Class Load Model'!D31</f>
        <v>2.7777777777777779E-3</v>
      </c>
    </row>
    <row r="316" spans="2:5">
      <c r="B316" s="409" t="s">
        <v>654</v>
      </c>
    </row>
    <row r="317" spans="2:5">
      <c r="B317" s="417" t="s">
        <v>362</v>
      </c>
      <c r="D317" s="409"/>
    </row>
    <row r="318" spans="2:5">
      <c r="D318" s="409"/>
    </row>
    <row r="319" spans="2:5">
      <c r="D319" s="409"/>
    </row>
    <row r="320" spans="2:5">
      <c r="B320" s="409" t="s">
        <v>655</v>
      </c>
      <c r="D320" s="409"/>
    </row>
    <row r="321" spans="2:11">
      <c r="B321" s="417" t="s">
        <v>363</v>
      </c>
      <c r="C321" s="409"/>
      <c r="D321" s="409"/>
    </row>
    <row r="322" spans="2:11">
      <c r="B322" s="409"/>
      <c r="C322" s="409"/>
      <c r="D322" s="409"/>
    </row>
    <row r="323" spans="2:11">
      <c r="C323" s="409"/>
      <c r="D323" s="409"/>
    </row>
    <row r="324" spans="2:11">
      <c r="B324" s="409" t="s">
        <v>656</v>
      </c>
    </row>
    <row r="325" spans="2:11">
      <c r="B325" s="417" t="s">
        <v>363</v>
      </c>
    </row>
    <row r="327" spans="2:11">
      <c r="B327" s="409" t="s">
        <v>739</v>
      </c>
    </row>
    <row r="328" spans="2:11">
      <c r="B328" s="417" t="s">
        <v>740</v>
      </c>
    </row>
    <row r="330" spans="2:11">
      <c r="C330" s="409" t="s">
        <v>657</v>
      </c>
    </row>
    <row r="331" spans="2:11" ht="14.4" thickBot="1">
      <c r="D331" s="409" t="s">
        <v>563</v>
      </c>
    </row>
    <row r="332" spans="2:11" s="451" customFormat="1" ht="27" thickTop="1">
      <c r="B332" s="1210"/>
      <c r="C332" s="1211" t="s">
        <v>529</v>
      </c>
      <c r="D332" s="1212" t="s">
        <v>552</v>
      </c>
      <c r="E332" s="1212" t="s">
        <v>553</v>
      </c>
      <c r="F332" s="1212" t="s">
        <v>554</v>
      </c>
      <c r="G332" s="1212" t="s">
        <v>542</v>
      </c>
      <c r="H332" s="1213" t="s">
        <v>555</v>
      </c>
      <c r="I332" s="1214" t="s">
        <v>556</v>
      </c>
    </row>
    <row r="333" spans="2:11" s="451" customFormat="1" ht="13.2">
      <c r="B333" s="589"/>
      <c r="C333" s="720"/>
      <c r="D333" s="720"/>
      <c r="E333" s="720"/>
      <c r="F333" s="784"/>
      <c r="G333" s="784"/>
      <c r="H333" s="784"/>
      <c r="I333" s="1215"/>
    </row>
    <row r="334" spans="2:11" s="451" customFormat="1" ht="16.2">
      <c r="B334" s="1207" t="str">
        <f>Summary!A15</f>
        <v xml:space="preserve">Residential </v>
      </c>
      <c r="C334" s="453"/>
      <c r="D334" s="453"/>
      <c r="E334" s="453"/>
      <c r="F334" s="456"/>
      <c r="G334" s="456"/>
      <c r="H334" s="456"/>
      <c r="I334" s="1216"/>
    </row>
    <row r="335" spans="2:11" s="451" customFormat="1" ht="13.2">
      <c r="B335" s="590" t="s">
        <v>549</v>
      </c>
      <c r="C335" s="454">
        <v>5071</v>
      </c>
      <c r="D335" s="454">
        <f>Summary!H16</f>
        <v>5089</v>
      </c>
      <c r="E335" s="454">
        <f>Summary!I16</f>
        <v>5105</v>
      </c>
      <c r="F335" s="457">
        <f>Summary!J16</f>
        <v>5113</v>
      </c>
      <c r="G335" s="457">
        <f>Summary!K16</f>
        <v>5107</v>
      </c>
      <c r="H335" s="457">
        <f>Summary!L16</f>
        <v>5117</v>
      </c>
      <c r="I335" s="1217">
        <f>Summary!M16</f>
        <v>5126</v>
      </c>
      <c r="K335" s="1209">
        <f>SUM(D335:I335)-SUM('[19]App.2-IB_Load_Forecast_Analysis'!$G$64:$G$69)</f>
        <v>65</v>
      </c>
    </row>
    <row r="336" spans="2:11" s="451" customFormat="1" ht="13.2">
      <c r="B336" s="590" t="s">
        <v>548</v>
      </c>
      <c r="C336" s="454">
        <v>40480043</v>
      </c>
      <c r="D336" s="454">
        <f>Summary!H17</f>
        <v>39379535.354999997</v>
      </c>
      <c r="E336" s="454">
        <f>Summary!I17</f>
        <v>42538788.821000002</v>
      </c>
      <c r="F336" s="457">
        <f>Summary!J17</f>
        <v>42182601</v>
      </c>
      <c r="G336" s="457">
        <f>Summary!K17</f>
        <v>43593897</v>
      </c>
      <c r="H336" s="457">
        <f>Summary!L17</f>
        <v>43612856</v>
      </c>
      <c r="I336" s="1217">
        <f>Summary!M17</f>
        <v>40152604.799600743</v>
      </c>
      <c r="K336" s="1209">
        <f>SUM(D336:I336)-SUM('Rate Class Energy Model '!E9:E14)</f>
        <v>0</v>
      </c>
    </row>
    <row r="337" spans="2:11" s="451" customFormat="1" ht="13.2">
      <c r="B337" s="593" t="s">
        <v>550</v>
      </c>
      <c r="C337" s="455">
        <f>C336</f>
        <v>40480043</v>
      </c>
      <c r="D337" s="455">
        <f t="array" ref="D337:G337">TRANSPOSE('Weather Normalized Historical'!G25:G28)</f>
        <v>40569360.663189359</v>
      </c>
      <c r="E337" s="455">
        <v>41591625.67292235</v>
      </c>
      <c r="F337" s="1234">
        <v>41268647.042907096</v>
      </c>
      <c r="G337" s="1234">
        <v>43935848.788816221</v>
      </c>
      <c r="H337" s="1234">
        <f>H336</f>
        <v>43612856</v>
      </c>
      <c r="I337" s="1235">
        <f>I336</f>
        <v>40152604.799600743</v>
      </c>
      <c r="K337" s="1209">
        <f>SUM(D337:I337)-SUM('[19]App.2-IB_Load_Forecast_Analysis'!$M$64:$M$69)</f>
        <v>3047424.8694776297</v>
      </c>
    </row>
    <row r="338" spans="2:11" s="451" customFormat="1" ht="26.4">
      <c r="B338" s="1231" t="s">
        <v>559</v>
      </c>
      <c r="C338" s="1232">
        <f t="shared" ref="C338:I338" si="26">C336/C335</f>
        <v>7982.6549004141198</v>
      </c>
      <c r="D338" s="1232">
        <f t="shared" si="26"/>
        <v>7738.1676861858905</v>
      </c>
      <c r="E338" s="1232">
        <f t="shared" si="26"/>
        <v>8332.7696025465229</v>
      </c>
      <c r="F338" s="1232">
        <f t="shared" si="26"/>
        <v>8250.0686485429305</v>
      </c>
      <c r="G338" s="1232">
        <f t="shared" si="26"/>
        <v>8536.1067162717845</v>
      </c>
      <c r="H338" s="1232">
        <f t="shared" si="26"/>
        <v>8523.1299589603277</v>
      </c>
      <c r="I338" s="1233">
        <f t="shared" si="26"/>
        <v>7833.1261801796218</v>
      </c>
      <c r="K338" s="1209"/>
    </row>
    <row r="339" spans="2:11" s="451" customFormat="1" ht="39.6">
      <c r="B339" s="1237" t="s">
        <v>560</v>
      </c>
      <c r="C339" s="455">
        <f>C337/C335</f>
        <v>7982.6549004141198</v>
      </c>
      <c r="D339" s="455">
        <f>D337/D335</f>
        <v>7971.9710479837613</v>
      </c>
      <c r="E339" s="455">
        <f t="shared" ref="E339:I339" si="27">E337/E335</f>
        <v>8147.2332366155433</v>
      </c>
      <c r="F339" s="455">
        <f t="shared" si="27"/>
        <v>8071.31763014025</v>
      </c>
      <c r="G339" s="455">
        <f t="shared" si="27"/>
        <v>8603.064184220917</v>
      </c>
      <c r="H339" s="455">
        <f t="shared" si="27"/>
        <v>8523.1299589603277</v>
      </c>
      <c r="I339" s="1238">
        <f t="shared" si="27"/>
        <v>7833.1261801796218</v>
      </c>
      <c r="K339" s="1209"/>
    </row>
    <row r="340" spans="2:11" s="785" customFormat="1" ht="13.2">
      <c r="B340" s="1283" t="s">
        <v>310</v>
      </c>
      <c r="C340" s="1284">
        <v>1530713</v>
      </c>
      <c r="D340" s="1284">
        <v>1412657.6300000001</v>
      </c>
      <c r="E340" s="1284">
        <v>1500817.69</v>
      </c>
      <c r="F340" s="1285">
        <v>1609147.7399999998</v>
      </c>
      <c r="G340" s="1285">
        <v>1623109.1295849946</v>
      </c>
      <c r="H340" s="1285">
        <f>'[20]2021 Test Yr Revenue'!$J$37</f>
        <v>1598899.56</v>
      </c>
      <c r="I340" s="1286">
        <f>'[20]2021 Test Yr Revenue'!$J$22</f>
        <v>1547492.6407823511</v>
      </c>
      <c r="K340" s="1209">
        <f>SUM(D340:I340)-SUM('[19]App.2-IB_Load_Forecast_Analysis'!$G$85:$G$90)</f>
        <v>0</v>
      </c>
    </row>
    <row r="341" spans="2:11" s="451" customFormat="1" ht="13.2">
      <c r="B341" s="1279" t="s">
        <v>551</v>
      </c>
      <c r="C341" s="1280"/>
      <c r="D341" s="1280"/>
      <c r="E341" s="1280"/>
      <c r="F341" s="1281"/>
      <c r="G341" s="1281"/>
      <c r="H341" s="1281"/>
      <c r="I341" s="1282"/>
      <c r="K341" s="1209"/>
    </row>
    <row r="342" spans="2:11" s="451" customFormat="1" ht="13.2">
      <c r="B342" s="590" t="s">
        <v>549</v>
      </c>
      <c r="C342" s="454"/>
      <c r="D342" s="1257">
        <f>D335/C335-1</f>
        <v>3.5495957404851897E-3</v>
      </c>
      <c r="E342" s="1257">
        <f t="shared" ref="E342:I342" si="28">E335/D335-1</f>
        <v>3.144036156415897E-3</v>
      </c>
      <c r="F342" s="1257">
        <f t="shared" si="28"/>
        <v>1.5670910871694588E-3</v>
      </c>
      <c r="G342" s="1257">
        <f t="shared" si="28"/>
        <v>-1.1734793663211729E-3</v>
      </c>
      <c r="H342" s="1257">
        <f t="shared" si="28"/>
        <v>1.9580967299783758E-3</v>
      </c>
      <c r="I342" s="1270">
        <f t="shared" si="28"/>
        <v>1.7588430721124926E-3</v>
      </c>
      <c r="K342" s="1209"/>
    </row>
    <row r="343" spans="2:11" s="451" customFormat="1" ht="13.2">
      <c r="B343" s="590" t="s">
        <v>548</v>
      </c>
      <c r="C343" s="454"/>
      <c r="D343" s="1257">
        <f t="shared" ref="D343:I344" si="29">D336/C336-1</f>
        <v>-2.7186424801969755E-2</v>
      </c>
      <c r="E343" s="1257">
        <f t="shared" si="29"/>
        <v>8.0225767966022321E-2</v>
      </c>
      <c r="F343" s="1257">
        <f t="shared" si="29"/>
        <v>-8.3732478256213216E-3</v>
      </c>
      <c r="G343" s="1257">
        <f t="shared" si="29"/>
        <v>3.3456827377714271E-2</v>
      </c>
      <c r="H343" s="1257">
        <f t="shared" si="29"/>
        <v>4.3490032561210867E-4</v>
      </c>
      <c r="I343" s="1270">
        <f t="shared" si="29"/>
        <v>-7.9340165211818636E-2</v>
      </c>
      <c r="K343" s="1209"/>
    </row>
    <row r="344" spans="2:11" s="451" customFormat="1" ht="13.2">
      <c r="B344" s="593" t="s">
        <v>550</v>
      </c>
      <c r="C344" s="455"/>
      <c r="D344" s="1268">
        <f t="shared" si="29"/>
        <v>2.2064616677743842E-3</v>
      </c>
      <c r="E344" s="1268">
        <f t="shared" si="29"/>
        <v>2.5197957104129198E-2</v>
      </c>
      <c r="F344" s="1268">
        <f t="shared" si="29"/>
        <v>-7.765472611125257E-3</v>
      </c>
      <c r="G344" s="1268">
        <f t="shared" si="29"/>
        <v>6.463022020411846E-2</v>
      </c>
      <c r="H344" s="1268">
        <f t="shared" si="29"/>
        <v>-7.3514635023607111E-3</v>
      </c>
      <c r="I344" s="1272">
        <f t="shared" si="29"/>
        <v>-7.9340165211818636E-2</v>
      </c>
      <c r="K344" s="1209"/>
    </row>
    <row r="345" spans="2:11" s="785" customFormat="1" ht="13.2">
      <c r="B345" s="1222"/>
      <c r="C345" s="1205"/>
      <c r="D345" s="1205"/>
      <c r="E345" s="1205"/>
      <c r="F345" s="1223"/>
      <c r="G345" s="1223"/>
      <c r="H345" s="1223"/>
      <c r="I345" s="1224"/>
      <c r="K345" s="1209"/>
    </row>
    <row r="346" spans="2:11" s="451" customFormat="1" ht="16.2">
      <c r="B346" s="1207" t="str">
        <f>Summary!A19</f>
        <v>General Service &lt; 50 kW</v>
      </c>
      <c r="C346" s="459"/>
      <c r="D346" s="459"/>
      <c r="E346" s="459"/>
      <c r="F346" s="460"/>
      <c r="G346" s="460"/>
      <c r="H346" s="460"/>
      <c r="I346" s="1225"/>
      <c r="K346" s="1209"/>
    </row>
    <row r="347" spans="2:11" s="451" customFormat="1" ht="13.2">
      <c r="B347" s="590" t="s">
        <v>549</v>
      </c>
      <c r="C347" s="454">
        <v>740</v>
      </c>
      <c r="D347" s="454">
        <f>Summary!H20</f>
        <v>741</v>
      </c>
      <c r="E347" s="454">
        <f>Summary!I20</f>
        <v>739</v>
      </c>
      <c r="F347" s="454">
        <f>Summary!J20</f>
        <v>735</v>
      </c>
      <c r="G347" s="454">
        <f>Summary!K20</f>
        <v>731</v>
      </c>
      <c r="H347" s="454">
        <f>Summary!L20</f>
        <v>730</v>
      </c>
      <c r="I347" s="1226">
        <f>Summary!M20</f>
        <v>728</v>
      </c>
      <c r="K347" s="1209">
        <f>SUM(D347:I347)-SUM('[19]App.2-IB_Load_Forecast_Analysis'!$G$107:$G$112)</f>
        <v>-11.269810355031041</v>
      </c>
    </row>
    <row r="348" spans="2:11" s="451" customFormat="1" ht="13.2">
      <c r="B348" s="590" t="s">
        <v>548</v>
      </c>
      <c r="C348" s="454">
        <v>20348623</v>
      </c>
      <c r="D348" s="454">
        <f>Summary!H21</f>
        <v>19816422.939999998</v>
      </c>
      <c r="E348" s="454">
        <f>Summary!I21</f>
        <v>20252448.662</v>
      </c>
      <c r="F348" s="454">
        <f>Summary!J21</f>
        <v>19700297</v>
      </c>
      <c r="G348" s="454">
        <f>Summary!K21</f>
        <v>18533558</v>
      </c>
      <c r="H348" s="454">
        <f>Summary!L21</f>
        <v>17739759</v>
      </c>
      <c r="I348" s="1226">
        <f>Summary!M21</f>
        <v>18422392.908433612</v>
      </c>
      <c r="K348" s="1209">
        <f>SUM(D348:I348)-SUM('Rate Class Energy Model '!F9:F14)</f>
        <v>0</v>
      </c>
    </row>
    <row r="349" spans="2:11" s="451" customFormat="1" ht="13.2">
      <c r="B349" s="593" t="s">
        <v>550</v>
      </c>
      <c r="C349" s="455">
        <f>C348</f>
        <v>20348623</v>
      </c>
      <c r="D349" s="455">
        <f t="array" ref="D349:G349">TRANSPOSE('Weather Normalized Historical'!H25:H28)</f>
        <v>20415162.394877858</v>
      </c>
      <c r="E349" s="455">
        <v>19801510.269943308</v>
      </c>
      <c r="F349" s="1234">
        <v>19273458.351547394</v>
      </c>
      <c r="G349" s="1234">
        <v>18678935.764947906</v>
      </c>
      <c r="H349" s="1234">
        <f>H348</f>
        <v>17739759</v>
      </c>
      <c r="I349" s="1235">
        <f>I348</f>
        <v>18422392.908433612</v>
      </c>
      <c r="K349" s="1209">
        <f>SUM(D349:I349)-SUM('[19]App.2-IB_Load_Forecast_Analysis'!$M$107:$M$112)</f>
        <v>-3829651.5809479356</v>
      </c>
    </row>
    <row r="350" spans="2:11" s="451" customFormat="1" ht="26.4">
      <c r="B350" s="1231" t="s">
        <v>559</v>
      </c>
      <c r="C350" s="1232">
        <f t="shared" ref="C350" si="30">C348/C347</f>
        <v>27498.139189189191</v>
      </c>
      <c r="D350" s="1232">
        <f t="shared" ref="D350:I350" si="31">D348/D347</f>
        <v>26742.810985155193</v>
      </c>
      <c r="E350" s="1232">
        <f t="shared" si="31"/>
        <v>27405.207932341003</v>
      </c>
      <c r="F350" s="1232">
        <f t="shared" si="31"/>
        <v>26803.125170068026</v>
      </c>
      <c r="G350" s="1232">
        <f t="shared" si="31"/>
        <v>25353.704514363886</v>
      </c>
      <c r="H350" s="1232">
        <f t="shared" si="31"/>
        <v>24301.039726027397</v>
      </c>
      <c r="I350" s="1233">
        <f t="shared" si="31"/>
        <v>25305.484764331886</v>
      </c>
      <c r="K350" s="1209"/>
    </row>
    <row r="351" spans="2:11" s="451" customFormat="1" ht="39.6">
      <c r="B351" s="1237" t="s">
        <v>560</v>
      </c>
      <c r="C351" s="455">
        <f>C349/C347</f>
        <v>27498.139189189191</v>
      </c>
      <c r="D351" s="455">
        <f>D349/D347</f>
        <v>27550.82644382977</v>
      </c>
      <c r="E351" s="455">
        <f t="shared" ref="E351:I351" si="32">E349/E347</f>
        <v>26795.007131181745</v>
      </c>
      <c r="F351" s="455">
        <f t="shared" si="32"/>
        <v>26222.392315030469</v>
      </c>
      <c r="G351" s="455">
        <f t="shared" si="32"/>
        <v>25552.579705811087</v>
      </c>
      <c r="H351" s="455">
        <f t="shared" si="32"/>
        <v>24301.039726027397</v>
      </c>
      <c r="I351" s="1238">
        <f t="shared" si="32"/>
        <v>25305.484764331886</v>
      </c>
      <c r="K351" s="1209"/>
    </row>
    <row r="352" spans="2:11" s="785" customFormat="1" ht="13.2">
      <c r="B352" s="1283" t="s">
        <v>310</v>
      </c>
      <c r="C352" s="1284">
        <v>494424</v>
      </c>
      <c r="D352" s="1284">
        <v>466732.02999999997</v>
      </c>
      <c r="E352" s="1284">
        <v>495354.92000000004</v>
      </c>
      <c r="F352" s="1285">
        <v>503343.12</v>
      </c>
      <c r="G352" s="1285">
        <v>531692.80000000005</v>
      </c>
      <c r="H352" s="1285">
        <f>'[20]2021 Test Yr Revenue'!$J$38</f>
        <v>496374.55169790925</v>
      </c>
      <c r="I352" s="1286">
        <f>'[20]2021 Test Yr Revenue'!$J$23</f>
        <v>504772.00329809322</v>
      </c>
      <c r="K352" s="1209">
        <f>SUM(D352:I352)-SUM('[19]App.2-IB_Load_Forecast_Analysis'!$G$128:$G$133)</f>
        <v>0</v>
      </c>
    </row>
    <row r="353" spans="2:14" s="451" customFormat="1" ht="13.2">
      <c r="B353" s="1279" t="s">
        <v>551</v>
      </c>
      <c r="C353" s="1280"/>
      <c r="D353" s="1280"/>
      <c r="E353" s="1280"/>
      <c r="F353" s="1281"/>
      <c r="G353" s="1281"/>
      <c r="H353" s="1281"/>
      <c r="I353" s="1287"/>
      <c r="K353" s="1209"/>
    </row>
    <row r="354" spans="2:14" s="451" customFormat="1" ht="13.2">
      <c r="B354" s="590" t="s">
        <v>549</v>
      </c>
      <c r="C354" s="1201"/>
      <c r="D354" s="1257">
        <f>D347/C347-1</f>
        <v>1.3513513513514486E-3</v>
      </c>
      <c r="E354" s="1257">
        <f t="shared" ref="E354:I354" si="33">E347/D347-1</f>
        <v>-2.6990553306343035E-3</v>
      </c>
      <c r="F354" s="1257">
        <f t="shared" si="33"/>
        <v>-5.4127198917456321E-3</v>
      </c>
      <c r="G354" s="1257">
        <f t="shared" si="33"/>
        <v>-5.4421768707483276E-3</v>
      </c>
      <c r="H354" s="1257">
        <f t="shared" si="33"/>
        <v>-1.3679890560875929E-3</v>
      </c>
      <c r="I354" s="1270">
        <f t="shared" si="33"/>
        <v>-2.739726027397249E-3</v>
      </c>
      <c r="K354" s="1209"/>
    </row>
    <row r="355" spans="2:14" s="451" customFormat="1" ht="13.2">
      <c r="B355" s="590" t="s">
        <v>548</v>
      </c>
      <c r="C355" s="1201"/>
      <c r="D355" s="1257">
        <f t="shared" ref="D355:I355" si="34">D348/C348-1</f>
        <v>-2.6154106840546532E-2</v>
      </c>
      <c r="E355" s="1257">
        <f t="shared" si="34"/>
        <v>2.2003250703731769E-2</v>
      </c>
      <c r="F355" s="1257">
        <f t="shared" si="34"/>
        <v>-2.7263452001041855E-2</v>
      </c>
      <c r="G355" s="1257">
        <f t="shared" si="34"/>
        <v>-5.922443707320757E-2</v>
      </c>
      <c r="H355" s="1257">
        <f t="shared" si="34"/>
        <v>-4.2830362092373231E-2</v>
      </c>
      <c r="I355" s="1270">
        <f t="shared" si="34"/>
        <v>3.84804499561473E-2</v>
      </c>
      <c r="K355" s="1209"/>
    </row>
    <row r="356" spans="2:14" s="451" customFormat="1" ht="13.2">
      <c r="B356" s="1200" t="s">
        <v>550</v>
      </c>
      <c r="C356" s="1201"/>
      <c r="D356" s="1268">
        <f t="shared" ref="D356:I356" si="35">D349/C349-1</f>
        <v>3.2699703993659401E-3</v>
      </c>
      <c r="E356" s="1268">
        <f t="shared" si="35"/>
        <v>-3.0058645288489894E-2</v>
      </c>
      <c r="F356" s="1268">
        <f t="shared" si="35"/>
        <v>-2.6667254729425549E-2</v>
      </c>
      <c r="G356" s="1268">
        <f t="shared" si="35"/>
        <v>-3.0846699941204703E-2</v>
      </c>
      <c r="H356" s="1268">
        <f t="shared" si="35"/>
        <v>-5.0279993291176939E-2</v>
      </c>
      <c r="I356" s="1272">
        <f t="shared" si="35"/>
        <v>3.84804499561473E-2</v>
      </c>
      <c r="K356" s="1209"/>
    </row>
    <row r="357" spans="2:14" s="785" customFormat="1" ht="13.2">
      <c r="B357" s="1222"/>
      <c r="C357" s="1205"/>
      <c r="D357" s="1205"/>
      <c r="E357" s="1205"/>
      <c r="F357" s="1223"/>
      <c r="G357" s="1223"/>
      <c r="H357" s="1223"/>
      <c r="I357" s="1224"/>
      <c r="K357" s="1209"/>
    </row>
    <row r="358" spans="2:14" s="451" customFormat="1" ht="16.2">
      <c r="B358" s="1207" t="str">
        <f>Summary!A23</f>
        <v>General Service 50 to 4,999 kW</v>
      </c>
      <c r="C358" s="459"/>
      <c r="D358" s="459"/>
      <c r="E358" s="459"/>
      <c r="F358" s="460"/>
      <c r="G358" s="460"/>
      <c r="H358" s="460"/>
      <c r="I358" s="1225"/>
      <c r="K358" s="1209"/>
    </row>
    <row r="359" spans="2:14" s="451" customFormat="1" ht="13.2">
      <c r="B359" s="590" t="s">
        <v>549</v>
      </c>
      <c r="C359" s="454">
        <v>64</v>
      </c>
      <c r="D359" s="454">
        <f>Summary!H24</f>
        <v>63</v>
      </c>
      <c r="E359" s="454">
        <f>Summary!I24</f>
        <v>65</v>
      </c>
      <c r="F359" s="454">
        <f>Summary!J24</f>
        <v>62</v>
      </c>
      <c r="G359" s="454">
        <f>Summary!K24</f>
        <v>61</v>
      </c>
      <c r="H359" s="454">
        <f>Summary!L24</f>
        <v>61</v>
      </c>
      <c r="I359" s="1226">
        <f>Summary!M24</f>
        <v>60</v>
      </c>
      <c r="K359" s="1209">
        <f>SUM(D359:I359)-SUM('[19]App.2-IB_Load_Forecast_Analysis'!$G$150:$G$155)</f>
        <v>-4</v>
      </c>
      <c r="L359" s="451">
        <v>2015</v>
      </c>
      <c r="M359" s="451">
        <v>2016</v>
      </c>
      <c r="N359" s="311"/>
    </row>
    <row r="360" spans="2:14" s="451" customFormat="1" ht="13.2">
      <c r="B360" s="590" t="s">
        <v>548</v>
      </c>
      <c r="C360" s="454">
        <v>39456019</v>
      </c>
      <c r="D360" s="454">
        <f>Summary!H25</f>
        <v>38286678</v>
      </c>
      <c r="E360" s="454">
        <f>Summary!I25</f>
        <v>37703866.302273989</v>
      </c>
      <c r="F360" s="454">
        <f>Summary!J25</f>
        <v>37004001</v>
      </c>
      <c r="G360" s="454">
        <f>Summary!K25</f>
        <v>36107964</v>
      </c>
      <c r="H360" s="454">
        <f>Summary!L25</f>
        <v>37832568</v>
      </c>
      <c r="I360" s="1226">
        <f>Summary!M25</f>
        <v>35686578.685481668</v>
      </c>
      <c r="K360" s="1209">
        <f>SUM(D360:I360)-SUM('Rate Class Energy Model '!G9:G14)</f>
        <v>0</v>
      </c>
      <c r="L360" s="30" t="s">
        <v>336</v>
      </c>
      <c r="M360" s="30" t="s">
        <v>336</v>
      </c>
      <c r="N360" s="451" t="s">
        <v>142</v>
      </c>
    </row>
    <row r="361" spans="2:14" s="451" customFormat="1" ht="13.2">
      <c r="B361" s="1200" t="s">
        <v>550</v>
      </c>
      <c r="C361" s="454">
        <f>C360</f>
        <v>39456019</v>
      </c>
      <c r="D361" s="454">
        <f t="array" ref="D361:G361">TRANSPOSE('Weather Normalized Historical'!I25:I28)</f>
        <v>38847553.336869769</v>
      </c>
      <c r="E361" s="454">
        <v>37296831.445979528</v>
      </c>
      <c r="F361" s="457">
        <v>36615273.120496981</v>
      </c>
      <c r="G361" s="457">
        <v>36245288.564300053</v>
      </c>
      <c r="H361" s="457">
        <f>H360</f>
        <v>37832568</v>
      </c>
      <c r="I361" s="1217">
        <f>I360</f>
        <v>35686578.685481668</v>
      </c>
      <c r="K361" s="1209">
        <f>SUM(D361:I361)-SUM('[19]App.2-IB_Load_Forecast_Analysis'!$M$150:$M$155)</f>
        <v>-434281.85639682412</v>
      </c>
      <c r="L361" s="311">
        <v>54987.9</v>
      </c>
      <c r="M361" s="311">
        <v>50071.600000000006</v>
      </c>
    </row>
    <row r="362" spans="2:14" s="451" customFormat="1" ht="13.2">
      <c r="B362" s="590" t="s">
        <v>557</v>
      </c>
      <c r="C362" s="1201">
        <v>115477</v>
      </c>
      <c r="D362" s="1201">
        <f>Summary!H26</f>
        <v>111704.2</v>
      </c>
      <c r="E362" s="1201">
        <f>Summary!I26</f>
        <v>112493.40000000001</v>
      </c>
      <c r="F362" s="1201">
        <f>Summary!J26</f>
        <v>109763.6</v>
      </c>
      <c r="G362" s="1201">
        <f>Summary!K26</f>
        <v>109147</v>
      </c>
      <c r="H362" s="1201">
        <f>Summary!L26</f>
        <v>110834.3</v>
      </c>
      <c r="I362" s="1219">
        <f>Summary!M26</f>
        <v>105773.85165015483</v>
      </c>
      <c r="K362" s="1209">
        <f>SUM(D362:I362)-SUM('Rate Class Load Model'!B9:B14)</f>
        <v>0</v>
      </c>
      <c r="L362" s="311"/>
      <c r="M362" s="311"/>
    </row>
    <row r="363" spans="2:14" s="451" customFormat="1" ht="13.2">
      <c r="B363" s="593" t="s">
        <v>558</v>
      </c>
      <c r="C363" s="455">
        <f>C362</f>
        <v>115477</v>
      </c>
      <c r="D363" s="455">
        <f t="array" ref="D363:G363">TRANSPOSE('Weather Normalized Historical'!I79:I82)</f>
        <v>113340.59506161303</v>
      </c>
      <c r="E363" s="455">
        <v>111278.96924279371</v>
      </c>
      <c r="F363" s="1234">
        <v>108610.53086364857</v>
      </c>
      <c r="G363" s="1234">
        <v>109562.10410887907</v>
      </c>
      <c r="H363" s="1234">
        <f>H362</f>
        <v>110834.3</v>
      </c>
      <c r="I363" s="1235">
        <f>I362</f>
        <v>105773.85165015483</v>
      </c>
      <c r="K363" s="1209">
        <f>SUM(D363:I363)-SUM('[19]App.2-IB_Load_Forecast_Analysis'!$M$171:$M$176)</f>
        <v>2111.6419786156621</v>
      </c>
      <c r="L363" s="311"/>
      <c r="M363" s="311"/>
    </row>
    <row r="364" spans="2:14" s="785" customFormat="1" ht="26.4">
      <c r="B364" s="1231" t="s">
        <v>561</v>
      </c>
      <c r="C364" s="474">
        <f>C362/C359</f>
        <v>1804.328125</v>
      </c>
      <c r="D364" s="474">
        <f>D362/D359</f>
        <v>1773.0825396825396</v>
      </c>
      <c r="E364" s="474">
        <f t="shared" ref="E364:I364" si="36">E362/E359</f>
        <v>1730.6676923076925</v>
      </c>
      <c r="F364" s="474">
        <f t="shared" si="36"/>
        <v>1770.3806451612904</v>
      </c>
      <c r="G364" s="474">
        <f t="shared" si="36"/>
        <v>1789.295081967213</v>
      </c>
      <c r="H364" s="474">
        <f t="shared" si="36"/>
        <v>1816.9557377049182</v>
      </c>
      <c r="I364" s="1239">
        <f t="shared" si="36"/>
        <v>1762.8975275025805</v>
      </c>
      <c r="K364" s="1209"/>
      <c r="L364" s="311">
        <v>64</v>
      </c>
      <c r="M364" s="311">
        <v>64</v>
      </c>
      <c r="N364" s="451"/>
    </row>
    <row r="365" spans="2:14" s="785" customFormat="1" ht="39.6">
      <c r="B365" s="1237" t="s">
        <v>562</v>
      </c>
      <c r="C365" s="461">
        <f>C363/C359</f>
        <v>1804.328125</v>
      </c>
      <c r="D365" s="461">
        <f>D363/D359</f>
        <v>1799.0570644700481</v>
      </c>
      <c r="E365" s="461">
        <f t="shared" ref="E365:I365" si="37">E363/E359</f>
        <v>1711.9841421968263</v>
      </c>
      <c r="F365" s="461">
        <f t="shared" si="37"/>
        <v>1751.7827558652996</v>
      </c>
      <c r="G365" s="461">
        <f t="shared" si="37"/>
        <v>1796.1000673586732</v>
      </c>
      <c r="H365" s="461">
        <f t="shared" si="37"/>
        <v>1816.9557377049182</v>
      </c>
      <c r="I365" s="1228">
        <f t="shared" si="37"/>
        <v>1762.8975275025805</v>
      </c>
      <c r="K365" s="1209"/>
      <c r="L365" s="311"/>
      <c r="M365" s="311"/>
      <c r="N365" s="451"/>
    </row>
    <row r="366" spans="2:14" s="785" customFormat="1" ht="13.2">
      <c r="B366" s="1283" t="s">
        <v>310</v>
      </c>
      <c r="C366" s="1284">
        <v>450385</v>
      </c>
      <c r="D366" s="1284">
        <v>419957.24000000005</v>
      </c>
      <c r="E366" s="1284">
        <v>425839.14</v>
      </c>
      <c r="F366" s="1285">
        <v>456243.20999999996</v>
      </c>
      <c r="G366" s="1285">
        <v>460312.73000000004</v>
      </c>
      <c r="H366" s="1285">
        <f>'[20]2021 Test Yr Revenue'!$J$39</f>
        <v>436011.13265644439</v>
      </c>
      <c r="I366" s="1286">
        <f>'[20]2021 Test Yr Revenue'!$J$24</f>
        <v>457430.82839669031</v>
      </c>
      <c r="K366" s="1209">
        <f>SUM(D366:I366)-SUM('[19]App.2-IB_Load_Forecast_Analysis'!$G$171:$G$176)</f>
        <v>0</v>
      </c>
      <c r="L366" s="311"/>
      <c r="M366" s="311"/>
      <c r="N366" s="451"/>
    </row>
    <row r="367" spans="2:14" s="785" customFormat="1" ht="13.2">
      <c r="B367" s="1279" t="s">
        <v>551</v>
      </c>
      <c r="C367" s="1280"/>
      <c r="D367" s="1280"/>
      <c r="E367" s="1280"/>
      <c r="F367" s="1281"/>
      <c r="G367" s="1281"/>
      <c r="H367" s="1281"/>
      <c r="I367" s="1282"/>
      <c r="K367" s="1209"/>
      <c r="L367" s="311"/>
      <c r="M367" s="311"/>
      <c r="N367" s="451"/>
    </row>
    <row r="368" spans="2:14" s="785" customFormat="1" ht="13.2">
      <c r="B368" s="590" t="s">
        <v>549</v>
      </c>
      <c r="C368" s="465"/>
      <c r="D368" s="1257">
        <f>D359/C359-1</f>
        <v>-1.5625E-2</v>
      </c>
      <c r="E368" s="1257">
        <f t="shared" ref="E368:I368" si="38">E359/D359-1</f>
        <v>3.1746031746031855E-2</v>
      </c>
      <c r="F368" s="1257">
        <f t="shared" si="38"/>
        <v>-4.6153846153846101E-2</v>
      </c>
      <c r="G368" s="1257">
        <f t="shared" si="38"/>
        <v>-1.6129032258064502E-2</v>
      </c>
      <c r="H368" s="1257">
        <f t="shared" si="38"/>
        <v>0</v>
      </c>
      <c r="I368" s="1270">
        <f t="shared" si="38"/>
        <v>-1.6393442622950838E-2</v>
      </c>
      <c r="K368" s="1209"/>
      <c r="L368" s="311"/>
      <c r="M368" s="311"/>
      <c r="N368" s="451"/>
    </row>
    <row r="369" spans="2:14" s="785" customFormat="1" ht="13.2">
      <c r="B369" s="590" t="s">
        <v>548</v>
      </c>
      <c r="C369" s="465"/>
      <c r="D369" s="1257">
        <f t="shared" ref="D369:I372" si="39">D360/C360-1</f>
        <v>-2.9636568250841488E-2</v>
      </c>
      <c r="E369" s="1257">
        <f t="shared" si="39"/>
        <v>-1.5222310426775909E-2</v>
      </c>
      <c r="F369" s="1257">
        <f t="shared" si="39"/>
        <v>-1.8562162741166399E-2</v>
      </c>
      <c r="G369" s="1257">
        <f t="shared" si="39"/>
        <v>-2.4214597767414414E-2</v>
      </c>
      <c r="H369" s="1257">
        <f t="shared" si="39"/>
        <v>4.7762427147650888E-2</v>
      </c>
      <c r="I369" s="1270">
        <f t="shared" si="39"/>
        <v>-5.6723331985244374E-2</v>
      </c>
      <c r="K369" s="1209"/>
      <c r="L369" s="311"/>
      <c r="M369" s="311"/>
      <c r="N369" s="451"/>
    </row>
    <row r="370" spans="2:14" s="785" customFormat="1" ht="13.2">
      <c r="B370" s="1200" t="s">
        <v>550</v>
      </c>
      <c r="C370" s="465"/>
      <c r="D370" s="1257">
        <f t="shared" si="39"/>
        <v>-1.5421364814585892E-2</v>
      </c>
      <c r="E370" s="1257">
        <f t="shared" si="39"/>
        <v>-3.9918135318408043E-2</v>
      </c>
      <c r="F370" s="1257">
        <f t="shared" si="39"/>
        <v>-1.8273893493330973E-2</v>
      </c>
      <c r="G370" s="1257">
        <f t="shared" si="39"/>
        <v>-1.0104651001218712E-2</v>
      </c>
      <c r="H370" s="1257">
        <f t="shared" si="39"/>
        <v>4.379271068249535E-2</v>
      </c>
      <c r="I370" s="1270">
        <f t="shared" si="39"/>
        <v>-5.6723331985244374E-2</v>
      </c>
      <c r="K370" s="1209"/>
      <c r="L370" s="311"/>
      <c r="M370" s="311"/>
      <c r="N370" s="451"/>
    </row>
    <row r="371" spans="2:14" s="785" customFormat="1" ht="13.2">
      <c r="B371" s="590" t="s">
        <v>557</v>
      </c>
      <c r="C371" s="465"/>
      <c r="D371" s="1257">
        <f t="shared" si="39"/>
        <v>-3.2671441066186357E-2</v>
      </c>
      <c r="E371" s="1257">
        <f t="shared" si="39"/>
        <v>7.0650879734155403E-3</v>
      </c>
      <c r="F371" s="1257">
        <f t="shared" si="39"/>
        <v>-2.4266312512556287E-2</v>
      </c>
      <c r="G371" s="1257">
        <f t="shared" si="39"/>
        <v>-5.6175271219238709E-3</v>
      </c>
      <c r="H371" s="1257">
        <f t="shared" si="39"/>
        <v>1.5458968180527277E-2</v>
      </c>
      <c r="I371" s="1270">
        <f t="shared" si="39"/>
        <v>-4.5657782381854473E-2</v>
      </c>
      <c r="K371" s="1209"/>
      <c r="L371" s="311"/>
      <c r="M371" s="311"/>
      <c r="N371" s="451"/>
    </row>
    <row r="372" spans="2:14" s="785" customFormat="1" ht="13.2">
      <c r="B372" s="1200" t="s">
        <v>558</v>
      </c>
      <c r="C372" s="465"/>
      <c r="D372" s="1276">
        <f t="shared" si="39"/>
        <v>-1.8500696574962783E-2</v>
      </c>
      <c r="E372" s="1276">
        <f t="shared" si="39"/>
        <v>-1.8189650563406712E-2</v>
      </c>
      <c r="F372" s="1276">
        <f t="shared" si="39"/>
        <v>-2.3979718695300023E-2</v>
      </c>
      <c r="G372" s="1276">
        <f t="shared" si="39"/>
        <v>8.7613349982158528E-3</v>
      </c>
      <c r="H372" s="1276">
        <f t="shared" si="39"/>
        <v>1.1611641648070936E-2</v>
      </c>
      <c r="I372" s="1277">
        <f t="shared" si="39"/>
        <v>-4.5657782381854473E-2</v>
      </c>
      <c r="K372" s="1209"/>
      <c r="L372" s="311"/>
      <c r="M372" s="311"/>
      <c r="N372" s="451"/>
    </row>
    <row r="373" spans="2:14" s="785" customFormat="1" ht="13.2">
      <c r="B373" s="1278"/>
      <c r="C373" s="1273"/>
      <c r="D373" s="1273"/>
      <c r="E373" s="1273"/>
      <c r="F373" s="1274"/>
      <c r="G373" s="1274"/>
      <c r="H373" s="1274"/>
      <c r="I373" s="1275"/>
      <c r="K373" s="1209"/>
      <c r="L373" s="311"/>
      <c r="M373" s="311"/>
      <c r="N373" s="451"/>
    </row>
    <row r="374" spans="2:14" s="785" customFormat="1" ht="13.2">
      <c r="B374" s="591" t="str">
        <f>Summary!A28</f>
        <v xml:space="preserve">Street Lights </v>
      </c>
      <c r="C374" s="465"/>
      <c r="D374" s="465"/>
      <c r="E374" s="465"/>
      <c r="F374" s="466"/>
      <c r="G374" s="466"/>
      <c r="H374" s="466"/>
      <c r="I374" s="1220"/>
      <c r="K374" s="1209"/>
      <c r="L374" s="311"/>
      <c r="M374" s="311"/>
      <c r="N374" s="451"/>
    </row>
    <row r="375" spans="2:14" s="785" customFormat="1" ht="13.2">
      <c r="B375" s="590" t="s">
        <v>549</v>
      </c>
      <c r="C375" s="454">
        <v>1711</v>
      </c>
      <c r="D375" s="454">
        <f>Summary!H29</f>
        <v>1711</v>
      </c>
      <c r="E375" s="454">
        <f>Summary!I29</f>
        <v>1711</v>
      </c>
      <c r="F375" s="454">
        <f>Summary!J29</f>
        <v>1711</v>
      </c>
      <c r="G375" s="454">
        <f>Summary!K29</f>
        <v>1712</v>
      </c>
      <c r="H375" s="454">
        <f>Summary!L29</f>
        <v>1712</v>
      </c>
      <c r="I375" s="1226">
        <f>Summary!M29</f>
        <v>1712</v>
      </c>
      <c r="K375" s="1209">
        <f>SUM(D375:I375)-SUM('[19]App.2-IB_Load_Forecast_Analysis'!$G$193:$G$198)</f>
        <v>1</v>
      </c>
      <c r="L375" s="311"/>
      <c r="M375" s="311"/>
      <c r="N375" s="451"/>
    </row>
    <row r="376" spans="2:14" s="785" customFormat="1" ht="13.2">
      <c r="B376" s="590" t="s">
        <v>548</v>
      </c>
      <c r="C376" s="454">
        <v>773158</v>
      </c>
      <c r="D376" s="454">
        <f>Summary!H30</f>
        <v>716670</v>
      </c>
      <c r="E376" s="454">
        <f>Summary!I30</f>
        <v>714488.57293399889</v>
      </c>
      <c r="F376" s="454">
        <f>Summary!J30</f>
        <v>691963</v>
      </c>
      <c r="G376" s="454">
        <f>Summary!K30</f>
        <v>644755</v>
      </c>
      <c r="H376" s="454">
        <f>Summary!L30</f>
        <v>643596</v>
      </c>
      <c r="I376" s="1226">
        <f>Summary!M30</f>
        <v>643596</v>
      </c>
      <c r="K376" s="1209">
        <f>SUM(D376:I376)-SUM('Rate Class Energy Model '!H9:H14)</f>
        <v>0</v>
      </c>
      <c r="L376" s="311"/>
      <c r="M376" s="311"/>
      <c r="N376" s="451"/>
    </row>
    <row r="377" spans="2:14" s="785" customFormat="1" ht="13.2">
      <c r="B377" s="1200" t="s">
        <v>550</v>
      </c>
      <c r="C377" s="454">
        <f>C376</f>
        <v>773158</v>
      </c>
      <c r="D377" s="454">
        <f t="array" ref="D377:G377">TRANSPOSE('Weather Normalized Historical'!J25:J28)</f>
        <v>716670</v>
      </c>
      <c r="E377" s="454">
        <v>714488.57293399889</v>
      </c>
      <c r="F377" s="457">
        <v>691963</v>
      </c>
      <c r="G377" s="457">
        <v>644755</v>
      </c>
      <c r="H377" s="457">
        <f>H376</f>
        <v>643596</v>
      </c>
      <c r="I377" s="1217">
        <f>I376</f>
        <v>643596</v>
      </c>
      <c r="K377" s="1209">
        <f>SUM(D377:I377)-SUM('[19]App.2-IB_Load_Forecast_Analysis'!$M$193:$M$198)</f>
        <v>-124923.79600000009</v>
      </c>
      <c r="L377" s="311"/>
      <c r="M377" s="311"/>
      <c r="N377" s="451"/>
    </row>
    <row r="378" spans="2:14" s="785" customFormat="1" ht="13.2">
      <c r="B378" s="590" t="s">
        <v>557</v>
      </c>
      <c r="C378" s="1201">
        <v>2070</v>
      </c>
      <c r="D378" s="1201">
        <f>Summary!H31</f>
        <v>1944.6200000000001</v>
      </c>
      <c r="E378" s="1201">
        <f>Summary!I31</f>
        <v>1938.5</v>
      </c>
      <c r="F378" s="1201">
        <f>Summary!J31</f>
        <v>1886.9</v>
      </c>
      <c r="G378" s="1201">
        <f>Summary!K31</f>
        <v>1743.9</v>
      </c>
      <c r="H378" s="1201">
        <f>Summary!L31</f>
        <v>1745.6</v>
      </c>
      <c r="I378" s="1219">
        <f>Summary!M31</f>
        <v>1745.6</v>
      </c>
      <c r="K378" s="1209">
        <f>SUM(D378:I378)-SUM('Rate Class Load Model'!C9:C14)</f>
        <v>0</v>
      </c>
      <c r="L378" s="311"/>
      <c r="M378" s="311"/>
      <c r="N378" s="451"/>
    </row>
    <row r="379" spans="2:14" s="785" customFormat="1" ht="13.2">
      <c r="B379" s="1200" t="s">
        <v>558</v>
      </c>
      <c r="C379" s="1201">
        <f>C378</f>
        <v>2070</v>
      </c>
      <c r="D379" s="1201">
        <f t="array" ref="D379:G379">TRANSPOSE('Weather Normalized Historical'!J79:J82)</f>
        <v>1944.6200000000001</v>
      </c>
      <c r="E379" s="1201">
        <v>1938.5</v>
      </c>
      <c r="F379" s="1202">
        <v>1886.9</v>
      </c>
      <c r="G379" s="1202">
        <v>1743.9</v>
      </c>
      <c r="H379" s="1202">
        <f>H378</f>
        <v>1745.6</v>
      </c>
      <c r="I379" s="1218">
        <f>I378</f>
        <v>1745.6</v>
      </c>
      <c r="K379" s="1209">
        <f>SUM(D379:I379)-SUM('[19]App.2-IB_Load_Forecast_Analysis'!$M$214:$M$219)</f>
        <v>-318.33999999999833</v>
      </c>
      <c r="L379" s="311"/>
      <c r="M379" s="1250"/>
      <c r="N379" s="451"/>
    </row>
    <row r="380" spans="2:14" s="785" customFormat="1" ht="26.4">
      <c r="B380" s="1231" t="s">
        <v>561</v>
      </c>
      <c r="C380" s="1208">
        <f>C378/C375</f>
        <v>1.2098188194038575</v>
      </c>
      <c r="D380" s="1208">
        <f>D378/D375</f>
        <v>1.1365400350672121</v>
      </c>
      <c r="E380" s="1208">
        <f t="shared" ref="E380:I380" si="40">E378/E375</f>
        <v>1.1329631794272355</v>
      </c>
      <c r="F380" s="1208">
        <f t="shared" si="40"/>
        <v>1.1028053769725308</v>
      </c>
      <c r="G380" s="1208">
        <f t="shared" si="40"/>
        <v>1.0186331775700934</v>
      </c>
      <c r="H380" s="1208">
        <f t="shared" si="40"/>
        <v>1.0196261682242991</v>
      </c>
      <c r="I380" s="1227">
        <f t="shared" si="40"/>
        <v>1.0196261682242991</v>
      </c>
      <c r="K380" s="1209"/>
      <c r="L380" s="311"/>
      <c r="M380" s="1251"/>
      <c r="N380" s="451"/>
    </row>
    <row r="381" spans="2:14" s="785" customFormat="1" ht="39.6">
      <c r="B381" s="1237" t="s">
        <v>562</v>
      </c>
      <c r="C381" s="522">
        <f>C379/C375</f>
        <v>1.2098188194038575</v>
      </c>
      <c r="D381" s="522">
        <f>D379/D375</f>
        <v>1.1365400350672121</v>
      </c>
      <c r="E381" s="522">
        <f t="shared" ref="E381:I381" si="41">E379/E375</f>
        <v>1.1329631794272355</v>
      </c>
      <c r="F381" s="522">
        <f t="shared" si="41"/>
        <v>1.1028053769725308</v>
      </c>
      <c r="G381" s="522">
        <f t="shared" si="41"/>
        <v>1.0186331775700934</v>
      </c>
      <c r="H381" s="522">
        <f t="shared" si="41"/>
        <v>1.0196261682242991</v>
      </c>
      <c r="I381" s="1240">
        <f t="shared" si="41"/>
        <v>1.0196261682242991</v>
      </c>
      <c r="K381" s="1209"/>
      <c r="L381" s="311"/>
      <c r="M381" s="311"/>
      <c r="N381" s="451"/>
    </row>
    <row r="382" spans="2:14" s="785" customFormat="1" ht="13.2">
      <c r="B382" s="1283" t="s">
        <v>310</v>
      </c>
      <c r="C382" s="1284">
        <v>94907</v>
      </c>
      <c r="D382" s="1284">
        <v>98402.84</v>
      </c>
      <c r="E382" s="1284">
        <v>127247.22</v>
      </c>
      <c r="F382" s="1285">
        <v>101589.66</v>
      </c>
      <c r="G382" s="1285">
        <v>97215.610000000015</v>
      </c>
      <c r="H382" s="1285">
        <f>'[20]2021 Test Yr Revenue'!$J$40</f>
        <v>94334.265948000015</v>
      </c>
      <c r="I382" s="1286">
        <f>'[20]2021 Test Yr Revenue'!$J$25</f>
        <v>107317.88269386216</v>
      </c>
      <c r="K382" s="1209">
        <f>SUM(D382:I382)-SUM('[19]App.2-IB_Load_Forecast_Analysis'!$G$214:$G$219)</f>
        <v>0</v>
      </c>
      <c r="L382" s="311"/>
      <c r="M382" s="311"/>
      <c r="N382" s="451"/>
    </row>
    <row r="383" spans="2:14" s="785" customFormat="1" ht="13.2">
      <c r="B383" s="1279" t="s">
        <v>551</v>
      </c>
      <c r="C383" s="1280"/>
      <c r="D383" s="1280"/>
      <c r="E383" s="1280"/>
      <c r="F383" s="1281"/>
      <c r="G383" s="1281"/>
      <c r="H383" s="1281"/>
      <c r="I383" s="1282"/>
      <c r="K383" s="1209"/>
      <c r="L383" s="311"/>
      <c r="M383" s="311"/>
      <c r="N383" s="451"/>
    </row>
    <row r="384" spans="2:14" s="785" customFormat="1" ht="13.2">
      <c r="B384" s="590" t="s">
        <v>549</v>
      </c>
      <c r="C384" s="465"/>
      <c r="D384" s="1257">
        <f>D375/C375-1</f>
        <v>0</v>
      </c>
      <c r="E384" s="1257">
        <f t="shared" ref="E384:I384" si="42">E375/D375-1</f>
        <v>0</v>
      </c>
      <c r="F384" s="1257">
        <f t="shared" si="42"/>
        <v>0</v>
      </c>
      <c r="G384" s="1257">
        <f t="shared" si="42"/>
        <v>5.8445353594382965E-4</v>
      </c>
      <c r="H384" s="1257">
        <f t="shared" si="42"/>
        <v>0</v>
      </c>
      <c r="I384" s="1270">
        <f t="shared" si="42"/>
        <v>0</v>
      </c>
      <c r="K384" s="1209"/>
      <c r="L384" s="311"/>
      <c r="M384" s="311"/>
      <c r="N384" s="451"/>
    </row>
    <row r="385" spans="2:14" s="785" customFormat="1" ht="13.2">
      <c r="B385" s="590" t="s">
        <v>548</v>
      </c>
      <c r="C385" s="465"/>
      <c r="D385" s="1257">
        <f t="shared" ref="D385:I385" si="43">D376/C376-1</f>
        <v>-7.3061392367407385E-2</v>
      </c>
      <c r="E385" s="1257">
        <f t="shared" si="43"/>
        <v>-3.0438375626175018E-3</v>
      </c>
      <c r="F385" s="1257">
        <f t="shared" si="43"/>
        <v>-3.1526848416202347E-2</v>
      </c>
      <c r="G385" s="1257">
        <f t="shared" si="43"/>
        <v>-6.8223300956843036E-2</v>
      </c>
      <c r="H385" s="1257">
        <f t="shared" si="43"/>
        <v>-1.7975820272816412E-3</v>
      </c>
      <c r="I385" s="1270">
        <f t="shared" si="43"/>
        <v>0</v>
      </c>
      <c r="K385" s="1209"/>
      <c r="L385" s="311"/>
      <c r="M385" s="311"/>
      <c r="N385" s="451"/>
    </row>
    <row r="386" spans="2:14" s="785" customFormat="1" ht="13.2">
      <c r="B386" s="1200" t="s">
        <v>550</v>
      </c>
      <c r="C386" s="465"/>
      <c r="D386" s="1257">
        <f t="shared" ref="D386:I386" si="44">D377/C377-1</f>
        <v>-7.3061392367407385E-2</v>
      </c>
      <c r="E386" s="1257">
        <f t="shared" si="44"/>
        <v>-3.0438375626175018E-3</v>
      </c>
      <c r="F386" s="1257">
        <f t="shared" si="44"/>
        <v>-3.1526848416202347E-2</v>
      </c>
      <c r="G386" s="1257">
        <f t="shared" si="44"/>
        <v>-6.8223300956843036E-2</v>
      </c>
      <c r="H386" s="1257">
        <f t="shared" si="44"/>
        <v>-1.7975820272816412E-3</v>
      </c>
      <c r="I386" s="1270">
        <f t="shared" si="44"/>
        <v>0</v>
      </c>
      <c r="K386" s="1209"/>
      <c r="L386" s="311"/>
      <c r="M386" s="311"/>
      <c r="N386" s="451"/>
    </row>
    <row r="387" spans="2:14" s="785" customFormat="1" ht="13.2">
      <c r="B387" s="590" t="s">
        <v>557</v>
      </c>
      <c r="C387" s="465"/>
      <c r="D387" s="1257">
        <f t="shared" ref="D387:I387" si="45">D378/C378-1</f>
        <v>-6.057004830917867E-2</v>
      </c>
      <c r="E387" s="1257">
        <f t="shared" si="45"/>
        <v>-3.1471444292459072E-3</v>
      </c>
      <c r="F387" s="1257">
        <f t="shared" si="45"/>
        <v>-2.6618519473819879E-2</v>
      </c>
      <c r="G387" s="1257">
        <f t="shared" si="45"/>
        <v>-7.5785680216227669E-2</v>
      </c>
      <c r="H387" s="1257">
        <f t="shared" si="45"/>
        <v>9.7482653821878706E-4</v>
      </c>
      <c r="I387" s="1270">
        <f t="shared" si="45"/>
        <v>0</v>
      </c>
      <c r="K387" s="1209"/>
      <c r="L387" s="311"/>
      <c r="M387" s="311"/>
      <c r="N387" s="451"/>
    </row>
    <row r="388" spans="2:14" s="785" customFormat="1" thickBot="1">
      <c r="B388" s="1229" t="s">
        <v>558</v>
      </c>
      <c r="C388" s="1247"/>
      <c r="D388" s="1269">
        <f t="shared" ref="D388:I388" si="46">D379/C379-1</f>
        <v>-6.057004830917867E-2</v>
      </c>
      <c r="E388" s="1269">
        <f t="shared" si="46"/>
        <v>-3.1471444292459072E-3</v>
      </c>
      <c r="F388" s="1269">
        <f t="shared" si="46"/>
        <v>-2.6618519473819879E-2</v>
      </c>
      <c r="G388" s="1269">
        <f t="shared" si="46"/>
        <v>-7.5785680216227669E-2</v>
      </c>
      <c r="H388" s="1269">
        <f t="shared" si="46"/>
        <v>9.7482653821878706E-4</v>
      </c>
      <c r="I388" s="1271">
        <f t="shared" si="46"/>
        <v>0</v>
      </c>
      <c r="K388" s="1209"/>
      <c r="L388" s="311"/>
      <c r="M388" s="311"/>
      <c r="N388" s="451"/>
    </row>
    <row r="389" spans="2:14" s="785" customFormat="1" ht="14.4" thickTop="1" thickBot="1">
      <c r="B389" s="1243"/>
      <c r="C389" s="474"/>
      <c r="D389" s="1244"/>
      <c r="E389" s="1244"/>
      <c r="F389" s="1244"/>
      <c r="G389" s="1244"/>
      <c r="H389" s="1245"/>
      <c r="I389" s="1246"/>
      <c r="K389" s="1209"/>
      <c r="L389" s="311"/>
      <c r="M389" s="311"/>
      <c r="N389" s="451"/>
    </row>
    <row r="390" spans="2:14" s="785" customFormat="1" ht="27" thickTop="1">
      <c r="B390" s="1210"/>
      <c r="C390" s="1211" t="s">
        <v>529</v>
      </c>
      <c r="D390" s="1212" t="s">
        <v>552</v>
      </c>
      <c r="E390" s="1212" t="s">
        <v>553</v>
      </c>
      <c r="F390" s="1212" t="s">
        <v>554</v>
      </c>
      <c r="G390" s="1212" t="s">
        <v>542</v>
      </c>
      <c r="H390" s="1213" t="s">
        <v>555</v>
      </c>
      <c r="I390" s="1214" t="s">
        <v>556</v>
      </c>
      <c r="K390" s="1209"/>
      <c r="L390" s="311"/>
      <c r="M390" s="311"/>
      <c r="N390" s="451"/>
    </row>
    <row r="391" spans="2:14" s="785" customFormat="1" ht="13.2">
      <c r="B391" s="592" t="str">
        <f>Summary!A33</f>
        <v>Sentinel Lights</v>
      </c>
      <c r="C391" s="461"/>
      <c r="D391" s="461"/>
      <c r="E391" s="461"/>
      <c r="F391" s="461"/>
      <c r="G391" s="461"/>
      <c r="H391" s="461"/>
      <c r="I391" s="1228"/>
      <c r="K391" s="1209"/>
      <c r="L391" s="786">
        <f>L361/L364</f>
        <v>859.18593750000002</v>
      </c>
      <c r="M391" s="786">
        <f>M361/M364</f>
        <v>782.36875000000009</v>
      </c>
      <c r="N391" s="521">
        <f>(M391-L391)/L391</f>
        <v>-8.9406942254568647E-2</v>
      </c>
    </row>
    <row r="392" spans="2:14" s="785" customFormat="1" ht="13.2">
      <c r="B392" s="590" t="s">
        <v>549</v>
      </c>
      <c r="C392" s="454">
        <v>73</v>
      </c>
      <c r="D392" s="454">
        <f>Summary!H34</f>
        <v>71</v>
      </c>
      <c r="E392" s="454">
        <f>Summary!I34</f>
        <v>72</v>
      </c>
      <c r="F392" s="454">
        <f>Summary!J34</f>
        <v>74</v>
      </c>
      <c r="G392" s="454">
        <f>Summary!K34</f>
        <v>73</v>
      </c>
      <c r="H392" s="454">
        <f>Summary!L34</f>
        <v>70</v>
      </c>
      <c r="I392" s="1226">
        <f>Summary!M34</f>
        <v>69</v>
      </c>
      <c r="K392" s="1209">
        <f>SUM(D392:I392)-SUM('[19]App.2-IB_Load_Forecast_Analysis'!$G$236:$G$241)</f>
        <v>-7</v>
      </c>
      <c r="L392" s="786"/>
      <c r="M392" s="786"/>
      <c r="N392" s="521"/>
    </row>
    <row r="393" spans="2:14" s="785" customFormat="1" ht="13.2">
      <c r="B393" s="590" t="s">
        <v>548</v>
      </c>
      <c r="C393" s="454">
        <v>106791</v>
      </c>
      <c r="D393" s="454">
        <f>Summary!H35</f>
        <v>99906</v>
      </c>
      <c r="E393" s="454">
        <f>Summary!I35</f>
        <v>97401</v>
      </c>
      <c r="F393" s="454">
        <f>Summary!J35</f>
        <v>98084</v>
      </c>
      <c r="G393" s="454">
        <f>Summary!K35</f>
        <v>96660</v>
      </c>
      <c r="H393" s="454">
        <f>Summary!L35</f>
        <v>88607</v>
      </c>
      <c r="I393" s="1226">
        <f>Summary!M35</f>
        <v>85699.641303017532</v>
      </c>
      <c r="K393" s="1209">
        <f>SUM(D393:I393)-SUM('Rate Class Energy Model '!I9:I14)</f>
        <v>0</v>
      </c>
      <c r="L393" s="786"/>
      <c r="M393" s="786"/>
      <c r="N393" s="521"/>
    </row>
    <row r="394" spans="2:14" s="785" customFormat="1" ht="13.2">
      <c r="B394" s="1200" t="s">
        <v>550</v>
      </c>
      <c r="C394" s="454">
        <f>C393</f>
        <v>106791</v>
      </c>
      <c r="D394" s="454">
        <f t="array" ref="D394:G394">TRANSPOSE('Weather Normalized Historical'!K25:K28)</f>
        <v>99906</v>
      </c>
      <c r="E394" s="454">
        <v>97401</v>
      </c>
      <c r="F394" s="457">
        <v>98084</v>
      </c>
      <c r="G394" s="457">
        <v>96660</v>
      </c>
      <c r="H394" s="457">
        <f>H393</f>
        <v>88607</v>
      </c>
      <c r="I394" s="1217">
        <f>I393</f>
        <v>85699.641303017532</v>
      </c>
      <c r="K394" s="1209">
        <f>SUM(D394:I394)-SUM('[19]App.2-IB_Load_Forecast_Analysis'!$M$236:$M$241)</f>
        <v>-29341.439778063563</v>
      </c>
      <c r="L394" s="786"/>
      <c r="M394" s="786"/>
      <c r="N394" s="521"/>
    </row>
    <row r="395" spans="2:14" s="785" customFormat="1" ht="13.2">
      <c r="B395" s="590" t="s">
        <v>557</v>
      </c>
      <c r="C395" s="1201">
        <v>302</v>
      </c>
      <c r="D395" s="1201">
        <f>Summary!H36</f>
        <v>275.7</v>
      </c>
      <c r="E395" s="1201">
        <f>Summary!I36</f>
        <v>270.2</v>
      </c>
      <c r="F395" s="1201">
        <f>Summary!J36</f>
        <v>272.39999999999998</v>
      </c>
      <c r="G395" s="1201">
        <f>Summary!K36</f>
        <v>268.5</v>
      </c>
      <c r="H395" s="1201">
        <f>Summary!L36</f>
        <v>246.13055555555553</v>
      </c>
      <c r="I395" s="1219">
        <f>Summary!M36</f>
        <v>238.05455917504869</v>
      </c>
      <c r="K395" s="1209">
        <f>SUM(D395:I395)-SUM('Rate Class Load Model'!D9:D14)</f>
        <v>0</v>
      </c>
      <c r="L395" s="786"/>
      <c r="M395" s="786"/>
      <c r="N395" s="521"/>
    </row>
    <row r="396" spans="2:14" s="785" customFormat="1" ht="13.2">
      <c r="B396" s="593" t="s">
        <v>558</v>
      </c>
      <c r="C396" s="455">
        <f>C395</f>
        <v>302</v>
      </c>
      <c r="D396" s="455">
        <f t="array" ref="D396:G396">TRANSPOSE('Weather Normalized Historical'!K79:K82)</f>
        <v>275.7</v>
      </c>
      <c r="E396" s="455">
        <v>270.2</v>
      </c>
      <c r="F396" s="1234">
        <v>272.39999999999998</v>
      </c>
      <c r="G396" s="1234">
        <v>268.5</v>
      </c>
      <c r="H396" s="1234">
        <f>H395</f>
        <v>246.13055555555553</v>
      </c>
      <c r="I396" s="1235">
        <f>I395</f>
        <v>238.05455917504869</v>
      </c>
      <c r="K396" s="1209">
        <f>SUM(D396:I396)-SUM('[19]App.2-IB_Load_Forecast_Analysis'!$M$257:$M$262)</f>
        <v>-86.752723107233805</v>
      </c>
      <c r="L396" s="786"/>
      <c r="M396" s="786"/>
      <c r="N396" s="521"/>
    </row>
    <row r="397" spans="2:14" s="785" customFormat="1" ht="26.4">
      <c r="B397" s="1231" t="s">
        <v>561</v>
      </c>
      <c r="C397" s="1241">
        <f>C395/C392</f>
        <v>4.1369863013698627</v>
      </c>
      <c r="D397" s="1241">
        <f>D395/D392</f>
        <v>3.8830985915492957</v>
      </c>
      <c r="E397" s="1241">
        <f t="shared" ref="E397:I397" si="47">E395/E392</f>
        <v>3.7527777777777778</v>
      </c>
      <c r="F397" s="1241">
        <f t="shared" si="47"/>
        <v>3.6810810810810808</v>
      </c>
      <c r="G397" s="1241">
        <f t="shared" si="47"/>
        <v>3.6780821917808217</v>
      </c>
      <c r="H397" s="1241">
        <f t="shared" si="47"/>
        <v>3.5161507936507932</v>
      </c>
      <c r="I397" s="1242">
        <f t="shared" si="47"/>
        <v>3.4500660750007057</v>
      </c>
      <c r="K397" s="1209"/>
      <c r="L397" s="786"/>
      <c r="M397" s="786"/>
      <c r="N397" s="521"/>
    </row>
    <row r="398" spans="2:14" s="785" customFormat="1" ht="39.6">
      <c r="B398" s="1237" t="s">
        <v>562</v>
      </c>
      <c r="C398" s="522">
        <f>C396/C392</f>
        <v>4.1369863013698627</v>
      </c>
      <c r="D398" s="522">
        <f>D396/D392</f>
        <v>3.8830985915492957</v>
      </c>
      <c r="E398" s="522">
        <f t="shared" ref="E398:I398" si="48">E396/E392</f>
        <v>3.7527777777777778</v>
      </c>
      <c r="F398" s="522">
        <f t="shared" si="48"/>
        <v>3.6810810810810808</v>
      </c>
      <c r="G398" s="522">
        <f t="shared" si="48"/>
        <v>3.6780821917808217</v>
      </c>
      <c r="H398" s="522">
        <f t="shared" si="48"/>
        <v>3.5161507936507932</v>
      </c>
      <c r="I398" s="1240">
        <f t="shared" si="48"/>
        <v>3.4500660750007057</v>
      </c>
      <c r="K398" s="1209"/>
      <c r="L398" s="786"/>
      <c r="M398" s="786"/>
      <c r="N398" s="521"/>
    </row>
    <row r="399" spans="2:14" s="785" customFormat="1" ht="13.2">
      <c r="B399" s="1283" t="s">
        <v>310</v>
      </c>
      <c r="C399" s="1284">
        <v>8220</v>
      </c>
      <c r="D399" s="1284">
        <v>6474.3600000000006</v>
      </c>
      <c r="E399" s="1284">
        <v>7063.5999999999995</v>
      </c>
      <c r="F399" s="1285">
        <v>7498.51</v>
      </c>
      <c r="G399" s="1285">
        <v>7969.7200000000012</v>
      </c>
      <c r="H399" s="1285">
        <f>'[20]2021 Test Yr Revenue'!$J$41</f>
        <v>7862.9455767567542</v>
      </c>
      <c r="I399" s="1286">
        <f>'[20]2021 Test Yr Revenue'!$J$26</f>
        <v>8002.8772381130939</v>
      </c>
      <c r="K399" s="1209">
        <f>SUM(D399:I399)-SUM('[19]App.2-IB_Load_Forecast_Analysis'!$G$257:$G$262)</f>
        <v>0</v>
      </c>
      <c r="L399" s="786"/>
      <c r="M399" s="786"/>
      <c r="N399" s="521"/>
    </row>
    <row r="400" spans="2:14" s="451" customFormat="1" ht="13.2">
      <c r="B400" s="1279" t="s">
        <v>551</v>
      </c>
      <c r="C400" s="1280"/>
      <c r="D400" s="1280"/>
      <c r="E400" s="1280"/>
      <c r="F400" s="1281"/>
      <c r="G400" s="1281"/>
      <c r="H400" s="1281"/>
      <c r="I400" s="1282"/>
      <c r="K400" s="1209"/>
    </row>
    <row r="401" spans="2:11" s="451" customFormat="1" ht="13.2">
      <c r="B401" s="590" t="s">
        <v>549</v>
      </c>
      <c r="C401" s="465"/>
      <c r="D401" s="1257">
        <f>D392/C392-1</f>
        <v>-2.7397260273972601E-2</v>
      </c>
      <c r="E401" s="1257">
        <f t="shared" ref="E401:I401" si="49">E392/D392-1</f>
        <v>1.4084507042253502E-2</v>
      </c>
      <c r="F401" s="1257">
        <f t="shared" si="49"/>
        <v>2.7777777777777679E-2</v>
      </c>
      <c r="G401" s="1257">
        <f t="shared" si="49"/>
        <v>-1.3513513513513487E-2</v>
      </c>
      <c r="H401" s="1257">
        <f t="shared" si="49"/>
        <v>-4.1095890410958957E-2</v>
      </c>
      <c r="I401" s="1270">
        <f t="shared" si="49"/>
        <v>-1.4285714285714235E-2</v>
      </c>
      <c r="K401" s="1209"/>
    </row>
    <row r="402" spans="2:11" s="451" customFormat="1" ht="13.2">
      <c r="B402" s="590" t="s">
        <v>548</v>
      </c>
      <c r="C402" s="465"/>
      <c r="D402" s="1257">
        <f t="shared" ref="D402:I402" si="50">D393/C393-1</f>
        <v>-6.4471725145377468E-2</v>
      </c>
      <c r="E402" s="1257">
        <f t="shared" si="50"/>
        <v>-2.5073569155005693E-2</v>
      </c>
      <c r="F402" s="1257">
        <f t="shared" si="50"/>
        <v>7.0122483342061059E-3</v>
      </c>
      <c r="G402" s="1257">
        <f t="shared" si="50"/>
        <v>-1.4518168100811524E-2</v>
      </c>
      <c r="H402" s="1257">
        <f t="shared" si="50"/>
        <v>-8.3312642251189728E-2</v>
      </c>
      <c r="I402" s="1270">
        <f t="shared" si="50"/>
        <v>-3.28118398882985E-2</v>
      </c>
      <c r="K402" s="1209"/>
    </row>
    <row r="403" spans="2:11" s="451" customFormat="1" ht="13.2">
      <c r="B403" s="1200" t="s">
        <v>550</v>
      </c>
      <c r="C403" s="465"/>
      <c r="D403" s="1257">
        <f t="shared" ref="D403:I403" si="51">D394/C394-1</f>
        <v>-6.4471725145377468E-2</v>
      </c>
      <c r="E403" s="1257">
        <f t="shared" si="51"/>
        <v>-2.5073569155005693E-2</v>
      </c>
      <c r="F403" s="1257">
        <f t="shared" si="51"/>
        <v>7.0122483342061059E-3</v>
      </c>
      <c r="G403" s="1257">
        <f t="shared" si="51"/>
        <v>-1.4518168100811524E-2</v>
      </c>
      <c r="H403" s="1257">
        <f t="shared" si="51"/>
        <v>-8.3312642251189728E-2</v>
      </c>
      <c r="I403" s="1270">
        <f t="shared" si="51"/>
        <v>-3.28118398882985E-2</v>
      </c>
      <c r="K403" s="1209"/>
    </row>
    <row r="404" spans="2:11" s="785" customFormat="1" ht="13.2">
      <c r="B404" s="590" t="s">
        <v>557</v>
      </c>
      <c r="C404" s="465"/>
      <c r="D404" s="1257">
        <f t="shared" ref="D404:I404" si="52">D395/C395-1</f>
        <v>-8.7086092715231822E-2</v>
      </c>
      <c r="E404" s="1257">
        <f t="shared" si="52"/>
        <v>-1.994922016684797E-2</v>
      </c>
      <c r="F404" s="1257">
        <f t="shared" si="52"/>
        <v>8.1421169504070079E-3</v>
      </c>
      <c r="G404" s="1257">
        <f t="shared" si="52"/>
        <v>-1.4317180616740033E-2</v>
      </c>
      <c r="H404" s="1257">
        <f t="shared" si="52"/>
        <v>-8.3312642251189839E-2</v>
      </c>
      <c r="I404" s="1270">
        <f t="shared" si="52"/>
        <v>-3.28118398882985E-2</v>
      </c>
      <c r="K404" s="1209"/>
    </row>
    <row r="405" spans="2:11" s="785" customFormat="1" ht="13.2">
      <c r="B405" s="1200" t="s">
        <v>558</v>
      </c>
      <c r="C405" s="465"/>
      <c r="D405" s="1268">
        <f t="shared" ref="D405:I405" si="53">D396/C396-1</f>
        <v>-8.7086092715231822E-2</v>
      </c>
      <c r="E405" s="1268">
        <f t="shared" si="53"/>
        <v>-1.994922016684797E-2</v>
      </c>
      <c r="F405" s="1268">
        <f t="shared" si="53"/>
        <v>8.1421169504070079E-3</v>
      </c>
      <c r="G405" s="1268">
        <f t="shared" si="53"/>
        <v>-1.4317180616740033E-2</v>
      </c>
      <c r="H405" s="1268">
        <f t="shared" si="53"/>
        <v>-8.3312642251189839E-2</v>
      </c>
      <c r="I405" s="1272">
        <f t="shared" si="53"/>
        <v>-3.28118398882985E-2</v>
      </c>
      <c r="K405" s="1209"/>
    </row>
    <row r="406" spans="2:11" s="451" customFormat="1" ht="13.2">
      <c r="B406" s="1222"/>
      <c r="C406" s="1205"/>
      <c r="D406" s="1205"/>
      <c r="E406" s="1205"/>
      <c r="F406" s="1223"/>
      <c r="G406" s="1223"/>
      <c r="H406" s="1223"/>
      <c r="I406" s="1224"/>
      <c r="K406" s="1209"/>
    </row>
    <row r="407" spans="2:11" s="451" customFormat="1" ht="13.2">
      <c r="B407" s="591" t="str">
        <f>Summary!A38</f>
        <v xml:space="preserve">Unmetered Loads </v>
      </c>
      <c r="C407" s="459"/>
      <c r="D407" s="459"/>
      <c r="E407" s="459"/>
      <c r="F407" s="460"/>
      <c r="G407" s="460"/>
      <c r="H407" s="460"/>
      <c r="I407" s="1225"/>
      <c r="K407" s="1209"/>
    </row>
    <row r="408" spans="2:11" s="451" customFormat="1" ht="13.2">
      <c r="B408" s="590" t="s">
        <v>549</v>
      </c>
      <c r="C408" s="454">
        <v>58</v>
      </c>
      <c r="D408" s="454">
        <f>Summary!H39</f>
        <v>57</v>
      </c>
      <c r="E408" s="454">
        <f>Summary!I39</f>
        <v>57</v>
      </c>
      <c r="F408" s="454">
        <f>Summary!J39</f>
        <v>57</v>
      </c>
      <c r="G408" s="454">
        <f>Summary!K39</f>
        <v>57</v>
      </c>
      <c r="H408" s="454">
        <f>Summary!L39</f>
        <v>57</v>
      </c>
      <c r="I408" s="1226">
        <f>Summary!M39</f>
        <v>57</v>
      </c>
      <c r="K408" s="1209">
        <f>SUM(D408:I408)-SUM('[19]App.2-IB_Load_Forecast_Analysis'!$G$279:$G$284)</f>
        <v>-1</v>
      </c>
    </row>
    <row r="409" spans="2:11" s="451" customFormat="1" ht="13.2">
      <c r="B409" s="590" t="s">
        <v>548</v>
      </c>
      <c r="C409" s="454">
        <v>546384</v>
      </c>
      <c r="D409" s="454">
        <f>Summary!H40</f>
        <v>539097</v>
      </c>
      <c r="E409" s="454">
        <f>Summary!I40</f>
        <v>541637</v>
      </c>
      <c r="F409" s="454">
        <f>Summary!J40</f>
        <v>542146</v>
      </c>
      <c r="G409" s="454">
        <f>Summary!K40</f>
        <v>535316</v>
      </c>
      <c r="H409" s="454">
        <f>Summary!L40</f>
        <v>555040</v>
      </c>
      <c r="I409" s="1226">
        <f>Summary!M40</f>
        <v>557843.31840674079</v>
      </c>
      <c r="K409" s="1209">
        <f>SUM(D409:I409)-SUM('Rate Class Energy Model '!J9:J14)</f>
        <v>0</v>
      </c>
    </row>
    <row r="410" spans="2:11" s="451" customFormat="1" ht="13.2">
      <c r="B410" s="593" t="s">
        <v>550</v>
      </c>
      <c r="C410" s="455">
        <f>C409</f>
        <v>546384</v>
      </c>
      <c r="D410" s="455">
        <f t="array" ref="D410:G410">TRANSPOSE('Weather Normalized Historical'!L25:L28)</f>
        <v>539097</v>
      </c>
      <c r="E410" s="455">
        <v>541637</v>
      </c>
      <c r="F410" s="1234">
        <v>542146</v>
      </c>
      <c r="G410" s="1234">
        <v>535316</v>
      </c>
      <c r="H410" s="1234">
        <f>H409</f>
        <v>555040</v>
      </c>
      <c r="I410" s="1235">
        <f>I409</f>
        <v>557843.31840674079</v>
      </c>
      <c r="K410" s="1209">
        <f>SUM(D410:I410)-SUM('[19]App.2-IB_Load_Forecast_Analysis'!$M$279:$M$284)</f>
        <v>17523.318406740669</v>
      </c>
    </row>
    <row r="411" spans="2:11" s="451" customFormat="1" ht="26.4">
      <c r="B411" s="1231" t="s">
        <v>559</v>
      </c>
      <c r="C411" s="1232">
        <f t="shared" ref="C411" si="54">C409/C408</f>
        <v>9420.4137931034475</v>
      </c>
      <c r="D411" s="1232">
        <f t="shared" ref="D411:I411" si="55">D409/D408</f>
        <v>9457.8421052631584</v>
      </c>
      <c r="E411" s="1232">
        <f t="shared" si="55"/>
        <v>9502.4035087719294</v>
      </c>
      <c r="F411" s="1232">
        <f t="shared" si="55"/>
        <v>9511.3333333333339</v>
      </c>
      <c r="G411" s="1232">
        <f t="shared" si="55"/>
        <v>9391.5087719298244</v>
      </c>
      <c r="H411" s="1232">
        <f t="shared" si="55"/>
        <v>9737.5438596491222</v>
      </c>
      <c r="I411" s="1233">
        <f t="shared" si="55"/>
        <v>9786.7248843287853</v>
      </c>
      <c r="K411" s="1209"/>
    </row>
    <row r="412" spans="2:11" s="451" customFormat="1" ht="39.6">
      <c r="B412" s="1237" t="s">
        <v>560</v>
      </c>
      <c r="C412" s="455">
        <f>C410/C408</f>
        <v>9420.4137931034475</v>
      </c>
      <c r="D412" s="455">
        <f>D410/D408</f>
        <v>9457.8421052631584</v>
      </c>
      <c r="E412" s="455">
        <f t="shared" ref="E412:I412" si="56">E410/E408</f>
        <v>9502.4035087719294</v>
      </c>
      <c r="F412" s="455">
        <f t="shared" si="56"/>
        <v>9511.3333333333339</v>
      </c>
      <c r="G412" s="455">
        <f t="shared" si="56"/>
        <v>9391.5087719298244</v>
      </c>
      <c r="H412" s="455">
        <f t="shared" si="56"/>
        <v>9737.5438596491222</v>
      </c>
      <c r="I412" s="1238">
        <f t="shared" si="56"/>
        <v>9786.7248843287853</v>
      </c>
      <c r="K412" s="1209"/>
    </row>
    <row r="413" spans="2:11" s="451" customFormat="1" ht="13.2">
      <c r="B413" s="1283" t="s">
        <v>310</v>
      </c>
      <c r="C413" s="1284">
        <v>13785</v>
      </c>
      <c r="D413" s="1284">
        <v>12978.57</v>
      </c>
      <c r="E413" s="1284">
        <v>13086.92</v>
      </c>
      <c r="F413" s="1285">
        <v>13920.650000000001</v>
      </c>
      <c r="G413" s="1285">
        <v>14140.06</v>
      </c>
      <c r="H413" s="1285">
        <f>'[20]2021 Test Yr Revenue'!$J$42</f>
        <v>14117.258400000001</v>
      </c>
      <c r="I413" s="1286">
        <f>'[20]2021 Test Yr Revenue'!$J$27</f>
        <v>14535.533420578719</v>
      </c>
      <c r="K413" s="1209">
        <f>SUM(D413:I413)-SUM('[19]App.2-IB_Load_Forecast_Analysis'!$G$300:$G$305)</f>
        <v>0</v>
      </c>
    </row>
    <row r="414" spans="2:11" s="451" customFormat="1" ht="13.2">
      <c r="B414" s="1279" t="s">
        <v>551</v>
      </c>
      <c r="C414" s="1280"/>
      <c r="D414" s="1280"/>
      <c r="E414" s="1280"/>
      <c r="F414" s="1281"/>
      <c r="G414" s="1281"/>
      <c r="H414" s="1281"/>
      <c r="I414" s="1282"/>
      <c r="K414" s="1209"/>
    </row>
    <row r="415" spans="2:11" s="451" customFormat="1" ht="13.2">
      <c r="B415" s="590" t="s">
        <v>549</v>
      </c>
      <c r="C415" s="1201"/>
      <c r="D415" s="1257">
        <f>D408/C408-1</f>
        <v>-1.7241379310344862E-2</v>
      </c>
      <c r="E415" s="1257">
        <f t="shared" ref="E415:I415" si="57">E408/D408-1</f>
        <v>0</v>
      </c>
      <c r="F415" s="1257">
        <f t="shared" si="57"/>
        <v>0</v>
      </c>
      <c r="G415" s="1257">
        <f t="shared" si="57"/>
        <v>0</v>
      </c>
      <c r="H415" s="1257">
        <f t="shared" si="57"/>
        <v>0</v>
      </c>
      <c r="I415" s="1270">
        <f t="shared" si="57"/>
        <v>0</v>
      </c>
      <c r="K415" s="1209"/>
    </row>
    <row r="416" spans="2:11" s="451" customFormat="1" ht="13.2">
      <c r="B416" s="590" t="s">
        <v>548</v>
      </c>
      <c r="C416" s="1201"/>
      <c r="D416" s="1257">
        <f t="shared" ref="D416:I416" si="58">D409/C409-1</f>
        <v>-1.3336774136870733E-2</v>
      </c>
      <c r="E416" s="1257">
        <f t="shared" si="58"/>
        <v>4.711582516689905E-3</v>
      </c>
      <c r="F416" s="1257">
        <f t="shared" si="58"/>
        <v>9.3974377673600173E-4</v>
      </c>
      <c r="G416" s="1257">
        <f t="shared" si="58"/>
        <v>-1.2598082435358759E-2</v>
      </c>
      <c r="H416" s="1257">
        <f t="shared" si="58"/>
        <v>3.6845526754290869E-2</v>
      </c>
      <c r="I416" s="1270">
        <f t="shared" si="58"/>
        <v>5.0506601447477539E-3</v>
      </c>
      <c r="K416" s="1209"/>
    </row>
    <row r="417" spans="2:11" s="451" customFormat="1" ht="13.2">
      <c r="B417" s="1200" t="s">
        <v>550</v>
      </c>
      <c r="C417" s="1201"/>
      <c r="D417" s="1268">
        <f t="shared" ref="D417:I417" si="59">D410/C410-1</f>
        <v>-1.3336774136870733E-2</v>
      </c>
      <c r="E417" s="1268">
        <f t="shared" si="59"/>
        <v>4.711582516689905E-3</v>
      </c>
      <c r="F417" s="1268">
        <f t="shared" si="59"/>
        <v>9.3974377673600173E-4</v>
      </c>
      <c r="G417" s="1268">
        <f t="shared" si="59"/>
        <v>-1.2598082435358759E-2</v>
      </c>
      <c r="H417" s="1268">
        <f t="shared" si="59"/>
        <v>3.6845526754290869E-2</v>
      </c>
      <c r="I417" s="1272">
        <f t="shared" si="59"/>
        <v>5.0506601447477539E-3</v>
      </c>
      <c r="K417" s="1209"/>
    </row>
    <row r="418" spans="2:11" s="451" customFormat="1" ht="13.2">
      <c r="B418" s="1222"/>
      <c r="C418" s="1205"/>
      <c r="D418" s="1205"/>
      <c r="E418" s="1205"/>
      <c r="F418" s="1223"/>
      <c r="G418" s="1223"/>
      <c r="H418" s="1223"/>
      <c r="I418" s="1224"/>
      <c r="K418" s="1209"/>
    </row>
    <row r="419" spans="2:11" s="451" customFormat="1" ht="13.2">
      <c r="B419" s="591" t="str">
        <f>Summary!A42</f>
        <v>Total</v>
      </c>
      <c r="C419" s="459"/>
      <c r="D419" s="459"/>
      <c r="E419" s="459"/>
      <c r="F419" s="460"/>
      <c r="G419" s="460"/>
      <c r="H419" s="460"/>
      <c r="I419" s="1225"/>
      <c r="K419" s="1209"/>
    </row>
    <row r="420" spans="2:11" s="451" customFormat="1" ht="13.2">
      <c r="B420" s="590" t="s">
        <v>549</v>
      </c>
      <c r="C420" s="454">
        <f t="shared" ref="C420:I422" si="60">SUM(C335,C347,C359,C375,C392,C408)</f>
        <v>7717</v>
      </c>
      <c r="D420" s="454">
        <f t="shared" si="60"/>
        <v>7732</v>
      </c>
      <c r="E420" s="454">
        <f t="shared" si="60"/>
        <v>7749</v>
      </c>
      <c r="F420" s="454">
        <f t="shared" si="60"/>
        <v>7752</v>
      </c>
      <c r="G420" s="454">
        <f t="shared" si="60"/>
        <v>7741</v>
      </c>
      <c r="H420" s="454">
        <f t="shared" si="60"/>
        <v>7747</v>
      </c>
      <c r="I420" s="1226">
        <f t="shared" si="60"/>
        <v>7752</v>
      </c>
      <c r="K420" s="1209">
        <f t="shared" ref="K420:K425" si="61">SUM(D420:I420)</f>
        <v>46473</v>
      </c>
    </row>
    <row r="421" spans="2:11" s="451" customFormat="1" ht="13.2">
      <c r="B421" s="590" t="s">
        <v>548</v>
      </c>
      <c r="C421" s="454">
        <f t="shared" si="60"/>
        <v>101711018</v>
      </c>
      <c r="D421" s="454">
        <f t="shared" si="60"/>
        <v>98838309.294999987</v>
      </c>
      <c r="E421" s="454">
        <f t="shared" si="60"/>
        <v>101848630.358208</v>
      </c>
      <c r="F421" s="454">
        <f t="shared" si="60"/>
        <v>100219092</v>
      </c>
      <c r="G421" s="454">
        <f t="shared" si="60"/>
        <v>99512150</v>
      </c>
      <c r="H421" s="454">
        <f t="shared" si="60"/>
        <v>100472426</v>
      </c>
      <c r="I421" s="1226">
        <f t="shared" si="60"/>
        <v>95548715.353225783</v>
      </c>
      <c r="K421" s="1209">
        <f t="shared" si="61"/>
        <v>596439323.00643384</v>
      </c>
    </row>
    <row r="422" spans="2:11" s="451" customFormat="1" ht="13.2">
      <c r="B422" s="1200" t="s">
        <v>550</v>
      </c>
      <c r="C422" s="454">
        <f t="shared" si="60"/>
        <v>101711018</v>
      </c>
      <c r="D422" s="454">
        <f t="shared" si="60"/>
        <v>101187749.39493698</v>
      </c>
      <c r="E422" s="454">
        <f t="shared" si="60"/>
        <v>100043493.96177918</v>
      </c>
      <c r="F422" s="454">
        <f t="shared" si="60"/>
        <v>98489571.514951468</v>
      </c>
      <c r="G422" s="454">
        <f t="shared" si="60"/>
        <v>100136804.11806418</v>
      </c>
      <c r="H422" s="454">
        <f t="shared" si="60"/>
        <v>100472426</v>
      </c>
      <c r="I422" s="1226">
        <f t="shared" si="60"/>
        <v>95548715.353225783</v>
      </c>
      <c r="K422" s="1209">
        <f t="shared" si="61"/>
        <v>595878760.34295762</v>
      </c>
    </row>
    <row r="423" spans="2:11" s="451" customFormat="1" ht="13.2">
      <c r="B423" s="590" t="s">
        <v>557</v>
      </c>
      <c r="C423" s="1201">
        <f t="shared" ref="C423:I424" si="62">SUM(C362,C378,C395)</f>
        <v>117849</v>
      </c>
      <c r="D423" s="1201">
        <f t="shared" si="62"/>
        <v>113924.51999999999</v>
      </c>
      <c r="E423" s="1201">
        <f t="shared" si="62"/>
        <v>114702.1</v>
      </c>
      <c r="F423" s="1201">
        <f t="shared" si="62"/>
        <v>111922.9</v>
      </c>
      <c r="G423" s="1201">
        <f t="shared" si="62"/>
        <v>111159.4</v>
      </c>
      <c r="H423" s="1201">
        <f t="shared" si="62"/>
        <v>112826.03055555557</v>
      </c>
      <c r="I423" s="1219">
        <f t="shared" si="62"/>
        <v>107757.50620932988</v>
      </c>
      <c r="K423" s="1209">
        <f t="shared" si="61"/>
        <v>672292.45676488546</v>
      </c>
    </row>
    <row r="424" spans="2:11" s="451" customFormat="1" ht="13.2">
      <c r="B424" s="593" t="s">
        <v>558</v>
      </c>
      <c r="C424" s="455">
        <f t="shared" si="62"/>
        <v>117849</v>
      </c>
      <c r="D424" s="455">
        <f t="shared" si="62"/>
        <v>115560.91506161302</v>
      </c>
      <c r="E424" s="455">
        <f t="shared" si="62"/>
        <v>113487.66924279371</v>
      </c>
      <c r="F424" s="455">
        <f t="shared" si="62"/>
        <v>110769.83086364856</v>
      </c>
      <c r="G424" s="455">
        <f t="shared" si="62"/>
        <v>111574.50410887906</v>
      </c>
      <c r="H424" s="455">
        <f t="shared" si="62"/>
        <v>112826.03055555557</v>
      </c>
      <c r="I424" s="1238">
        <f t="shared" si="62"/>
        <v>107757.50620932988</v>
      </c>
      <c r="K424" s="1209">
        <f t="shared" si="61"/>
        <v>671976.45604181988</v>
      </c>
    </row>
    <row r="425" spans="2:11" s="451" customFormat="1" ht="13.2">
      <c r="B425" s="1236" t="s">
        <v>310</v>
      </c>
      <c r="C425" s="474">
        <f t="shared" ref="C425:I425" si="63">SUM(C340,C352,C366,C382,C399,C413)</f>
        <v>2592434</v>
      </c>
      <c r="D425" s="474">
        <f t="shared" si="63"/>
        <v>2417202.67</v>
      </c>
      <c r="E425" s="474">
        <f t="shared" si="63"/>
        <v>2569409.4900000002</v>
      </c>
      <c r="F425" s="474">
        <f t="shared" si="63"/>
        <v>2691742.8899999997</v>
      </c>
      <c r="G425" s="474">
        <f t="shared" si="63"/>
        <v>2734440.049584995</v>
      </c>
      <c r="H425" s="474">
        <f t="shared" si="63"/>
        <v>2647599.7142791105</v>
      </c>
      <c r="I425" s="1239">
        <f t="shared" si="63"/>
        <v>2639551.7658296879</v>
      </c>
      <c r="K425" s="1209">
        <f t="shared" si="61"/>
        <v>15699946.579693792</v>
      </c>
    </row>
    <row r="426" spans="2:11" s="451" customFormat="1" ht="13.2">
      <c r="B426" s="1206" t="s">
        <v>551</v>
      </c>
      <c r="C426" s="1203"/>
      <c r="D426" s="1203"/>
      <c r="E426" s="1203"/>
      <c r="F426" s="1204"/>
      <c r="G426" s="1204"/>
      <c r="H426" s="1204"/>
      <c r="I426" s="1221"/>
    </row>
    <row r="427" spans="2:11" s="451" customFormat="1" ht="13.2">
      <c r="B427" s="590" t="s">
        <v>549</v>
      </c>
      <c r="C427" s="465"/>
      <c r="D427" s="1257">
        <f t="shared" ref="D427:I431" si="64">D420/C420-1</f>
        <v>1.9437605287029314E-3</v>
      </c>
      <c r="E427" s="1257">
        <f t="shared" si="64"/>
        <v>2.1986549405070832E-3</v>
      </c>
      <c r="F427" s="1257">
        <f t="shared" si="64"/>
        <v>3.8714672861006605E-4</v>
      </c>
      <c r="G427" s="1257">
        <f t="shared" si="64"/>
        <v>-1.4189886480908687E-3</v>
      </c>
      <c r="H427" s="1257">
        <f t="shared" si="64"/>
        <v>7.750936571502276E-4</v>
      </c>
      <c r="I427" s="1270">
        <f t="shared" si="64"/>
        <v>6.4541112688787372E-4</v>
      </c>
    </row>
    <row r="428" spans="2:11" s="451" customFormat="1" ht="13.2">
      <c r="B428" s="590" t="s">
        <v>548</v>
      </c>
      <c r="C428" s="465"/>
      <c r="D428" s="1257">
        <f t="shared" si="64"/>
        <v>-2.8243830034225148E-2</v>
      </c>
      <c r="E428" s="1257">
        <f t="shared" si="64"/>
        <v>3.0457027084742849E-2</v>
      </c>
      <c r="F428" s="1257">
        <f t="shared" si="64"/>
        <v>-1.5999609935615333E-2</v>
      </c>
      <c r="G428" s="1257">
        <f t="shared" si="64"/>
        <v>-7.0539653262873259E-3</v>
      </c>
      <c r="H428" s="1257">
        <f t="shared" si="64"/>
        <v>9.6498367284798547E-3</v>
      </c>
      <c r="I428" s="1270">
        <f t="shared" si="64"/>
        <v>-4.9005591312926144E-2</v>
      </c>
    </row>
    <row r="429" spans="2:11" s="451" customFormat="1" ht="13.2">
      <c r="B429" s="1200" t="s">
        <v>550</v>
      </c>
      <c r="C429" s="465"/>
      <c r="D429" s="1257">
        <f t="shared" si="64"/>
        <v>-5.1446599921260994E-3</v>
      </c>
      <c r="E429" s="1257">
        <f t="shared" si="64"/>
        <v>-1.1308240770251388E-2</v>
      </c>
      <c r="F429" s="1257">
        <f t="shared" si="64"/>
        <v>-1.5532468782241571E-2</v>
      </c>
      <c r="G429" s="1257">
        <f t="shared" si="64"/>
        <v>1.6724944354770122E-2</v>
      </c>
      <c r="H429" s="1257">
        <f t="shared" si="64"/>
        <v>3.3516336465073682E-3</v>
      </c>
      <c r="I429" s="1270">
        <f t="shared" si="64"/>
        <v>-4.9005591312926144E-2</v>
      </c>
    </row>
    <row r="430" spans="2:11" s="451" customFormat="1" ht="13.2">
      <c r="B430" s="590" t="s">
        <v>557</v>
      </c>
      <c r="C430" s="465"/>
      <c r="D430" s="1257">
        <f t="shared" si="64"/>
        <v>-3.3300918972583693E-2</v>
      </c>
      <c r="E430" s="1257">
        <f t="shared" si="64"/>
        <v>6.8253963238116278E-3</v>
      </c>
      <c r="F430" s="1257">
        <f t="shared" si="64"/>
        <v>-2.4229722036475443E-2</v>
      </c>
      <c r="G430" s="1257">
        <f t="shared" si="64"/>
        <v>-6.8216602679165295E-3</v>
      </c>
      <c r="H430" s="1257">
        <f t="shared" si="64"/>
        <v>1.4993158973110488E-2</v>
      </c>
      <c r="I430" s="1270">
        <f t="shared" si="64"/>
        <v>-4.492335962958427E-2</v>
      </c>
    </row>
    <row r="431" spans="2:11" s="451" customFormat="1" thickBot="1">
      <c r="B431" s="1229" t="s">
        <v>558</v>
      </c>
      <c r="C431" s="1230"/>
      <c r="D431" s="1269">
        <f>D424/C424-1</f>
        <v>-1.9415395449999373E-2</v>
      </c>
      <c r="E431" s="1269">
        <f t="shared" si="64"/>
        <v>-1.7940718258538602E-2</v>
      </c>
      <c r="F431" s="1269">
        <f t="shared" si="64"/>
        <v>-2.3948314361189715E-2</v>
      </c>
      <c r="G431" s="1269">
        <f t="shared" si="64"/>
        <v>7.2643718867910767E-3</v>
      </c>
      <c r="H431" s="1269">
        <f t="shared" si="64"/>
        <v>1.1216957284929663E-2</v>
      </c>
      <c r="I431" s="1271">
        <f t="shared" si="64"/>
        <v>-4.492335962958427E-2</v>
      </c>
    </row>
    <row r="432" spans="2:11" s="451" customFormat="1" thickTop="1">
      <c r="B432" s="393"/>
      <c r="C432" s="523"/>
      <c r="D432" s="1307"/>
      <c r="E432" s="1307"/>
      <c r="F432" s="1307"/>
      <c r="G432" s="1307"/>
      <c r="H432" s="1307"/>
      <c r="I432" s="1307"/>
    </row>
    <row r="433" spans="2:13" s="451" customFormat="1" ht="13.2">
      <c r="B433" s="393"/>
      <c r="C433" s="523"/>
      <c r="D433" s="1307"/>
      <c r="E433" s="1307"/>
      <c r="F433" s="1307"/>
      <c r="G433" s="1307"/>
      <c r="H433" s="1307"/>
      <c r="I433" s="1307"/>
    </row>
    <row r="434" spans="2:13" s="451" customFormat="1">
      <c r="B434" s="393"/>
      <c r="C434" s="523"/>
      <c r="D434" s="1307"/>
      <c r="E434" s="1307"/>
      <c r="F434" s="1307"/>
      <c r="G434" s="409" t="s">
        <v>578</v>
      </c>
      <c r="H434" s="409"/>
      <c r="I434" s="1307"/>
    </row>
    <row r="435" spans="2:13" s="451" customFormat="1">
      <c r="B435" s="393"/>
      <c r="C435" s="523"/>
      <c r="D435" s="1307"/>
      <c r="E435" s="1307"/>
      <c r="F435" s="1307"/>
      <c r="G435" s="409"/>
      <c r="H435" s="409"/>
      <c r="I435" s="1307"/>
    </row>
    <row r="436" spans="2:13" s="451" customFormat="1" ht="39.6">
      <c r="B436" s="1314" t="s">
        <v>124</v>
      </c>
      <c r="C436" s="1314"/>
      <c r="D436" s="1319" t="s">
        <v>568</v>
      </c>
      <c r="E436" s="1315" t="s">
        <v>569</v>
      </c>
      <c r="F436" s="1322" t="s">
        <v>573</v>
      </c>
      <c r="G436" s="1315" t="s">
        <v>569</v>
      </c>
      <c r="H436" s="1322" t="s">
        <v>570</v>
      </c>
      <c r="I436" s="1315" t="s">
        <v>569</v>
      </c>
      <c r="J436" s="1322" t="s">
        <v>571</v>
      </c>
      <c r="K436" s="1315" t="s">
        <v>569</v>
      </c>
      <c r="L436" s="1322" t="s">
        <v>572</v>
      </c>
      <c r="M436" s="1315" t="s">
        <v>569</v>
      </c>
    </row>
    <row r="437" spans="2:13" s="451" customFormat="1" ht="13.2">
      <c r="B437" s="1309"/>
      <c r="C437" s="1309"/>
      <c r="D437" s="1320"/>
      <c r="E437" s="1316"/>
      <c r="F437" s="1323"/>
      <c r="G437" s="1316"/>
      <c r="H437" s="1323"/>
      <c r="I437" s="1316"/>
      <c r="J437" s="1323"/>
      <c r="K437" s="1324"/>
      <c r="L437" s="1325"/>
      <c r="M437" s="1324"/>
    </row>
    <row r="439" spans="2:13" s="451" customFormat="1" ht="13.2">
      <c r="B439" s="1310">
        <v>2010</v>
      </c>
      <c r="C439" s="1311" t="s">
        <v>448</v>
      </c>
      <c r="D439" s="1320">
        <f>'Rate Class Customer Model'!B4</f>
        <v>5004</v>
      </c>
      <c r="E439" s="1316"/>
      <c r="F439" s="1320">
        <f>'Rate Class Energy Model '!E3</f>
        <v>43287278</v>
      </c>
      <c r="G439" s="1316"/>
      <c r="H439" s="1320">
        <f>'Weather Normalized Historical'!G19</f>
        <v>43498119.559493177</v>
      </c>
      <c r="I439" s="1316"/>
      <c r="J439" s="1320">
        <f t="shared" ref="J439:J444" si="65">F439/D439</f>
        <v>8650.5351718625097</v>
      </c>
      <c r="K439" s="1316"/>
      <c r="L439" s="1320">
        <f t="shared" ref="L439:L444" si="66">H439/D439</f>
        <v>8692.6697760777733</v>
      </c>
      <c r="M439" s="1316"/>
    </row>
    <row r="440" spans="2:13" s="451" customFormat="1" ht="13.2">
      <c r="B440" s="1310">
        <v>2011</v>
      </c>
      <c r="C440" s="1311" t="s">
        <v>448</v>
      </c>
      <c r="D440" s="1320">
        <f>'Rate Class Customer Model'!B5</f>
        <v>5025</v>
      </c>
      <c r="E440" s="1317">
        <f t="shared" ref="E440:E445" si="67">D440/D439-1</f>
        <v>4.1966426858512929E-3</v>
      </c>
      <c r="F440" s="1320">
        <f>'Rate Class Energy Model '!E4</f>
        <v>42116982</v>
      </c>
      <c r="G440" s="1317">
        <f t="shared" ref="G440:G445" si="68">F440/F439-1</f>
        <v>-2.7035564583201555E-2</v>
      </c>
      <c r="H440" s="1320">
        <f>'Weather Normalized Historical'!G20</f>
        <v>43038479.19327268</v>
      </c>
      <c r="I440" s="1317">
        <f t="shared" ref="I440:I445" si="69">H440/H439-1</f>
        <v>-1.056690199197774E-2</v>
      </c>
      <c r="J440" s="1320">
        <f t="shared" si="65"/>
        <v>8381.4889552238801</v>
      </c>
      <c r="K440" s="1317">
        <f t="shared" ref="K440:K445" si="70">J440/J439-1</f>
        <v>-3.1101684611809066E-2</v>
      </c>
      <c r="L440" s="1320">
        <f t="shared" si="66"/>
        <v>8564.871481248294</v>
      </c>
      <c r="M440" s="1317">
        <f t="shared" ref="M440:M445" si="71">L440/L439-1</f>
        <v>-1.4701846282160647E-2</v>
      </c>
    </row>
    <row r="441" spans="2:13" s="451" customFormat="1" ht="13.2">
      <c r="B441" s="1310">
        <v>2012</v>
      </c>
      <c r="C441" s="1311" t="s">
        <v>448</v>
      </c>
      <c r="D441" s="1320">
        <f>'Rate Class Customer Model'!B6</f>
        <v>5035</v>
      </c>
      <c r="E441" s="1317">
        <f t="shared" si="67"/>
        <v>1.9900497512437276E-3</v>
      </c>
      <c r="F441" s="1320">
        <f>'Rate Class Energy Model '!E5</f>
        <v>42764838</v>
      </c>
      <c r="G441" s="1317">
        <f t="shared" si="68"/>
        <v>1.538229876015329E-2</v>
      </c>
      <c r="H441" s="1320">
        <f>'Weather Normalized Historical'!G21</f>
        <v>42301722.793606304</v>
      </c>
      <c r="I441" s="1317">
        <f t="shared" si="69"/>
        <v>-1.711855096825865E-2</v>
      </c>
      <c r="J441" s="1320">
        <f t="shared" si="65"/>
        <v>8493.5130089374379</v>
      </c>
      <c r="K441" s="1317">
        <f t="shared" si="70"/>
        <v>1.3365650699060705E-2</v>
      </c>
      <c r="L441" s="1320">
        <f t="shared" si="66"/>
        <v>8401.5338219674886</v>
      </c>
      <c r="M441" s="1317">
        <f t="shared" si="71"/>
        <v>-1.9070649178847932E-2</v>
      </c>
    </row>
    <row r="442" spans="2:13" s="451" customFormat="1" ht="13.2">
      <c r="B442" s="1310">
        <v>2013</v>
      </c>
      <c r="C442" s="1311" t="s">
        <v>448</v>
      </c>
      <c r="D442" s="1320">
        <f>'Rate Class Customer Model'!B7</f>
        <v>5040</v>
      </c>
      <c r="E442" s="1317">
        <f t="shared" si="67"/>
        <v>9.930486593843213E-4</v>
      </c>
      <c r="F442" s="1320">
        <f>'Rate Class Energy Model '!E6</f>
        <v>42272228</v>
      </c>
      <c r="G442" s="1317">
        <f t="shared" si="68"/>
        <v>-1.1519042817372482E-2</v>
      </c>
      <c r="H442" s="1320">
        <f>'Weather Normalized Historical'!G22</f>
        <v>41435383.707207955</v>
      </c>
      <c r="I442" s="1317">
        <f t="shared" si="69"/>
        <v>-2.0479995356815328E-2</v>
      </c>
      <c r="J442" s="1320">
        <f t="shared" si="65"/>
        <v>8387.3468253968258</v>
      </c>
      <c r="K442" s="1317">
        <f t="shared" si="70"/>
        <v>-1.2499678687593385E-2</v>
      </c>
      <c r="L442" s="1320">
        <f t="shared" si="66"/>
        <v>8221.306291112689</v>
      </c>
      <c r="M442" s="1317">
        <f t="shared" si="71"/>
        <v>-2.1451741393167856E-2</v>
      </c>
    </row>
    <row r="443" spans="2:13" s="451" customFormat="1" ht="13.2">
      <c r="B443" s="1310">
        <v>2014</v>
      </c>
      <c r="C443" s="1311" t="s">
        <v>448</v>
      </c>
      <c r="D443" s="1320">
        <f>'Rate Class Customer Model'!B8</f>
        <v>5054</v>
      </c>
      <c r="E443" s="1317">
        <f t="shared" si="67"/>
        <v>2.7777777777777679E-3</v>
      </c>
      <c r="F443" s="1320">
        <f>'Rate Class Energy Model '!E7</f>
        <v>40938310.960000001</v>
      </c>
      <c r="G443" s="1317">
        <f t="shared" si="68"/>
        <v>-3.1555399445706955E-2</v>
      </c>
      <c r="H443" s="1320">
        <f>'Weather Normalized Historical'!G23</f>
        <v>40952778.33740212</v>
      </c>
      <c r="I443" s="1317">
        <f t="shared" si="69"/>
        <v>-1.1647179937225527E-2</v>
      </c>
      <c r="J443" s="1320">
        <f t="shared" si="65"/>
        <v>8100.1802453502178</v>
      </c>
      <c r="K443" s="1317">
        <f t="shared" si="70"/>
        <v>-3.4238071469403164E-2</v>
      </c>
      <c r="L443" s="1320">
        <f t="shared" si="66"/>
        <v>8103.0428051844319</v>
      </c>
      <c r="M443" s="1317">
        <f t="shared" si="71"/>
        <v>-1.4384999383382779E-2</v>
      </c>
    </row>
    <row r="444" spans="2:13" s="451" customFormat="1" ht="13.2">
      <c r="B444" s="1310">
        <v>2015</v>
      </c>
      <c r="C444" s="1311" t="s">
        <v>448</v>
      </c>
      <c r="D444" s="1320">
        <f>'Rate Class Customer Model'!B9</f>
        <v>5071</v>
      </c>
      <c r="E444" s="1317">
        <f t="shared" si="67"/>
        <v>3.3636723387415746E-3</v>
      </c>
      <c r="F444" s="1320">
        <f>'Rate Class Energy Model '!E8</f>
        <v>40480043.329000004</v>
      </c>
      <c r="G444" s="1317">
        <f t="shared" si="68"/>
        <v>-1.1194102058772359E-2</v>
      </c>
      <c r="H444" s="1320">
        <f>'Weather Normalized Historical'!G24</f>
        <v>41269177.204134397</v>
      </c>
      <c r="I444" s="1317">
        <f t="shared" si="69"/>
        <v>7.7259438694372573E-3</v>
      </c>
      <c r="J444" s="1320">
        <f t="shared" si="65"/>
        <v>7982.6549652928425</v>
      </c>
      <c r="K444" s="1317">
        <f t="shared" si="70"/>
        <v>-1.4508970973187818E-2</v>
      </c>
      <c r="L444" s="1320">
        <f t="shared" si="66"/>
        <v>8138.2719787289288</v>
      </c>
      <c r="M444" s="1317">
        <f t="shared" si="71"/>
        <v>4.3476474691650502E-3</v>
      </c>
    </row>
    <row r="445" spans="2:13" s="451" customFormat="1" ht="13.2">
      <c r="B445" s="1310">
        <v>2016</v>
      </c>
      <c r="C445" s="1311" t="s">
        <v>448</v>
      </c>
      <c r="D445" s="1320">
        <f>'Rate Class Customer Model'!B10</f>
        <v>5089</v>
      </c>
      <c r="E445" s="1317">
        <f t="shared" si="67"/>
        <v>3.5495957404851897E-3</v>
      </c>
      <c r="F445" s="1320">
        <f>'Rate Class Energy Model '!E9</f>
        <v>39379535.354999997</v>
      </c>
      <c r="G445" s="1317">
        <f t="shared" si="68"/>
        <v>-2.7186432708474872E-2</v>
      </c>
      <c r="H445" s="1320">
        <f>'Weather Normalized Historical'!G25</f>
        <v>40569360.663189359</v>
      </c>
      <c r="I445" s="1317">
        <f t="shared" si="69"/>
        <v>-1.6957365965486915E-2</v>
      </c>
      <c r="J445" s="1320">
        <f>F445/D445</f>
        <v>7738.1676861858905</v>
      </c>
      <c r="K445" s="1317">
        <f t="shared" si="70"/>
        <v>-3.0627313866118389E-2</v>
      </c>
      <c r="L445" s="1320">
        <f>H445/D445</f>
        <v>7971.9710479837613</v>
      </c>
      <c r="M445" s="1317">
        <f t="shared" si="71"/>
        <v>-2.0434427748277528E-2</v>
      </c>
    </row>
    <row r="446" spans="2:13" s="451" customFormat="1" ht="13.2">
      <c r="B446" s="1310">
        <v>2017</v>
      </c>
      <c r="C446" s="1311" t="s">
        <v>448</v>
      </c>
      <c r="D446" s="1320">
        <f>'Rate Class Customer Model'!B11</f>
        <v>5105</v>
      </c>
      <c r="E446" s="1317">
        <f t="shared" ref="E446:G450" si="72">D446/D445-1</f>
        <v>3.144036156415897E-3</v>
      </c>
      <c r="F446" s="1320">
        <f>'Rate Class Energy Model '!E10</f>
        <v>42538788.821000002</v>
      </c>
      <c r="G446" s="1317">
        <f t="shared" si="72"/>
        <v>8.0225767966022321E-2</v>
      </c>
      <c r="H446" s="1320">
        <f>'Weather Normalized Historical'!G26</f>
        <v>41591625.67292235</v>
      </c>
      <c r="I446" s="1317">
        <f t="shared" ref="I446" si="73">H446/H445-1</f>
        <v>2.5197957104129198E-2</v>
      </c>
      <c r="J446" s="1320">
        <f t="shared" ref="J446:J450" si="74">F446/D446</f>
        <v>8332.7696025465229</v>
      </c>
      <c r="K446" s="1317">
        <f t="shared" ref="K446" si="75">J446/J445-1</f>
        <v>7.6840143619801626E-2</v>
      </c>
      <c r="L446" s="1320">
        <f t="shared" ref="L446:L450" si="76">H446/D446</f>
        <v>8147.2332366155433</v>
      </c>
      <c r="M446" s="1317">
        <f t="shared" ref="M446" si="77">L446/L445-1</f>
        <v>2.1984799941804578E-2</v>
      </c>
    </row>
    <row r="447" spans="2:13" s="451" customFormat="1" ht="13.2">
      <c r="B447" s="1310">
        <v>2018</v>
      </c>
      <c r="C447" s="1311" t="s">
        <v>448</v>
      </c>
      <c r="D447" s="1320">
        <f>'Rate Class Customer Model'!B12</f>
        <v>5113</v>
      </c>
      <c r="E447" s="1317">
        <f t="shared" si="72"/>
        <v>1.5670910871694588E-3</v>
      </c>
      <c r="F447" s="1320">
        <f>'Rate Class Energy Model '!E11</f>
        <v>42182601</v>
      </c>
      <c r="G447" s="1317">
        <f t="shared" si="72"/>
        <v>-8.3732478256213216E-3</v>
      </c>
      <c r="H447" s="1320">
        <f>'Weather Normalized Historical'!G27</f>
        <v>41268647.042907096</v>
      </c>
      <c r="I447" s="1317">
        <f t="shared" ref="I447" si="78">H447/H446-1</f>
        <v>-7.765472611125257E-3</v>
      </c>
      <c r="J447" s="1320">
        <f t="shared" si="74"/>
        <v>8250.0686485429305</v>
      </c>
      <c r="K447" s="1317">
        <f t="shared" ref="K447" si="79">J447/J446-1</f>
        <v>-9.92478586931278E-3</v>
      </c>
      <c r="L447" s="1320">
        <f t="shared" si="76"/>
        <v>8071.31763014025</v>
      </c>
      <c r="M447" s="1317">
        <f t="shared" ref="M447" si="80">L447/L446-1</f>
        <v>-9.3179616037148971E-3</v>
      </c>
    </row>
    <row r="448" spans="2:13" s="451" customFormat="1" ht="13.2">
      <c r="B448" s="1310">
        <v>2019</v>
      </c>
      <c r="C448" s="1311" t="s">
        <v>448</v>
      </c>
      <c r="D448" s="1320">
        <f>'Rate Class Customer Model'!B13</f>
        <v>5107</v>
      </c>
      <c r="E448" s="1317">
        <f t="shared" si="72"/>
        <v>-1.1734793663211729E-3</v>
      </c>
      <c r="F448" s="1320">
        <f>'Rate Class Energy Model '!E12</f>
        <v>43593897</v>
      </c>
      <c r="G448" s="1317">
        <f t="shared" si="72"/>
        <v>3.3456827377714271E-2</v>
      </c>
      <c r="H448" s="1320">
        <f>'Weather Normalized Historical'!G28</f>
        <v>43935848.788816221</v>
      </c>
      <c r="I448" s="1317">
        <f t="shared" ref="I448" si="81">H448/H447-1</f>
        <v>6.463022020411846E-2</v>
      </c>
      <c r="J448" s="1320">
        <f t="shared" si="74"/>
        <v>8536.1067162717845</v>
      </c>
      <c r="K448" s="1317">
        <f t="shared" ref="K448" si="82">J448/J447-1</f>
        <v>3.4670992438271764E-2</v>
      </c>
      <c r="L448" s="1320">
        <f t="shared" si="76"/>
        <v>8603.064184220917</v>
      </c>
      <c r="M448" s="1317">
        <f t="shared" ref="M448" si="83">L448/L447-1</f>
        <v>6.5881009575809113E-2</v>
      </c>
    </row>
    <row r="449" spans="2:13" s="451" customFormat="1" ht="13.2">
      <c r="B449" s="1327">
        <v>2020</v>
      </c>
      <c r="C449" s="1328" t="s">
        <v>449</v>
      </c>
      <c r="D449" s="1329">
        <f>'Rate Class Customer Model'!B14</f>
        <v>5117</v>
      </c>
      <c r="E449" s="1330">
        <f t="shared" si="72"/>
        <v>1.9580967299783758E-3</v>
      </c>
      <c r="F449" s="1329">
        <f>'Rate Class Energy Model '!E13</f>
        <v>43612856</v>
      </c>
      <c r="G449" s="1330">
        <f t="shared" si="72"/>
        <v>4.3490032561210867E-4</v>
      </c>
      <c r="H449" s="1329">
        <f>'Weather Normalized Historical'!G29</f>
        <v>43612030.60877876</v>
      </c>
      <c r="I449" s="1330">
        <f t="shared" ref="I449" si="84">H449/H448-1</f>
        <v>-7.3702497838140646E-3</v>
      </c>
      <c r="J449" s="1329">
        <f t="shared" si="74"/>
        <v>8523.1299589603277</v>
      </c>
      <c r="K449" s="1330">
        <f t="shared" ref="K449" si="85">J449/J448-1</f>
        <v>-1.5202196672072787E-3</v>
      </c>
      <c r="L449" s="1329">
        <f t="shared" si="76"/>
        <v>8522.9686552235216</v>
      </c>
      <c r="M449" s="1330">
        <f t="shared" ref="M449" si="86">L449/L448-1</f>
        <v>-9.3101164053036589E-3</v>
      </c>
    </row>
    <row r="450" spans="2:13" s="451" customFormat="1" ht="13.2">
      <c r="B450" s="1312">
        <v>2021</v>
      </c>
      <c r="C450" s="1313" t="s">
        <v>449</v>
      </c>
      <c r="D450" s="1321">
        <f>'Rate Class Customer Model'!B15</f>
        <v>5126</v>
      </c>
      <c r="E450" s="1318">
        <f t="shared" si="72"/>
        <v>1.7588430721124926E-3</v>
      </c>
      <c r="F450" s="1321">
        <f>'Rate Class Energy Model '!E14</f>
        <v>40152604.799600743</v>
      </c>
      <c r="G450" s="1318">
        <f t="shared" si="72"/>
        <v>-7.9340165211818636E-2</v>
      </c>
      <c r="H450" s="1321">
        <f>'Weather Normalized Historical'!G30</f>
        <v>40152604.799600743</v>
      </c>
      <c r="I450" s="1318">
        <f t="shared" ref="I450" si="87">H450/H449-1</f>
        <v>-7.9322741016366716E-2</v>
      </c>
      <c r="J450" s="1321">
        <f t="shared" si="74"/>
        <v>7833.1261801796218</v>
      </c>
      <c r="K450" s="1318">
        <f t="shared" ref="K450" si="88">J450/J449-1</f>
        <v>-8.0956618296698424E-2</v>
      </c>
      <c r="L450" s="1321">
        <f t="shared" si="76"/>
        <v>7833.1261801796218</v>
      </c>
      <c r="M450" s="1318">
        <f t="shared" ref="M450" si="89">L450/L449-1</f>
        <v>-8.0939224693864387E-2</v>
      </c>
    </row>
    <row r="451" spans="2:13" s="451" customFormat="1" ht="13.2">
      <c r="B451" s="1193" t="s">
        <v>576</v>
      </c>
      <c r="C451" s="393"/>
      <c r="D451" s="523"/>
      <c r="E451" s="1331">
        <f>AVERAGE(E440:E448)</f>
        <v>2.2676038700831175E-3</v>
      </c>
      <c r="F451" s="1331"/>
      <c r="G451" s="1331">
        <f t="shared" ref="G451:M451" si="90">AVERAGE(G440:G448)</f>
        <v>1.3556782960822595E-3</v>
      </c>
      <c r="H451" s="1331"/>
      <c r="I451" s="1331">
        <f t="shared" si="90"/>
        <v>1.4465171496439444E-3</v>
      </c>
      <c r="J451" s="1331"/>
      <c r="K451" s="1331">
        <f t="shared" si="90"/>
        <v>-8.9152430225450082E-4</v>
      </c>
      <c r="L451" s="1331"/>
      <c r="M451" s="1331">
        <f t="shared" si="90"/>
        <v>-7.9424095586365525E-4</v>
      </c>
    </row>
    <row r="452" spans="2:13" s="451" customFormat="1" ht="13.2">
      <c r="B452" s="393"/>
      <c r="C452" s="523"/>
      <c r="D452" s="1307"/>
      <c r="E452" s="1307"/>
      <c r="F452" s="1307"/>
      <c r="G452" s="1307"/>
      <c r="H452" s="1307"/>
      <c r="I452" s="1307"/>
    </row>
    <row r="453" spans="2:13" s="451" customFormat="1" ht="9.6" customHeight="1">
      <c r="B453" s="393"/>
      <c r="C453" s="523"/>
      <c r="D453" s="1307"/>
      <c r="E453" s="1307"/>
      <c r="F453" s="1307"/>
      <c r="G453" s="409" t="s">
        <v>575</v>
      </c>
      <c r="H453" s="409"/>
      <c r="I453" s="1307"/>
      <c r="J453" s="451" t="s">
        <v>579</v>
      </c>
    </row>
    <row r="454" spans="2:13" s="451" customFormat="1" hidden="1">
      <c r="B454" s="393"/>
      <c r="C454" s="523"/>
      <c r="D454" s="1307"/>
      <c r="E454" s="1307"/>
      <c r="F454" s="1307"/>
      <c r="G454" s="409"/>
      <c r="H454" s="409"/>
      <c r="I454" s="1307"/>
    </row>
    <row r="455" spans="2:13" s="451" customFormat="1" ht="39.6" hidden="1">
      <c r="B455" s="1314" t="s">
        <v>124</v>
      </c>
      <c r="C455" s="1314"/>
      <c r="D455" s="1319" t="s">
        <v>568</v>
      </c>
      <c r="E455" s="1315" t="s">
        <v>569</v>
      </c>
      <c r="F455" s="1322" t="s">
        <v>573</v>
      </c>
      <c r="G455" s="1315" t="s">
        <v>569</v>
      </c>
      <c r="H455" s="1322" t="s">
        <v>570</v>
      </c>
      <c r="I455" s="1315" t="s">
        <v>569</v>
      </c>
      <c r="J455" s="1322" t="s">
        <v>571</v>
      </c>
      <c r="K455" s="1315" t="s">
        <v>569</v>
      </c>
      <c r="L455" s="1322" t="s">
        <v>572</v>
      </c>
      <c r="M455" s="1315" t="s">
        <v>569</v>
      </c>
    </row>
    <row r="456" spans="2:13" s="451" customFormat="1" ht="13.2" hidden="1">
      <c r="B456" s="1309"/>
      <c r="C456" s="1309"/>
      <c r="D456" s="1320"/>
      <c r="E456" s="1316"/>
      <c r="F456" s="1323"/>
      <c r="G456" s="1316"/>
      <c r="H456" s="1323"/>
      <c r="I456" s="1316"/>
      <c r="J456" s="1323"/>
      <c r="K456" s="1324"/>
      <c r="L456" s="1325"/>
      <c r="M456" s="1324"/>
    </row>
    <row r="457" spans="2:13" s="451" customFormat="1" ht="13.2" hidden="1">
      <c r="B457" s="1310">
        <v>2016</v>
      </c>
      <c r="C457" s="1311" t="s">
        <v>574</v>
      </c>
      <c r="D457" s="1320">
        <v>5071</v>
      </c>
      <c r="E457" s="1316"/>
      <c r="F457" s="1320">
        <f>F458</f>
        <v>0</v>
      </c>
      <c r="G457" s="1316"/>
      <c r="H457" s="1326">
        <f>F457</f>
        <v>0</v>
      </c>
      <c r="I457" s="1316"/>
      <c r="J457" s="1320">
        <f>F457/D457</f>
        <v>0</v>
      </c>
      <c r="K457" s="1316"/>
      <c r="L457" s="1320">
        <f>H457/D457</f>
        <v>0</v>
      </c>
      <c r="M457" s="1316"/>
    </row>
    <row r="458" spans="2:13" s="451" customFormat="1" ht="13.2" hidden="1">
      <c r="B458" s="1310">
        <v>2016</v>
      </c>
      <c r="C458" s="1311" t="s">
        <v>448</v>
      </c>
      <c r="D458" s="1320">
        <f>'Rate Class Customer Model'!B23</f>
        <v>1.0027777777777778</v>
      </c>
      <c r="E458" s="1317">
        <f>D458/D457-1</f>
        <v>-0.99980225245951926</v>
      </c>
      <c r="F458" s="1320">
        <f>'Rate Class Energy Model '!E22</f>
        <v>0</v>
      </c>
      <c r="G458" s="1317" t="e">
        <f>F458/F457-1</f>
        <v>#DIV/0!</v>
      </c>
      <c r="H458" s="1320">
        <f>'Weather Normalized Historical'!G38</f>
        <v>27899670.48</v>
      </c>
      <c r="I458" s="1317" t="e">
        <f>H458/H457-1</f>
        <v>#DIV/0!</v>
      </c>
      <c r="J458" s="1320">
        <f>F458/D458</f>
        <v>0</v>
      </c>
      <c r="K458" s="1317" t="e">
        <f>J458/J457-1</f>
        <v>#DIV/0!</v>
      </c>
      <c r="L458" s="1320">
        <f>H458/D458</f>
        <v>27822386.07423823</v>
      </c>
      <c r="M458" s="1317" t="e">
        <f>L458/L457-1</f>
        <v>#DIV/0!</v>
      </c>
    </row>
    <row r="459" spans="2:13" s="451" customFormat="1" ht="13.2" hidden="1">
      <c r="B459" s="1310">
        <v>2017</v>
      </c>
      <c r="C459" s="1311" t="s">
        <v>448</v>
      </c>
      <c r="D459" s="1320">
        <f>'Rate Class Customer Model'!B24</f>
        <v>1.0033636723387416</v>
      </c>
      <c r="E459" s="1317">
        <f t="shared" ref="E459:E463" si="91">D459/D458-1</f>
        <v>5.8427158434071202E-4</v>
      </c>
      <c r="F459" s="1320" t="str">
        <f>'Rate Class Energy Model '!E23</f>
        <v xml:space="preserve">Residential </v>
      </c>
      <c r="G459" s="1317" t="e">
        <f t="shared" ref="G459:G463" si="92">F459/F458-1</f>
        <v>#VALUE!</v>
      </c>
      <c r="H459" s="1320">
        <f>'Weather Normalized Historical'!G39</f>
        <v>27019285.233600002</v>
      </c>
      <c r="I459" s="1317">
        <f t="shared" ref="I459:I463" si="93">H459/H458-1</f>
        <v>-3.1555399445706955E-2</v>
      </c>
      <c r="J459" s="1320" t="e">
        <f t="shared" ref="J459:J463" si="94">F459/D459</f>
        <v>#VALUE!</v>
      </c>
      <c r="K459" s="1317" t="e">
        <f t="shared" ref="K459:K463" si="95">J459/J458-1</f>
        <v>#VALUE!</v>
      </c>
      <c r="L459" s="1320">
        <f t="shared" ref="L459:L463" si="96">H459/D459</f>
        <v>26928705.890478093</v>
      </c>
      <c r="M459" s="1317">
        <f t="shared" ref="M459:M463" si="97">L459/L458-1</f>
        <v>-3.2120903698753089E-2</v>
      </c>
    </row>
    <row r="460" spans="2:13" s="451" customFormat="1" ht="13.2" hidden="1">
      <c r="B460" s="1310">
        <v>2018</v>
      </c>
      <c r="C460" s="1311" t="s">
        <v>448</v>
      </c>
      <c r="D460" s="1320">
        <f>'Rate Class Customer Model'!B25</f>
        <v>1.0035495957404852</v>
      </c>
      <c r="E460" s="1317">
        <f t="shared" si="91"/>
        <v>1.853001128795384E-4</v>
      </c>
      <c r="F460" s="1320">
        <f>'Rate Class Energy Model '!E24</f>
        <v>8650.5351718625097</v>
      </c>
      <c r="G460" s="1317" t="e">
        <f t="shared" si="92"/>
        <v>#VALUE!</v>
      </c>
      <c r="H460" s="1320">
        <f>'Weather Normalized Historical'!G40</f>
        <v>26716828.597140003</v>
      </c>
      <c r="I460" s="1317">
        <f t="shared" si="93"/>
        <v>-1.1194102058772359E-2</v>
      </c>
      <c r="J460" s="1320">
        <f t="shared" si="94"/>
        <v>8619.9378770907424</v>
      </c>
      <c r="K460" s="1317" t="e">
        <f t="shared" si="95"/>
        <v>#VALUE!</v>
      </c>
      <c r="L460" s="1320">
        <f t="shared" si="96"/>
        <v>26622330.087659057</v>
      </c>
      <c r="M460" s="1317">
        <f t="shared" si="97"/>
        <v>-1.1377293957797296E-2</v>
      </c>
    </row>
    <row r="461" spans="2:13" s="451" customFormat="1" ht="13.2" hidden="1">
      <c r="B461" s="1310">
        <v>2019</v>
      </c>
      <c r="C461" s="1311" t="s">
        <v>448</v>
      </c>
      <c r="D461" s="1320">
        <f>'Rate Class Customer Model'!B26</f>
        <v>1.0031440361564159</v>
      </c>
      <c r="E461" s="1317">
        <f t="shared" si="91"/>
        <v>-4.0412510332388241E-4</v>
      </c>
      <c r="F461" s="1320">
        <f>'Rate Class Energy Model '!E25</f>
        <v>8381.4889552238801</v>
      </c>
      <c r="G461" s="1317">
        <f t="shared" si="92"/>
        <v>-3.1101684611809066E-2</v>
      </c>
      <c r="H461" s="1320">
        <f>'Weather Normalized Historical'!G41</f>
        <v>25990493.3343</v>
      </c>
      <c r="I461" s="1317">
        <f t="shared" si="93"/>
        <v>-2.7186432708474872E-2</v>
      </c>
      <c r="J461" s="1320">
        <f t="shared" si="94"/>
        <v>8355.2198419459983</v>
      </c>
      <c r="K461" s="1317">
        <f t="shared" si="95"/>
        <v>-3.0709970178356749E-2</v>
      </c>
      <c r="L461" s="1320">
        <f t="shared" si="96"/>
        <v>25909034.393389363</v>
      </c>
      <c r="M461" s="1317">
        <f t="shared" si="97"/>
        <v>-2.6793135383756161E-2</v>
      </c>
    </row>
    <row r="462" spans="2:13" s="451" customFormat="1" ht="13.2" hidden="1">
      <c r="B462" s="1310">
        <v>2020</v>
      </c>
      <c r="C462" s="1311" t="s">
        <v>449</v>
      </c>
      <c r="D462" s="1320">
        <f>'Rate Class Customer Model'!B27</f>
        <v>1.0015670910871695</v>
      </c>
      <c r="E462" s="1317">
        <f t="shared" si="91"/>
        <v>-1.5720026361204509E-3</v>
      </c>
      <c r="F462" s="1320">
        <f>'Rate Class Energy Model '!E26</f>
        <v>8493.5130089374379</v>
      </c>
      <c r="G462" s="1317">
        <f t="shared" si="92"/>
        <v>1.3365650699060705E-2</v>
      </c>
      <c r="H462" s="1320">
        <f>'Weather Normalized Historical'!G42</f>
        <v>28075600.621860001</v>
      </c>
      <c r="I462" s="1317">
        <f t="shared" si="93"/>
        <v>8.0225767966022321E-2</v>
      </c>
      <c r="J462" s="1320">
        <f t="shared" si="94"/>
        <v>8480.2237259193462</v>
      </c>
      <c r="K462" s="1317">
        <f t="shared" si="95"/>
        <v>1.4961172337535134E-2</v>
      </c>
      <c r="L462" s="1320">
        <f t="shared" si="96"/>
        <v>28031672.437824234</v>
      </c>
      <c r="M462" s="1317">
        <f t="shared" si="97"/>
        <v>8.1926559369439822E-2</v>
      </c>
    </row>
    <row r="463" spans="2:13" s="451" customFormat="1" ht="0.6" customHeight="1">
      <c r="B463" s="1312">
        <v>2021</v>
      </c>
      <c r="C463" s="1313" t="s">
        <v>449</v>
      </c>
      <c r="D463" s="1321">
        <f>'Rate Class Customer Model'!B28</f>
        <v>0.99882652063367883</v>
      </c>
      <c r="E463" s="1318">
        <f t="shared" si="91"/>
        <v>-2.7362824496518501E-3</v>
      </c>
      <c r="F463" s="1321">
        <f>'Rate Class Energy Model '!E27</f>
        <v>8387.3468253968258</v>
      </c>
      <c r="G463" s="1318">
        <f t="shared" si="92"/>
        <v>-1.2499678687593385E-2</v>
      </c>
      <c r="H463" s="1321">
        <f>'Weather Normalized Historical'!G43</f>
        <v>27840516.66</v>
      </c>
      <c r="I463" s="1318">
        <f t="shared" si="93"/>
        <v>-8.3732478256213216E-3</v>
      </c>
      <c r="J463" s="1321">
        <f t="shared" si="94"/>
        <v>8397.2007672320287</v>
      </c>
      <c r="K463" s="1318">
        <f t="shared" si="95"/>
        <v>-9.7901849491968118E-3</v>
      </c>
      <c r="L463" s="1321">
        <f t="shared" si="96"/>
        <v>27873225.314779714</v>
      </c>
      <c r="M463" s="1318">
        <f t="shared" si="97"/>
        <v>-5.6524320265216588E-3</v>
      </c>
    </row>
    <row r="464" spans="2:13" s="451" customFormat="1" ht="13.2">
      <c r="B464" s="393"/>
      <c r="C464" s="523"/>
      <c r="D464" s="1307"/>
      <c r="E464" s="1307"/>
      <c r="F464" s="1307"/>
      <c r="G464" s="1307"/>
      <c r="H464" s="1307"/>
      <c r="I464" s="1307"/>
    </row>
    <row r="465" spans="2:13" s="451" customFormat="1" ht="13.2">
      <c r="B465" s="393"/>
      <c r="C465" s="523"/>
      <c r="D465" s="1307"/>
      <c r="E465" s="1307"/>
      <c r="F465" s="1307"/>
      <c r="G465" s="1307"/>
      <c r="H465" s="1307"/>
      <c r="I465" s="1307"/>
    </row>
    <row r="466" spans="2:13" s="451" customFormat="1">
      <c r="B466" s="393"/>
      <c r="C466" s="523"/>
      <c r="D466" s="1307"/>
      <c r="E466" s="1307"/>
      <c r="F466" s="1307"/>
      <c r="G466" s="409" t="s">
        <v>580</v>
      </c>
      <c r="H466" s="409"/>
      <c r="I466" s="1307"/>
    </row>
    <row r="467" spans="2:13" s="451" customFormat="1">
      <c r="B467" s="393"/>
      <c r="C467" s="523"/>
      <c r="D467" s="1307"/>
      <c r="E467" s="1307"/>
      <c r="F467" s="1307"/>
      <c r="G467" s="409"/>
      <c r="H467" s="409"/>
      <c r="I467" s="1307"/>
    </row>
    <row r="468" spans="2:13" s="451" customFormat="1" ht="39.6">
      <c r="B468" s="1314" t="s">
        <v>124</v>
      </c>
      <c r="C468" s="1314"/>
      <c r="D468" s="1319" t="s">
        <v>568</v>
      </c>
      <c r="E468" s="1315" t="s">
        <v>569</v>
      </c>
      <c r="F468" s="1322" t="s">
        <v>573</v>
      </c>
      <c r="G468" s="1315" t="s">
        <v>569</v>
      </c>
      <c r="H468" s="1322" t="s">
        <v>570</v>
      </c>
      <c r="I468" s="1315" t="s">
        <v>569</v>
      </c>
      <c r="J468" s="1322" t="s">
        <v>571</v>
      </c>
      <c r="K468" s="1315" t="s">
        <v>569</v>
      </c>
      <c r="L468" s="1322" t="s">
        <v>572</v>
      </c>
      <c r="M468" s="1315" t="s">
        <v>569</v>
      </c>
    </row>
    <row r="469" spans="2:13" s="451" customFormat="1" ht="13.2">
      <c r="B469" s="1309"/>
      <c r="C469" s="1309"/>
      <c r="D469" s="1320"/>
      <c r="E469" s="1316"/>
      <c r="F469" s="1323"/>
      <c r="G469" s="1316"/>
      <c r="H469" s="1323"/>
      <c r="I469" s="1316"/>
      <c r="J469" s="1323"/>
      <c r="K469" s="1324"/>
      <c r="L469" s="1325"/>
      <c r="M469" s="1324"/>
    </row>
    <row r="471" spans="2:13" s="451" customFormat="1" ht="13.2">
      <c r="B471" s="1310">
        <v>2010</v>
      </c>
      <c r="C471" s="1311" t="s">
        <v>448</v>
      </c>
      <c r="D471" s="1320">
        <f>'Rate Class Customer Model'!C4</f>
        <v>769</v>
      </c>
      <c r="E471" s="1316"/>
      <c r="F471" s="1320">
        <f>'Rate Class Energy Model '!F3</f>
        <v>20434679</v>
      </c>
      <c r="G471" s="1316"/>
      <c r="H471" s="1320">
        <f>'Weather Normalized Historical'!H19</f>
        <v>20534211.236425273</v>
      </c>
      <c r="I471" s="1316"/>
      <c r="J471" s="1320">
        <f t="shared" ref="J471:J476" si="98">F471/D471</f>
        <v>26573.054616384914</v>
      </c>
      <c r="K471" s="1316"/>
      <c r="L471" s="1320">
        <f t="shared" ref="L471:L476" si="99">H471/D471</f>
        <v>26702.485352958742</v>
      </c>
      <c r="M471" s="1316"/>
    </row>
    <row r="472" spans="2:13" s="451" customFormat="1" ht="13.2">
      <c r="B472" s="1310">
        <v>2011</v>
      </c>
      <c r="C472" s="1311" t="s">
        <v>448</v>
      </c>
      <c r="D472" s="1320">
        <f>'Rate Class Customer Model'!C5</f>
        <v>770</v>
      </c>
      <c r="E472" s="1317">
        <f t="shared" ref="E472:E482" si="100">D472/D471-1</f>
        <v>1.3003901170351995E-3</v>
      </c>
      <c r="F472" s="1320">
        <f>'Rate Class Energy Model '!F4</f>
        <v>19669183</v>
      </c>
      <c r="G472" s="1317">
        <f t="shared" ref="G472:G482" si="101">F472/F471-1</f>
        <v>-3.7460632486568501E-2</v>
      </c>
      <c r="H472" s="1320">
        <f>'Weather Normalized Historical'!H20</f>
        <v>20099534.275608178</v>
      </c>
      <c r="I472" s="1317">
        <f t="shared" ref="I472:I482" si="102">H472/H471-1</f>
        <v>-2.1168427450771965E-2</v>
      </c>
      <c r="J472" s="1320">
        <f t="shared" si="98"/>
        <v>25544.393506493507</v>
      </c>
      <c r="K472" s="1317">
        <f t="shared" ref="K472:K482" si="103">J472/J471-1</f>
        <v>-3.8710683613209285E-2</v>
      </c>
      <c r="L472" s="1320">
        <f t="shared" si="99"/>
        <v>26103.291267023607</v>
      </c>
      <c r="M472" s="1317">
        <f t="shared" ref="M472:M482" si="104">L472/L471-1</f>
        <v>-2.2439637285251446E-2</v>
      </c>
    </row>
    <row r="473" spans="2:13" s="451" customFormat="1" ht="13.2">
      <c r="B473" s="1310">
        <v>2012</v>
      </c>
      <c r="C473" s="1311" t="s">
        <v>448</v>
      </c>
      <c r="D473" s="1320">
        <f>'Rate Class Customer Model'!C6</f>
        <v>759</v>
      </c>
      <c r="E473" s="1317">
        <f t="shared" si="100"/>
        <v>-1.4285714285714235E-2</v>
      </c>
      <c r="F473" s="1320">
        <f>'Rate Class Energy Model '!F5</f>
        <v>20094189</v>
      </c>
      <c r="G473" s="1317">
        <f t="shared" si="101"/>
        <v>2.1607709888102677E-2</v>
      </c>
      <c r="H473" s="1320">
        <f>'Weather Normalized Historical'!H21</f>
        <v>19876582.084569875</v>
      </c>
      <c r="I473" s="1317">
        <f t="shared" si="102"/>
        <v>-1.1092405822997975E-2</v>
      </c>
      <c r="J473" s="1320">
        <f t="shared" si="98"/>
        <v>26474.557312252964</v>
      </c>
      <c r="K473" s="1317">
        <f t="shared" si="103"/>
        <v>3.6413618727060504E-2</v>
      </c>
      <c r="L473" s="1320">
        <f t="shared" si="99"/>
        <v>26187.855183886528</v>
      </c>
      <c r="M473" s="1317">
        <f t="shared" si="104"/>
        <v>3.2395882955094102E-3</v>
      </c>
    </row>
    <row r="474" spans="2:13" s="451" customFormat="1" ht="13.2">
      <c r="B474" s="1310">
        <v>2013</v>
      </c>
      <c r="C474" s="1311" t="s">
        <v>448</v>
      </c>
      <c r="D474" s="1320">
        <f>'Rate Class Customer Model'!C7</f>
        <v>754</v>
      </c>
      <c r="E474" s="1317">
        <f t="shared" si="100"/>
        <v>-6.5876152832674562E-3</v>
      </c>
      <c r="F474" s="1320">
        <f>'Rate Class Energy Model '!F6</f>
        <v>20739791</v>
      </c>
      <c r="G474" s="1317">
        <f t="shared" si="101"/>
        <v>3.2128791064919282E-2</v>
      </c>
      <c r="H474" s="1320">
        <f>'Weather Normalized Historical'!H22</f>
        <v>20329214.681854434</v>
      </c>
      <c r="I474" s="1317">
        <f t="shared" si="102"/>
        <v>2.2772154455867666E-2</v>
      </c>
      <c r="J474" s="1320">
        <f t="shared" si="98"/>
        <v>27506.354111405835</v>
      </c>
      <c r="K474" s="1317">
        <f t="shared" si="103"/>
        <v>3.8973146443333828E-2</v>
      </c>
      <c r="L474" s="1320">
        <f t="shared" si="99"/>
        <v>26961.823185483336</v>
      </c>
      <c r="M474" s="1317">
        <f t="shared" si="104"/>
        <v>2.9554463172418721E-2</v>
      </c>
    </row>
    <row r="475" spans="2:13" s="451" customFormat="1" ht="13.2">
      <c r="B475" s="1310">
        <v>2014</v>
      </c>
      <c r="C475" s="1311" t="s">
        <v>448</v>
      </c>
      <c r="D475" s="1320">
        <f>'Rate Class Customer Model'!C8</f>
        <v>742</v>
      </c>
      <c r="E475" s="1317">
        <f t="shared" si="100"/>
        <v>-1.591511936339518E-2</v>
      </c>
      <c r="F475" s="1320">
        <f>'Rate Class Energy Model '!F7</f>
        <v>20653133.002</v>
      </c>
      <c r="G475" s="1317">
        <f t="shared" si="101"/>
        <v>-4.1783448058854145E-3</v>
      </c>
      <c r="H475" s="1320">
        <f>'Weather Normalized Historical'!H23</f>
        <v>20660431.70736105</v>
      </c>
      <c r="I475" s="1317">
        <f t="shared" si="102"/>
        <v>1.6292662096891286E-2</v>
      </c>
      <c r="J475" s="1320">
        <f t="shared" si="98"/>
        <v>27834.411053908356</v>
      </c>
      <c r="K475" s="1317">
        <f t="shared" si="103"/>
        <v>1.1926587623129814E-2</v>
      </c>
      <c r="L475" s="1320">
        <f t="shared" si="99"/>
        <v>27844.24758404454</v>
      </c>
      <c r="M475" s="1317">
        <f t="shared" si="104"/>
        <v>3.2728662022986521E-2</v>
      </c>
    </row>
    <row r="476" spans="2:13" s="451" customFormat="1" ht="13.2">
      <c r="B476" s="1310">
        <v>2015</v>
      </c>
      <c r="C476" s="1311" t="s">
        <v>448</v>
      </c>
      <c r="D476" s="1320">
        <f>'Rate Class Customer Model'!C9</f>
        <v>740</v>
      </c>
      <c r="E476" s="1317">
        <f t="shared" si="100"/>
        <v>-2.6954177897574594E-3</v>
      </c>
      <c r="F476" s="1320">
        <f>'Rate Class Energy Model '!F8</f>
        <v>20348622.955000002</v>
      </c>
      <c r="G476" s="1317">
        <f t="shared" si="101"/>
        <v>-1.4744012299272469E-2</v>
      </c>
      <c r="H476" s="1320">
        <f>'Weather Normalized Historical'!H24</f>
        <v>20745307.008809399</v>
      </c>
      <c r="I476" s="1317">
        <f t="shared" si="102"/>
        <v>4.1081088067540517E-3</v>
      </c>
      <c r="J476" s="1320">
        <f t="shared" si="98"/>
        <v>27498.139128378381</v>
      </c>
      <c r="K476" s="1317">
        <f t="shared" si="103"/>
        <v>-1.208115827845968E-2</v>
      </c>
      <c r="L476" s="1320">
        <f t="shared" si="99"/>
        <v>28034.19866055324</v>
      </c>
      <c r="M476" s="1317">
        <f t="shared" si="104"/>
        <v>6.8219145062315967E-3</v>
      </c>
    </row>
    <row r="477" spans="2:13" s="451" customFormat="1" ht="13.2">
      <c r="B477" s="1310">
        <v>2016</v>
      </c>
      <c r="C477" s="1311" t="s">
        <v>448</v>
      </c>
      <c r="D477" s="1320">
        <f>'Rate Class Customer Model'!C10</f>
        <v>741</v>
      </c>
      <c r="E477" s="1317">
        <f t="shared" si="100"/>
        <v>1.3513513513514486E-3</v>
      </c>
      <c r="F477" s="1320">
        <f>'Rate Class Energy Model '!F9</f>
        <v>19816422.939999998</v>
      </c>
      <c r="G477" s="1317">
        <f t="shared" si="101"/>
        <v>-2.6154104686933355E-2</v>
      </c>
      <c r="H477" s="1320">
        <f>'Weather Normalized Historical'!H25</f>
        <v>20415162.394877858</v>
      </c>
      <c r="I477" s="1317">
        <f t="shared" si="102"/>
        <v>-1.5914183086870981E-2</v>
      </c>
      <c r="J477" s="1320">
        <f>F477/D477</f>
        <v>26742.810985155193</v>
      </c>
      <c r="K477" s="1317">
        <f t="shared" si="103"/>
        <v>-2.7468336664413839E-2</v>
      </c>
      <c r="L477" s="1320">
        <f>H477/D477</f>
        <v>27550.82644382977</v>
      </c>
      <c r="M477" s="1317">
        <f t="shared" si="104"/>
        <v>-1.7242234121841338E-2</v>
      </c>
    </row>
    <row r="478" spans="2:13" s="451" customFormat="1" ht="13.2">
      <c r="B478" s="1310">
        <v>2017</v>
      </c>
      <c r="C478" s="1311" t="s">
        <v>448</v>
      </c>
      <c r="D478" s="1320">
        <f>'Rate Class Customer Model'!C11</f>
        <v>739</v>
      </c>
      <c r="E478" s="1317">
        <f t="shared" si="100"/>
        <v>-2.6990553306343035E-3</v>
      </c>
      <c r="F478" s="1320">
        <f>'Rate Class Energy Model '!F10</f>
        <v>20252448.662</v>
      </c>
      <c r="G478" s="1317">
        <f t="shared" si="101"/>
        <v>2.2003250703731769E-2</v>
      </c>
      <c r="H478" s="1320">
        <f>'Weather Normalized Historical'!H26</f>
        <v>19801510.269943308</v>
      </c>
      <c r="I478" s="1317">
        <f t="shared" si="102"/>
        <v>-3.0058645288489894E-2</v>
      </c>
      <c r="J478" s="1320">
        <f t="shared" ref="J478:J482" si="105">F478/D478</f>
        <v>27405.207932341003</v>
      </c>
      <c r="K478" s="1317">
        <f t="shared" si="103"/>
        <v>2.4769159365988225E-2</v>
      </c>
      <c r="L478" s="1320">
        <f t="shared" ref="L478:L482" si="106">H478/D478</f>
        <v>26795.007131181745</v>
      </c>
      <c r="M478" s="1317">
        <f t="shared" si="104"/>
        <v>-2.7433634856253053E-2</v>
      </c>
    </row>
    <row r="479" spans="2:13" s="451" customFormat="1" ht="13.2">
      <c r="B479" s="1310">
        <v>2018</v>
      </c>
      <c r="C479" s="1311" t="s">
        <v>448</v>
      </c>
      <c r="D479" s="1320">
        <f>'Rate Class Customer Model'!C12</f>
        <v>735</v>
      </c>
      <c r="E479" s="1317">
        <f t="shared" si="100"/>
        <v>-5.4127198917456321E-3</v>
      </c>
      <c r="F479" s="1320">
        <f>'Rate Class Energy Model '!F11</f>
        <v>19700297</v>
      </c>
      <c r="G479" s="1317">
        <f t="shared" si="101"/>
        <v>-2.7263452001041855E-2</v>
      </c>
      <c r="H479" s="1320">
        <f>'Weather Normalized Historical'!H27</f>
        <v>19273458.351547394</v>
      </c>
      <c r="I479" s="1317">
        <f t="shared" si="102"/>
        <v>-2.6667254729425549E-2</v>
      </c>
      <c r="J479" s="1320">
        <f t="shared" si="105"/>
        <v>26803.125170068026</v>
      </c>
      <c r="K479" s="1317">
        <f t="shared" si="103"/>
        <v>-2.1969647658190428E-2</v>
      </c>
      <c r="L479" s="1320">
        <f t="shared" si="106"/>
        <v>26222.392315030469</v>
      </c>
      <c r="M479" s="1317">
        <f t="shared" si="104"/>
        <v>-2.1370205775572138E-2</v>
      </c>
    </row>
    <row r="480" spans="2:13" s="451" customFormat="1" ht="13.2">
      <c r="B480" s="1310">
        <v>2019</v>
      </c>
      <c r="C480" s="1311" t="s">
        <v>448</v>
      </c>
      <c r="D480" s="1320">
        <f>'Rate Class Customer Model'!C13</f>
        <v>731</v>
      </c>
      <c r="E480" s="1317">
        <f t="shared" si="100"/>
        <v>-5.4421768707483276E-3</v>
      </c>
      <c r="F480" s="1320">
        <f>'Rate Class Energy Model '!F12</f>
        <v>18533558</v>
      </c>
      <c r="G480" s="1317">
        <f t="shared" si="101"/>
        <v>-5.922443707320757E-2</v>
      </c>
      <c r="H480" s="1320">
        <f>'Weather Normalized Historical'!H28</f>
        <v>18678935.764947906</v>
      </c>
      <c r="I480" s="1317">
        <f t="shared" si="102"/>
        <v>-3.0846699941204703E-2</v>
      </c>
      <c r="J480" s="1320">
        <f t="shared" si="105"/>
        <v>25353.704514363886</v>
      </c>
      <c r="K480" s="1317">
        <f t="shared" si="103"/>
        <v>-5.4076554375933616E-2</v>
      </c>
      <c r="L480" s="1320">
        <f t="shared" si="106"/>
        <v>25552.579705811087</v>
      </c>
      <c r="M480" s="1317">
        <f t="shared" si="104"/>
        <v>-2.5543535508598558E-2</v>
      </c>
    </row>
    <row r="481" spans="2:21" s="451" customFormat="1" ht="13.2">
      <c r="B481" s="1327">
        <v>2020</v>
      </c>
      <c r="C481" s="1328" t="s">
        <v>449</v>
      </c>
      <c r="D481" s="1329">
        <f>'Rate Class Customer Model'!C14</f>
        <v>730</v>
      </c>
      <c r="E481" s="1330">
        <f t="shared" si="100"/>
        <v>-1.3679890560875929E-3</v>
      </c>
      <c r="F481" s="1329">
        <f>'Rate Class Energy Model '!F13</f>
        <v>17739759</v>
      </c>
      <c r="G481" s="1330">
        <f t="shared" si="101"/>
        <v>-4.2830362092373231E-2</v>
      </c>
      <c r="H481" s="1329">
        <f>'Weather Normalized Historical'!H29</f>
        <v>17739423.267771285</v>
      </c>
      <c r="I481" s="1330">
        <f t="shared" si="102"/>
        <v>-5.0297967132563848E-2</v>
      </c>
      <c r="J481" s="1329">
        <f t="shared" si="105"/>
        <v>24301.039726027397</v>
      </c>
      <c r="K481" s="1330">
        <f t="shared" si="103"/>
        <v>-4.1519170807568284E-2</v>
      </c>
      <c r="L481" s="1329">
        <f t="shared" si="106"/>
        <v>24300.579818864775</v>
      </c>
      <c r="M481" s="1330">
        <f t="shared" si="104"/>
        <v>-4.8997005443704222E-2</v>
      </c>
    </row>
    <row r="482" spans="2:21" s="451" customFormat="1" ht="13.2">
      <c r="B482" s="1312">
        <v>2021</v>
      </c>
      <c r="C482" s="1313" t="s">
        <v>449</v>
      </c>
      <c r="D482" s="1321">
        <f>'Rate Class Customer Model'!C15</f>
        <v>728</v>
      </c>
      <c r="E482" s="1318">
        <f t="shared" si="100"/>
        <v>-2.739726027397249E-3</v>
      </c>
      <c r="F482" s="1321">
        <f>'Rate Class Energy Model '!F14</f>
        <v>18422392.908433612</v>
      </c>
      <c r="G482" s="1318">
        <f t="shared" si="101"/>
        <v>3.84804499561473E-2</v>
      </c>
      <c r="H482" s="1321">
        <f>'Weather Normalized Historical'!H30</f>
        <v>18422392.908433612</v>
      </c>
      <c r="I482" s="1318">
        <f t="shared" si="102"/>
        <v>3.8500103997356927E-2</v>
      </c>
      <c r="J482" s="1321">
        <f t="shared" si="105"/>
        <v>25305.484764331886</v>
      </c>
      <c r="K482" s="1318">
        <f t="shared" si="103"/>
        <v>4.1333418225257601E-2</v>
      </c>
      <c r="L482" s="1321">
        <f t="shared" si="106"/>
        <v>25305.484764331886</v>
      </c>
      <c r="M482" s="1318">
        <f t="shared" si="104"/>
        <v>4.1353126261086004E-2</v>
      </c>
    </row>
    <row r="483" spans="2:21" s="451" customFormat="1" ht="13.2">
      <c r="B483" s="1193" t="s">
        <v>576</v>
      </c>
      <c r="C483" s="393"/>
      <c r="D483" s="523"/>
      <c r="E483" s="1331">
        <f>AVERAGE(E472:E480)</f>
        <v>-5.598453038541772E-3</v>
      </c>
      <c r="F483" s="1331"/>
      <c r="G483" s="1331">
        <f t="shared" ref="G483" si="107">AVERAGE(G472:G480)</f>
        <v>-1.0365025744017271E-2</v>
      </c>
      <c r="H483" s="1331"/>
      <c r="I483" s="1331">
        <f t="shared" ref="I483" si="108">AVERAGE(I472:I480)</f>
        <v>-1.0286076773360896E-2</v>
      </c>
      <c r="J483" s="1331"/>
      <c r="K483" s="1331">
        <f t="shared" ref="K483" si="109">AVERAGE(K472:K480)</f>
        <v>-4.6915409367438311E-3</v>
      </c>
      <c r="L483" s="1331"/>
      <c r="M483" s="1331">
        <f t="shared" ref="M483" si="110">AVERAGE(M472:M480)</f>
        <v>-4.6316243944855874E-3</v>
      </c>
    </row>
    <row r="484" spans="2:21" s="451" customFormat="1" ht="13.2">
      <c r="B484" s="393"/>
      <c r="C484" s="523"/>
      <c r="D484" s="1307"/>
      <c r="E484" s="1307"/>
      <c r="F484" s="1307"/>
      <c r="G484" s="1307"/>
      <c r="H484" s="1307"/>
      <c r="I484" s="1307"/>
    </row>
    <row r="485" spans="2:21" s="451" customFormat="1" ht="13.2">
      <c r="B485" s="393"/>
      <c r="C485" s="523"/>
      <c r="D485" s="1307"/>
      <c r="E485" s="1307"/>
      <c r="F485" s="1307"/>
      <c r="G485" s="1307"/>
      <c r="H485" s="1307"/>
      <c r="I485" s="1307"/>
    </row>
    <row r="486" spans="2:21" s="451" customFormat="1">
      <c r="B486" s="393"/>
      <c r="C486" s="523"/>
      <c r="D486" s="1307"/>
      <c r="E486" s="1307"/>
      <c r="F486" s="1307"/>
      <c r="G486" s="409" t="s">
        <v>581</v>
      </c>
      <c r="H486" s="409"/>
      <c r="I486" s="1307"/>
    </row>
    <row r="487" spans="2:21" s="451" customFormat="1">
      <c r="B487" s="393"/>
      <c r="C487" s="523"/>
      <c r="D487" s="1307"/>
      <c r="E487" s="1307"/>
      <c r="F487" s="1307"/>
      <c r="G487" s="409"/>
      <c r="H487" s="409"/>
      <c r="I487" s="1307"/>
    </row>
    <row r="488" spans="2:21" s="451" customFormat="1" ht="39.6">
      <c r="B488" s="1314" t="s">
        <v>124</v>
      </c>
      <c r="C488" s="1314"/>
      <c r="D488" s="1319" t="s">
        <v>568</v>
      </c>
      <c r="E488" s="1315" t="s">
        <v>569</v>
      </c>
      <c r="F488" s="1322" t="s">
        <v>573</v>
      </c>
      <c r="G488" s="1315" t="s">
        <v>569</v>
      </c>
      <c r="H488" s="1322" t="s">
        <v>570</v>
      </c>
      <c r="I488" s="1315" t="s">
        <v>569</v>
      </c>
      <c r="J488" s="1322" t="s">
        <v>571</v>
      </c>
      <c r="K488" s="1315" t="s">
        <v>569</v>
      </c>
      <c r="L488" s="1322" t="s">
        <v>572</v>
      </c>
      <c r="M488" s="1315" t="s">
        <v>569</v>
      </c>
      <c r="N488" s="1322" t="s">
        <v>582</v>
      </c>
      <c r="O488" s="1315" t="s">
        <v>569</v>
      </c>
      <c r="P488" s="1322" t="s">
        <v>583</v>
      </c>
      <c r="Q488" s="1315" t="s">
        <v>569</v>
      </c>
      <c r="R488" s="1322" t="s">
        <v>571</v>
      </c>
      <c r="S488" s="1315" t="s">
        <v>569</v>
      </c>
      <c r="T488" s="1322" t="s">
        <v>572</v>
      </c>
      <c r="U488" s="1315" t="s">
        <v>569</v>
      </c>
    </row>
    <row r="489" spans="2:21" s="451" customFormat="1" ht="13.2">
      <c r="B489" s="1309"/>
      <c r="C489" s="1309"/>
      <c r="D489" s="1320"/>
      <c r="E489" s="1316"/>
      <c r="F489" s="1323"/>
      <c r="G489" s="1316"/>
      <c r="H489" s="1323"/>
      <c r="I489" s="1316"/>
      <c r="J489" s="1323"/>
      <c r="K489" s="1324"/>
      <c r="L489" s="1325"/>
      <c r="M489" s="1324"/>
      <c r="N489" s="1323"/>
      <c r="O489" s="1316"/>
      <c r="P489" s="1323"/>
      <c r="Q489" s="1316"/>
      <c r="R489" s="1323"/>
      <c r="S489" s="1324"/>
      <c r="T489" s="1325"/>
      <c r="U489" s="1324"/>
    </row>
    <row r="491" spans="2:21" s="451" customFormat="1" ht="13.2">
      <c r="B491" s="1310">
        <v>2010</v>
      </c>
      <c r="C491" s="1311" t="s">
        <v>448</v>
      </c>
      <c r="D491" s="1320">
        <f>'Rate Class Customer Model'!D4</f>
        <v>66</v>
      </c>
      <c r="E491" s="1316"/>
      <c r="F491" s="1320">
        <f>'Rate Class Energy Model '!G3</f>
        <v>43031208</v>
      </c>
      <c r="G491" s="1316"/>
      <c r="H491" s="1320">
        <f>'Weather Normalized Historical'!I19</f>
        <v>43132829.481815204</v>
      </c>
      <c r="I491" s="1316"/>
      <c r="J491" s="1320">
        <f t="shared" ref="J491:J496" si="111">F491/D491</f>
        <v>651988</v>
      </c>
      <c r="K491" s="1316"/>
      <c r="L491" s="1320">
        <f t="shared" ref="L491:L496" si="112">H491/D491</f>
        <v>653527.71942144248</v>
      </c>
      <c r="M491" s="1316"/>
      <c r="N491" s="1320">
        <f>'Rate Class Load Model'!B3</f>
        <v>130762</v>
      </c>
      <c r="O491" s="1316"/>
      <c r="P491" s="1320">
        <f>'Weather Normalized Historical'!I73</f>
        <v>131070.80444269934</v>
      </c>
      <c r="Q491" s="1316"/>
      <c r="R491" s="1320">
        <f>N491/D491</f>
        <v>1981.2424242424242</v>
      </c>
      <c r="S491" s="1316"/>
      <c r="T491" s="1320">
        <f>P491/D491</f>
        <v>1985.9212794348387</v>
      </c>
      <c r="U491" s="1316"/>
    </row>
    <row r="492" spans="2:21" s="451" customFormat="1" ht="13.2">
      <c r="B492" s="1310">
        <v>2011</v>
      </c>
      <c r="C492" s="1311" t="s">
        <v>448</v>
      </c>
      <c r="D492" s="1320">
        <f>'Rate Class Customer Model'!D5</f>
        <v>67</v>
      </c>
      <c r="E492" s="1317">
        <f t="shared" ref="E492:E502" si="113">D492/D491-1</f>
        <v>1.5151515151515138E-2</v>
      </c>
      <c r="F492" s="1320">
        <f>'Rate Class Energy Model '!G4</f>
        <v>42549997</v>
      </c>
      <c r="G492" s="1317">
        <f t="shared" ref="G492:G502" si="114">F492/F491-1</f>
        <v>-1.1182837349116515E-2</v>
      </c>
      <c r="H492" s="1320">
        <f>'Weather Normalized Historical'!I20</f>
        <v>43001377.039491661</v>
      </c>
      <c r="I492" s="1317">
        <f t="shared" ref="I492:I502" si="115">H492/H491-1</f>
        <v>-3.0476192705828353E-3</v>
      </c>
      <c r="J492" s="1320">
        <f t="shared" si="111"/>
        <v>635074.58208955219</v>
      </c>
      <c r="K492" s="1317">
        <f t="shared" ref="K492:K502" si="116">J492/J491-1</f>
        <v>-2.5941302463308835E-2</v>
      </c>
      <c r="L492" s="1320">
        <f t="shared" si="112"/>
        <v>641811.5976043531</v>
      </c>
      <c r="M492" s="1317">
        <f t="shared" ref="M492:M502" si="117">L492/L491-1</f>
        <v>-1.7927505550126455E-2</v>
      </c>
      <c r="N492" s="1320">
        <f>'Rate Class Load Model'!B4</f>
        <v>125469</v>
      </c>
      <c r="O492" s="1317">
        <f t="shared" ref="O492:O502" si="118">N492/N491-1</f>
        <v>-4.0478120554901298E-2</v>
      </c>
      <c r="P492" s="1320">
        <f>'Weather Normalized Historical'!I74</f>
        <v>126800.00367022304</v>
      </c>
      <c r="Q492" s="1317">
        <f t="shared" ref="Q492:Q502" si="119">P492/P491-1</f>
        <v>-3.2583921267862359E-2</v>
      </c>
      <c r="R492" s="1320">
        <f t="shared" ref="R492:R500" si="120">N492/D492</f>
        <v>1872.6716417910447</v>
      </c>
      <c r="S492" s="1317">
        <f t="shared" ref="S492:S502" si="121">R492/R491-1</f>
        <v>-5.4799342636171366E-2</v>
      </c>
      <c r="T492" s="1320">
        <f t="shared" ref="T492:T502" si="122">P492/D492</f>
        <v>1892.5373682122843</v>
      </c>
      <c r="U492" s="1317">
        <f t="shared" ref="U492:U502" si="123">T492/T491-1</f>
        <v>-4.7022967219088385E-2</v>
      </c>
    </row>
    <row r="493" spans="2:21" s="451" customFormat="1" ht="13.2">
      <c r="B493" s="1310">
        <v>2012</v>
      </c>
      <c r="C493" s="1311" t="s">
        <v>448</v>
      </c>
      <c r="D493" s="1320">
        <f>'Rate Class Customer Model'!D6</f>
        <v>65</v>
      </c>
      <c r="E493" s="1317">
        <f t="shared" si="113"/>
        <v>-2.9850746268656692E-2</v>
      </c>
      <c r="F493" s="1320">
        <f>'Rate Class Energy Model '!G5</f>
        <v>42246503</v>
      </c>
      <c r="G493" s="1317">
        <f t="shared" si="114"/>
        <v>-7.1326444511852216E-3</v>
      </c>
      <c r="H493" s="1320">
        <f>'Weather Normalized Historical'!I21</f>
        <v>42024683.859350972</v>
      </c>
      <c r="I493" s="1317">
        <f t="shared" si="115"/>
        <v>-2.2713067519761321E-2</v>
      </c>
      <c r="J493" s="1320">
        <f t="shared" si="111"/>
        <v>649946.19999999995</v>
      </c>
      <c r="K493" s="1317">
        <f t="shared" si="116"/>
        <v>2.341712033493204E-2</v>
      </c>
      <c r="L493" s="1320">
        <f t="shared" si="112"/>
        <v>646533.59783616883</v>
      </c>
      <c r="M493" s="1317">
        <f t="shared" si="117"/>
        <v>7.3572996334769769E-3</v>
      </c>
      <c r="N493" s="1320">
        <f>'Rate Class Load Model'!B5</f>
        <v>133148</v>
      </c>
      <c r="O493" s="1317">
        <f t="shared" si="118"/>
        <v>6.1202368712590438E-2</v>
      </c>
      <c r="P493" s="1320">
        <f>'Weather Normalized Historical'!I75</f>
        <v>132448.89420799783</v>
      </c>
      <c r="Q493" s="1317">
        <f t="shared" si="119"/>
        <v>4.4549608629872228E-2</v>
      </c>
      <c r="R493" s="1320">
        <f t="shared" si="120"/>
        <v>2048.4307692307693</v>
      </c>
      <c r="S493" s="1317">
        <f t="shared" si="121"/>
        <v>9.3854749288362349E-2</v>
      </c>
      <c r="T493" s="1320">
        <f t="shared" si="122"/>
        <v>2037.675295507659</v>
      </c>
      <c r="U493" s="1317">
        <f t="shared" si="123"/>
        <v>7.6689596587714348E-2</v>
      </c>
    </row>
    <row r="494" spans="2:21" s="451" customFormat="1" ht="13.2">
      <c r="B494" s="1310">
        <v>2013</v>
      </c>
      <c r="C494" s="1311" t="s">
        <v>448</v>
      </c>
      <c r="D494" s="1320">
        <f>'Rate Class Customer Model'!D7</f>
        <v>64</v>
      </c>
      <c r="E494" s="1317">
        <f t="shared" si="113"/>
        <v>-1.538461538461533E-2</v>
      </c>
      <c r="F494" s="1320">
        <f>'Rate Class Energy Model '!G6</f>
        <v>42584416</v>
      </c>
      <c r="G494" s="1317">
        <f t="shared" si="114"/>
        <v>7.998602866608806E-3</v>
      </c>
      <c r="H494" s="1320">
        <f>'Weather Normalized Historical'!I22</f>
        <v>42175676.829928115</v>
      </c>
      <c r="I494" s="1317">
        <f t="shared" si="115"/>
        <v>3.5929591066643507E-3</v>
      </c>
      <c r="J494" s="1320">
        <f t="shared" si="111"/>
        <v>665381.5</v>
      </c>
      <c r="K494" s="1317">
        <f t="shared" si="116"/>
        <v>2.3748581036399763E-2</v>
      </c>
      <c r="L494" s="1320">
        <f t="shared" si="112"/>
        <v>658994.9504676268</v>
      </c>
      <c r="M494" s="1317">
        <f t="shared" si="117"/>
        <v>1.9274099092705832E-2</v>
      </c>
      <c r="N494" s="1320">
        <f>'Rate Class Load Model'!B6</f>
        <v>131947</v>
      </c>
      <c r="O494" s="1317">
        <f t="shared" si="118"/>
        <v>-9.0200378526151814E-3</v>
      </c>
      <c r="P494" s="1320">
        <f>'Weather Normalized Historical'!I76</f>
        <v>130680.52948474213</v>
      </c>
      <c r="Q494" s="1317">
        <f t="shared" si="119"/>
        <v>-1.3351298505207998E-2</v>
      </c>
      <c r="R494" s="1320">
        <f t="shared" si="120"/>
        <v>2061.671875</v>
      </c>
      <c r="S494" s="1317">
        <f t="shared" si="121"/>
        <v>6.4640240559377116E-3</v>
      </c>
      <c r="T494" s="1320">
        <f t="shared" si="122"/>
        <v>2041.8832731990958</v>
      </c>
      <c r="U494" s="1317">
        <f t="shared" si="123"/>
        <v>2.0650874556480403E-3</v>
      </c>
    </row>
    <row r="495" spans="2:21" s="451" customFormat="1" ht="13.2">
      <c r="B495" s="1310">
        <v>2014</v>
      </c>
      <c r="C495" s="1311" t="s">
        <v>448</v>
      </c>
      <c r="D495" s="1320">
        <f>'Rate Class Customer Model'!D8</f>
        <v>64</v>
      </c>
      <c r="E495" s="1317">
        <f t="shared" si="113"/>
        <v>0</v>
      </c>
      <c r="F495" s="1320">
        <f>'Rate Class Energy Model '!G7</f>
        <v>40918077</v>
      </c>
      <c r="G495" s="1317">
        <f t="shared" si="114"/>
        <v>-3.9130253658991143E-2</v>
      </c>
      <c r="H495" s="1320">
        <f>'Weather Normalized Historical'!I23</f>
        <v>40925088.019069202</v>
      </c>
      <c r="I495" s="1317">
        <f t="shared" si="115"/>
        <v>-2.9651896658395516E-2</v>
      </c>
      <c r="J495" s="1320">
        <f t="shared" si="111"/>
        <v>639344.953125</v>
      </c>
      <c r="K495" s="1317">
        <f t="shared" si="116"/>
        <v>-3.9130253658991143E-2</v>
      </c>
      <c r="L495" s="1320">
        <f t="shared" si="112"/>
        <v>639454.50029795629</v>
      </c>
      <c r="M495" s="1317">
        <f t="shared" si="117"/>
        <v>-2.9651896658395516E-2</v>
      </c>
      <c r="N495" s="1320">
        <f>'Rate Class Load Model'!B7</f>
        <v>125734.44</v>
      </c>
      <c r="O495" s="1317">
        <f t="shared" si="118"/>
        <v>-4.7083753325198763E-2</v>
      </c>
      <c r="P495" s="1320">
        <f>'Weather Normalized Historical'!I77</f>
        <v>125755.98369464859</v>
      </c>
      <c r="Q495" s="1317">
        <f t="shared" si="119"/>
        <v>-3.7683852441602772E-2</v>
      </c>
      <c r="R495" s="1320">
        <f t="shared" si="120"/>
        <v>1964.600625</v>
      </c>
      <c r="S495" s="1317">
        <f t="shared" si="121"/>
        <v>-4.7083753325198763E-2</v>
      </c>
      <c r="T495" s="1320">
        <f t="shared" si="122"/>
        <v>1964.9372452288842</v>
      </c>
      <c r="U495" s="1317">
        <f t="shared" si="123"/>
        <v>-3.7683852441602772E-2</v>
      </c>
    </row>
    <row r="496" spans="2:21" s="451" customFormat="1" ht="13.2">
      <c r="B496" s="1310">
        <v>2015</v>
      </c>
      <c r="C496" s="1311" t="s">
        <v>448</v>
      </c>
      <c r="D496" s="1320">
        <f>'Rate Class Customer Model'!D9</f>
        <v>64</v>
      </c>
      <c r="E496" s="1317">
        <f t="shared" si="113"/>
        <v>0</v>
      </c>
      <c r="F496" s="1320">
        <f>'Rate Class Energy Model '!G8</f>
        <v>39456019</v>
      </c>
      <c r="G496" s="1317">
        <f t="shared" si="114"/>
        <v>-3.5731346807915676E-2</v>
      </c>
      <c r="H496" s="1320">
        <f>'Weather Normalized Historical'!I24</f>
        <v>39828950.462970771</v>
      </c>
      <c r="I496" s="1317">
        <f t="shared" si="115"/>
        <v>-2.678399996568559E-2</v>
      </c>
      <c r="J496" s="1320">
        <f t="shared" si="111"/>
        <v>616500.296875</v>
      </c>
      <c r="K496" s="1317">
        <f t="shared" si="116"/>
        <v>-3.5731346807915676E-2</v>
      </c>
      <c r="L496" s="1320">
        <f t="shared" si="112"/>
        <v>622327.3509839183</v>
      </c>
      <c r="M496" s="1317">
        <f t="shared" si="117"/>
        <v>-2.678399996568559E-2</v>
      </c>
      <c r="N496" s="1320">
        <f>'Rate Class Load Model'!B8</f>
        <v>115476.9</v>
      </c>
      <c r="O496" s="1317">
        <f t="shared" si="118"/>
        <v>-8.1580989265948145E-2</v>
      </c>
      <c r="P496" s="1320">
        <f>'Weather Normalized Historical'!I78</f>
        <v>116568.36767331821</v>
      </c>
      <c r="Q496" s="1317">
        <f t="shared" si="119"/>
        <v>-7.3059076406567391E-2</v>
      </c>
      <c r="R496" s="1320">
        <f t="shared" si="120"/>
        <v>1804.3265624999999</v>
      </c>
      <c r="S496" s="1317">
        <f t="shared" si="121"/>
        <v>-8.1580989265948145E-2</v>
      </c>
      <c r="T496" s="1320">
        <f t="shared" si="122"/>
        <v>1821.380744895597</v>
      </c>
      <c r="U496" s="1317">
        <f t="shared" si="123"/>
        <v>-7.3059076406567391E-2</v>
      </c>
    </row>
    <row r="497" spans="2:21" s="451" customFormat="1" ht="13.2">
      <c r="B497" s="1310">
        <v>2016</v>
      </c>
      <c r="C497" s="1311" t="s">
        <v>448</v>
      </c>
      <c r="D497" s="1320">
        <f>'Rate Class Customer Model'!D10</f>
        <v>63</v>
      </c>
      <c r="E497" s="1317">
        <f t="shared" si="113"/>
        <v>-1.5625E-2</v>
      </c>
      <c r="F497" s="1320">
        <f>'Rate Class Energy Model '!G9</f>
        <v>38286678</v>
      </c>
      <c r="G497" s="1317">
        <f t="shared" si="114"/>
        <v>-2.9636568250841488E-2</v>
      </c>
      <c r="H497" s="1320">
        <f>'Weather Normalized Historical'!I25</f>
        <v>38847553.336869769</v>
      </c>
      <c r="I497" s="1317">
        <f t="shared" si="115"/>
        <v>-2.464029593281436E-2</v>
      </c>
      <c r="J497" s="1320">
        <f>F497/D497</f>
        <v>607725.04761904757</v>
      </c>
      <c r="K497" s="1317">
        <f t="shared" si="116"/>
        <v>-1.4233974096093061E-2</v>
      </c>
      <c r="L497" s="1320">
        <f>H497/D497</f>
        <v>616627.83074396453</v>
      </c>
      <c r="M497" s="1317">
        <f t="shared" si="117"/>
        <v>-9.158395868255953E-3</v>
      </c>
      <c r="N497" s="1320">
        <f>'Rate Class Load Model'!B9</f>
        <v>111704.2</v>
      </c>
      <c r="O497" s="1317">
        <f t="shared" si="118"/>
        <v>-3.2670603384746144E-2</v>
      </c>
      <c r="P497" s="1320">
        <f>'Weather Normalized Historical'!I79</f>
        <v>113340.59506161303</v>
      </c>
      <c r="Q497" s="1317">
        <f t="shared" si="119"/>
        <v>-2.7689952910303961E-2</v>
      </c>
      <c r="R497" s="1320">
        <f t="shared" si="120"/>
        <v>1773.0825396825396</v>
      </c>
      <c r="S497" s="1317">
        <f t="shared" si="121"/>
        <v>-1.731616851783746E-2</v>
      </c>
      <c r="T497" s="1320">
        <f t="shared" si="122"/>
        <v>1799.0570644700481</v>
      </c>
      <c r="U497" s="1317">
        <f t="shared" si="123"/>
        <v>-1.2256460099356437E-2</v>
      </c>
    </row>
    <row r="498" spans="2:21" s="451" customFormat="1" ht="13.2">
      <c r="B498" s="1310">
        <v>2017</v>
      </c>
      <c r="C498" s="1311" t="s">
        <v>448</v>
      </c>
      <c r="D498" s="1320">
        <f>'Rate Class Customer Model'!D11</f>
        <v>65</v>
      </c>
      <c r="E498" s="1317">
        <f t="shared" si="113"/>
        <v>3.1746031746031855E-2</v>
      </c>
      <c r="F498" s="1320">
        <f>'Rate Class Energy Model '!G10</f>
        <v>37703866.302273989</v>
      </c>
      <c r="G498" s="1317">
        <f t="shared" si="114"/>
        <v>-1.5222310426775909E-2</v>
      </c>
      <c r="H498" s="1320">
        <f>'Weather Normalized Historical'!I26</f>
        <v>37296831.445979528</v>
      </c>
      <c r="I498" s="1317">
        <f t="shared" si="115"/>
        <v>-3.9918135318408043E-2</v>
      </c>
      <c r="J498" s="1320">
        <f t="shared" ref="J498:J502" si="124">F498/D498</f>
        <v>580059.48157344596</v>
      </c>
      <c r="K498" s="1317">
        <f t="shared" si="116"/>
        <v>-4.5523162413644291E-2</v>
      </c>
      <c r="L498" s="1320">
        <f t="shared" ref="L498:L502" si="125">H498/D498</f>
        <v>573797.40686122351</v>
      </c>
      <c r="M498" s="1317">
        <f t="shared" si="117"/>
        <v>-6.9459115770149182E-2</v>
      </c>
      <c r="N498" s="1320">
        <f>'Rate Class Load Model'!B10</f>
        <v>112493.40000000001</v>
      </c>
      <c r="O498" s="1317">
        <f t="shared" si="118"/>
        <v>7.0650879734155403E-3</v>
      </c>
      <c r="P498" s="1320">
        <f>'Weather Normalized Historical'!I80</f>
        <v>111278.96924279371</v>
      </c>
      <c r="Q498" s="1317">
        <f t="shared" si="119"/>
        <v>-1.8189650563406712E-2</v>
      </c>
      <c r="R498" s="1320">
        <f t="shared" si="120"/>
        <v>1730.6676923076925</v>
      </c>
      <c r="S498" s="1317">
        <f t="shared" si="121"/>
        <v>-2.3921530118074075E-2</v>
      </c>
      <c r="T498" s="1320">
        <f t="shared" si="122"/>
        <v>1711.9841421968263</v>
      </c>
      <c r="U498" s="1317">
        <f t="shared" si="123"/>
        <v>-4.8399199776840374E-2</v>
      </c>
    </row>
    <row r="499" spans="2:21" s="451" customFormat="1" ht="13.2">
      <c r="B499" s="1310">
        <v>2018</v>
      </c>
      <c r="C499" s="1311" t="s">
        <v>448</v>
      </c>
      <c r="D499" s="1320">
        <f>'Rate Class Customer Model'!D12</f>
        <v>62</v>
      </c>
      <c r="E499" s="1317">
        <f t="shared" si="113"/>
        <v>-4.6153846153846101E-2</v>
      </c>
      <c r="F499" s="1320">
        <f>'Rate Class Energy Model '!G11</f>
        <v>37004001</v>
      </c>
      <c r="G499" s="1317">
        <f t="shared" si="114"/>
        <v>-1.8562162741166399E-2</v>
      </c>
      <c r="H499" s="1320">
        <f>'Weather Normalized Historical'!I27</f>
        <v>36615273.120496981</v>
      </c>
      <c r="I499" s="1317">
        <f t="shared" si="115"/>
        <v>-1.8273893493330973E-2</v>
      </c>
      <c r="J499" s="1320">
        <f t="shared" si="124"/>
        <v>596838.72580645164</v>
      </c>
      <c r="K499" s="1317">
        <f t="shared" si="116"/>
        <v>2.8926764868132171E-2</v>
      </c>
      <c r="L499" s="1320">
        <f t="shared" si="125"/>
        <v>590568.92129833845</v>
      </c>
      <c r="M499" s="1317">
        <f t="shared" si="117"/>
        <v>2.9228982627959477E-2</v>
      </c>
      <c r="N499" s="1320">
        <f>'Rate Class Load Model'!B11</f>
        <v>109763.6</v>
      </c>
      <c r="O499" s="1317">
        <f t="shared" si="118"/>
        <v>-2.4266312512556287E-2</v>
      </c>
      <c r="P499" s="1320">
        <f>'Weather Normalized Historical'!I81</f>
        <v>108610.53086364857</v>
      </c>
      <c r="Q499" s="1317">
        <f t="shared" si="119"/>
        <v>-2.3979718695300023E-2</v>
      </c>
      <c r="R499" s="1320">
        <f t="shared" si="120"/>
        <v>1770.3806451612904</v>
      </c>
      <c r="S499" s="1317">
        <f t="shared" si="121"/>
        <v>2.2946607849739342E-2</v>
      </c>
      <c r="T499" s="1320">
        <f t="shared" si="122"/>
        <v>1751.7827558652996</v>
      </c>
      <c r="U499" s="1317">
        <f t="shared" si="123"/>
        <v>2.324706910976615E-2</v>
      </c>
    </row>
    <row r="500" spans="2:21" s="451" customFormat="1" ht="13.2">
      <c r="B500" s="1310">
        <v>2019</v>
      </c>
      <c r="C500" s="1311" t="s">
        <v>448</v>
      </c>
      <c r="D500" s="1320">
        <f>'Rate Class Customer Model'!D13</f>
        <v>61</v>
      </c>
      <c r="E500" s="1317">
        <f t="shared" si="113"/>
        <v>-1.6129032258064502E-2</v>
      </c>
      <c r="F500" s="1320">
        <f>'Rate Class Energy Model '!G12</f>
        <v>36107964</v>
      </c>
      <c r="G500" s="1317">
        <f t="shared" si="114"/>
        <v>-2.4214597767414414E-2</v>
      </c>
      <c r="H500" s="1320">
        <f>'Weather Normalized Historical'!I28</f>
        <v>36245288.564300053</v>
      </c>
      <c r="I500" s="1317">
        <f t="shared" si="115"/>
        <v>-1.0104651001218712E-2</v>
      </c>
      <c r="J500" s="1320">
        <f t="shared" si="124"/>
        <v>591933.83606557373</v>
      </c>
      <c r="K500" s="1317">
        <f t="shared" si="116"/>
        <v>-8.2181157636016522E-3</v>
      </c>
      <c r="L500" s="1320">
        <f t="shared" si="125"/>
        <v>594185.05843114841</v>
      </c>
      <c r="M500" s="1317">
        <f t="shared" si="117"/>
        <v>6.1231416053184606E-3</v>
      </c>
      <c r="N500" s="1320">
        <f>'Rate Class Load Model'!B12</f>
        <v>109147</v>
      </c>
      <c r="O500" s="1317">
        <f t="shared" si="118"/>
        <v>-5.6175271219238709E-3</v>
      </c>
      <c r="P500" s="1320">
        <f>'Weather Normalized Historical'!I82</f>
        <v>109562.10410887907</v>
      </c>
      <c r="Q500" s="1317">
        <f t="shared" si="119"/>
        <v>8.7613349982158528E-3</v>
      </c>
      <c r="R500" s="1320">
        <f t="shared" si="120"/>
        <v>1789.295081967213</v>
      </c>
      <c r="S500" s="1317">
        <f t="shared" si="121"/>
        <v>1.0683824892470772E-2</v>
      </c>
      <c r="T500" s="1320">
        <f t="shared" si="122"/>
        <v>1796.1000673586732</v>
      </c>
      <c r="U500" s="1317">
        <f t="shared" si="123"/>
        <v>2.5298406063760437E-2</v>
      </c>
    </row>
    <row r="501" spans="2:21" s="451" customFormat="1" ht="13.2">
      <c r="B501" s="1327">
        <v>2020</v>
      </c>
      <c r="C501" s="1328" t="s">
        <v>449</v>
      </c>
      <c r="D501" s="1329">
        <f>'Rate Class Customer Model'!D14</f>
        <v>61</v>
      </c>
      <c r="E501" s="1330">
        <f t="shared" si="113"/>
        <v>0</v>
      </c>
      <c r="F501" s="1329">
        <f>'Rate Class Energy Model '!G13</f>
        <v>37832568</v>
      </c>
      <c r="G501" s="1330">
        <f t="shared" si="114"/>
        <v>4.7762427147650888E-2</v>
      </c>
      <c r="H501" s="1329">
        <f>'Weather Normalized Historical'!I29</f>
        <v>37832220.84999001</v>
      </c>
      <c r="I501" s="1330">
        <f t="shared" si="115"/>
        <v>4.3783132885663267E-2</v>
      </c>
      <c r="J501" s="1329">
        <f t="shared" si="124"/>
        <v>620206.03278688528</v>
      </c>
      <c r="K501" s="1330">
        <f t="shared" si="116"/>
        <v>4.7762427147650888E-2</v>
      </c>
      <c r="L501" s="1329">
        <f t="shared" si="125"/>
        <v>620200.34180311498</v>
      </c>
      <c r="M501" s="1330">
        <f t="shared" si="117"/>
        <v>4.3783132885663267E-2</v>
      </c>
      <c r="N501" s="1329">
        <f>'Rate Class Load Model'!B13</f>
        <v>110834.3</v>
      </c>
      <c r="O501" s="1330">
        <f t="shared" si="118"/>
        <v>1.5458968180527277E-2</v>
      </c>
      <c r="P501" s="1329">
        <f>'Weather Normalized Historical'!I83</f>
        <v>110833.2829892501</v>
      </c>
      <c r="Q501" s="1330">
        <f t="shared" si="119"/>
        <v>1.1602359143338292E-2</v>
      </c>
      <c r="R501" s="1329">
        <f>N501/D501</f>
        <v>1816.9557377049182</v>
      </c>
      <c r="S501" s="1330">
        <f t="shared" si="121"/>
        <v>1.5458968180527277E-2</v>
      </c>
      <c r="T501" s="1329">
        <f t="shared" si="122"/>
        <v>1816.9390653975427</v>
      </c>
      <c r="U501" s="1330">
        <f t="shared" si="123"/>
        <v>1.1602359143338292E-2</v>
      </c>
    </row>
    <row r="502" spans="2:21" s="451" customFormat="1" ht="13.2">
      <c r="B502" s="1312">
        <v>2021</v>
      </c>
      <c r="C502" s="1313" t="s">
        <v>449</v>
      </c>
      <c r="D502" s="1321">
        <f>'Rate Class Customer Model'!D15</f>
        <v>60</v>
      </c>
      <c r="E502" s="1318">
        <f t="shared" si="113"/>
        <v>-1.6393442622950838E-2</v>
      </c>
      <c r="F502" s="1321">
        <f>'Rate Class Energy Model '!G14</f>
        <v>35686578.685481668</v>
      </c>
      <c r="G502" s="1318">
        <f t="shared" si="114"/>
        <v>-5.6723331985244374E-2</v>
      </c>
      <c r="H502" s="1321">
        <f>'Weather Normalized Historical'!I30</f>
        <v>35686578.685481668</v>
      </c>
      <c r="I502" s="1318">
        <f t="shared" si="115"/>
        <v>-5.6714676439855616E-2</v>
      </c>
      <c r="J502" s="1321">
        <f t="shared" si="124"/>
        <v>594776.31142469449</v>
      </c>
      <c r="K502" s="1318">
        <f t="shared" si="116"/>
        <v>-4.1002054184998471E-2</v>
      </c>
      <c r="L502" s="1321">
        <f t="shared" si="125"/>
        <v>594776.31142469449</v>
      </c>
      <c r="M502" s="1318">
        <f t="shared" si="117"/>
        <v>-4.0993254380519928E-2</v>
      </c>
      <c r="N502" s="1321">
        <f>'Rate Class Load Model'!B14</f>
        <v>105773.85165015483</v>
      </c>
      <c r="O502" s="1318">
        <f t="shared" si="118"/>
        <v>-4.5657782381854473E-2</v>
      </c>
      <c r="P502" s="1321">
        <f>'Weather Normalized Historical'!I84</f>
        <v>105773.85165015483</v>
      </c>
      <c r="Q502" s="1318">
        <f t="shared" si="119"/>
        <v>-4.5649025298528767E-2</v>
      </c>
      <c r="R502" s="1321">
        <f>N502/D502</f>
        <v>1762.8975275025805</v>
      </c>
      <c r="S502" s="1318">
        <f t="shared" si="121"/>
        <v>-2.9752078754885392E-2</v>
      </c>
      <c r="T502" s="1321">
        <f t="shared" si="122"/>
        <v>1762.8975275025805</v>
      </c>
      <c r="U502" s="1318">
        <f t="shared" si="123"/>
        <v>-2.9743175720170933E-2</v>
      </c>
    </row>
    <row r="503" spans="2:21" s="451" customFormat="1" ht="13.2">
      <c r="B503" s="1193" t="s">
        <v>576</v>
      </c>
      <c r="C503" s="393"/>
      <c r="D503" s="523"/>
      <c r="E503" s="1331">
        <f>AVERAGE(E492:E500)</f>
        <v>-8.4717436852928471E-3</v>
      </c>
      <c r="F503" s="1331"/>
      <c r="G503" s="1331">
        <f t="shared" ref="G503" si="126">AVERAGE(G492:G500)</f>
        <v>-1.9201568731866441E-2</v>
      </c>
      <c r="H503" s="1331"/>
      <c r="I503" s="1331">
        <f t="shared" ref="I503" si="127">AVERAGE(I492:I500)</f>
        <v>-1.9060066672614777E-2</v>
      </c>
      <c r="J503" s="1331"/>
      <c r="K503" s="1331">
        <f t="shared" ref="K503" si="128">AVERAGE(K492:K500)</f>
        <v>-1.0298409884898965E-2</v>
      </c>
      <c r="L503" s="1331"/>
      <c r="M503" s="1331">
        <f t="shared" ref="M503" si="129">AVERAGE(M492:M500)</f>
        <v>-1.0110821205905772E-2</v>
      </c>
      <c r="N503" s="1331"/>
      <c r="O503" s="1331">
        <f t="shared" ref="O503" si="130">AVERAGE(O492:O500)</f>
        <v>-1.9161098592431522E-2</v>
      </c>
      <c r="P503" s="1331"/>
      <c r="Q503" s="1331">
        <f t="shared" ref="Q503" si="131">AVERAGE(Q492:Q500)</f>
        <v>-1.9247391906907014E-2</v>
      </c>
      <c r="R503" s="1331"/>
      <c r="S503" s="1331">
        <f t="shared" ref="S503" si="132">AVERAGE(S492:S500)</f>
        <v>-1.0083619752968849E-2</v>
      </c>
      <c r="T503" s="1331"/>
      <c r="U503" s="1331">
        <f t="shared" ref="U503" si="133">AVERAGE(U492:U500)</f>
        <v>-1.0124599636285155E-2</v>
      </c>
    </row>
    <row r="504" spans="2:21" s="451" customFormat="1" ht="13.2">
      <c r="B504" s="393"/>
      <c r="C504" s="523"/>
      <c r="D504" s="1307"/>
      <c r="E504" s="1307"/>
      <c r="F504" s="1307"/>
      <c r="G504" s="1307"/>
      <c r="H504" s="1307"/>
      <c r="I504" s="1307"/>
    </row>
    <row r="505" spans="2:21" s="451" customFormat="1" ht="13.2">
      <c r="B505" s="393"/>
      <c r="C505" s="523"/>
      <c r="D505" s="1307"/>
      <c r="E505" s="1307"/>
      <c r="F505" s="1307"/>
      <c r="G505" s="1307"/>
      <c r="H505" s="1307"/>
      <c r="I505" s="1307"/>
    </row>
    <row r="506" spans="2:21" s="451" customFormat="1">
      <c r="B506" s="393"/>
      <c r="C506" s="523"/>
      <c r="D506" s="1307"/>
      <c r="E506" s="1307"/>
      <c r="F506" s="1307"/>
      <c r="G506" s="409" t="s">
        <v>586</v>
      </c>
      <c r="H506" s="409"/>
      <c r="I506" s="1307"/>
    </row>
    <row r="507" spans="2:21" s="451" customFormat="1">
      <c r="B507" s="393"/>
      <c r="C507" s="523"/>
      <c r="D507" s="1307"/>
      <c r="E507" s="1307"/>
      <c r="F507" s="1307"/>
      <c r="G507" s="409"/>
      <c r="H507" s="409"/>
      <c r="I507" s="1307"/>
    </row>
    <row r="508" spans="2:21" s="451" customFormat="1" ht="39.6">
      <c r="B508" s="1314" t="s">
        <v>124</v>
      </c>
      <c r="C508" s="1314"/>
      <c r="D508" s="1319" t="s">
        <v>584</v>
      </c>
      <c r="E508" s="1315" t="s">
        <v>569</v>
      </c>
      <c r="F508" s="1322" t="s">
        <v>573</v>
      </c>
      <c r="G508" s="1315" t="s">
        <v>569</v>
      </c>
      <c r="H508" s="1322" t="s">
        <v>585</v>
      </c>
      <c r="I508" s="1315" t="s">
        <v>569</v>
      </c>
      <c r="J508" s="1322" t="s">
        <v>588</v>
      </c>
      <c r="K508" s="1315" t="s">
        <v>569</v>
      </c>
      <c r="L508" s="1322" t="s">
        <v>587</v>
      </c>
      <c r="M508" s="1315" t="s">
        <v>569</v>
      </c>
    </row>
    <row r="509" spans="2:21" s="451" customFormat="1" ht="13.2">
      <c r="B509" s="1309"/>
      <c r="C509" s="1309"/>
      <c r="D509" s="1320"/>
      <c r="E509" s="1316"/>
      <c r="F509" s="1323"/>
      <c r="G509" s="1316"/>
      <c r="H509" s="1323"/>
      <c r="I509" s="1316"/>
      <c r="J509" s="1323"/>
      <c r="K509" s="1324"/>
      <c r="L509" s="1325"/>
      <c r="M509" s="1324"/>
    </row>
    <row r="511" spans="2:21" s="451" customFormat="1" ht="13.2">
      <c r="B511" s="1310">
        <v>2010</v>
      </c>
      <c r="C511" s="1311" t="s">
        <v>448</v>
      </c>
      <c r="D511" s="1320">
        <f>'Rate Class Customer Model'!E4</f>
        <v>1703</v>
      </c>
      <c r="E511" s="1316"/>
      <c r="F511" s="1320">
        <f>'Rate Class Energy Model '!H3</f>
        <v>1453874</v>
      </c>
      <c r="G511" s="1316"/>
      <c r="H511" s="1320">
        <f>'Rate Class Load Model'!C3</f>
        <v>3941</v>
      </c>
      <c r="I511" s="1316"/>
      <c r="J511" s="1320">
        <f t="shared" ref="J511:J516" si="134">F511/D511</f>
        <v>853.71344685848499</v>
      </c>
      <c r="K511" s="1316"/>
      <c r="L511" s="1320">
        <f t="shared" ref="L511:L516" si="135">H511/D511</f>
        <v>2.3141514973576043</v>
      </c>
      <c r="M511" s="1316"/>
    </row>
    <row r="512" spans="2:21" s="451" customFormat="1" ht="13.2">
      <c r="B512" s="1310">
        <v>2011</v>
      </c>
      <c r="C512" s="1311" t="s">
        <v>448</v>
      </c>
      <c r="D512" s="1320">
        <f>'Rate Class Customer Model'!E5</f>
        <v>1703</v>
      </c>
      <c r="E512" s="1317">
        <f t="shared" ref="E512:E522" si="136">D512/D511-1</f>
        <v>0</v>
      </c>
      <c r="F512" s="1320">
        <f>'Rate Class Energy Model '!H4</f>
        <v>1453808</v>
      </c>
      <c r="G512" s="1317">
        <f t="shared" ref="G512:G522" si="137">F512/F511-1</f>
        <v>-4.5395955908134056E-5</v>
      </c>
      <c r="H512" s="1320">
        <f>'Rate Class Load Model'!C4</f>
        <v>3919</v>
      </c>
      <c r="I512" s="1317">
        <f t="shared" ref="I512:I522" si="138">H512/H511-1</f>
        <v>-5.5823395077391202E-3</v>
      </c>
      <c r="J512" s="1320">
        <f t="shared" si="134"/>
        <v>853.67469172049323</v>
      </c>
      <c r="K512" s="1317">
        <f t="shared" ref="K512:K522" si="139">J512/J511-1</f>
        <v>-4.5395955908134056E-5</v>
      </c>
      <c r="L512" s="1320">
        <f t="shared" si="135"/>
        <v>2.3012331180270111</v>
      </c>
      <c r="M512" s="1317">
        <f t="shared" ref="M512:M522" si="140">L512/L511-1</f>
        <v>-5.5823395077392313E-3</v>
      </c>
    </row>
    <row r="513" spans="2:13" s="451" customFormat="1" ht="13.2">
      <c r="B513" s="1310">
        <v>2012</v>
      </c>
      <c r="C513" s="1311" t="s">
        <v>448</v>
      </c>
      <c r="D513" s="1320">
        <f>'Rate Class Customer Model'!E6</f>
        <v>1707</v>
      </c>
      <c r="E513" s="1317">
        <f t="shared" si="136"/>
        <v>2.3487962419259656E-3</v>
      </c>
      <c r="F513" s="1320">
        <f>'Rate Class Energy Model '!H5</f>
        <v>1447303</v>
      </c>
      <c r="G513" s="1317">
        <f t="shared" si="137"/>
        <v>-4.4744560492169239E-3</v>
      </c>
      <c r="H513" s="1320">
        <f>'Rate Class Load Model'!C5</f>
        <v>3920</v>
      </c>
      <c r="I513" s="1317">
        <f t="shared" si="138"/>
        <v>2.551671344730444E-4</v>
      </c>
      <c r="J513" s="1320">
        <f t="shared" si="134"/>
        <v>847.86350322202691</v>
      </c>
      <c r="K513" s="1317">
        <f t="shared" si="139"/>
        <v>-6.8072634164126899E-3</v>
      </c>
      <c r="L513" s="1320">
        <f t="shared" si="135"/>
        <v>2.2964264792032805</v>
      </c>
      <c r="M513" s="1317">
        <f t="shared" si="140"/>
        <v>-2.0887231224325786E-3</v>
      </c>
    </row>
    <row r="514" spans="2:13" s="451" customFormat="1" ht="13.2">
      <c r="B514" s="1310">
        <v>2013</v>
      </c>
      <c r="C514" s="1311" t="s">
        <v>448</v>
      </c>
      <c r="D514" s="1320">
        <f>'Rate Class Customer Model'!E7</f>
        <v>1707</v>
      </c>
      <c r="E514" s="1317">
        <f t="shared" si="136"/>
        <v>0</v>
      </c>
      <c r="F514" s="1320">
        <f>'Rate Class Energy Model '!H6</f>
        <v>1321505</v>
      </c>
      <c r="G514" s="1317">
        <f t="shared" si="137"/>
        <v>-8.6918910552938766E-2</v>
      </c>
      <c r="H514" s="1320">
        <f>'Rate Class Load Model'!C6</f>
        <v>3620</v>
      </c>
      <c r="I514" s="1317">
        <f t="shared" si="138"/>
        <v>-7.6530612244897989E-2</v>
      </c>
      <c r="J514" s="1320">
        <f t="shared" si="134"/>
        <v>774.1681312243702</v>
      </c>
      <c r="K514" s="1317">
        <f t="shared" si="139"/>
        <v>-8.6918910552938766E-2</v>
      </c>
      <c r="L514" s="1320">
        <f t="shared" si="135"/>
        <v>2.1206795547744579</v>
      </c>
      <c r="M514" s="1317">
        <f t="shared" si="140"/>
        <v>-7.6530612244897989E-2</v>
      </c>
    </row>
    <row r="515" spans="2:13" s="451" customFormat="1" ht="13.2">
      <c r="B515" s="1310">
        <v>2014</v>
      </c>
      <c r="C515" s="1311" t="s">
        <v>448</v>
      </c>
      <c r="D515" s="1320">
        <f>'Rate Class Customer Model'!E8</f>
        <v>1711</v>
      </c>
      <c r="E515" s="1317">
        <f t="shared" si="136"/>
        <v>2.3432923257176164E-3</v>
      </c>
      <c r="F515" s="1320">
        <f>'Rate Class Energy Model '!H7</f>
        <v>1052678</v>
      </c>
      <c r="G515" s="1317">
        <f t="shared" si="137"/>
        <v>-0.2034248829932539</v>
      </c>
      <c r="H515" s="1320">
        <f>'Rate Class Load Model'!C7</f>
        <v>2861.6</v>
      </c>
      <c r="I515" s="1317">
        <f t="shared" si="138"/>
        <v>-0.20950276243093924</v>
      </c>
      <c r="J515" s="1320">
        <f t="shared" si="134"/>
        <v>615.24137931034488</v>
      </c>
      <c r="K515" s="1317">
        <f t="shared" si="139"/>
        <v>-0.20528712756837186</v>
      </c>
      <c r="L515" s="1320">
        <f t="shared" si="135"/>
        <v>1.6724722384570425</v>
      </c>
      <c r="M515" s="1317">
        <f t="shared" si="140"/>
        <v>-0.21135079805354373</v>
      </c>
    </row>
    <row r="516" spans="2:13" s="451" customFormat="1" ht="13.2">
      <c r="B516" s="1310">
        <v>2015</v>
      </c>
      <c r="C516" s="1311" t="s">
        <v>448</v>
      </c>
      <c r="D516" s="1320">
        <f>'Rate Class Customer Model'!E9</f>
        <v>1711</v>
      </c>
      <c r="E516" s="1317">
        <f t="shared" si="136"/>
        <v>0</v>
      </c>
      <c r="F516" s="1320">
        <f>'Rate Class Energy Model '!H8</f>
        <v>773158</v>
      </c>
      <c r="G516" s="1317">
        <f t="shared" si="137"/>
        <v>-0.26553229002600987</v>
      </c>
      <c r="H516" s="1320">
        <f>'Rate Class Load Model'!C8</f>
        <v>2070.3199999999997</v>
      </c>
      <c r="I516" s="1317">
        <f t="shared" si="138"/>
        <v>-0.27651663405088067</v>
      </c>
      <c r="J516" s="1320">
        <f t="shared" si="134"/>
        <v>451.87492694330803</v>
      </c>
      <c r="K516" s="1317">
        <f t="shared" si="139"/>
        <v>-0.26553229002600987</v>
      </c>
      <c r="L516" s="1320">
        <f t="shared" si="135"/>
        <v>1.2100058445353592</v>
      </c>
      <c r="M516" s="1317">
        <f t="shared" si="140"/>
        <v>-0.27651663405088067</v>
      </c>
    </row>
    <row r="517" spans="2:13" s="451" customFormat="1" ht="13.2">
      <c r="B517" s="1310">
        <v>2016</v>
      </c>
      <c r="C517" s="1311" t="s">
        <v>448</v>
      </c>
      <c r="D517" s="1320">
        <f>'Rate Class Customer Model'!E10</f>
        <v>1711</v>
      </c>
      <c r="E517" s="1317">
        <f t="shared" si="136"/>
        <v>0</v>
      </c>
      <c r="F517" s="1320">
        <f>'Rate Class Energy Model '!H9</f>
        <v>716670</v>
      </c>
      <c r="G517" s="1317">
        <f t="shared" si="137"/>
        <v>-7.3061392367407385E-2</v>
      </c>
      <c r="H517" s="1320">
        <f>'Rate Class Load Model'!C9</f>
        <v>1944.6200000000001</v>
      </c>
      <c r="I517" s="1317">
        <f t="shared" si="138"/>
        <v>-6.071525174852177E-2</v>
      </c>
      <c r="J517" s="1320">
        <f>F517/D517</f>
        <v>418.86031560490943</v>
      </c>
      <c r="K517" s="1317">
        <f t="shared" si="139"/>
        <v>-7.3061392367407385E-2</v>
      </c>
      <c r="L517" s="1320">
        <f>H517/D517</f>
        <v>1.1365400350672121</v>
      </c>
      <c r="M517" s="1317">
        <f t="shared" si="140"/>
        <v>-6.071525174852177E-2</v>
      </c>
    </row>
    <row r="518" spans="2:13" s="451" customFormat="1" ht="13.2">
      <c r="B518" s="1310">
        <v>2017</v>
      </c>
      <c r="C518" s="1311" t="s">
        <v>448</v>
      </c>
      <c r="D518" s="1320">
        <f>'Rate Class Customer Model'!E11</f>
        <v>1711</v>
      </c>
      <c r="E518" s="1317">
        <f t="shared" si="136"/>
        <v>0</v>
      </c>
      <c r="F518" s="1320">
        <f>'Rate Class Energy Model '!H10</f>
        <v>714488.57293399889</v>
      </c>
      <c r="G518" s="1317">
        <f t="shared" si="137"/>
        <v>-3.0438375626175018E-3</v>
      </c>
      <c r="H518" s="1320">
        <f>'Rate Class Load Model'!C10</f>
        <v>1938.5</v>
      </c>
      <c r="I518" s="1317">
        <f t="shared" si="138"/>
        <v>-3.1471444292459072E-3</v>
      </c>
      <c r="J518" s="1320">
        <f t="shared" ref="J518:J522" si="141">F518/D518</f>
        <v>417.58537284278134</v>
      </c>
      <c r="K518" s="1317">
        <f t="shared" si="139"/>
        <v>-3.0438375626176128E-3</v>
      </c>
      <c r="L518" s="1320">
        <f t="shared" ref="L518:L522" si="142">H518/D518</f>
        <v>1.1329631794272355</v>
      </c>
      <c r="M518" s="1317">
        <f t="shared" si="140"/>
        <v>-3.1471444292459072E-3</v>
      </c>
    </row>
    <row r="519" spans="2:13" s="451" customFormat="1" ht="13.2">
      <c r="B519" s="1310">
        <v>2018</v>
      </c>
      <c r="C519" s="1311" t="s">
        <v>448</v>
      </c>
      <c r="D519" s="1320">
        <f>'Rate Class Customer Model'!E12</f>
        <v>1711</v>
      </c>
      <c r="E519" s="1317">
        <f t="shared" si="136"/>
        <v>0</v>
      </c>
      <c r="F519" s="1320">
        <f>'Rate Class Energy Model '!H11</f>
        <v>691963</v>
      </c>
      <c r="G519" s="1317">
        <f t="shared" si="137"/>
        <v>-3.1526848416202347E-2</v>
      </c>
      <c r="H519" s="1320">
        <f>'Rate Class Load Model'!C11</f>
        <v>1886.9</v>
      </c>
      <c r="I519" s="1317">
        <f t="shared" si="138"/>
        <v>-2.6618519473819879E-2</v>
      </c>
      <c r="J519" s="1320">
        <f t="shared" si="141"/>
        <v>404.42022209234364</v>
      </c>
      <c r="K519" s="1317">
        <f t="shared" si="139"/>
        <v>-3.1526848416202347E-2</v>
      </c>
      <c r="L519" s="1320">
        <f t="shared" si="142"/>
        <v>1.1028053769725308</v>
      </c>
      <c r="M519" s="1317">
        <f t="shared" si="140"/>
        <v>-2.6618519473819768E-2</v>
      </c>
    </row>
    <row r="520" spans="2:13" s="451" customFormat="1" ht="13.2">
      <c r="B520" s="1310">
        <v>2019</v>
      </c>
      <c r="C520" s="1311" t="s">
        <v>448</v>
      </c>
      <c r="D520" s="1320">
        <f>'Rate Class Customer Model'!E13</f>
        <v>1712</v>
      </c>
      <c r="E520" s="1317">
        <f t="shared" si="136"/>
        <v>5.8445353594382965E-4</v>
      </c>
      <c r="F520" s="1320">
        <f>'Rate Class Energy Model '!H12</f>
        <v>644755</v>
      </c>
      <c r="G520" s="1317">
        <f t="shared" si="137"/>
        <v>-6.8223300956843036E-2</v>
      </c>
      <c r="H520" s="1320">
        <f>'Rate Class Load Model'!C12</f>
        <v>1743.9</v>
      </c>
      <c r="I520" s="1317">
        <f t="shared" si="138"/>
        <v>-7.5785680216227669E-2</v>
      </c>
      <c r="J520" s="1320">
        <f t="shared" si="141"/>
        <v>376.60922897196264</v>
      </c>
      <c r="K520" s="1317">
        <f t="shared" si="139"/>
        <v>-6.8767563047405611E-2</v>
      </c>
      <c r="L520" s="1320">
        <f t="shared" si="142"/>
        <v>1.0186331775700934</v>
      </c>
      <c r="M520" s="1317">
        <f t="shared" si="140"/>
        <v>-7.6325525029185659E-2</v>
      </c>
    </row>
    <row r="521" spans="2:13" s="451" customFormat="1" ht="13.2">
      <c r="B521" s="1327">
        <v>2020</v>
      </c>
      <c r="C521" s="1328" t="s">
        <v>449</v>
      </c>
      <c r="D521" s="1329">
        <f>'Rate Class Customer Model'!E14</f>
        <v>1712</v>
      </c>
      <c r="E521" s="1330">
        <f t="shared" si="136"/>
        <v>0</v>
      </c>
      <c r="F521" s="1329">
        <f>'Rate Class Energy Model '!H13</f>
        <v>643596</v>
      </c>
      <c r="G521" s="1330">
        <f t="shared" si="137"/>
        <v>-1.7975820272816412E-3</v>
      </c>
      <c r="H521" s="1329">
        <f>'Rate Class Load Model'!C13</f>
        <v>1745.6</v>
      </c>
      <c r="I521" s="1330">
        <f t="shared" si="138"/>
        <v>9.7482653821878706E-4</v>
      </c>
      <c r="J521" s="1329">
        <f t="shared" si="141"/>
        <v>375.93224299065423</v>
      </c>
      <c r="K521" s="1330">
        <f t="shared" si="139"/>
        <v>-1.7975820272816412E-3</v>
      </c>
      <c r="L521" s="1329">
        <f t="shared" si="142"/>
        <v>1.0196261682242991</v>
      </c>
      <c r="M521" s="1330">
        <f t="shared" si="140"/>
        <v>9.7482653821900911E-4</v>
      </c>
    </row>
    <row r="522" spans="2:13" s="451" customFormat="1" ht="13.2">
      <c r="B522" s="1312">
        <v>2021</v>
      </c>
      <c r="C522" s="1313" t="s">
        <v>449</v>
      </c>
      <c r="D522" s="1321">
        <f>'Rate Class Customer Model'!E15</f>
        <v>1712</v>
      </c>
      <c r="E522" s="1318">
        <f t="shared" si="136"/>
        <v>0</v>
      </c>
      <c r="F522" s="1321">
        <f>'Rate Class Energy Model '!H14</f>
        <v>643596</v>
      </c>
      <c r="G522" s="1318">
        <f t="shared" si="137"/>
        <v>0</v>
      </c>
      <c r="H522" s="1321">
        <f>'Rate Class Load Model'!C14</f>
        <v>1745.6</v>
      </c>
      <c r="I522" s="1318">
        <f t="shared" si="138"/>
        <v>0</v>
      </c>
      <c r="J522" s="1321">
        <f t="shared" si="141"/>
        <v>375.93224299065423</v>
      </c>
      <c r="K522" s="1318">
        <f t="shared" si="139"/>
        <v>0</v>
      </c>
      <c r="L522" s="1321">
        <f t="shared" si="142"/>
        <v>1.0196261682242991</v>
      </c>
      <c r="M522" s="1318">
        <f t="shared" si="140"/>
        <v>0</v>
      </c>
    </row>
    <row r="523" spans="2:13" s="451" customFormat="1" ht="13.2">
      <c r="B523" s="1193" t="s">
        <v>576</v>
      </c>
      <c r="C523" s="393"/>
      <c r="D523" s="523"/>
      <c r="E523" s="1331">
        <f>AVERAGE(E512:E520)</f>
        <v>5.8628245595415684E-4</v>
      </c>
      <c r="F523" s="1331"/>
      <c r="G523" s="1331">
        <f t="shared" ref="G523" si="143">AVERAGE(G512:G520)</f>
        <v>-8.1805701653377541E-2</v>
      </c>
      <c r="H523" s="1331"/>
      <c r="I523" s="1331">
        <f t="shared" ref="I523" si="144">AVERAGE(I512:I520)</f>
        <v>-8.1571530774199916E-2</v>
      </c>
      <c r="J523" s="1331"/>
      <c r="K523" s="1331">
        <f t="shared" ref="K523" si="145">AVERAGE(K512:K520)</f>
        <v>-8.2332292101474913E-2</v>
      </c>
      <c r="L523" s="1331"/>
      <c r="M523" s="1331">
        <f t="shared" ref="M523" si="146">AVERAGE(M512:M520)</f>
        <v>-8.2097283073363031E-2</v>
      </c>
    </row>
    <row r="524" spans="2:13" s="451" customFormat="1" ht="13.2">
      <c r="B524" s="1193"/>
      <c r="C524" s="393"/>
      <c r="D524" s="523"/>
      <c r="E524" s="1331"/>
      <c r="F524" s="1331"/>
      <c r="G524" s="1331"/>
      <c r="H524" s="1331"/>
      <c r="I524" s="1331"/>
      <c r="J524" s="1331"/>
      <c r="K524" s="1331"/>
      <c r="L524" s="1331"/>
      <c r="M524" s="1331"/>
    </row>
    <row r="525" spans="2:13" s="451" customFormat="1" ht="13.2">
      <c r="B525" s="393"/>
      <c r="C525" s="523"/>
      <c r="D525" s="1307"/>
      <c r="E525" s="1307"/>
      <c r="F525" s="1307"/>
      <c r="G525" s="1307"/>
      <c r="H525" s="1307"/>
      <c r="I525" s="1307"/>
    </row>
    <row r="526" spans="2:13" s="451" customFormat="1">
      <c r="B526" s="393"/>
      <c r="C526" s="523"/>
      <c r="D526" s="1307"/>
      <c r="E526" s="1307"/>
      <c r="F526" s="1307"/>
      <c r="G526" s="409" t="s">
        <v>589</v>
      </c>
      <c r="H526" s="409"/>
      <c r="I526" s="1307"/>
    </row>
    <row r="527" spans="2:13" s="451" customFormat="1">
      <c r="B527" s="393"/>
      <c r="C527" s="523"/>
      <c r="D527" s="1307"/>
      <c r="E527" s="1307"/>
      <c r="F527" s="1307"/>
      <c r="G527" s="409"/>
      <c r="H527" s="409"/>
      <c r="I527" s="1307"/>
    </row>
    <row r="528" spans="2:13" s="451" customFormat="1" ht="39.6">
      <c r="B528" s="1314" t="s">
        <v>124</v>
      </c>
      <c r="C528" s="1314"/>
      <c r="D528" s="1319" t="s">
        <v>584</v>
      </c>
      <c r="E528" s="1315" t="s">
        <v>569</v>
      </c>
      <c r="F528" s="1322" t="s">
        <v>573</v>
      </c>
      <c r="G528" s="1315" t="s">
        <v>569</v>
      </c>
      <c r="H528" s="1322" t="s">
        <v>585</v>
      </c>
      <c r="I528" s="1315" t="s">
        <v>569</v>
      </c>
      <c r="J528" s="1322" t="s">
        <v>588</v>
      </c>
      <c r="K528" s="1315" t="s">
        <v>569</v>
      </c>
      <c r="L528" s="1322" t="s">
        <v>587</v>
      </c>
      <c r="M528" s="1315" t="s">
        <v>569</v>
      </c>
    </row>
    <row r="529" spans="2:13" s="451" customFormat="1" ht="13.2">
      <c r="B529" s="1309"/>
      <c r="C529" s="1309"/>
      <c r="D529" s="1320"/>
      <c r="E529" s="1316"/>
      <c r="F529" s="1323"/>
      <c r="G529" s="1316"/>
      <c r="H529" s="1323"/>
      <c r="I529" s="1316"/>
      <c r="J529" s="1323"/>
      <c r="K529" s="1324"/>
      <c r="L529" s="1325"/>
      <c r="M529" s="1324"/>
    </row>
    <row r="531" spans="2:13" s="451" customFormat="1" ht="13.2">
      <c r="B531" s="1310">
        <v>2010</v>
      </c>
      <c r="C531" s="1311" t="s">
        <v>448</v>
      </c>
      <c r="D531" s="1320">
        <f>'Rate Class Customer Model'!F4</f>
        <v>75</v>
      </c>
      <c r="E531" s="1316"/>
      <c r="F531" s="1320">
        <v>108277</v>
      </c>
      <c r="G531" s="1316"/>
      <c r="H531" s="1320">
        <f>'Rate Class Load Model'!D3</f>
        <v>300</v>
      </c>
      <c r="I531" s="1316"/>
      <c r="J531" s="1320">
        <f t="shared" ref="J531:J536" si="147">F531/D531</f>
        <v>1443.6933333333334</v>
      </c>
      <c r="K531" s="1316"/>
      <c r="L531" s="1320">
        <f t="shared" ref="L531:L536" si="148">H531/D531</f>
        <v>4</v>
      </c>
      <c r="M531" s="1316"/>
    </row>
    <row r="532" spans="2:13" s="451" customFormat="1" ht="13.2">
      <c r="B532" s="1310">
        <v>2011</v>
      </c>
      <c r="C532" s="1311" t="s">
        <v>448</v>
      </c>
      <c r="D532" s="1320">
        <f>'Rate Class Customer Model'!F5</f>
        <v>75</v>
      </c>
      <c r="E532" s="1317">
        <f t="shared" ref="E532:E542" si="149">D532/D531-1</f>
        <v>0</v>
      </c>
      <c r="F532" s="1320">
        <v>108262</v>
      </c>
      <c r="G532" s="1317">
        <f t="shared" ref="G532:G542" si="150">F532/F531-1</f>
        <v>-1.3853357592097382E-4</v>
      </c>
      <c r="H532" s="1320">
        <f>'Rate Class Load Model'!D4</f>
        <v>300</v>
      </c>
      <c r="I532" s="1317">
        <f t="shared" ref="I532:I542" si="151">H532/H531-1</f>
        <v>0</v>
      </c>
      <c r="J532" s="1320">
        <f t="shared" si="147"/>
        <v>1443.4933333333333</v>
      </c>
      <c r="K532" s="1317">
        <f t="shared" ref="K532:K542" si="152">J532/J531-1</f>
        <v>-1.3853357592108484E-4</v>
      </c>
      <c r="L532" s="1320">
        <f t="shared" si="148"/>
        <v>4</v>
      </c>
      <c r="M532" s="1317">
        <f t="shared" ref="M532:M542" si="153">L532/L531-1</f>
        <v>0</v>
      </c>
    </row>
    <row r="533" spans="2:13" s="451" customFormat="1" ht="13.2">
      <c r="B533" s="1310">
        <v>2012</v>
      </c>
      <c r="C533" s="1311" t="s">
        <v>448</v>
      </c>
      <c r="D533" s="1320">
        <f>'Rate Class Customer Model'!F6</f>
        <v>75</v>
      </c>
      <c r="E533" s="1317">
        <f t="shared" si="149"/>
        <v>0</v>
      </c>
      <c r="F533" s="1320">
        <v>108266</v>
      </c>
      <c r="G533" s="1317">
        <f t="shared" si="150"/>
        <v>3.6947405368525921E-5</v>
      </c>
      <c r="H533" s="1320">
        <f>'Rate Class Load Model'!D5</f>
        <v>300</v>
      </c>
      <c r="I533" s="1317">
        <f t="shared" si="151"/>
        <v>0</v>
      </c>
      <c r="J533" s="1320">
        <f t="shared" si="147"/>
        <v>1443.5466666666666</v>
      </c>
      <c r="K533" s="1317">
        <f t="shared" si="152"/>
        <v>3.6947405368525921E-5</v>
      </c>
      <c r="L533" s="1320">
        <f t="shared" si="148"/>
        <v>4</v>
      </c>
      <c r="M533" s="1317">
        <f t="shared" si="153"/>
        <v>0</v>
      </c>
    </row>
    <row r="534" spans="2:13" s="451" customFormat="1" ht="13.2">
      <c r="B534" s="1310">
        <v>2013</v>
      </c>
      <c r="C534" s="1311" t="s">
        <v>448</v>
      </c>
      <c r="D534" s="1320">
        <f>'Rate Class Customer Model'!F7</f>
        <v>75</v>
      </c>
      <c r="E534" s="1317">
        <f t="shared" si="149"/>
        <v>0</v>
      </c>
      <c r="F534" s="1320">
        <v>108281</v>
      </c>
      <c r="G534" s="1317">
        <f t="shared" si="150"/>
        <v>1.3854765115550727E-4</v>
      </c>
      <c r="H534" s="1320">
        <f>'Rate Class Load Model'!D6</f>
        <v>302</v>
      </c>
      <c r="I534" s="1317">
        <f t="shared" si="151"/>
        <v>6.6666666666665986E-3</v>
      </c>
      <c r="J534" s="1320">
        <f t="shared" si="147"/>
        <v>1443.7466666666667</v>
      </c>
      <c r="K534" s="1317">
        <f t="shared" si="152"/>
        <v>1.3854765115550727E-4</v>
      </c>
      <c r="L534" s="1320">
        <f t="shared" si="148"/>
        <v>4.0266666666666664</v>
      </c>
      <c r="M534" s="1317">
        <f t="shared" si="153"/>
        <v>6.6666666666665986E-3</v>
      </c>
    </row>
    <row r="535" spans="2:13" s="451" customFormat="1" ht="13.2">
      <c r="B535" s="1310">
        <v>2014</v>
      </c>
      <c r="C535" s="1311" t="s">
        <v>448</v>
      </c>
      <c r="D535" s="1320">
        <f>'Rate Class Customer Model'!F8</f>
        <v>75</v>
      </c>
      <c r="E535" s="1317">
        <f t="shared" si="149"/>
        <v>0</v>
      </c>
      <c r="F535" s="1320">
        <v>109302</v>
      </c>
      <c r="G535" s="1317">
        <f t="shared" si="150"/>
        <v>9.429170399239073E-3</v>
      </c>
      <c r="H535" s="1320">
        <f>'Rate Class Load Model'!D7</f>
        <v>302</v>
      </c>
      <c r="I535" s="1317">
        <f t="shared" si="151"/>
        <v>0</v>
      </c>
      <c r="J535" s="1320">
        <f t="shared" si="147"/>
        <v>1457.36</v>
      </c>
      <c r="K535" s="1317">
        <f t="shared" si="152"/>
        <v>9.4291703992388509E-3</v>
      </c>
      <c r="L535" s="1320">
        <f t="shared" si="148"/>
        <v>4.0266666666666664</v>
      </c>
      <c r="M535" s="1317">
        <f t="shared" si="153"/>
        <v>0</v>
      </c>
    </row>
    <row r="536" spans="2:13" s="451" customFormat="1" ht="13.2">
      <c r="B536" s="1310">
        <v>2015</v>
      </c>
      <c r="C536" s="1311" t="s">
        <v>448</v>
      </c>
      <c r="D536" s="1320">
        <f>'Rate Class Customer Model'!F9</f>
        <v>73</v>
      </c>
      <c r="E536" s="1317">
        <f t="shared" si="149"/>
        <v>-2.6666666666666616E-2</v>
      </c>
      <c r="F536" s="1320">
        <v>109502</v>
      </c>
      <c r="G536" s="1317">
        <f t="shared" si="150"/>
        <v>1.8297926844887957E-3</v>
      </c>
      <c r="H536" s="1320">
        <f>'Rate Class Load Model'!D8</f>
        <v>302</v>
      </c>
      <c r="I536" s="1317">
        <f t="shared" si="151"/>
        <v>0</v>
      </c>
      <c r="J536" s="1320">
        <f t="shared" si="147"/>
        <v>1500.027397260274</v>
      </c>
      <c r="K536" s="1317">
        <f t="shared" si="152"/>
        <v>2.9277184264886014E-2</v>
      </c>
      <c r="L536" s="1320">
        <f t="shared" si="148"/>
        <v>4.1369863013698627</v>
      </c>
      <c r="M536" s="1317">
        <f t="shared" si="153"/>
        <v>2.739726027397249E-2</v>
      </c>
    </row>
    <row r="537" spans="2:13" s="451" customFormat="1" ht="13.2">
      <c r="B537" s="1310">
        <v>2016</v>
      </c>
      <c r="C537" s="1311" t="s">
        <v>448</v>
      </c>
      <c r="D537" s="1320">
        <f>'Rate Class Customer Model'!F10</f>
        <v>71</v>
      </c>
      <c r="E537" s="1317">
        <f t="shared" si="149"/>
        <v>-2.7397260273972601E-2</v>
      </c>
      <c r="F537" s="1320">
        <v>106791</v>
      </c>
      <c r="G537" s="1317">
        <f t="shared" si="150"/>
        <v>-2.4757538675092672E-2</v>
      </c>
      <c r="H537" s="1320">
        <f>'Rate Class Load Model'!D9</f>
        <v>275.7</v>
      </c>
      <c r="I537" s="1317">
        <f t="shared" si="151"/>
        <v>-8.7086092715231822E-2</v>
      </c>
      <c r="J537" s="1320">
        <f>F537/D537</f>
        <v>1504.0985915492959</v>
      </c>
      <c r="K537" s="1317">
        <f t="shared" si="152"/>
        <v>2.7140799537779259E-3</v>
      </c>
      <c r="L537" s="1320">
        <f>H537/D537</f>
        <v>3.8830985915492957</v>
      </c>
      <c r="M537" s="1317">
        <f t="shared" si="153"/>
        <v>-6.1370208002984761E-2</v>
      </c>
    </row>
    <row r="538" spans="2:13" s="451" customFormat="1" ht="13.2">
      <c r="B538" s="1310">
        <v>2017</v>
      </c>
      <c r="C538" s="1311" t="s">
        <v>448</v>
      </c>
      <c r="D538" s="1320">
        <f>'Rate Class Customer Model'!F11</f>
        <v>72</v>
      </c>
      <c r="E538" s="1317">
        <f t="shared" si="149"/>
        <v>1.4084507042253502E-2</v>
      </c>
      <c r="F538" s="1320">
        <v>99906</v>
      </c>
      <c r="G538" s="1317">
        <f t="shared" si="150"/>
        <v>-6.4471725145377468E-2</v>
      </c>
      <c r="H538" s="1320">
        <f>'Rate Class Load Model'!D10</f>
        <v>270.2</v>
      </c>
      <c r="I538" s="1317">
        <f t="shared" si="151"/>
        <v>-1.994922016684797E-2</v>
      </c>
      <c r="J538" s="1320">
        <f t="shared" ref="J538:J542" si="154">F538/D538</f>
        <v>1387.5833333333333</v>
      </c>
      <c r="K538" s="1317">
        <f t="shared" si="152"/>
        <v>-7.7465173407247234E-2</v>
      </c>
      <c r="L538" s="1320">
        <f t="shared" ref="L538:L542" si="155">H538/D538</f>
        <v>3.7527777777777778</v>
      </c>
      <c r="M538" s="1317">
        <f t="shared" si="153"/>
        <v>-3.3561036553419576E-2</v>
      </c>
    </row>
    <row r="539" spans="2:13" s="451" customFormat="1" ht="13.2">
      <c r="B539" s="1310">
        <v>2018</v>
      </c>
      <c r="C539" s="1311" t="s">
        <v>448</v>
      </c>
      <c r="D539" s="1320">
        <f>'Rate Class Customer Model'!F12</f>
        <v>74</v>
      </c>
      <c r="E539" s="1317">
        <f t="shared" si="149"/>
        <v>2.7777777777777679E-2</v>
      </c>
      <c r="F539" s="1320">
        <v>97401</v>
      </c>
      <c r="G539" s="1317">
        <f t="shared" si="150"/>
        <v>-2.5073569155005693E-2</v>
      </c>
      <c r="H539" s="1320">
        <f>'Rate Class Load Model'!D11</f>
        <v>272.39999999999998</v>
      </c>
      <c r="I539" s="1317">
        <f t="shared" si="151"/>
        <v>8.1421169504070079E-3</v>
      </c>
      <c r="J539" s="1320">
        <f t="shared" si="154"/>
        <v>1316.2297297297298</v>
      </c>
      <c r="K539" s="1317">
        <f t="shared" si="152"/>
        <v>-5.1422932150816281E-2</v>
      </c>
      <c r="L539" s="1320">
        <f t="shared" si="155"/>
        <v>3.6810810810810808</v>
      </c>
      <c r="M539" s="1317">
        <f t="shared" si="153"/>
        <v>-1.9104967291495911E-2</v>
      </c>
    </row>
    <row r="540" spans="2:13" s="451" customFormat="1" ht="13.2">
      <c r="B540" s="1310">
        <v>2019</v>
      </c>
      <c r="C540" s="1311" t="s">
        <v>448</v>
      </c>
      <c r="D540" s="1320">
        <f>'Rate Class Customer Model'!F13</f>
        <v>73</v>
      </c>
      <c r="E540" s="1317">
        <f t="shared" si="149"/>
        <v>-1.3513513513513487E-2</v>
      </c>
      <c r="F540" s="1320">
        <v>98084</v>
      </c>
      <c r="G540" s="1317">
        <f t="shared" si="150"/>
        <v>7.0122483342061059E-3</v>
      </c>
      <c r="H540" s="1320">
        <f>'Rate Class Load Model'!D12</f>
        <v>268.5</v>
      </c>
      <c r="I540" s="1317">
        <f t="shared" si="151"/>
        <v>-1.4317180616740033E-2</v>
      </c>
      <c r="J540" s="1320">
        <f t="shared" si="154"/>
        <v>1343.6164383561643</v>
      </c>
      <c r="K540" s="1317">
        <f t="shared" si="152"/>
        <v>2.0806936667551179E-2</v>
      </c>
      <c r="L540" s="1320">
        <f t="shared" si="155"/>
        <v>3.6780821917808217</v>
      </c>
      <c r="M540" s="1317">
        <f t="shared" si="153"/>
        <v>-8.1467624162689933E-4</v>
      </c>
    </row>
    <row r="541" spans="2:13" s="451" customFormat="1" ht="13.2">
      <c r="B541" s="1327">
        <v>2020</v>
      </c>
      <c r="C541" s="1328" t="s">
        <v>449</v>
      </c>
      <c r="D541" s="1329">
        <f>'Rate Class Customer Model'!F14</f>
        <v>70</v>
      </c>
      <c r="E541" s="1330">
        <f t="shared" si="149"/>
        <v>-4.1095890410958957E-2</v>
      </c>
      <c r="F541" s="1329">
        <v>96758.540540540533</v>
      </c>
      <c r="G541" s="1330">
        <f t="shared" si="150"/>
        <v>-1.3513513513513598E-2</v>
      </c>
      <c r="H541" s="1329">
        <f>'Rate Class Load Model'!D13</f>
        <v>246.13055555555553</v>
      </c>
      <c r="I541" s="1330">
        <f t="shared" si="151"/>
        <v>-8.3312642251189839E-2</v>
      </c>
      <c r="J541" s="1329">
        <f t="shared" si="154"/>
        <v>1382.2648648648646</v>
      </c>
      <c r="K541" s="1330">
        <f t="shared" si="152"/>
        <v>2.876447876447874E-2</v>
      </c>
      <c r="L541" s="1329">
        <f t="shared" si="155"/>
        <v>3.5161507936507932</v>
      </c>
      <c r="M541" s="1330">
        <f t="shared" si="153"/>
        <v>-4.4026041204812238E-2</v>
      </c>
    </row>
    <row r="542" spans="2:13" s="451" customFormat="1" ht="13.2">
      <c r="B542" s="1312">
        <v>2021</v>
      </c>
      <c r="C542" s="1313" t="s">
        <v>449</v>
      </c>
      <c r="D542" s="1321">
        <f>'Rate Class Customer Model'!F15</f>
        <v>69</v>
      </c>
      <c r="E542" s="1318">
        <f t="shared" si="149"/>
        <v>-1.4285714285714235E-2</v>
      </c>
      <c r="F542" s="1321">
        <v>96758.540540540533</v>
      </c>
      <c r="G542" s="1318">
        <f t="shared" si="150"/>
        <v>0</v>
      </c>
      <c r="H542" s="1321">
        <f>'Rate Class Load Model'!D14</f>
        <v>238.05455917504869</v>
      </c>
      <c r="I542" s="1318">
        <f t="shared" si="151"/>
        <v>-3.28118398882985E-2</v>
      </c>
      <c r="J542" s="1321">
        <f t="shared" si="154"/>
        <v>1402.2976889933411</v>
      </c>
      <c r="K542" s="1318">
        <f t="shared" si="152"/>
        <v>1.449275362318847E-2</v>
      </c>
      <c r="L542" s="1321">
        <f t="shared" si="155"/>
        <v>3.4500660750007057</v>
      </c>
      <c r="M542" s="1318">
        <f t="shared" si="153"/>
        <v>-1.879462017653466E-2</v>
      </c>
    </row>
    <row r="543" spans="2:13" s="451" customFormat="1" ht="13.2">
      <c r="B543" s="1193" t="s">
        <v>576</v>
      </c>
      <c r="C543" s="393"/>
      <c r="D543" s="523"/>
      <c r="E543" s="1331">
        <f>AVERAGE(E532:E540)</f>
        <v>-2.8572395149023913E-3</v>
      </c>
      <c r="F543" s="1331"/>
      <c r="G543" s="1331">
        <f t="shared" ref="G543" si="156">AVERAGE(G532:G540)</f>
        <v>-1.0666073341882088E-2</v>
      </c>
      <c r="H543" s="1331"/>
      <c r="I543" s="1331">
        <f t="shared" ref="I543" si="157">AVERAGE(I532:I540)</f>
        <v>-1.1838189986860691E-2</v>
      </c>
      <c r="J543" s="1331"/>
      <c r="K543" s="1331">
        <f t="shared" ref="K543" si="158">AVERAGE(K532:K540)</f>
        <v>-7.4026414213340663E-3</v>
      </c>
      <c r="L543" s="1331"/>
      <c r="M543" s="1331">
        <f t="shared" ref="M543" si="159">AVERAGE(M532:M540)</f>
        <v>-8.9763290165431175E-3</v>
      </c>
    </row>
    <row r="544" spans="2:13" s="451" customFormat="1" ht="13.2">
      <c r="B544" s="1193"/>
      <c r="C544" s="393"/>
      <c r="D544" s="523"/>
      <c r="E544" s="1331"/>
      <c r="F544" s="1331"/>
      <c r="G544" s="1331"/>
      <c r="H544" s="1331"/>
      <c r="I544" s="1331"/>
      <c r="J544" s="1331"/>
      <c r="K544" s="1331"/>
      <c r="L544" s="1331"/>
      <c r="M544" s="1331"/>
    </row>
    <row r="545" spans="2:13" s="451" customFormat="1" ht="13.2">
      <c r="B545" s="1193"/>
      <c r="C545" s="393"/>
      <c r="D545" s="523"/>
      <c r="E545" s="1331"/>
      <c r="F545" s="1331"/>
      <c r="G545" s="1331"/>
      <c r="H545" s="1331"/>
      <c r="I545" s="1331"/>
      <c r="J545" s="1331"/>
      <c r="K545" s="1331"/>
      <c r="L545" s="1331"/>
      <c r="M545" s="1331"/>
    </row>
    <row r="546" spans="2:13" s="451" customFormat="1">
      <c r="B546" s="393"/>
      <c r="C546" s="523"/>
      <c r="D546" s="1307"/>
      <c r="E546" s="409" t="s">
        <v>590</v>
      </c>
      <c r="F546" s="1307"/>
      <c r="H546" s="409"/>
      <c r="I546" s="1307"/>
    </row>
    <row r="547" spans="2:13" s="451" customFormat="1">
      <c r="B547" s="393"/>
      <c r="C547" s="523"/>
      <c r="D547" s="1307"/>
      <c r="E547" s="1307"/>
      <c r="F547" s="1307"/>
      <c r="G547" s="409"/>
      <c r="H547" s="409"/>
      <c r="I547" s="1307"/>
    </row>
    <row r="548" spans="2:13" s="451" customFormat="1" ht="26.4">
      <c r="B548" s="1314" t="s">
        <v>124</v>
      </c>
      <c r="C548" s="1314"/>
      <c r="D548" s="1319" t="s">
        <v>584</v>
      </c>
      <c r="E548" s="1315" t="s">
        <v>569</v>
      </c>
      <c r="F548" s="1322" t="s">
        <v>573</v>
      </c>
      <c r="G548" s="1315" t="s">
        <v>569</v>
      </c>
      <c r="H548" s="1322" t="s">
        <v>588</v>
      </c>
      <c r="I548" s="1315" t="s">
        <v>569</v>
      </c>
    </row>
    <row r="549" spans="2:13" s="451" customFormat="1" ht="13.2">
      <c r="B549" s="1309"/>
      <c r="C549" s="1309"/>
      <c r="D549" s="1320"/>
      <c r="E549" s="1316"/>
      <c r="F549" s="1323"/>
      <c r="G549" s="1316"/>
      <c r="H549" s="1323"/>
      <c r="I549" s="1324"/>
    </row>
    <row r="550" spans="2:13">
      <c r="I550" s="715"/>
      <c r="J550" s="451"/>
      <c r="K550" s="451"/>
    </row>
    <row r="551" spans="2:13" s="451" customFormat="1" ht="13.2">
      <c r="B551" s="1310">
        <v>2010</v>
      </c>
      <c r="C551" s="1311" t="s">
        <v>448</v>
      </c>
      <c r="D551" s="1320">
        <f>'Rate Class Customer Model'!G4</f>
        <v>59</v>
      </c>
      <c r="E551" s="1316"/>
      <c r="F551" s="1320">
        <f>'Rate Class Energy Model '!J3</f>
        <v>495379</v>
      </c>
      <c r="G551" s="1316"/>
      <c r="H551" s="1320">
        <f t="shared" ref="H551:H562" si="160">F551/D551</f>
        <v>8396.2542372881362</v>
      </c>
      <c r="I551" s="1316"/>
    </row>
    <row r="552" spans="2:13" s="451" customFormat="1" ht="13.2">
      <c r="B552" s="1310">
        <v>2011</v>
      </c>
      <c r="C552" s="1311" t="s">
        <v>448</v>
      </c>
      <c r="D552" s="1320">
        <f>'Rate Class Customer Model'!G5</f>
        <v>60</v>
      </c>
      <c r="E552" s="1317">
        <f t="shared" ref="E552:E562" si="161">D552/D551-1</f>
        <v>1.6949152542372836E-2</v>
      </c>
      <c r="F552" s="1320">
        <f>'Rate Class Energy Model '!J4</f>
        <v>499265</v>
      </c>
      <c r="G552" s="1317">
        <f t="shared" ref="G552:G562" si="162">F552/F551-1</f>
        <v>7.8444988584498443E-3</v>
      </c>
      <c r="H552" s="1320">
        <f t="shared" si="160"/>
        <v>8321.0833333333339</v>
      </c>
      <c r="I552" s="1317">
        <f t="shared" ref="I552:I562" si="163">H552/H551-1</f>
        <v>-8.9529094558576938E-3</v>
      </c>
    </row>
    <row r="553" spans="2:13" s="451" customFormat="1" ht="13.2">
      <c r="B553" s="1310">
        <v>2012</v>
      </c>
      <c r="C553" s="1311" t="s">
        <v>448</v>
      </c>
      <c r="D553" s="1320">
        <f>'Rate Class Customer Model'!G6</f>
        <v>61</v>
      </c>
      <c r="E553" s="1317">
        <f t="shared" si="161"/>
        <v>1.6666666666666607E-2</v>
      </c>
      <c r="F553" s="1320">
        <f>'Rate Class Energy Model '!J5</f>
        <v>531898</v>
      </c>
      <c r="G553" s="1317">
        <f t="shared" si="162"/>
        <v>6.5362082260923549E-2</v>
      </c>
      <c r="H553" s="1320">
        <f t="shared" si="160"/>
        <v>8719.6393442622957</v>
      </c>
      <c r="I553" s="1317">
        <f t="shared" si="163"/>
        <v>4.7897130092711793E-2</v>
      </c>
    </row>
    <row r="554" spans="2:13" s="451" customFormat="1" ht="13.2">
      <c r="B554" s="1310">
        <v>2013</v>
      </c>
      <c r="C554" s="1311" t="s">
        <v>448</v>
      </c>
      <c r="D554" s="1320">
        <f>'Rate Class Customer Model'!G7</f>
        <v>61</v>
      </c>
      <c r="E554" s="1317">
        <f t="shared" si="161"/>
        <v>0</v>
      </c>
      <c r="F554" s="1320">
        <f>'Rate Class Energy Model '!J6</f>
        <v>565759</v>
      </c>
      <c r="G554" s="1317">
        <f t="shared" si="162"/>
        <v>6.3660701863891278E-2</v>
      </c>
      <c r="H554" s="1320">
        <f t="shared" si="160"/>
        <v>9274.7377049180323</v>
      </c>
      <c r="I554" s="1317">
        <f t="shared" si="163"/>
        <v>6.3660701863891056E-2</v>
      </c>
    </row>
    <row r="555" spans="2:13" s="451" customFormat="1" ht="13.2">
      <c r="B555" s="1310">
        <v>2014</v>
      </c>
      <c r="C555" s="1311" t="s">
        <v>448</v>
      </c>
      <c r="D555" s="1320">
        <f>'Rate Class Customer Model'!G8</f>
        <v>59</v>
      </c>
      <c r="E555" s="1317">
        <f t="shared" si="161"/>
        <v>-3.2786885245901676E-2</v>
      </c>
      <c r="F555" s="1320">
        <f>'Rate Class Energy Model '!J7</f>
        <v>543571</v>
      </c>
      <c r="G555" s="1317">
        <f t="shared" si="162"/>
        <v>-3.921811230576977E-2</v>
      </c>
      <c r="H555" s="1320">
        <f t="shared" si="160"/>
        <v>9213.0677966101703</v>
      </c>
      <c r="I555" s="1317">
        <f t="shared" si="163"/>
        <v>-6.649234756812672E-3</v>
      </c>
    </row>
    <row r="556" spans="2:13" s="451" customFormat="1" ht="13.2">
      <c r="B556" s="1310">
        <v>2015</v>
      </c>
      <c r="C556" s="1311" t="s">
        <v>448</v>
      </c>
      <c r="D556" s="1320">
        <f>'Rate Class Customer Model'!G9</f>
        <v>58</v>
      </c>
      <c r="E556" s="1317">
        <f t="shared" si="161"/>
        <v>-1.6949152542372836E-2</v>
      </c>
      <c r="F556" s="1320">
        <f>'Rate Class Energy Model '!J8</f>
        <v>546384</v>
      </c>
      <c r="G556" s="1317">
        <f t="shared" si="162"/>
        <v>5.1750369316980738E-3</v>
      </c>
      <c r="H556" s="1320">
        <f t="shared" si="160"/>
        <v>9420.4137931034475</v>
      </c>
      <c r="I556" s="1317">
        <f t="shared" si="163"/>
        <v>2.2505641016727029E-2</v>
      </c>
    </row>
    <row r="557" spans="2:13" s="451" customFormat="1" ht="13.2">
      <c r="B557" s="1310">
        <v>2016</v>
      </c>
      <c r="C557" s="1311" t="s">
        <v>448</v>
      </c>
      <c r="D557" s="1320">
        <f>'Rate Class Customer Model'!G10</f>
        <v>57</v>
      </c>
      <c r="E557" s="1317">
        <f t="shared" si="161"/>
        <v>-1.7241379310344862E-2</v>
      </c>
      <c r="F557" s="1320">
        <f>'Rate Class Energy Model '!J9</f>
        <v>539097</v>
      </c>
      <c r="G557" s="1317">
        <f t="shared" si="162"/>
        <v>-1.3336774136870733E-2</v>
      </c>
      <c r="H557" s="1320">
        <f t="shared" si="160"/>
        <v>9457.8421052631584</v>
      </c>
      <c r="I557" s="1317">
        <f t="shared" si="163"/>
        <v>3.9731070186228568E-3</v>
      </c>
    </row>
    <row r="558" spans="2:13" s="451" customFormat="1" ht="13.2">
      <c r="B558" s="1310">
        <v>2017</v>
      </c>
      <c r="C558" s="1311" t="s">
        <v>448</v>
      </c>
      <c r="D558" s="1320">
        <f>'Rate Class Customer Model'!G11</f>
        <v>57</v>
      </c>
      <c r="E558" s="1317">
        <f t="shared" si="161"/>
        <v>0</v>
      </c>
      <c r="F558" s="1320">
        <f>'Rate Class Energy Model '!J10</f>
        <v>541637</v>
      </c>
      <c r="G558" s="1317">
        <f t="shared" si="162"/>
        <v>4.711582516689905E-3</v>
      </c>
      <c r="H558" s="1320">
        <f t="shared" si="160"/>
        <v>9502.4035087719294</v>
      </c>
      <c r="I558" s="1317">
        <f t="shared" si="163"/>
        <v>4.711582516689905E-3</v>
      </c>
    </row>
    <row r="559" spans="2:13" s="451" customFormat="1" ht="13.2">
      <c r="B559" s="1310">
        <v>2018</v>
      </c>
      <c r="C559" s="1311" t="s">
        <v>448</v>
      </c>
      <c r="D559" s="1320">
        <f>'Rate Class Customer Model'!G12</f>
        <v>57</v>
      </c>
      <c r="E559" s="1317">
        <f t="shared" si="161"/>
        <v>0</v>
      </c>
      <c r="F559" s="1320">
        <f>'Rate Class Energy Model '!J11</f>
        <v>542146</v>
      </c>
      <c r="G559" s="1317">
        <f t="shared" si="162"/>
        <v>9.3974377673600173E-4</v>
      </c>
      <c r="H559" s="1320">
        <f t="shared" si="160"/>
        <v>9511.3333333333339</v>
      </c>
      <c r="I559" s="1317">
        <f t="shared" si="163"/>
        <v>9.3974377673622378E-4</v>
      </c>
    </row>
    <row r="560" spans="2:13" s="451" customFormat="1" ht="13.2">
      <c r="B560" s="1310">
        <v>2019</v>
      </c>
      <c r="C560" s="1311" t="s">
        <v>448</v>
      </c>
      <c r="D560" s="1320">
        <f>'Rate Class Customer Model'!G13</f>
        <v>57</v>
      </c>
      <c r="E560" s="1317">
        <f t="shared" si="161"/>
        <v>0</v>
      </c>
      <c r="F560" s="1320">
        <f>'Rate Class Energy Model '!J12</f>
        <v>535316</v>
      </c>
      <c r="G560" s="1317">
        <f t="shared" si="162"/>
        <v>-1.2598082435358759E-2</v>
      </c>
      <c r="H560" s="1320">
        <f t="shared" si="160"/>
        <v>9391.5087719298244</v>
      </c>
      <c r="I560" s="1317">
        <f t="shared" si="163"/>
        <v>-1.2598082435358871E-2</v>
      </c>
    </row>
    <row r="561" spans="2:16" s="451" customFormat="1" ht="13.2">
      <c r="B561" s="1327">
        <v>2020</v>
      </c>
      <c r="C561" s="1328" t="s">
        <v>449</v>
      </c>
      <c r="D561" s="1329">
        <f>'Rate Class Customer Model'!G14</f>
        <v>57</v>
      </c>
      <c r="E561" s="1330">
        <f t="shared" si="161"/>
        <v>0</v>
      </c>
      <c r="F561" s="1329">
        <f>'Rate Class Energy Model '!J13</f>
        <v>555040</v>
      </c>
      <c r="G561" s="1330">
        <f t="shared" si="162"/>
        <v>3.6845526754290869E-2</v>
      </c>
      <c r="H561" s="1329">
        <f t="shared" si="160"/>
        <v>9737.5438596491222</v>
      </c>
      <c r="I561" s="1330">
        <f t="shared" si="163"/>
        <v>3.6845526754290869E-2</v>
      </c>
    </row>
    <row r="562" spans="2:16" s="451" customFormat="1" ht="13.2">
      <c r="B562" s="1312">
        <v>2021</v>
      </c>
      <c r="C562" s="1313" t="s">
        <v>449</v>
      </c>
      <c r="D562" s="1321">
        <f>'Rate Class Customer Model'!G15</f>
        <v>57</v>
      </c>
      <c r="E562" s="1318">
        <f t="shared" si="161"/>
        <v>0</v>
      </c>
      <c r="F562" s="1321">
        <f>'Rate Class Energy Model '!J14</f>
        <v>557843.31840674079</v>
      </c>
      <c r="G562" s="1318">
        <f t="shared" si="162"/>
        <v>5.0506601447477539E-3</v>
      </c>
      <c r="H562" s="1321">
        <f t="shared" si="160"/>
        <v>9786.7248843287853</v>
      </c>
      <c r="I562" s="1318">
        <f t="shared" si="163"/>
        <v>5.0506601447477539E-3</v>
      </c>
    </row>
    <row r="563" spans="2:16" s="451" customFormat="1" ht="13.2">
      <c r="B563" s="1193" t="s">
        <v>576</v>
      </c>
      <c r="C563" s="393"/>
      <c r="D563" s="523"/>
      <c r="E563" s="1331">
        <f>AVERAGE(E552:E560)</f>
        <v>-3.7068442099533255E-3</v>
      </c>
      <c r="F563" s="1331"/>
      <c r="G563" s="1331">
        <f t="shared" ref="G563" si="164">AVERAGE(G552:G560)</f>
        <v>9.1711863700432647E-3</v>
      </c>
      <c r="H563" s="1331"/>
      <c r="I563" s="1331">
        <f t="shared" ref="I563" si="165">AVERAGE(I552:I560)</f>
        <v>1.2831964404149958E-2</v>
      </c>
    </row>
    <row r="564" spans="2:16" s="451" customFormat="1" ht="13.2">
      <c r="B564" s="1193"/>
      <c r="C564" s="393"/>
      <c r="D564" s="523"/>
      <c r="E564" s="1331"/>
      <c r="F564" s="1331"/>
      <c r="G564" s="1331"/>
      <c r="H564" s="1331"/>
      <c r="I564" s="1331"/>
      <c r="J564" s="1331"/>
      <c r="K564" s="1331"/>
      <c r="L564" s="1331"/>
      <c r="M564" s="1331"/>
    </row>
    <row r="565" spans="2:16">
      <c r="C565" s="452"/>
      <c r="D565" s="452"/>
      <c r="E565" s="452"/>
      <c r="F565" s="452"/>
      <c r="G565" s="452"/>
      <c r="H565" s="452"/>
      <c r="I565" s="452"/>
      <c r="J565" s="452"/>
      <c r="K565" s="452"/>
      <c r="L565" s="452"/>
      <c r="M565" s="452"/>
      <c r="N565" s="452"/>
      <c r="O565" s="452"/>
      <c r="P565" s="452"/>
    </row>
    <row r="566" spans="2:16" hidden="1">
      <c r="B566" s="409" t="s">
        <v>591</v>
      </c>
      <c r="C566" s="452"/>
      <c r="D566" s="452"/>
      <c r="E566" s="452"/>
      <c r="F566" s="452"/>
      <c r="G566" s="452"/>
      <c r="H566" s="452"/>
      <c r="I566" s="452"/>
      <c r="J566" s="452"/>
      <c r="K566" s="452"/>
      <c r="L566" s="452"/>
      <c r="M566" s="452"/>
      <c r="N566" s="452"/>
      <c r="O566" s="452"/>
      <c r="P566" s="452"/>
    </row>
    <row r="567" spans="2:16" ht="14.4" hidden="1" thickBot="1">
      <c r="C567" s="452"/>
      <c r="D567" s="452"/>
      <c r="E567" s="452"/>
      <c r="F567" s="452"/>
      <c r="G567" s="452"/>
      <c r="I567" s="452"/>
      <c r="K567" s="452"/>
      <c r="L567" s="452"/>
      <c r="M567" s="452"/>
      <c r="N567" s="452"/>
      <c r="O567" s="452"/>
      <c r="P567" s="452"/>
    </row>
    <row r="568" spans="2:16" ht="27" hidden="1" thickTop="1">
      <c r="B568" s="719"/>
      <c r="C568" s="722" t="str">
        <f>C332</f>
        <v>2016 Board Approved</v>
      </c>
      <c r="D568" s="722" t="str">
        <f>D332</f>
        <v xml:space="preserve">2016 Actual </v>
      </c>
      <c r="E568" s="1824" t="s">
        <v>142</v>
      </c>
      <c r="F568" s="1825" t="e">
        <f>#REF!</f>
        <v>#REF!</v>
      </c>
      <c r="G568" s="452"/>
      <c r="H568" s="472"/>
      <c r="I568" s="452"/>
      <c r="J568" s="452"/>
      <c r="K568" s="452"/>
      <c r="L568" s="452"/>
      <c r="M568" s="452"/>
      <c r="N568" s="452"/>
      <c r="O568" s="452"/>
      <c r="P568" s="452"/>
    </row>
    <row r="569" spans="2:16" ht="13.95" hidden="1" customHeight="1">
      <c r="B569" s="589"/>
      <c r="C569" s="720"/>
      <c r="D569" s="720"/>
      <c r="E569" s="720"/>
      <c r="F569" s="721" t="s">
        <v>141</v>
      </c>
      <c r="G569" s="452"/>
      <c r="K569" s="473"/>
      <c r="L569" s="450"/>
      <c r="M569" s="468"/>
      <c r="N569" s="452"/>
      <c r="O569" s="452"/>
      <c r="P569" s="452"/>
    </row>
    <row r="570" spans="2:16" ht="13.95" hidden="1" customHeight="1">
      <c r="B570" s="1290" t="str">
        <f t="shared" ref="B570:B573" si="166">B334</f>
        <v xml:space="preserve">Residential </v>
      </c>
      <c r="C570" s="453"/>
      <c r="D570" s="453"/>
      <c r="E570" s="453"/>
      <c r="F570" s="458"/>
      <c r="G570" s="452"/>
      <c r="K570" s="473"/>
      <c r="L570" s="450"/>
      <c r="M570" s="469"/>
      <c r="N570" s="452"/>
      <c r="O570" s="452"/>
      <c r="P570" s="452"/>
    </row>
    <row r="571" spans="2:16" ht="13.95" hidden="1" customHeight="1">
      <c r="B571" s="1291" t="str">
        <f t="shared" si="166"/>
        <v># of Customers</v>
      </c>
      <c r="C571" s="454">
        <f t="shared" ref="C571:D573" si="167">C335</f>
        <v>5071</v>
      </c>
      <c r="D571" s="454">
        <f t="shared" si="167"/>
        <v>5089</v>
      </c>
      <c r="E571" s="454">
        <f>D571-C571</f>
        <v>18</v>
      </c>
      <c r="F571" s="462">
        <f>E571/C571</f>
        <v>3.5495957404851116E-3</v>
      </c>
      <c r="G571" s="452"/>
      <c r="K571" s="473"/>
      <c r="L571" s="450"/>
      <c r="M571" s="470"/>
      <c r="N571" s="452"/>
      <c r="O571" s="452"/>
      <c r="P571" s="452"/>
    </row>
    <row r="572" spans="2:16" ht="13.95" hidden="1" customHeight="1">
      <c r="B572" s="1291" t="str">
        <f t="shared" si="166"/>
        <v>kWh - actual</v>
      </c>
      <c r="C572" s="454">
        <f t="shared" si="167"/>
        <v>40480043</v>
      </c>
      <c r="D572" s="454">
        <f t="shared" si="167"/>
        <v>39379535.354999997</v>
      </c>
      <c r="E572" s="454">
        <f t="shared" ref="E572:E573" si="168">D572-C572</f>
        <v>-1100507.6450000033</v>
      </c>
      <c r="F572" s="462">
        <f t="shared" ref="F572:F573" si="169">E572/C572</f>
        <v>-2.7186424801969783E-2</v>
      </c>
      <c r="G572" s="452"/>
      <c r="K572" s="465"/>
      <c r="L572" s="452"/>
      <c r="N572" s="452"/>
      <c r="O572" s="452"/>
      <c r="P572" s="452"/>
    </row>
    <row r="573" spans="2:16" ht="13.95" hidden="1" customHeight="1">
      <c r="B573" s="1291" t="str">
        <f t="shared" si="166"/>
        <v>kWh - weather normalized</v>
      </c>
      <c r="C573" s="454">
        <f t="shared" si="167"/>
        <v>40480043</v>
      </c>
      <c r="D573" s="454">
        <f>C573</f>
        <v>40480043</v>
      </c>
      <c r="E573" s="454">
        <f t="shared" si="168"/>
        <v>0</v>
      </c>
      <c r="F573" s="462">
        <f t="shared" si="169"/>
        <v>0</v>
      </c>
      <c r="G573" s="452"/>
      <c r="K573" s="465"/>
      <c r="L573" s="452"/>
      <c r="N573" s="452"/>
      <c r="O573" s="452"/>
      <c r="P573" s="452"/>
    </row>
    <row r="574" spans="2:16" ht="10.199999999999999" hidden="1" customHeight="1">
      <c r="B574" s="1266"/>
      <c r="C574" s="1262"/>
      <c r="D574" s="1262"/>
      <c r="E574" s="1260"/>
      <c r="F574" s="1261"/>
      <c r="G574" s="452"/>
      <c r="H574" s="452"/>
      <c r="I574" s="452"/>
      <c r="J574" s="452"/>
      <c r="K574" s="473"/>
      <c r="L574" s="468"/>
      <c r="M574" s="468"/>
      <c r="N574" s="452"/>
      <c r="O574" s="452"/>
      <c r="P574" s="452"/>
    </row>
    <row r="575" spans="2:16" ht="13.95" hidden="1" customHeight="1">
      <c r="B575" s="1293" t="str">
        <f t="shared" ref="B575:B578" si="170">B346</f>
        <v>General Service &lt; 50 kW</v>
      </c>
      <c r="C575" s="459"/>
      <c r="D575" s="459"/>
      <c r="E575" s="459"/>
      <c r="F575" s="464"/>
      <c r="G575" s="452"/>
      <c r="H575" s="452"/>
      <c r="I575" s="452"/>
      <c r="J575" s="452"/>
      <c r="K575" s="474"/>
      <c r="L575" s="468"/>
      <c r="M575" s="468"/>
      <c r="N575" s="452"/>
      <c r="O575" s="452"/>
      <c r="P575" s="452"/>
    </row>
    <row r="576" spans="2:16" ht="13.95" hidden="1" customHeight="1">
      <c r="B576" s="1294" t="str">
        <f t="shared" si="170"/>
        <v># of Customers</v>
      </c>
      <c r="C576" s="454">
        <f t="shared" ref="C576:D578" si="171">C347</f>
        <v>740</v>
      </c>
      <c r="D576" s="454">
        <f t="shared" si="171"/>
        <v>741</v>
      </c>
      <c r="E576" s="454">
        <f>D576-C576</f>
        <v>1</v>
      </c>
      <c r="F576" s="462">
        <f>E576/C576</f>
        <v>1.3513513513513514E-3</v>
      </c>
      <c r="G576" s="452"/>
      <c r="H576" s="409"/>
      <c r="K576" s="465"/>
      <c r="L576" s="468"/>
      <c r="M576" s="468"/>
      <c r="N576" s="452"/>
      <c r="O576" s="452"/>
      <c r="P576" s="452"/>
    </row>
    <row r="577" spans="2:16" ht="13.95" hidden="1" customHeight="1">
      <c r="B577" s="1294" t="str">
        <f t="shared" si="170"/>
        <v>kWh - actual</v>
      </c>
      <c r="C577" s="454">
        <f t="shared" si="171"/>
        <v>20348623</v>
      </c>
      <c r="D577" s="454">
        <f t="shared" si="171"/>
        <v>19816422.939999998</v>
      </c>
      <c r="E577" s="454">
        <f t="shared" ref="E577:E578" si="172">D577-C577</f>
        <v>-532200.06000000238</v>
      </c>
      <c r="F577" s="462">
        <f t="shared" ref="F577:F578" si="173">E577/C577</f>
        <v>-2.6154106840546528E-2</v>
      </c>
      <c r="G577" s="452"/>
      <c r="K577" s="473"/>
      <c r="L577" s="450"/>
      <c r="M577" s="468"/>
      <c r="N577" s="452"/>
      <c r="O577" s="452"/>
      <c r="P577" s="452"/>
    </row>
    <row r="578" spans="2:16" ht="13.95" hidden="1" customHeight="1">
      <c r="B578" s="1294" t="str">
        <f t="shared" si="170"/>
        <v>kWh - weather normalized</v>
      </c>
      <c r="C578" s="454">
        <f t="shared" si="171"/>
        <v>20348623</v>
      </c>
      <c r="D578" s="454">
        <f>C578</f>
        <v>20348623</v>
      </c>
      <c r="E578" s="454">
        <f t="shared" si="172"/>
        <v>0</v>
      </c>
      <c r="F578" s="462">
        <f t="shared" si="173"/>
        <v>0</v>
      </c>
      <c r="G578" s="452"/>
      <c r="K578" s="473"/>
      <c r="L578" s="450"/>
      <c r="M578" s="468"/>
      <c r="N578" s="452"/>
      <c r="O578" s="452"/>
      <c r="P578" s="452"/>
    </row>
    <row r="579" spans="2:16" ht="10.199999999999999" hidden="1" customHeight="1">
      <c r="B579" s="1266"/>
      <c r="C579" s="1262"/>
      <c r="D579" s="1262"/>
      <c r="E579" s="1260"/>
      <c r="F579" s="1261"/>
      <c r="G579" s="452"/>
      <c r="H579" s="452"/>
      <c r="I579" s="452"/>
      <c r="J579" s="452"/>
      <c r="K579" s="473"/>
      <c r="L579" s="468"/>
      <c r="M579" s="468"/>
      <c r="N579" s="452"/>
      <c r="O579" s="452"/>
      <c r="P579" s="452"/>
    </row>
    <row r="580" spans="2:16" ht="13.95" hidden="1" customHeight="1">
      <c r="B580" s="1293" t="str">
        <f t="shared" ref="B580:B585" si="174">B358</f>
        <v>General Service 50 to 4,999 kW</v>
      </c>
      <c r="C580" s="459"/>
      <c r="D580" s="459"/>
      <c r="E580" s="459"/>
      <c r="F580" s="464"/>
      <c r="G580" s="452"/>
      <c r="H580" s="452"/>
      <c r="I580" s="452"/>
      <c r="K580" s="465"/>
      <c r="L580" s="451"/>
      <c r="M580" s="468"/>
      <c r="N580" s="452"/>
      <c r="O580" s="452"/>
      <c r="P580" s="452"/>
    </row>
    <row r="581" spans="2:16" ht="13.95" hidden="1" customHeight="1">
      <c r="B581" s="1291" t="str">
        <f t="shared" si="174"/>
        <v># of Customers</v>
      </c>
      <c r="C581" s="454">
        <f t="shared" ref="C581:D585" si="175">C359</f>
        <v>64</v>
      </c>
      <c r="D581" s="454">
        <f t="shared" si="175"/>
        <v>63</v>
      </c>
      <c r="E581" s="454">
        <f>D581-C581</f>
        <v>-1</v>
      </c>
      <c r="F581" s="462">
        <f>E581/C581</f>
        <v>-1.5625E-2</v>
      </c>
      <c r="G581" s="452"/>
      <c r="H581" s="467"/>
      <c r="I581" s="467"/>
      <c r="J581" s="467"/>
      <c r="K581" s="461"/>
      <c r="L581" s="468"/>
      <c r="M581" s="468"/>
      <c r="N581" s="452"/>
      <c r="O581" s="452"/>
      <c r="P581" s="452"/>
    </row>
    <row r="582" spans="2:16" ht="13.95" hidden="1" customHeight="1">
      <c r="B582" s="1291" t="str">
        <f t="shared" si="174"/>
        <v>kWh - actual</v>
      </c>
      <c r="C582" s="454">
        <f t="shared" si="175"/>
        <v>39456019</v>
      </c>
      <c r="D582" s="454">
        <f t="shared" si="175"/>
        <v>38286678</v>
      </c>
      <c r="E582" s="454">
        <f>D582-C582</f>
        <v>-1169341</v>
      </c>
      <c r="F582" s="462">
        <f>E582/C582</f>
        <v>-2.9636568250841527E-2</v>
      </c>
      <c r="G582" s="452"/>
      <c r="H582" s="452"/>
      <c r="I582" s="452"/>
      <c r="J582" s="452"/>
      <c r="K582" s="474"/>
      <c r="L582" s="468"/>
      <c r="M582" s="468"/>
      <c r="N582" s="452"/>
      <c r="O582" s="452"/>
      <c r="P582" s="452"/>
    </row>
    <row r="583" spans="2:16" ht="13.95" hidden="1" customHeight="1">
      <c r="B583" s="1291" t="str">
        <f t="shared" si="174"/>
        <v>kWh - weather normalized</v>
      </c>
      <c r="C583" s="454">
        <f t="shared" si="175"/>
        <v>39456019</v>
      </c>
      <c r="D583" s="454">
        <f>C583</f>
        <v>39456019</v>
      </c>
      <c r="E583" s="454">
        <f>D583-C583</f>
        <v>0</v>
      </c>
      <c r="F583" s="462">
        <f>E583/C583</f>
        <v>0</v>
      </c>
      <c r="G583" s="452"/>
      <c r="H583" s="452"/>
      <c r="I583" s="452"/>
      <c r="J583" s="452"/>
      <c r="K583" s="474"/>
      <c r="L583" s="468"/>
      <c r="M583" s="468"/>
      <c r="N583" s="452"/>
      <c r="O583" s="452"/>
      <c r="P583" s="452"/>
    </row>
    <row r="584" spans="2:16" ht="13.95" hidden="1" customHeight="1">
      <c r="B584" s="1291" t="str">
        <f t="shared" si="174"/>
        <v>kW - actual</v>
      </c>
      <c r="C584" s="454">
        <f t="shared" si="175"/>
        <v>115477</v>
      </c>
      <c r="D584" s="454">
        <f t="shared" si="175"/>
        <v>111704.2</v>
      </c>
      <c r="E584" s="454">
        <f>D584-C584</f>
        <v>-3772.8000000000029</v>
      </c>
      <c r="F584" s="462">
        <f>E584/C584</f>
        <v>-3.2671441066186364E-2</v>
      </c>
      <c r="G584" s="452"/>
      <c r="H584" s="452"/>
      <c r="I584" s="452"/>
      <c r="J584" s="452"/>
      <c r="K584" s="474"/>
      <c r="L584" s="468"/>
      <c r="M584" s="468"/>
      <c r="N584" s="452"/>
      <c r="O584" s="452"/>
      <c r="P584" s="452"/>
    </row>
    <row r="585" spans="2:16" ht="13.95" hidden="1" customHeight="1">
      <c r="B585" s="1291" t="str">
        <f t="shared" si="174"/>
        <v>kW - weather normalized</v>
      </c>
      <c r="C585" s="454">
        <f t="shared" si="175"/>
        <v>115477</v>
      </c>
      <c r="D585" s="454">
        <f>C585</f>
        <v>115477</v>
      </c>
      <c r="E585" s="454">
        <f t="shared" ref="E585" si="176">D585-C585</f>
        <v>0</v>
      </c>
      <c r="F585" s="462">
        <f t="shared" ref="F585" si="177">E585/C585</f>
        <v>0</v>
      </c>
      <c r="G585" s="452"/>
      <c r="H585" s="452"/>
      <c r="I585" s="452"/>
      <c r="J585" s="452"/>
      <c r="K585" s="474"/>
      <c r="L585" s="468"/>
      <c r="M585" s="468"/>
      <c r="N585" s="452"/>
      <c r="O585" s="452"/>
      <c r="P585" s="452"/>
    </row>
    <row r="586" spans="2:16" ht="10.199999999999999" hidden="1" customHeight="1">
      <c r="B586" s="1266"/>
      <c r="C586" s="1262"/>
      <c r="D586" s="1262"/>
      <c r="E586" s="1260"/>
      <c r="F586" s="1261"/>
      <c r="G586" s="452"/>
      <c r="H586" s="452"/>
      <c r="I586" s="452"/>
      <c r="J586" s="452"/>
      <c r="K586" s="473"/>
      <c r="L586" s="468"/>
      <c r="M586" s="468"/>
      <c r="N586" s="452"/>
      <c r="O586" s="452"/>
      <c r="P586" s="452"/>
    </row>
    <row r="587" spans="2:16" ht="13.95" hidden="1" customHeight="1">
      <c r="B587" s="1293" t="str">
        <f t="shared" ref="B587:B592" si="178">B374</f>
        <v xml:space="preserve">Street Lights </v>
      </c>
      <c r="C587" s="459"/>
      <c r="D587" s="459"/>
      <c r="E587" s="459"/>
      <c r="F587" s="464"/>
      <c r="G587" s="452"/>
      <c r="K587" s="465"/>
      <c r="L587" s="450"/>
      <c r="M587" s="470"/>
      <c r="N587" s="452"/>
      <c r="O587" s="452"/>
      <c r="P587" s="452"/>
    </row>
    <row r="588" spans="2:16" ht="13.95" hidden="1" customHeight="1">
      <c r="B588" s="1289" t="str">
        <f t="shared" si="178"/>
        <v># of Customers</v>
      </c>
      <c r="C588" s="1249">
        <f t="shared" ref="C588:D592" si="179">C375</f>
        <v>1711</v>
      </c>
      <c r="D588" s="1249">
        <f t="shared" si="179"/>
        <v>1711</v>
      </c>
      <c r="E588" s="454">
        <f>D588-C588</f>
        <v>0</v>
      </c>
      <c r="F588" s="462">
        <f>E588/C588</f>
        <v>0</v>
      </c>
      <c r="G588" s="452"/>
      <c r="H588" s="452"/>
      <c r="I588" s="452"/>
      <c r="K588" s="465"/>
      <c r="L588" s="451"/>
      <c r="M588" s="468"/>
      <c r="N588" s="452"/>
      <c r="O588" s="452"/>
      <c r="P588" s="452"/>
    </row>
    <row r="589" spans="2:16" ht="13.95" hidden="1" customHeight="1">
      <c r="B589" s="1291" t="str">
        <f t="shared" si="178"/>
        <v>kWh - actual</v>
      </c>
      <c r="C589" s="1249">
        <f t="shared" si="179"/>
        <v>773158</v>
      </c>
      <c r="D589" s="1249">
        <f t="shared" si="179"/>
        <v>716670</v>
      </c>
      <c r="E589" s="454">
        <f t="shared" ref="E589:E592" si="180">D589-C589</f>
        <v>-56488</v>
      </c>
      <c r="F589" s="462">
        <f t="shared" ref="F589:F592" si="181">E589/C589</f>
        <v>-7.3061392367407441E-2</v>
      </c>
      <c r="G589" s="452"/>
      <c r="H589" s="452"/>
      <c r="I589" s="452"/>
      <c r="K589" s="465"/>
      <c r="L589" s="451"/>
      <c r="M589" s="468"/>
      <c r="N589" s="452"/>
      <c r="O589" s="452"/>
      <c r="P589" s="452"/>
    </row>
    <row r="590" spans="2:16" ht="13.95" hidden="1" customHeight="1">
      <c r="B590" s="1291" t="str">
        <f t="shared" si="178"/>
        <v>kWh - weather normalized</v>
      </c>
      <c r="C590" s="1249">
        <f t="shared" si="179"/>
        <v>773158</v>
      </c>
      <c r="D590" s="1249">
        <f t="shared" si="179"/>
        <v>716670</v>
      </c>
      <c r="E590" s="454">
        <f t="shared" si="180"/>
        <v>-56488</v>
      </c>
      <c r="F590" s="462">
        <f t="shared" si="181"/>
        <v>-7.3061392367407441E-2</v>
      </c>
      <c r="G590" s="452"/>
      <c r="H590" s="452"/>
      <c r="I590" s="452"/>
      <c r="K590" s="465"/>
      <c r="L590" s="451"/>
      <c r="M590" s="468"/>
      <c r="N590" s="452"/>
      <c r="O590" s="452"/>
      <c r="P590" s="452"/>
    </row>
    <row r="591" spans="2:16" ht="13.95" hidden="1" customHeight="1">
      <c r="B591" s="1291" t="str">
        <f t="shared" si="178"/>
        <v>kW - actual</v>
      </c>
      <c r="C591" s="1249">
        <f t="shared" si="179"/>
        <v>2070</v>
      </c>
      <c r="D591" s="1249">
        <f t="shared" si="179"/>
        <v>1944.6200000000001</v>
      </c>
      <c r="E591" s="454">
        <f t="shared" si="180"/>
        <v>-125.37999999999988</v>
      </c>
      <c r="F591" s="462">
        <f t="shared" si="181"/>
        <v>-6.0570048309178684E-2</v>
      </c>
      <c r="G591" s="452"/>
      <c r="H591" s="452"/>
      <c r="I591" s="452"/>
      <c r="K591" s="465"/>
      <c r="L591" s="451"/>
      <c r="M591" s="468"/>
      <c r="N591" s="452"/>
      <c r="O591" s="452"/>
      <c r="P591" s="452"/>
    </row>
    <row r="592" spans="2:16" ht="13.95" hidden="1" customHeight="1">
      <c r="B592" s="1291" t="str">
        <f t="shared" si="178"/>
        <v>kW - weather normalized</v>
      </c>
      <c r="C592" s="1249">
        <f t="shared" si="179"/>
        <v>2070</v>
      </c>
      <c r="D592" s="1249">
        <f t="shared" si="179"/>
        <v>1944.6200000000001</v>
      </c>
      <c r="E592" s="454">
        <f t="shared" si="180"/>
        <v>-125.37999999999988</v>
      </c>
      <c r="F592" s="462">
        <f t="shared" si="181"/>
        <v>-6.0570048309178684E-2</v>
      </c>
      <c r="G592" s="452"/>
      <c r="H592" s="452"/>
      <c r="I592" s="452"/>
      <c r="K592" s="465"/>
      <c r="L592" s="451"/>
      <c r="M592" s="468"/>
      <c r="N592" s="452"/>
      <c r="O592" s="452"/>
      <c r="P592" s="452"/>
    </row>
    <row r="593" spans="2:16" ht="10.199999999999999" hidden="1" customHeight="1">
      <c r="B593" s="1266"/>
      <c r="C593" s="1262"/>
      <c r="D593" s="1262"/>
      <c r="E593" s="1260"/>
      <c r="F593" s="1261"/>
      <c r="G593" s="452"/>
      <c r="H593" s="452"/>
      <c r="I593" s="452"/>
      <c r="J593" s="452"/>
      <c r="K593" s="473"/>
      <c r="L593" s="468"/>
      <c r="M593" s="468"/>
      <c r="N593" s="452"/>
      <c r="O593" s="452"/>
      <c r="P593" s="452"/>
    </row>
    <row r="594" spans="2:16" ht="13.95" hidden="1" customHeight="1">
      <c r="B594" s="592" t="str">
        <f t="shared" ref="B594:B599" si="182">B391</f>
        <v>Sentinel Lights</v>
      </c>
      <c r="C594" s="459"/>
      <c r="D594" s="459"/>
      <c r="E594" s="459"/>
      <c r="F594" s="464"/>
      <c r="G594" s="452"/>
      <c r="H594" s="432"/>
      <c r="I594" s="432"/>
      <c r="J594" s="432"/>
      <c r="K594" s="476"/>
      <c r="L594" s="468"/>
      <c r="M594" s="468"/>
      <c r="N594" s="452"/>
      <c r="O594" s="452"/>
      <c r="P594" s="452"/>
    </row>
    <row r="595" spans="2:16" ht="13.95" hidden="1" customHeight="1">
      <c r="B595" s="1252" t="str">
        <f t="shared" si="182"/>
        <v># of Customers</v>
      </c>
      <c r="C595" s="1253">
        <f t="shared" ref="C595:D599" si="183">C392</f>
        <v>73</v>
      </c>
      <c r="D595" s="1253">
        <f t="shared" si="183"/>
        <v>71</v>
      </c>
      <c r="E595" s="454">
        <f t="shared" ref="E595:E599" si="184">D595-C595</f>
        <v>-2</v>
      </c>
      <c r="F595" s="462">
        <f t="shared" ref="F595:F599" si="185">E595/C595</f>
        <v>-2.7397260273972601E-2</v>
      </c>
      <c r="G595" s="452"/>
      <c r="H595" s="432"/>
      <c r="I595" s="432"/>
      <c r="J595" s="432"/>
      <c r="K595" s="476"/>
      <c r="L595" s="468"/>
      <c r="M595" s="468"/>
      <c r="N595" s="452"/>
      <c r="O595" s="452"/>
      <c r="P595" s="452"/>
    </row>
    <row r="596" spans="2:16" ht="13.95" hidden="1" customHeight="1">
      <c r="B596" s="1252" t="str">
        <f t="shared" si="182"/>
        <v>kWh - actual</v>
      </c>
      <c r="C596" s="1254">
        <f t="shared" si="183"/>
        <v>106791</v>
      </c>
      <c r="D596" s="1254">
        <f t="shared" si="183"/>
        <v>99906</v>
      </c>
      <c r="E596" s="454">
        <f t="shared" si="184"/>
        <v>-6885</v>
      </c>
      <c r="F596" s="462">
        <f t="shared" si="185"/>
        <v>-6.4471725145377426E-2</v>
      </c>
      <c r="G596" s="452"/>
      <c r="H596" s="432"/>
      <c r="I596" s="432"/>
      <c r="J596" s="432"/>
      <c r="K596" s="476"/>
      <c r="L596" s="468"/>
      <c r="M596" s="468"/>
      <c r="N596" s="452"/>
      <c r="O596" s="452"/>
      <c r="P596" s="452"/>
    </row>
    <row r="597" spans="2:16" ht="13.95" hidden="1" customHeight="1">
      <c r="B597" s="1252" t="str">
        <f t="shared" si="182"/>
        <v>kWh - weather normalized</v>
      </c>
      <c r="C597" s="1254">
        <f t="shared" si="183"/>
        <v>106791</v>
      </c>
      <c r="D597" s="1254">
        <f t="shared" si="183"/>
        <v>99906</v>
      </c>
      <c r="E597" s="454">
        <f t="shared" si="184"/>
        <v>-6885</v>
      </c>
      <c r="F597" s="462">
        <f t="shared" si="185"/>
        <v>-6.4471725145377426E-2</v>
      </c>
      <c r="G597" s="452"/>
      <c r="H597" s="452"/>
      <c r="I597" s="452"/>
      <c r="J597" s="452"/>
      <c r="K597" s="473"/>
      <c r="L597" s="468"/>
      <c r="M597" s="468"/>
      <c r="N597" s="452"/>
      <c r="O597" s="452"/>
      <c r="P597" s="452"/>
    </row>
    <row r="598" spans="2:16" ht="13.95" hidden="1" customHeight="1">
      <c r="B598" s="1252" t="str">
        <f t="shared" si="182"/>
        <v>kW - actual</v>
      </c>
      <c r="C598" s="1254">
        <f t="shared" si="183"/>
        <v>302</v>
      </c>
      <c r="D598" s="1254">
        <f t="shared" si="183"/>
        <v>275.7</v>
      </c>
      <c r="E598" s="454">
        <f t="shared" si="184"/>
        <v>-26.300000000000011</v>
      </c>
      <c r="F598" s="462">
        <f t="shared" si="185"/>
        <v>-8.7086092715231822E-2</v>
      </c>
      <c r="G598" s="452"/>
      <c r="H598" s="452"/>
      <c r="I598" s="452"/>
      <c r="J598" s="452"/>
      <c r="K598" s="452"/>
      <c r="L598" s="452"/>
      <c r="M598" s="452"/>
      <c r="N598" s="452"/>
      <c r="O598" s="452"/>
      <c r="P598" s="452"/>
    </row>
    <row r="599" spans="2:16" ht="13.95" hidden="1" customHeight="1">
      <c r="B599" s="1252" t="str">
        <f t="shared" si="182"/>
        <v>kW - weather normalized</v>
      </c>
      <c r="C599" s="1254">
        <f t="shared" si="183"/>
        <v>302</v>
      </c>
      <c r="D599" s="1254">
        <f t="shared" si="183"/>
        <v>275.7</v>
      </c>
      <c r="E599" s="454">
        <f t="shared" si="184"/>
        <v>-26.300000000000011</v>
      </c>
      <c r="F599" s="462">
        <f t="shared" si="185"/>
        <v>-8.7086092715231822E-2</v>
      </c>
      <c r="G599" s="452"/>
      <c r="K599" s="465"/>
      <c r="L599" s="450"/>
      <c r="M599" s="470"/>
      <c r="N599" s="452"/>
      <c r="O599" s="452"/>
      <c r="P599" s="452"/>
    </row>
    <row r="600" spans="2:16" ht="10.199999999999999" hidden="1" customHeight="1">
      <c r="B600" s="1296"/>
      <c r="C600" s="1263"/>
      <c r="D600" s="1263"/>
      <c r="E600" s="1260"/>
      <c r="F600" s="1261"/>
      <c r="G600" s="452"/>
      <c r="H600" s="432"/>
      <c r="I600" s="432"/>
      <c r="J600" s="432"/>
      <c r="K600" s="476"/>
      <c r="L600" s="452"/>
      <c r="M600" s="452"/>
      <c r="N600" s="452"/>
      <c r="O600" s="452"/>
      <c r="P600" s="452"/>
    </row>
    <row r="601" spans="2:16" ht="13.95" hidden="1" customHeight="1">
      <c r="B601" s="1293" t="str">
        <f>B407</f>
        <v xml:space="preserve">Unmetered Loads </v>
      </c>
      <c r="C601" s="459"/>
      <c r="D601" s="459"/>
      <c r="E601" s="459"/>
      <c r="F601" s="464"/>
      <c r="G601" s="452"/>
      <c r="H601" s="452"/>
      <c r="I601" s="452"/>
      <c r="J601" s="452"/>
      <c r="K601" s="452"/>
      <c r="L601" s="452"/>
      <c r="M601" s="452"/>
      <c r="N601" s="452"/>
      <c r="O601" s="452"/>
      <c r="P601" s="452"/>
    </row>
    <row r="602" spans="2:16" ht="13.95" hidden="1" customHeight="1">
      <c r="B602" s="1289" t="str">
        <f>B408</f>
        <v># of Customers</v>
      </c>
      <c r="C602" s="1255">
        <f t="shared" ref="C602:D604" si="186">C408</f>
        <v>58</v>
      </c>
      <c r="D602" s="1256">
        <f t="shared" si="186"/>
        <v>57</v>
      </c>
      <c r="E602" s="454">
        <f>D602-C602</f>
        <v>-1</v>
      </c>
      <c r="F602" s="462">
        <f>E602/C602</f>
        <v>-1.7241379310344827E-2</v>
      </c>
      <c r="G602" s="452"/>
      <c r="H602" s="409"/>
      <c r="K602" s="465"/>
      <c r="L602" s="452"/>
      <c r="M602" s="452"/>
      <c r="N602" s="452"/>
      <c r="O602" s="452"/>
      <c r="P602" s="452"/>
    </row>
    <row r="603" spans="2:16" ht="13.95" hidden="1" customHeight="1">
      <c r="B603" s="1289" t="str">
        <f>B409</f>
        <v>kWh - actual</v>
      </c>
      <c r="C603" s="1256">
        <f t="shared" si="186"/>
        <v>546384</v>
      </c>
      <c r="D603" s="1256">
        <f t="shared" si="186"/>
        <v>539097</v>
      </c>
      <c r="E603" s="454">
        <f>D603-C603</f>
        <v>-7287</v>
      </c>
      <c r="F603" s="462">
        <f>E603/C603</f>
        <v>-1.3336774136870773E-2</v>
      </c>
      <c r="G603" s="452"/>
      <c r="K603" s="473"/>
      <c r="L603" s="452"/>
      <c r="M603" s="452"/>
      <c r="N603" s="452"/>
      <c r="O603" s="452"/>
      <c r="P603" s="452"/>
    </row>
    <row r="604" spans="2:16" ht="13.95" hidden="1" customHeight="1">
      <c r="B604" s="1289" t="str">
        <f>B410</f>
        <v>kWh - weather normalized</v>
      </c>
      <c r="C604" s="1256">
        <f t="shared" si="186"/>
        <v>546384</v>
      </c>
      <c r="D604" s="1256">
        <f t="shared" si="186"/>
        <v>539097</v>
      </c>
      <c r="E604" s="454">
        <f>D604-C604</f>
        <v>-7287</v>
      </c>
      <c r="F604" s="462">
        <f>E604/C604</f>
        <v>-1.3336774136870773E-2</v>
      </c>
      <c r="G604" s="452"/>
      <c r="K604" s="473"/>
      <c r="L604" s="452"/>
      <c r="M604" s="452"/>
      <c r="N604" s="452"/>
      <c r="O604" s="452"/>
      <c r="P604" s="452"/>
    </row>
    <row r="605" spans="2:16" ht="10.199999999999999" hidden="1" customHeight="1">
      <c r="B605" s="1296"/>
      <c r="C605" s="1263"/>
      <c r="D605" s="1263"/>
      <c r="E605" s="1260"/>
      <c r="F605" s="1261"/>
      <c r="G605" s="452"/>
      <c r="H605" s="432"/>
      <c r="I605" s="432"/>
      <c r="J605" s="432"/>
      <c r="K605" s="476"/>
      <c r="L605" s="452"/>
      <c r="M605" s="452"/>
      <c r="N605" s="452"/>
      <c r="O605" s="452"/>
      <c r="P605" s="452"/>
    </row>
    <row r="606" spans="2:16" ht="13.95" hidden="1" customHeight="1">
      <c r="B606" s="1293" t="str">
        <f t="shared" ref="B606:B611" si="187">B419</f>
        <v>Total</v>
      </c>
      <c r="C606" s="1256"/>
      <c r="D606" s="1256"/>
      <c r="E606" s="459"/>
      <c r="F606" s="464"/>
      <c r="G606" s="452"/>
      <c r="H606" s="432"/>
      <c r="I606" s="432"/>
      <c r="J606" s="432"/>
      <c r="K606" s="476"/>
      <c r="L606" s="452"/>
      <c r="M606" s="452"/>
      <c r="N606" s="452"/>
      <c r="O606" s="452"/>
      <c r="P606" s="452"/>
    </row>
    <row r="607" spans="2:16" ht="13.95" hidden="1" customHeight="1">
      <c r="B607" s="1294" t="str">
        <f t="shared" si="187"/>
        <v># of Customers</v>
      </c>
      <c r="C607" s="1255">
        <f t="shared" ref="C607:D609" si="188">C571+C576+C581+C588+C595+C602</f>
        <v>7717</v>
      </c>
      <c r="D607" s="1255">
        <f t="shared" si="188"/>
        <v>7732</v>
      </c>
      <c r="E607" s="454">
        <f>D607-C607</f>
        <v>15</v>
      </c>
      <c r="F607" s="462">
        <f>E607/C607</f>
        <v>1.9437605287028637E-3</v>
      </c>
      <c r="G607" s="452"/>
      <c r="H607" s="432"/>
      <c r="I607" s="432"/>
      <c r="J607" s="432"/>
      <c r="K607" s="476"/>
      <c r="L607" s="452"/>
      <c r="M607" s="452"/>
      <c r="N607" s="452"/>
      <c r="O607" s="452"/>
      <c r="P607" s="452"/>
    </row>
    <row r="608" spans="2:16" ht="13.95" hidden="1" customHeight="1">
      <c r="B608" s="1294" t="str">
        <f t="shared" si="187"/>
        <v>kWh - actual</v>
      </c>
      <c r="C608" s="1255">
        <f t="shared" si="188"/>
        <v>101711018</v>
      </c>
      <c r="D608" s="1255">
        <f t="shared" si="188"/>
        <v>98838309.294999987</v>
      </c>
      <c r="E608" s="1258">
        <f>D608-C608</f>
        <v>-2872708.7050000131</v>
      </c>
      <c r="F608" s="1264">
        <f>E608/C608</f>
        <v>-2.8243830034225134E-2</v>
      </c>
      <c r="G608" s="452"/>
      <c r="H608" s="432"/>
      <c r="I608" s="432"/>
      <c r="J608" s="432"/>
      <c r="K608" s="476"/>
      <c r="L608" s="452"/>
      <c r="M608" s="452"/>
      <c r="N608" s="452"/>
      <c r="O608" s="452"/>
      <c r="P608" s="452"/>
    </row>
    <row r="609" spans="2:16" ht="13.95" hidden="1" customHeight="1">
      <c r="B609" s="1294" t="str">
        <f t="shared" si="187"/>
        <v>kWh - weather normalized</v>
      </c>
      <c r="C609" s="1255">
        <f t="shared" si="188"/>
        <v>101711018</v>
      </c>
      <c r="D609" s="1255">
        <f t="shared" si="188"/>
        <v>101640358</v>
      </c>
      <c r="E609" s="1258">
        <f t="shared" ref="E609:E611" si="189">D609-C609</f>
        <v>-70660</v>
      </c>
      <c r="F609" s="1264">
        <f t="shared" ref="F609:F611" si="190">E609/C609</f>
        <v>-6.9471332987739831E-4</v>
      </c>
      <c r="G609" s="452"/>
      <c r="H609" s="432"/>
      <c r="I609" s="432"/>
      <c r="J609" s="432"/>
      <c r="K609" s="476"/>
      <c r="L609" s="452"/>
      <c r="M609" s="452"/>
      <c r="N609" s="452"/>
      <c r="O609" s="452"/>
      <c r="P609" s="452"/>
    </row>
    <row r="610" spans="2:16" ht="13.95" hidden="1" customHeight="1">
      <c r="B610" s="1294" t="str">
        <f t="shared" si="187"/>
        <v>kW - actual</v>
      </c>
      <c r="C610" s="1255">
        <f>C584+C591+C598</f>
        <v>117849</v>
      </c>
      <c r="D610" s="1255">
        <f>D584+D591+D598</f>
        <v>113924.51999999999</v>
      </c>
      <c r="E610" s="1258">
        <f t="shared" si="189"/>
        <v>-3924.4800000000105</v>
      </c>
      <c r="F610" s="1264">
        <f t="shared" si="190"/>
        <v>-3.3300918972583651E-2</v>
      </c>
      <c r="G610" s="452"/>
      <c r="H610" s="432"/>
      <c r="I610" s="432"/>
      <c r="J610" s="432"/>
      <c r="K610" s="476"/>
      <c r="L610" s="452"/>
      <c r="M610" s="452"/>
      <c r="N610" s="452"/>
      <c r="O610" s="452"/>
      <c r="P610" s="452"/>
    </row>
    <row r="611" spans="2:16" ht="13.95" hidden="1" customHeight="1" thickBot="1">
      <c r="B611" s="1297" t="str">
        <f t="shared" si="187"/>
        <v>kW - weather normalized</v>
      </c>
      <c r="C611" s="1259">
        <f>C585+C592+C599</f>
        <v>117849</v>
      </c>
      <c r="D611" s="1259">
        <f>D585+D592+D599</f>
        <v>117697.31999999999</v>
      </c>
      <c r="E611" s="1247">
        <f t="shared" si="189"/>
        <v>-151.68000000000757</v>
      </c>
      <c r="F611" s="1265">
        <f t="shared" si="190"/>
        <v>-1.2870707430695854E-3</v>
      </c>
      <c r="G611" s="452"/>
      <c r="H611" s="432"/>
      <c r="I611" s="432"/>
      <c r="J611" s="432"/>
      <c r="K611" s="476"/>
      <c r="L611" s="452"/>
      <c r="M611" s="452"/>
      <c r="N611" s="452"/>
      <c r="O611" s="452"/>
      <c r="P611" s="452"/>
    </row>
    <row r="612" spans="2:16" ht="12.9" hidden="1" customHeight="1" thickTop="1">
      <c r="B612" s="1298"/>
      <c r="C612" s="452"/>
      <c r="D612" s="452"/>
      <c r="E612" s="452"/>
      <c r="F612" s="452"/>
      <c r="G612" s="452"/>
      <c r="H612" s="432"/>
      <c r="I612" s="432"/>
      <c r="J612" s="432"/>
      <c r="K612" s="476"/>
      <c r="L612" s="450"/>
      <c r="M612" s="468"/>
      <c r="N612" s="452"/>
      <c r="O612" s="452"/>
      <c r="P612" s="452"/>
    </row>
    <row r="613" spans="2:16" ht="12.9" hidden="1" customHeight="1">
      <c r="B613" s="1298"/>
      <c r="C613" s="452"/>
      <c r="D613" s="452"/>
      <c r="E613" s="452"/>
      <c r="F613" s="452"/>
      <c r="G613" s="723"/>
      <c r="H613" s="432"/>
      <c r="I613" s="432"/>
      <c r="J613" s="432"/>
      <c r="K613" s="476"/>
      <c r="L613" s="450"/>
      <c r="M613" s="470"/>
      <c r="N613" s="452"/>
      <c r="O613" s="452"/>
      <c r="P613" s="452"/>
    </row>
    <row r="614" spans="2:16" ht="12.9" hidden="1" customHeight="1">
      <c r="B614" s="1299" t="s">
        <v>564</v>
      </c>
      <c r="C614" s="452"/>
      <c r="D614" s="452"/>
      <c r="E614" s="452"/>
      <c r="F614" s="452"/>
      <c r="G614" s="723"/>
      <c r="H614" s="432"/>
      <c r="I614" s="432"/>
      <c r="J614" s="432"/>
      <c r="K614" s="476"/>
      <c r="L614" s="452"/>
      <c r="N614" s="452"/>
      <c r="O614" s="452"/>
      <c r="P614" s="452"/>
    </row>
    <row r="615" spans="2:16" ht="12.9" hidden="1" customHeight="1" thickBot="1">
      <c r="B615" s="1298"/>
      <c r="C615" s="452"/>
      <c r="D615" s="452"/>
      <c r="E615" s="452"/>
      <c r="F615" s="452"/>
      <c r="G615" s="723"/>
      <c r="H615" s="432"/>
      <c r="I615" s="432"/>
      <c r="J615" s="432"/>
      <c r="K615" s="476"/>
      <c r="L615" s="451"/>
      <c r="M615" s="468"/>
      <c r="N615" s="452"/>
      <c r="O615" s="452"/>
      <c r="P615" s="452"/>
    </row>
    <row r="616" spans="2:16" ht="12.9" hidden="1" customHeight="1" thickTop="1">
      <c r="B616" s="719"/>
      <c r="C616" s="722" t="s">
        <v>552</v>
      </c>
      <c r="D616" s="722" t="s">
        <v>531</v>
      </c>
      <c r="E616" s="1824" t="s">
        <v>142</v>
      </c>
      <c r="F616" s="1825" t="e">
        <f>#REF!</f>
        <v>#REF!</v>
      </c>
      <c r="G616" s="723"/>
      <c r="H616" s="432"/>
      <c r="I616" s="432"/>
      <c r="J616" s="432"/>
      <c r="K616" s="476"/>
      <c r="L616" s="451"/>
      <c r="M616" s="468"/>
      <c r="N616" s="452"/>
      <c r="O616" s="452"/>
      <c r="P616" s="452"/>
    </row>
    <row r="617" spans="2:16" ht="12.9" hidden="1" customHeight="1">
      <c r="B617" s="589"/>
      <c r="C617" s="720"/>
      <c r="D617" s="720"/>
      <c r="E617" s="720"/>
      <c r="F617" s="721" t="s">
        <v>141</v>
      </c>
      <c r="G617" s="723"/>
      <c r="H617" s="432"/>
      <c r="I617" s="432"/>
      <c r="J617" s="432"/>
      <c r="K617" s="476"/>
      <c r="L617" s="468"/>
      <c r="M617" s="468"/>
      <c r="N617" s="452"/>
      <c r="O617" s="452"/>
      <c r="P617" s="452"/>
    </row>
    <row r="618" spans="2:16" ht="12.9" hidden="1" customHeight="1">
      <c r="B618" s="1290" t="str">
        <f>B570</f>
        <v xml:space="preserve">Residential </v>
      </c>
      <c r="C618" s="453"/>
      <c r="D618" s="453"/>
      <c r="E618" s="453"/>
      <c r="F618" s="458"/>
      <c r="G618" s="723"/>
      <c r="H618" s="432"/>
      <c r="I618" s="432"/>
      <c r="J618" s="432"/>
      <c r="K618" s="476"/>
      <c r="L618" s="468"/>
      <c r="M618" s="468"/>
      <c r="N618" s="452"/>
      <c r="O618" s="452"/>
      <c r="P618" s="452"/>
    </row>
    <row r="619" spans="2:16" ht="12.9" hidden="1" customHeight="1">
      <c r="B619" s="1291" t="str">
        <f>B571</f>
        <v># of Customers</v>
      </c>
      <c r="C619" s="454">
        <f t="shared" ref="C619:D624" si="191">D335</f>
        <v>5089</v>
      </c>
      <c r="D619" s="454">
        <f t="shared" si="191"/>
        <v>5105</v>
      </c>
      <c r="E619" s="454">
        <f>D619-C619</f>
        <v>16</v>
      </c>
      <c r="F619" s="462">
        <f>E619/C619</f>
        <v>3.1440361564157989E-3</v>
      </c>
      <c r="G619" s="723"/>
      <c r="H619" s="409"/>
      <c r="K619" s="465"/>
      <c r="L619" s="468"/>
      <c r="M619" s="468"/>
      <c r="N619" s="452"/>
      <c r="O619" s="452"/>
      <c r="P619" s="452"/>
    </row>
    <row r="620" spans="2:16" ht="12.9" hidden="1" customHeight="1">
      <c r="B620" s="1291" t="str">
        <f>B572</f>
        <v>kWh - actual</v>
      </c>
      <c r="C620" s="454">
        <f t="shared" si="191"/>
        <v>39379535.354999997</v>
      </c>
      <c r="D620" s="454">
        <f t="shared" si="191"/>
        <v>42538788.821000002</v>
      </c>
      <c r="E620" s="454">
        <f t="shared" ref="E620:E624" si="192">D620-C620</f>
        <v>3159253.4660000056</v>
      </c>
      <c r="F620" s="462">
        <f t="shared" ref="F620:F624" si="193">E620/C620</f>
        <v>8.0225767966022404E-2</v>
      </c>
      <c r="G620" s="723"/>
      <c r="K620" s="473"/>
      <c r="L620" s="450"/>
      <c r="M620" s="468"/>
      <c r="N620" s="452"/>
      <c r="O620" s="452"/>
      <c r="P620" s="452"/>
    </row>
    <row r="621" spans="2:16" ht="12.9" hidden="1" customHeight="1">
      <c r="B621" s="1291" t="str">
        <f>B573</f>
        <v>kWh - weather normalized</v>
      </c>
      <c r="C621" s="454">
        <f t="shared" si="191"/>
        <v>40569360.663189359</v>
      </c>
      <c r="D621" s="454">
        <f t="shared" si="191"/>
        <v>41591625.67292235</v>
      </c>
      <c r="E621" s="454">
        <f t="shared" si="192"/>
        <v>1022265.0097329915</v>
      </c>
      <c r="F621" s="462">
        <f t="shared" si="193"/>
        <v>2.5197957104129184E-2</v>
      </c>
      <c r="G621" s="723"/>
      <c r="K621" s="473"/>
      <c r="L621" s="450"/>
      <c r="M621" s="469"/>
      <c r="N621" s="452"/>
      <c r="O621" s="452"/>
      <c r="P621" s="452"/>
    </row>
    <row r="622" spans="2:16" ht="12.9" hidden="1" customHeight="1">
      <c r="B622" s="1291" t="e">
        <f>#REF!</f>
        <v>#REF!</v>
      </c>
      <c r="C622" s="454">
        <f t="shared" si="191"/>
        <v>7738.1676861858905</v>
      </c>
      <c r="D622" s="454">
        <f t="shared" si="191"/>
        <v>8332.7696025465229</v>
      </c>
      <c r="E622" s="454">
        <f t="shared" si="192"/>
        <v>594.60191636063246</v>
      </c>
      <c r="F622" s="462">
        <f t="shared" si="193"/>
        <v>7.684014361980171E-2</v>
      </c>
      <c r="G622" s="723"/>
      <c r="K622" s="465"/>
      <c r="L622" s="450"/>
      <c r="M622" s="470"/>
      <c r="N622" s="452"/>
      <c r="O622" s="452"/>
      <c r="P622" s="452"/>
    </row>
    <row r="623" spans="2:16" ht="12.9" hidden="1" customHeight="1">
      <c r="B623" s="1291" t="e">
        <f>#REF!</f>
        <v>#REF!</v>
      </c>
      <c r="C623" s="454">
        <f t="shared" si="191"/>
        <v>7971.9710479837613</v>
      </c>
      <c r="D623" s="454">
        <f t="shared" si="191"/>
        <v>8147.2332366155433</v>
      </c>
      <c r="E623" s="454">
        <f t="shared" si="192"/>
        <v>175.26218863178201</v>
      </c>
      <c r="F623" s="462">
        <f t="shared" si="193"/>
        <v>2.1984799941804682E-2</v>
      </c>
      <c r="G623" s="723"/>
      <c r="H623" s="452"/>
      <c r="I623" s="452"/>
      <c r="K623" s="473"/>
      <c r="L623" s="451"/>
      <c r="M623" s="468"/>
      <c r="N623" s="452"/>
      <c r="O623" s="452"/>
      <c r="P623" s="452"/>
    </row>
    <row r="624" spans="2:16" ht="12.9" hidden="1" customHeight="1">
      <c r="B624" s="1292" t="e">
        <f>#REF!</f>
        <v>#REF!</v>
      </c>
      <c r="C624" s="454">
        <f t="shared" si="191"/>
        <v>1412657.6300000001</v>
      </c>
      <c r="D624" s="454">
        <f t="shared" si="191"/>
        <v>1500817.69</v>
      </c>
      <c r="E624" s="455">
        <f t="shared" si="192"/>
        <v>88160.059999999823</v>
      </c>
      <c r="F624" s="1248">
        <f t="shared" si="193"/>
        <v>6.2407237343134456E-2</v>
      </c>
      <c r="G624" s="723"/>
      <c r="H624" s="452"/>
      <c r="I624" s="452"/>
      <c r="K624" s="465"/>
      <c r="L624" s="451"/>
      <c r="M624" s="468"/>
      <c r="N624" s="452"/>
      <c r="O624" s="452"/>
      <c r="P624" s="452"/>
    </row>
    <row r="625" spans="2:16" ht="12.9" hidden="1" customHeight="1">
      <c r="B625" s="1266"/>
      <c r="C625" s="1262"/>
      <c r="D625" s="1262"/>
      <c r="E625" s="1260"/>
      <c r="F625" s="1261"/>
      <c r="G625" s="723"/>
      <c r="H625" s="467"/>
      <c r="I625" s="467"/>
      <c r="J625" s="467"/>
      <c r="K625" s="461"/>
      <c r="L625" s="468"/>
      <c r="M625" s="468"/>
      <c r="N625" s="452"/>
      <c r="O625" s="452"/>
      <c r="P625" s="452"/>
    </row>
    <row r="626" spans="2:16" ht="12.9" hidden="1" customHeight="1">
      <c r="B626" s="1293" t="str">
        <f>B575</f>
        <v>General Service &lt; 50 kW</v>
      </c>
      <c r="C626" s="459"/>
      <c r="D626" s="459"/>
      <c r="E626" s="459"/>
      <c r="F626" s="464"/>
      <c r="G626" s="723"/>
      <c r="H626" s="452"/>
      <c r="I626" s="452"/>
      <c r="J626" s="452"/>
      <c r="K626" s="474"/>
      <c r="L626" s="468"/>
      <c r="M626" s="468"/>
      <c r="N626" s="452"/>
      <c r="O626" s="452"/>
      <c r="P626" s="452"/>
    </row>
    <row r="627" spans="2:16" ht="12.9" hidden="1" customHeight="1">
      <c r="B627" s="1294" t="str">
        <f>B576</f>
        <v># of Customers</v>
      </c>
      <c r="C627" s="454">
        <f t="shared" ref="C627:D632" si="194">D347</f>
        <v>741</v>
      </c>
      <c r="D627" s="454">
        <f t="shared" si="194"/>
        <v>739</v>
      </c>
      <c r="E627" s="454">
        <f>D627-C627</f>
        <v>-2</v>
      </c>
      <c r="F627" s="462">
        <f>E627/C627</f>
        <v>-2.6990553306342779E-3</v>
      </c>
      <c r="G627" s="723"/>
      <c r="H627" s="452"/>
      <c r="I627" s="452"/>
      <c r="J627" s="452"/>
      <c r="K627" s="465"/>
      <c r="L627" s="452"/>
      <c r="M627" s="452"/>
      <c r="N627" s="452"/>
      <c r="O627" s="452"/>
      <c r="P627" s="452"/>
    </row>
    <row r="628" spans="2:16" ht="12.9" hidden="1" customHeight="1">
      <c r="B628" s="1294" t="str">
        <f>B577</f>
        <v>kWh - actual</v>
      </c>
      <c r="C628" s="454">
        <f t="shared" si="194"/>
        <v>19816422.939999998</v>
      </c>
      <c r="D628" s="454">
        <f t="shared" si="194"/>
        <v>20252448.662</v>
      </c>
      <c r="E628" s="454">
        <f t="shared" ref="E628:E632" si="195">D628-C628</f>
        <v>436025.72200000286</v>
      </c>
      <c r="F628" s="462">
        <f t="shared" ref="F628:F632" si="196">E628/C628</f>
        <v>2.2003250703731846E-2</v>
      </c>
      <c r="G628" s="723"/>
      <c r="H628" s="409"/>
      <c r="K628" s="465"/>
      <c r="L628" s="480"/>
      <c r="M628" s="481"/>
      <c r="N628" s="452"/>
      <c r="O628" s="452"/>
      <c r="P628" s="452"/>
    </row>
    <row r="629" spans="2:16" ht="12.9" hidden="1" customHeight="1">
      <c r="B629" s="1294" t="str">
        <f>B578</f>
        <v>kWh - weather normalized</v>
      </c>
      <c r="C629" s="454">
        <f t="shared" si="194"/>
        <v>20415162.394877858</v>
      </c>
      <c r="D629" s="454">
        <f t="shared" si="194"/>
        <v>19801510.269943308</v>
      </c>
      <c r="E629" s="454">
        <f t="shared" si="195"/>
        <v>-613652.12493455037</v>
      </c>
      <c r="F629" s="462">
        <f t="shared" si="196"/>
        <v>-3.0058645288489845E-2</v>
      </c>
      <c r="G629" s="723"/>
      <c r="K629" s="465"/>
      <c r="L629" s="478"/>
      <c r="M629" s="478"/>
      <c r="N629" s="452"/>
      <c r="O629" s="452"/>
      <c r="P629" s="452"/>
    </row>
    <row r="630" spans="2:16" ht="12.9" hidden="1" customHeight="1">
      <c r="B630" s="1291" t="e">
        <f>#REF!</f>
        <v>#REF!</v>
      </c>
      <c r="C630" s="454">
        <f t="shared" si="194"/>
        <v>26742.810985155193</v>
      </c>
      <c r="D630" s="454">
        <f t="shared" si="194"/>
        <v>27405.207932341003</v>
      </c>
      <c r="E630" s="454">
        <f t="shared" si="195"/>
        <v>662.39694718581086</v>
      </c>
      <c r="F630" s="462">
        <f t="shared" si="196"/>
        <v>2.4769159365988273E-2</v>
      </c>
      <c r="G630" s="723"/>
      <c r="K630" s="473"/>
      <c r="L630" s="479"/>
      <c r="M630" s="479"/>
      <c r="N630" s="452"/>
      <c r="O630" s="452"/>
      <c r="P630" s="452"/>
    </row>
    <row r="631" spans="2:16" ht="12.9" hidden="1" customHeight="1">
      <c r="B631" s="1291" t="e">
        <f>#REF!</f>
        <v>#REF!</v>
      </c>
      <c r="C631" s="454">
        <f t="shared" si="194"/>
        <v>27550.82644382977</v>
      </c>
      <c r="D631" s="454">
        <f t="shared" si="194"/>
        <v>26795.007131181745</v>
      </c>
      <c r="E631" s="454">
        <f t="shared" si="195"/>
        <v>-755.81931264802552</v>
      </c>
      <c r="F631" s="462">
        <f t="shared" si="196"/>
        <v>-2.7433634856253008E-2</v>
      </c>
      <c r="G631" s="723"/>
      <c r="K631" s="465"/>
      <c r="L631" s="450"/>
      <c r="M631" s="450"/>
      <c r="N631" s="452"/>
      <c r="O631" s="452"/>
      <c r="P631" s="452"/>
    </row>
    <row r="632" spans="2:16" ht="12.9" hidden="1" customHeight="1">
      <c r="B632" s="1295" t="e">
        <f>#REF!</f>
        <v>#REF!</v>
      </c>
      <c r="C632" s="454">
        <f t="shared" si="194"/>
        <v>466732.02999999997</v>
      </c>
      <c r="D632" s="454">
        <f t="shared" si="194"/>
        <v>495354.92000000004</v>
      </c>
      <c r="E632" s="455">
        <f t="shared" si="195"/>
        <v>28622.890000000072</v>
      </c>
      <c r="F632" s="1248">
        <f t="shared" si="196"/>
        <v>6.1326174678862463E-2</v>
      </c>
      <c r="G632" s="723"/>
      <c r="H632" s="452"/>
      <c r="I632" s="452"/>
      <c r="K632" s="465"/>
      <c r="L632" s="451"/>
      <c r="M632" s="468"/>
      <c r="N632" s="452"/>
      <c r="O632" s="452"/>
      <c r="P632" s="452"/>
    </row>
    <row r="633" spans="2:16" ht="12.9" hidden="1" customHeight="1">
      <c r="B633" s="1266">
        <f t="shared" ref="B633:B639" si="197">B579</f>
        <v>0</v>
      </c>
      <c r="C633" s="1262"/>
      <c r="D633" s="1262"/>
      <c r="E633" s="1260"/>
      <c r="F633" s="1261"/>
      <c r="G633" s="723"/>
      <c r="H633" s="452"/>
      <c r="I633" s="452"/>
      <c r="K633" s="465"/>
      <c r="L633" s="451"/>
      <c r="M633" s="468"/>
      <c r="N633" s="452"/>
      <c r="O633" s="452"/>
      <c r="P633" s="452"/>
    </row>
    <row r="634" spans="2:16" ht="12.9" hidden="1" customHeight="1">
      <c r="B634" s="1293" t="str">
        <f t="shared" si="197"/>
        <v>General Service 50 to 4,999 kW</v>
      </c>
      <c r="C634" s="459"/>
      <c r="D634" s="459"/>
      <c r="E634" s="459"/>
      <c r="F634" s="464"/>
      <c r="G634" s="723"/>
      <c r="H634" s="467"/>
      <c r="I634" s="467"/>
      <c r="J634" s="467"/>
      <c r="K634" s="471"/>
      <c r="L634" s="468"/>
      <c r="M634" s="468"/>
      <c r="N634" s="452"/>
      <c r="O634" s="452"/>
      <c r="P634" s="452"/>
    </row>
    <row r="635" spans="2:16" ht="12.9" hidden="1" customHeight="1">
      <c r="B635" s="1291" t="str">
        <f t="shared" si="197"/>
        <v># of Customers</v>
      </c>
      <c r="C635" s="454">
        <f t="shared" ref="C635:D642" si="198">D359</f>
        <v>63</v>
      </c>
      <c r="D635" s="454">
        <f t="shared" si="198"/>
        <v>65</v>
      </c>
      <c r="E635" s="454">
        <f>D635-C635</f>
        <v>2</v>
      </c>
      <c r="F635" s="462">
        <f>E635/C635</f>
        <v>3.1746031746031744E-2</v>
      </c>
      <c r="G635" s="723"/>
      <c r="H635" s="452"/>
      <c r="I635" s="452"/>
      <c r="J635" s="452"/>
      <c r="K635" s="473"/>
      <c r="L635" s="468"/>
      <c r="M635" s="468"/>
      <c r="N635" s="452"/>
      <c r="O635" s="452"/>
      <c r="P635" s="452"/>
    </row>
    <row r="636" spans="2:16" ht="12.9" hidden="1" customHeight="1">
      <c r="B636" s="1291" t="str">
        <f t="shared" si="197"/>
        <v>kWh - actual</v>
      </c>
      <c r="C636" s="454">
        <f t="shared" si="198"/>
        <v>38286678</v>
      </c>
      <c r="D636" s="454">
        <f t="shared" si="198"/>
        <v>37703866.302273989</v>
      </c>
      <c r="E636" s="454">
        <f>D636-C636</f>
        <v>-582811.69772601128</v>
      </c>
      <c r="F636" s="462">
        <f>E636/C636</f>
        <v>-1.5222310426775895E-2</v>
      </c>
      <c r="G636" s="723"/>
      <c r="H636" s="452"/>
      <c r="I636" s="452"/>
      <c r="J636" s="452"/>
      <c r="K636" s="452"/>
      <c r="L636" s="452"/>
      <c r="M636" s="452"/>
      <c r="N636" s="452"/>
      <c r="O636" s="452"/>
      <c r="P636" s="452"/>
    </row>
    <row r="637" spans="2:16" ht="12.9" hidden="1" customHeight="1">
      <c r="B637" s="1291" t="str">
        <f t="shared" si="197"/>
        <v>kWh - weather normalized</v>
      </c>
      <c r="C637" s="454">
        <f t="shared" si="198"/>
        <v>38847553.336869769</v>
      </c>
      <c r="D637" s="454">
        <f t="shared" si="198"/>
        <v>37296831.445979528</v>
      </c>
      <c r="E637" s="454">
        <f>D637-C637</f>
        <v>-1550721.8908902407</v>
      </c>
      <c r="F637" s="462">
        <f>E637/C637</f>
        <v>-3.9918135318408023E-2</v>
      </c>
      <c r="G637" s="723"/>
      <c r="H637" s="409"/>
      <c r="K637" s="465"/>
      <c r="L637" s="468"/>
      <c r="M637" s="468"/>
      <c r="N637" s="452"/>
      <c r="O637" s="452"/>
      <c r="P637" s="452"/>
    </row>
    <row r="638" spans="2:16" ht="12.9" hidden="1" customHeight="1">
      <c r="B638" s="1291" t="str">
        <f t="shared" si="197"/>
        <v>kW - actual</v>
      </c>
      <c r="C638" s="454">
        <f t="shared" si="198"/>
        <v>111704.2</v>
      </c>
      <c r="D638" s="454">
        <f t="shared" si="198"/>
        <v>112493.40000000001</v>
      </c>
      <c r="E638" s="454">
        <f>D638-C638</f>
        <v>789.20000000001164</v>
      </c>
      <c r="F638" s="462">
        <f>E638/C638</f>
        <v>7.0650879734156071E-3</v>
      </c>
      <c r="G638" s="723"/>
      <c r="K638" s="473"/>
      <c r="L638" s="450"/>
      <c r="M638" s="468"/>
      <c r="N638" s="452"/>
      <c r="O638" s="452"/>
      <c r="P638" s="452"/>
    </row>
    <row r="639" spans="2:16" ht="12.9" hidden="1" customHeight="1">
      <c r="B639" s="1291" t="str">
        <f t="shared" si="197"/>
        <v>kW - weather normalized</v>
      </c>
      <c r="C639" s="454">
        <f t="shared" si="198"/>
        <v>113340.59506161303</v>
      </c>
      <c r="D639" s="454">
        <f t="shared" si="198"/>
        <v>111278.96924279371</v>
      </c>
      <c r="E639" s="454">
        <f t="shared" ref="E639:E642" si="199">D639-C639</f>
        <v>-2061.6258188193169</v>
      </c>
      <c r="F639" s="462">
        <f t="shared" ref="F639:F642" si="200">E639/C639</f>
        <v>-1.8189650563406674E-2</v>
      </c>
      <c r="G639" s="723"/>
      <c r="K639" s="473"/>
      <c r="L639" s="450"/>
      <c r="M639" s="469"/>
      <c r="N639" s="452"/>
      <c r="O639" s="452"/>
      <c r="P639" s="452"/>
    </row>
    <row r="640" spans="2:16" ht="12.9" hidden="1" customHeight="1">
      <c r="B640" s="1291" t="e">
        <f>#REF!</f>
        <v>#REF!</v>
      </c>
      <c r="C640" s="454">
        <f t="shared" si="198"/>
        <v>1773.0825396825396</v>
      </c>
      <c r="D640" s="454">
        <f t="shared" si="198"/>
        <v>1730.6676923076925</v>
      </c>
      <c r="E640" s="454">
        <f t="shared" si="199"/>
        <v>-42.414847374847113</v>
      </c>
      <c r="F640" s="462">
        <f t="shared" si="200"/>
        <v>-2.3921530118074057E-2</v>
      </c>
      <c r="G640" s="723"/>
      <c r="K640" s="465"/>
      <c r="L640" s="450"/>
      <c r="M640" s="470"/>
      <c r="N640" s="452"/>
      <c r="O640" s="452"/>
      <c r="P640" s="452"/>
    </row>
    <row r="641" spans="2:16" ht="12.9" hidden="1" customHeight="1">
      <c r="B641" s="1291" t="e">
        <f>#REF!</f>
        <v>#REF!</v>
      </c>
      <c r="C641" s="454">
        <f t="shared" si="198"/>
        <v>1799.0570644700481</v>
      </c>
      <c r="D641" s="454">
        <f t="shared" si="198"/>
        <v>1711.9841421968263</v>
      </c>
      <c r="E641" s="454">
        <f t="shared" si="199"/>
        <v>-87.07292227322182</v>
      </c>
      <c r="F641" s="462">
        <f t="shared" si="200"/>
        <v>-4.839919977684036E-2</v>
      </c>
      <c r="G641" s="723"/>
      <c r="H641" s="452"/>
      <c r="I641" s="452"/>
      <c r="K641" s="465"/>
      <c r="L641" s="451"/>
      <c r="M641" s="468"/>
      <c r="N641" s="452"/>
      <c r="O641" s="452"/>
      <c r="P641" s="452"/>
    </row>
    <row r="642" spans="2:16" ht="12.9" hidden="1" customHeight="1">
      <c r="B642" s="1292" t="e">
        <f>#REF!</f>
        <v>#REF!</v>
      </c>
      <c r="C642" s="454">
        <f t="shared" si="198"/>
        <v>419957.24000000005</v>
      </c>
      <c r="D642" s="454">
        <f t="shared" si="198"/>
        <v>425839.14</v>
      </c>
      <c r="E642" s="455">
        <f t="shared" si="199"/>
        <v>5881.8999999999651</v>
      </c>
      <c r="F642" s="1248">
        <f t="shared" si="200"/>
        <v>1.400594974859813E-2</v>
      </c>
      <c r="G642" s="723"/>
      <c r="H642" s="452"/>
      <c r="I642" s="452"/>
      <c r="K642" s="465"/>
      <c r="L642" s="451"/>
      <c r="M642" s="468"/>
      <c r="N642" s="452"/>
      <c r="O642" s="452"/>
      <c r="P642" s="452"/>
    </row>
    <row r="643" spans="2:16" ht="12.9" hidden="1" customHeight="1">
      <c r="B643" s="1266">
        <f t="shared" ref="B643:B649" si="201">B586</f>
        <v>0</v>
      </c>
      <c r="C643" s="1262"/>
      <c r="D643" s="1262"/>
      <c r="E643" s="1260"/>
      <c r="F643" s="1261"/>
      <c r="G643" s="723"/>
      <c r="H643" s="467"/>
      <c r="I643" s="467"/>
      <c r="J643" s="467"/>
      <c r="K643" s="471"/>
      <c r="L643" s="468"/>
      <c r="M643" s="468"/>
      <c r="N643" s="452"/>
      <c r="O643" s="452"/>
      <c r="P643" s="452"/>
    </row>
    <row r="644" spans="2:16" ht="12.9" hidden="1" customHeight="1">
      <c r="B644" s="1293" t="str">
        <f t="shared" si="201"/>
        <v xml:space="preserve">Street Lights </v>
      </c>
      <c r="C644" s="459"/>
      <c r="D644" s="459"/>
      <c r="E644" s="459"/>
      <c r="F644" s="464"/>
      <c r="G644" s="723"/>
      <c r="H644" s="452"/>
      <c r="I644" s="452"/>
      <c r="J644" s="452"/>
      <c r="K644" s="473"/>
      <c r="L644" s="468"/>
      <c r="M644" s="468"/>
      <c r="N644" s="452"/>
      <c r="O644" s="452"/>
      <c r="P644" s="452"/>
    </row>
    <row r="645" spans="2:16" ht="12.9" hidden="1" customHeight="1">
      <c r="B645" s="1289" t="str">
        <f t="shared" si="201"/>
        <v># of Customers</v>
      </c>
      <c r="C645" s="1249">
        <f t="shared" ref="C645:D652" si="202">D375</f>
        <v>1711</v>
      </c>
      <c r="D645" s="1249">
        <f t="shared" si="202"/>
        <v>1711</v>
      </c>
      <c r="E645" s="454">
        <f>D645-C645</f>
        <v>0</v>
      </c>
      <c r="F645" s="462">
        <f>E645/C645</f>
        <v>0</v>
      </c>
      <c r="G645" s="723"/>
      <c r="H645" s="452"/>
      <c r="I645" s="452"/>
      <c r="J645" s="452"/>
      <c r="K645" s="452"/>
      <c r="L645" s="452"/>
      <c r="M645" s="452"/>
      <c r="N645" s="452"/>
      <c r="O645" s="452"/>
      <c r="P645" s="452"/>
    </row>
    <row r="646" spans="2:16" ht="12.9" hidden="1" customHeight="1">
      <c r="B646" s="1291" t="str">
        <f t="shared" si="201"/>
        <v>kWh - actual</v>
      </c>
      <c r="C646" s="1249">
        <f t="shared" si="202"/>
        <v>716670</v>
      </c>
      <c r="D646" s="1249">
        <f t="shared" si="202"/>
        <v>714488.57293399889</v>
      </c>
      <c r="E646" s="454">
        <f t="shared" ref="E646:E652" si="203">D646-C646</f>
        <v>-2181.4270660011098</v>
      </c>
      <c r="F646" s="462">
        <f t="shared" ref="F646:F652" si="204">E646/C646</f>
        <v>-3.0438375626175365E-3</v>
      </c>
      <c r="G646" s="723"/>
      <c r="H646" s="409"/>
      <c r="K646" s="465"/>
      <c r="L646" s="452"/>
      <c r="M646" s="452"/>
      <c r="N646" s="452"/>
      <c r="O646" s="452"/>
      <c r="P646" s="452"/>
    </row>
    <row r="647" spans="2:16" ht="12.9" hidden="1" customHeight="1">
      <c r="B647" s="1291" t="str">
        <f t="shared" si="201"/>
        <v>kWh - weather normalized</v>
      </c>
      <c r="C647" s="1249">
        <f t="shared" si="202"/>
        <v>716670</v>
      </c>
      <c r="D647" s="1249">
        <f t="shared" si="202"/>
        <v>714488.57293399889</v>
      </c>
      <c r="E647" s="454">
        <f t="shared" si="203"/>
        <v>-2181.4270660011098</v>
      </c>
      <c r="F647" s="462">
        <f t="shared" si="204"/>
        <v>-3.0438375626175365E-3</v>
      </c>
      <c r="G647" s="723"/>
      <c r="K647" s="473"/>
      <c r="L647" s="452"/>
      <c r="M647" s="452"/>
      <c r="N647" s="452"/>
      <c r="O647" s="452"/>
      <c r="P647" s="452"/>
    </row>
    <row r="648" spans="2:16" ht="12.9" hidden="1" customHeight="1">
      <c r="B648" s="1291" t="str">
        <f t="shared" si="201"/>
        <v>kW - actual</v>
      </c>
      <c r="C648" s="1249">
        <f t="shared" si="202"/>
        <v>1944.6200000000001</v>
      </c>
      <c r="D648" s="1249">
        <f t="shared" si="202"/>
        <v>1938.5</v>
      </c>
      <c r="E648" s="454">
        <f t="shared" si="203"/>
        <v>-6.1200000000001182</v>
      </c>
      <c r="F648" s="462">
        <f t="shared" si="204"/>
        <v>-3.1471444292458773E-3</v>
      </c>
      <c r="G648" s="723"/>
      <c r="K648" s="473"/>
      <c r="L648" s="452"/>
      <c r="M648" s="452"/>
      <c r="N648" s="452"/>
      <c r="O648" s="452"/>
      <c r="P648" s="452"/>
    </row>
    <row r="649" spans="2:16" ht="12.9" hidden="1" customHeight="1">
      <c r="B649" s="1291" t="str">
        <f t="shared" si="201"/>
        <v>kW - weather normalized</v>
      </c>
      <c r="C649" s="1249">
        <f t="shared" si="202"/>
        <v>1944.6200000000001</v>
      </c>
      <c r="D649" s="1249">
        <f t="shared" si="202"/>
        <v>1938.5</v>
      </c>
      <c r="E649" s="454">
        <f t="shared" si="203"/>
        <v>-6.1200000000001182</v>
      </c>
      <c r="F649" s="462">
        <f t="shared" si="204"/>
        <v>-3.1471444292458773E-3</v>
      </c>
      <c r="G649" s="723"/>
      <c r="K649" s="465"/>
      <c r="L649" s="452"/>
      <c r="M649" s="452"/>
      <c r="N649" s="452"/>
      <c r="O649" s="452"/>
      <c r="P649" s="452"/>
    </row>
    <row r="650" spans="2:16" hidden="1">
      <c r="B650" s="1291" t="e">
        <f>#REF!</f>
        <v>#REF!</v>
      </c>
      <c r="C650" s="1249">
        <f t="shared" si="202"/>
        <v>1.1365400350672121</v>
      </c>
      <c r="D650" s="1249">
        <f t="shared" si="202"/>
        <v>1.1329631794272355</v>
      </c>
      <c r="E650" s="454">
        <f t="shared" si="203"/>
        <v>-3.5768556399766727E-3</v>
      </c>
      <c r="F650" s="462">
        <f t="shared" si="204"/>
        <v>-3.1471444292458612E-3</v>
      </c>
      <c r="G650" s="452"/>
      <c r="H650" s="452"/>
      <c r="I650" s="452"/>
      <c r="K650" s="473"/>
      <c r="L650" s="452"/>
      <c r="M650" s="452"/>
      <c r="N650" s="452"/>
      <c r="O650" s="452"/>
      <c r="P650" s="452"/>
    </row>
    <row r="651" spans="2:16" ht="15" hidden="1" customHeight="1">
      <c r="B651" s="1291" t="e">
        <f>#REF!</f>
        <v>#REF!</v>
      </c>
      <c r="C651" s="1249">
        <f t="shared" si="202"/>
        <v>1.1365400350672121</v>
      </c>
      <c r="D651" s="1249">
        <f t="shared" si="202"/>
        <v>1.1329631794272355</v>
      </c>
      <c r="E651" s="454">
        <f t="shared" si="203"/>
        <v>-3.5768556399766727E-3</v>
      </c>
      <c r="F651" s="462">
        <f t="shared" si="204"/>
        <v>-3.1471444292458612E-3</v>
      </c>
      <c r="G651" s="452"/>
      <c r="H651" s="452"/>
      <c r="I651" s="452"/>
      <c r="K651" s="473"/>
      <c r="L651" s="452"/>
      <c r="M651" s="452"/>
      <c r="N651" s="452"/>
      <c r="O651" s="452"/>
      <c r="P651" s="452"/>
    </row>
    <row r="652" spans="2:16" hidden="1">
      <c r="B652" s="1292" t="e">
        <f>#REF!</f>
        <v>#REF!</v>
      </c>
      <c r="C652" s="1249">
        <f t="shared" si="202"/>
        <v>98402.84</v>
      </c>
      <c r="D652" s="1249">
        <f t="shared" si="202"/>
        <v>127247.22</v>
      </c>
      <c r="E652" s="455">
        <f t="shared" si="203"/>
        <v>28844.380000000005</v>
      </c>
      <c r="F652" s="1248">
        <f t="shared" si="204"/>
        <v>0.29312548296370311</v>
      </c>
      <c r="G652" s="452"/>
      <c r="H652" s="432"/>
      <c r="I652" s="432"/>
      <c r="J652" s="432"/>
      <c r="K652" s="476"/>
      <c r="L652" s="452"/>
      <c r="M652" s="452"/>
      <c r="N652" s="452"/>
      <c r="O652" s="452"/>
      <c r="P652" s="452"/>
    </row>
    <row r="653" spans="2:16" hidden="1">
      <c r="B653" s="1266">
        <f t="shared" ref="B653:B659" si="205">B593</f>
        <v>0</v>
      </c>
      <c r="C653" s="1262"/>
      <c r="D653" s="1262"/>
      <c r="E653" s="1260"/>
      <c r="F653" s="1261"/>
      <c r="G653" s="452"/>
      <c r="H653" s="467"/>
      <c r="I653" s="467"/>
      <c r="J653" s="467"/>
      <c r="K653" s="461"/>
      <c r="L653" s="452"/>
      <c r="M653" s="452"/>
      <c r="N653" s="452"/>
      <c r="O653" s="452"/>
      <c r="P653" s="452"/>
    </row>
    <row r="654" spans="2:16" hidden="1">
      <c r="B654" s="592" t="str">
        <f t="shared" si="205"/>
        <v>Sentinel Lights</v>
      </c>
      <c r="C654" s="459"/>
      <c r="D654" s="459"/>
      <c r="E654" s="459"/>
      <c r="F654" s="464"/>
      <c r="G654" s="452"/>
      <c r="H654" s="432"/>
      <c r="I654" s="432"/>
      <c r="J654" s="432"/>
      <c r="K654" s="474"/>
      <c r="L654" s="452"/>
      <c r="M654" s="452"/>
      <c r="N654" s="452"/>
      <c r="O654" s="452"/>
      <c r="P654" s="452"/>
    </row>
    <row r="655" spans="2:16" hidden="1">
      <c r="B655" s="1252" t="str">
        <f t="shared" si="205"/>
        <v># of Customers</v>
      </c>
      <c r="C655" s="1253">
        <f t="shared" ref="C655:D662" si="206">D392</f>
        <v>71</v>
      </c>
      <c r="D655" s="1253">
        <f t="shared" si="206"/>
        <v>72</v>
      </c>
      <c r="E655" s="454">
        <f t="shared" ref="E655:E662" si="207">D655-C655</f>
        <v>1</v>
      </c>
      <c r="F655" s="462">
        <f t="shared" ref="F655:F662" si="208">E655/C655</f>
        <v>1.4084507042253521E-2</v>
      </c>
      <c r="G655" s="452"/>
      <c r="H655" s="432"/>
      <c r="I655" s="432"/>
      <c r="J655" s="432"/>
      <c r="K655" s="474"/>
      <c r="L655" s="452"/>
      <c r="M655" s="452"/>
      <c r="N655" s="452"/>
      <c r="O655" s="452"/>
      <c r="P655" s="452"/>
    </row>
    <row r="656" spans="2:16" hidden="1">
      <c r="B656" s="1252" t="str">
        <f t="shared" si="205"/>
        <v>kWh - actual</v>
      </c>
      <c r="C656" s="1253">
        <f t="shared" si="206"/>
        <v>99906</v>
      </c>
      <c r="D656" s="1253">
        <f t="shared" si="206"/>
        <v>97401</v>
      </c>
      <c r="E656" s="454">
        <f t="shared" si="207"/>
        <v>-2505</v>
      </c>
      <c r="F656" s="462">
        <f t="shared" si="208"/>
        <v>-2.5073569155005707E-2</v>
      </c>
      <c r="G656" s="452"/>
      <c r="H656" s="452"/>
      <c r="I656" s="452"/>
      <c r="J656" s="452"/>
      <c r="K656" s="452"/>
      <c r="L656" s="452"/>
      <c r="M656" s="452"/>
      <c r="N656" s="452"/>
      <c r="O656" s="452"/>
      <c r="P656" s="452"/>
    </row>
    <row r="657" spans="2:16" hidden="1">
      <c r="B657" s="1252" t="str">
        <f t="shared" si="205"/>
        <v>kWh - weather normalized</v>
      </c>
      <c r="C657" s="1253">
        <f t="shared" si="206"/>
        <v>99906</v>
      </c>
      <c r="D657" s="1253">
        <f t="shared" si="206"/>
        <v>97401</v>
      </c>
      <c r="E657" s="454">
        <f t="shared" si="207"/>
        <v>-2505</v>
      </c>
      <c r="F657" s="462">
        <f t="shared" si="208"/>
        <v>-2.5073569155005707E-2</v>
      </c>
      <c r="G657" s="452"/>
      <c r="I657" s="452"/>
      <c r="K657" s="452"/>
      <c r="L657" s="452"/>
      <c r="M657" s="452"/>
      <c r="N657" s="452"/>
      <c r="O657" s="452"/>
      <c r="P657" s="452"/>
    </row>
    <row r="658" spans="2:16" hidden="1">
      <c r="B658" s="1252" t="str">
        <f t="shared" si="205"/>
        <v>kW - actual</v>
      </c>
      <c r="C658" s="1253">
        <f t="shared" si="206"/>
        <v>275.7</v>
      </c>
      <c r="D658" s="1253">
        <f t="shared" si="206"/>
        <v>270.2</v>
      </c>
      <c r="E658" s="454">
        <f t="shared" si="207"/>
        <v>-5.5</v>
      </c>
      <c r="F658" s="462">
        <f t="shared" si="208"/>
        <v>-1.9949220166848025E-2</v>
      </c>
      <c r="G658" s="452"/>
      <c r="H658" s="472"/>
      <c r="I658" s="452"/>
      <c r="J658" s="452"/>
      <c r="K658" s="452"/>
      <c r="L658" s="486"/>
      <c r="M658" s="486"/>
      <c r="N658" s="452"/>
      <c r="O658" s="452"/>
      <c r="P658" s="452"/>
    </row>
    <row r="659" spans="2:16" ht="12.9" hidden="1" customHeight="1">
      <c r="B659" s="1252" t="str">
        <f t="shared" si="205"/>
        <v>kW - weather normalized</v>
      </c>
      <c r="C659" s="1253">
        <f t="shared" si="206"/>
        <v>275.7</v>
      </c>
      <c r="D659" s="1253">
        <f t="shared" si="206"/>
        <v>270.2</v>
      </c>
      <c r="E659" s="454">
        <f t="shared" si="207"/>
        <v>-5.5</v>
      </c>
      <c r="F659" s="462">
        <f t="shared" si="208"/>
        <v>-1.9949220166848025E-2</v>
      </c>
      <c r="G659" s="452"/>
      <c r="K659" s="473"/>
      <c r="L659" s="454"/>
      <c r="M659" s="594"/>
      <c r="N659" s="452"/>
      <c r="O659" s="452"/>
      <c r="P659" s="452"/>
    </row>
    <row r="660" spans="2:16" ht="12.9" hidden="1" customHeight="1">
      <c r="B660" s="1252" t="e">
        <f>#REF!</f>
        <v>#REF!</v>
      </c>
      <c r="C660" s="1253">
        <f t="shared" si="206"/>
        <v>3.8830985915492957</v>
      </c>
      <c r="D660" s="1253">
        <f t="shared" si="206"/>
        <v>3.7527777777777778</v>
      </c>
      <c r="E660" s="454">
        <f t="shared" si="207"/>
        <v>-0.13032081377151794</v>
      </c>
      <c r="F660" s="462">
        <f t="shared" si="208"/>
        <v>-3.3561036553419563E-2</v>
      </c>
      <c r="G660" s="452"/>
      <c r="K660" s="473"/>
      <c r="L660" s="450"/>
      <c r="M660" s="482"/>
      <c r="N660" s="452"/>
      <c r="O660" s="452"/>
      <c r="P660" s="452"/>
    </row>
    <row r="661" spans="2:16" ht="12.9" hidden="1" customHeight="1">
      <c r="B661" s="1252" t="e">
        <f>#REF!</f>
        <v>#REF!</v>
      </c>
      <c r="C661" s="1253">
        <f t="shared" si="206"/>
        <v>3.8830985915492957</v>
      </c>
      <c r="D661" s="1253">
        <f t="shared" si="206"/>
        <v>3.7527777777777778</v>
      </c>
      <c r="E661" s="454">
        <f t="shared" si="207"/>
        <v>-0.13032081377151794</v>
      </c>
      <c r="F661" s="462">
        <f t="shared" si="208"/>
        <v>-3.3561036553419563E-2</v>
      </c>
      <c r="G661" s="452"/>
      <c r="K661" s="473"/>
      <c r="L661" s="450"/>
      <c r="M661" s="483"/>
      <c r="N661" s="452"/>
      <c r="O661" s="452"/>
      <c r="P661" s="452"/>
    </row>
    <row r="662" spans="2:16" ht="12.9" hidden="1" customHeight="1" thickBot="1">
      <c r="B662" s="1267" t="e">
        <f>#REF!</f>
        <v>#REF!</v>
      </c>
      <c r="C662" s="1253">
        <f t="shared" si="206"/>
        <v>6474.3600000000006</v>
      </c>
      <c r="D662" s="1253">
        <f t="shared" si="206"/>
        <v>7063.5999999999995</v>
      </c>
      <c r="E662" s="455">
        <f t="shared" si="207"/>
        <v>589.23999999999887</v>
      </c>
      <c r="F662" s="1248">
        <f t="shared" si="208"/>
        <v>9.101131231503945E-2</v>
      </c>
      <c r="G662" s="452"/>
      <c r="K662" s="473"/>
      <c r="L662" s="452"/>
      <c r="M662" s="482"/>
      <c r="N662" s="452"/>
      <c r="O662" s="452"/>
      <c r="P662" s="452"/>
    </row>
    <row r="663" spans="2:16" ht="12.9" hidden="1" customHeight="1" thickTop="1">
      <c r="B663" s="719"/>
      <c r="C663" s="722" t="s">
        <v>552</v>
      </c>
      <c r="D663" s="722" t="s">
        <v>553</v>
      </c>
      <c r="E663" s="1824" t="s">
        <v>142</v>
      </c>
      <c r="F663" s="1825"/>
      <c r="G663" s="452"/>
      <c r="H663" s="452"/>
      <c r="I663" s="452"/>
      <c r="K663" s="473"/>
      <c r="L663" s="484"/>
      <c r="M663" s="484"/>
      <c r="N663" s="452"/>
      <c r="O663" s="452"/>
      <c r="P663" s="452"/>
    </row>
    <row r="664" spans="2:16" ht="12.9" hidden="1" customHeight="1">
      <c r="B664" s="1293" t="str">
        <f>B601</f>
        <v xml:space="preserve">Unmetered Loads </v>
      </c>
      <c r="C664" s="459"/>
      <c r="D664" s="459"/>
      <c r="E664" s="459"/>
      <c r="F664" s="464"/>
      <c r="G664" s="452"/>
      <c r="H664" s="452"/>
      <c r="I664" s="452"/>
      <c r="K664" s="473"/>
      <c r="L664" s="485"/>
      <c r="M664" s="485"/>
      <c r="N664" s="452"/>
      <c r="O664" s="452"/>
      <c r="P664" s="452"/>
    </row>
    <row r="665" spans="2:16" ht="12.9" hidden="1" customHeight="1">
      <c r="B665" s="1289" t="str">
        <f>B602</f>
        <v># of Customers</v>
      </c>
      <c r="C665" s="1255">
        <f t="shared" ref="C665:D670" si="209">D408</f>
        <v>57</v>
      </c>
      <c r="D665" s="1255">
        <f t="shared" si="209"/>
        <v>57</v>
      </c>
      <c r="E665" s="454">
        <f>D665-C665</f>
        <v>0</v>
      </c>
      <c r="F665" s="462">
        <f>E665/C665</f>
        <v>0</v>
      </c>
      <c r="G665" s="452"/>
      <c r="H665" s="432"/>
      <c r="I665" s="432"/>
      <c r="J665" s="487"/>
      <c r="K665" s="475"/>
      <c r="L665" s="468"/>
      <c r="M665" s="452"/>
      <c r="N665" s="452"/>
      <c r="O665" s="452"/>
      <c r="P665" s="452"/>
    </row>
    <row r="666" spans="2:16" ht="12.9" hidden="1" customHeight="1">
      <c r="B666" s="1289" t="str">
        <f>B603</f>
        <v>kWh - actual</v>
      </c>
      <c r="C666" s="1255">
        <f t="shared" si="209"/>
        <v>539097</v>
      </c>
      <c r="D666" s="1255">
        <f t="shared" si="209"/>
        <v>541637</v>
      </c>
      <c r="E666" s="454">
        <f>D666-C666</f>
        <v>2540</v>
      </c>
      <c r="F666" s="462">
        <f>E666/C666</f>
        <v>4.7115825166899467E-3</v>
      </c>
      <c r="G666" s="452"/>
      <c r="H666" s="488"/>
      <c r="I666" s="489"/>
      <c r="J666" s="489"/>
      <c r="K666" s="490"/>
      <c r="L666" s="471"/>
      <c r="M666" s="489"/>
      <c r="N666" s="452"/>
      <c r="O666" s="452"/>
      <c r="P666" s="452"/>
    </row>
    <row r="667" spans="2:16" ht="12.9" hidden="1" customHeight="1">
      <c r="B667" s="1289" t="str">
        <f>B604</f>
        <v>kWh - weather normalized</v>
      </c>
      <c r="C667" s="1255">
        <f t="shared" si="209"/>
        <v>539097</v>
      </c>
      <c r="D667" s="1255">
        <f t="shared" si="209"/>
        <v>541637</v>
      </c>
      <c r="E667" s="454">
        <f>D667-C667</f>
        <v>2540</v>
      </c>
      <c r="F667" s="462">
        <f>E667/C667</f>
        <v>4.7115825166899467E-3</v>
      </c>
      <c r="G667" s="452"/>
      <c r="J667" s="472"/>
      <c r="K667" s="477"/>
      <c r="L667" s="459"/>
      <c r="M667" s="594"/>
      <c r="N667" s="452"/>
      <c r="O667" s="452"/>
      <c r="P667" s="452"/>
    </row>
    <row r="668" spans="2:16" ht="12.9" hidden="1" customHeight="1">
      <c r="B668" s="1289" t="e">
        <f>#REF!</f>
        <v>#REF!</v>
      </c>
      <c r="C668" s="1255">
        <f t="shared" si="209"/>
        <v>9457.8421052631584</v>
      </c>
      <c r="D668" s="1255">
        <f t="shared" si="209"/>
        <v>9502.4035087719294</v>
      </c>
      <c r="E668" s="454">
        <f>D668-C668</f>
        <v>44.561403508771036</v>
      </c>
      <c r="F668" s="462">
        <f>E668/C668</f>
        <v>4.7115825166898512E-3</v>
      </c>
      <c r="G668" s="452"/>
      <c r="K668" s="473"/>
      <c r="L668" s="450"/>
      <c r="M668" s="482"/>
      <c r="N668" s="452"/>
      <c r="O668" s="452"/>
      <c r="P668" s="452"/>
    </row>
    <row r="669" spans="2:16" ht="12.9" hidden="1" customHeight="1">
      <c r="B669" s="1289" t="e">
        <f>#REF!</f>
        <v>#REF!</v>
      </c>
      <c r="C669" s="1255">
        <f t="shared" si="209"/>
        <v>9457.8421052631584</v>
      </c>
      <c r="D669" s="1255">
        <f t="shared" si="209"/>
        <v>9502.4035087719294</v>
      </c>
      <c r="E669" s="454">
        <f t="shared" ref="E669:E670" si="210">D669-C669</f>
        <v>44.561403508771036</v>
      </c>
      <c r="F669" s="462">
        <f t="shared" ref="F669:F670" si="211">E669/C669</f>
        <v>4.7115825166898512E-3</v>
      </c>
      <c r="G669" s="452"/>
      <c r="K669" s="473"/>
      <c r="L669" s="450"/>
      <c r="M669" s="483"/>
      <c r="N669" s="452"/>
      <c r="O669" s="452"/>
      <c r="P669" s="452"/>
    </row>
    <row r="670" spans="2:16" ht="12.9" hidden="1" customHeight="1">
      <c r="B670" s="1295" t="e">
        <f>#REF!</f>
        <v>#REF!</v>
      </c>
      <c r="C670" s="1255">
        <f t="shared" si="209"/>
        <v>12978.57</v>
      </c>
      <c r="D670" s="1255">
        <f t="shared" si="209"/>
        <v>13086.92</v>
      </c>
      <c r="E670" s="461">
        <f t="shared" si="210"/>
        <v>108.35000000000036</v>
      </c>
      <c r="F670" s="463">
        <f t="shared" si="211"/>
        <v>8.348377363607884E-3</v>
      </c>
      <c r="G670" s="452"/>
      <c r="K670" s="473"/>
      <c r="L670" s="452"/>
      <c r="M670" s="482"/>
      <c r="N670" s="452"/>
      <c r="O670" s="452"/>
      <c r="P670" s="452"/>
    </row>
    <row r="671" spans="2:16" ht="12.9" hidden="1" customHeight="1">
      <c r="B671" s="1296">
        <f t="shared" ref="B671:B677" si="212">B605</f>
        <v>0</v>
      </c>
      <c r="C671" s="1263"/>
      <c r="D671" s="1263"/>
      <c r="E671" s="1260"/>
      <c r="F671" s="1261"/>
      <c r="G671" s="452"/>
      <c r="H671" s="452"/>
      <c r="I671" s="452"/>
      <c r="K671" s="473"/>
      <c r="L671" s="484"/>
      <c r="M671" s="485"/>
      <c r="N671" s="452"/>
      <c r="O671" s="452"/>
      <c r="P671" s="452"/>
    </row>
    <row r="672" spans="2:16" ht="12.9" hidden="1" customHeight="1">
      <c r="B672" s="1293" t="str">
        <f t="shared" si="212"/>
        <v>Total</v>
      </c>
      <c r="C672" s="1256"/>
      <c r="D672" s="1256"/>
      <c r="E672" s="459"/>
      <c r="F672" s="464"/>
      <c r="G672" s="452"/>
      <c r="H672" s="452"/>
      <c r="I672" s="452"/>
      <c r="K672" s="473"/>
      <c r="L672" s="485"/>
      <c r="M672" s="485"/>
      <c r="N672" s="452"/>
      <c r="O672" s="452"/>
      <c r="P672" s="452"/>
    </row>
    <row r="673" spans="2:16" ht="12.9" hidden="1" customHeight="1">
      <c r="B673" s="1294" t="str">
        <f t="shared" si="212"/>
        <v># of Customers</v>
      </c>
      <c r="C673" s="1255">
        <f t="shared" ref="C673:D675" si="213">C619+C627+C635+C645+C655+C665</f>
        <v>7732</v>
      </c>
      <c r="D673" s="1255">
        <f t="shared" si="213"/>
        <v>7749</v>
      </c>
      <c r="E673" s="454">
        <f>D673-C673</f>
        <v>17</v>
      </c>
      <c r="F673" s="462">
        <f>E673/C673</f>
        <v>2.1986549405069839E-3</v>
      </c>
      <c r="G673" s="452"/>
      <c r="H673" s="432"/>
      <c r="I673" s="432"/>
      <c r="J673" s="432"/>
      <c r="K673" s="473"/>
      <c r="L673" s="468"/>
      <c r="M673" s="452"/>
      <c r="N673" s="452"/>
      <c r="O673" s="452"/>
      <c r="P673" s="452"/>
    </row>
    <row r="674" spans="2:16" ht="12.9" hidden="1" customHeight="1">
      <c r="B674" s="1294" t="str">
        <f t="shared" si="212"/>
        <v>kWh - actual</v>
      </c>
      <c r="C674" s="1255">
        <f t="shared" si="213"/>
        <v>98838309.294999987</v>
      </c>
      <c r="D674" s="1255">
        <f t="shared" si="213"/>
        <v>101848630.358208</v>
      </c>
      <c r="E674" s="1258">
        <f>D674-C674</f>
        <v>3010321.0632080138</v>
      </c>
      <c r="F674" s="1264">
        <f>E674/C674</f>
        <v>3.0457027084742933E-2</v>
      </c>
      <c r="G674" s="452"/>
      <c r="H674" s="488"/>
      <c r="I674" s="489"/>
      <c r="J674" s="489"/>
      <c r="K674" s="490"/>
      <c r="L674" s="471"/>
      <c r="M674" s="489"/>
      <c r="N674" s="452"/>
      <c r="O674" s="452"/>
      <c r="P674" s="452"/>
    </row>
    <row r="675" spans="2:16" ht="12.9" hidden="1" customHeight="1">
      <c r="B675" s="1294" t="str">
        <f t="shared" si="212"/>
        <v>kWh - weather normalized</v>
      </c>
      <c r="C675" s="1255">
        <f t="shared" si="213"/>
        <v>101187749.39493698</v>
      </c>
      <c r="D675" s="1255">
        <f t="shared" si="213"/>
        <v>100043493.96177918</v>
      </c>
      <c r="E675" s="1258">
        <f t="shared" ref="E675:E678" si="214">D675-C675</f>
        <v>-1144255.4331578016</v>
      </c>
      <c r="F675" s="1264">
        <f t="shared" ref="F675:F678" si="215">E675/C675</f>
        <v>-1.1308240770251339E-2</v>
      </c>
      <c r="G675" s="452"/>
      <c r="H675" s="452"/>
      <c r="I675" s="452"/>
      <c r="J675" s="452"/>
      <c r="K675" s="474"/>
      <c r="L675" s="452"/>
      <c r="M675" s="452"/>
      <c r="N675" s="452"/>
      <c r="O675" s="452"/>
      <c r="P675" s="452"/>
    </row>
    <row r="676" spans="2:16" ht="12.9" hidden="1" customHeight="1">
      <c r="B676" s="1294" t="str">
        <f t="shared" si="212"/>
        <v>kW - actual</v>
      </c>
      <c r="C676" s="1255">
        <f>C638+C648+C658</f>
        <v>113924.51999999999</v>
      </c>
      <c r="D676" s="1255">
        <f>D638+D648+D658</f>
        <v>114702.1</v>
      </c>
      <c r="E676" s="1258">
        <f t="shared" si="214"/>
        <v>777.5800000000163</v>
      </c>
      <c r="F676" s="1264">
        <f t="shared" si="215"/>
        <v>6.8253963238117344E-3</v>
      </c>
      <c r="G676" s="452"/>
      <c r="H676" s="409"/>
      <c r="K676" s="465"/>
      <c r="L676" s="491"/>
      <c r="M676" s="452"/>
      <c r="N676" s="452"/>
      <c r="O676" s="452"/>
      <c r="P676" s="452"/>
    </row>
    <row r="677" spans="2:16" ht="12.9" hidden="1" customHeight="1">
      <c r="B677" s="1294" t="str">
        <f t="shared" si="212"/>
        <v>kW - weather normalized</v>
      </c>
      <c r="C677" s="1255">
        <f>C639+C649+C659</f>
        <v>115560.91506161302</v>
      </c>
      <c r="D677" s="1255">
        <f>D639+D649+D659</f>
        <v>113487.66924279371</v>
      </c>
      <c r="E677" s="1258">
        <f t="shared" si="214"/>
        <v>-2073.2458188193123</v>
      </c>
      <c r="F677" s="1264">
        <f t="shared" si="215"/>
        <v>-1.7940718258538629E-2</v>
      </c>
      <c r="G677" s="452"/>
      <c r="K677" s="465"/>
      <c r="L677" s="478"/>
      <c r="M677" s="452"/>
      <c r="N677" s="452"/>
      <c r="O677" s="452"/>
      <c r="P677" s="452"/>
    </row>
    <row r="678" spans="2:16" ht="13.95" hidden="1" customHeight="1" thickBot="1">
      <c r="B678" s="1297" t="e">
        <f>#REF!</f>
        <v>#REF!</v>
      </c>
      <c r="C678" s="1259">
        <f>C624+C632+C642+C652+C662+C670</f>
        <v>2417202.67</v>
      </c>
      <c r="D678" s="1259">
        <f>D624+D632+D642+D652+D662+D670</f>
        <v>2569409.4900000002</v>
      </c>
      <c r="E678" s="1247">
        <f t="shared" si="214"/>
        <v>152206.8200000003</v>
      </c>
      <c r="F678" s="1265">
        <f t="shared" si="215"/>
        <v>6.2968166421891431E-2</v>
      </c>
      <c r="G678" s="452"/>
      <c r="H678" s="452"/>
      <c r="K678" s="473"/>
      <c r="L678" s="479"/>
      <c r="M678" s="452"/>
      <c r="N678" s="452"/>
      <c r="O678" s="452"/>
      <c r="P678" s="452"/>
    </row>
    <row r="679" spans="2:16" ht="12.9" hidden="1" customHeight="1" thickTop="1">
      <c r="B679" s="1290"/>
      <c r="C679" s="454"/>
      <c r="D679" s="454"/>
      <c r="E679" s="454"/>
      <c r="F679" s="462"/>
      <c r="G679" s="452"/>
      <c r="K679" s="465"/>
      <c r="L679" s="450"/>
      <c r="M679" s="452"/>
      <c r="N679" s="452"/>
      <c r="O679" s="452"/>
      <c r="P679" s="452"/>
    </row>
    <row r="680" spans="2:16" ht="12.9" hidden="1" customHeight="1">
      <c r="B680" s="1298"/>
      <c r="C680" s="452"/>
      <c r="D680" s="452"/>
      <c r="E680" s="452"/>
      <c r="F680" s="452"/>
      <c r="G680" s="452"/>
      <c r="K680" s="473"/>
      <c r="L680" s="450"/>
      <c r="M680" s="483"/>
      <c r="N680" s="452"/>
      <c r="O680" s="452"/>
      <c r="P680" s="452"/>
    </row>
    <row r="681" spans="2:16" ht="12.9" hidden="1" customHeight="1">
      <c r="B681" s="1299" t="s">
        <v>565</v>
      </c>
      <c r="C681" s="452"/>
      <c r="D681" s="452"/>
      <c r="E681" s="452"/>
      <c r="F681" s="452"/>
      <c r="G681" s="452"/>
      <c r="K681" s="473"/>
      <c r="L681" s="452"/>
      <c r="M681" s="482"/>
      <c r="N681" s="452"/>
      <c r="O681" s="452"/>
      <c r="P681" s="452"/>
    </row>
    <row r="682" spans="2:16" ht="12.9" hidden="1" customHeight="1" thickBot="1">
      <c r="B682" s="1298"/>
      <c r="C682" s="452"/>
      <c r="D682" s="452"/>
      <c r="E682" s="452"/>
      <c r="F682" s="452"/>
      <c r="G682" s="452"/>
      <c r="H682" s="452"/>
      <c r="I682" s="452"/>
      <c r="K682" s="473"/>
      <c r="L682" s="484"/>
      <c r="M682" s="484"/>
      <c r="N682" s="452"/>
      <c r="O682" s="452"/>
      <c r="P682" s="452"/>
    </row>
    <row r="683" spans="2:16" ht="12.9" hidden="1" customHeight="1" thickTop="1">
      <c r="B683" s="719"/>
      <c r="C683" s="722" t="s">
        <v>553</v>
      </c>
      <c r="D683" s="722" t="s">
        <v>532</v>
      </c>
      <c r="E683" s="1824" t="s">
        <v>142</v>
      </c>
      <c r="F683" s="1825" t="e">
        <f>#REF!</f>
        <v>#REF!</v>
      </c>
      <c r="G683" s="452"/>
      <c r="H683" s="452"/>
      <c r="I683" s="452"/>
      <c r="K683" s="473"/>
      <c r="L683" s="485"/>
      <c r="M683" s="485"/>
      <c r="N683" s="452"/>
      <c r="O683" s="452"/>
      <c r="P683" s="452"/>
    </row>
    <row r="684" spans="2:16" ht="12.9" hidden="1" customHeight="1">
      <c r="B684" s="589"/>
      <c r="C684" s="720"/>
      <c r="D684" s="720"/>
      <c r="E684" s="720"/>
      <c r="F684" s="721" t="s">
        <v>141</v>
      </c>
      <c r="G684" s="452"/>
      <c r="H684" s="432"/>
      <c r="I684" s="432"/>
      <c r="J684" s="487"/>
      <c r="K684" s="475"/>
      <c r="L684" s="468"/>
      <c r="M684" s="452"/>
      <c r="N684" s="452"/>
      <c r="O684" s="452"/>
      <c r="P684" s="452"/>
    </row>
    <row r="685" spans="2:16" ht="12.9" hidden="1" customHeight="1">
      <c r="B685" s="1290" t="str">
        <f t="shared" ref="B685:B691" si="216">B618</f>
        <v xml:space="preserve">Residential </v>
      </c>
      <c r="C685" s="453"/>
      <c r="D685" s="453"/>
      <c r="E685" s="453"/>
      <c r="F685" s="458"/>
      <c r="G685" s="452"/>
      <c r="H685" s="488"/>
      <c r="I685" s="489"/>
      <c r="J685" s="489"/>
      <c r="K685" s="490"/>
      <c r="L685" s="471"/>
      <c r="M685" s="489"/>
      <c r="N685" s="452"/>
      <c r="O685" s="452"/>
      <c r="P685" s="452"/>
    </row>
    <row r="686" spans="2:16" ht="12.9" hidden="1" customHeight="1">
      <c r="B686" s="1291" t="str">
        <f t="shared" si="216"/>
        <v># of Customers</v>
      </c>
      <c r="C686" s="454">
        <f t="shared" ref="C686:D691" si="217">E335</f>
        <v>5105</v>
      </c>
      <c r="D686" s="454">
        <f t="shared" si="217"/>
        <v>5113</v>
      </c>
      <c r="E686" s="454">
        <f>D686-C686</f>
        <v>8</v>
      </c>
      <c r="F686" s="462">
        <f>E686/C686</f>
        <v>1.5670910871694416E-3</v>
      </c>
      <c r="G686" s="472"/>
      <c r="K686" s="473"/>
      <c r="L686" s="454"/>
      <c r="M686" s="452"/>
      <c r="N686" s="452"/>
      <c r="O686" s="452"/>
      <c r="P686" s="452"/>
    </row>
    <row r="687" spans="2:16" ht="12.9" hidden="1" customHeight="1">
      <c r="B687" s="1291" t="str">
        <f t="shared" si="216"/>
        <v>kWh - actual</v>
      </c>
      <c r="C687" s="454">
        <f t="shared" si="217"/>
        <v>42538788.821000002</v>
      </c>
      <c r="D687" s="454">
        <f t="shared" si="217"/>
        <v>42182601</v>
      </c>
      <c r="E687" s="454">
        <f t="shared" ref="E687:E691" si="218">D687-C687</f>
        <v>-356187.82100000232</v>
      </c>
      <c r="F687" s="462">
        <f t="shared" ref="F687:F691" si="219">E687/C687</f>
        <v>-8.3732478256213095E-3</v>
      </c>
      <c r="G687" s="452"/>
      <c r="K687" s="473"/>
      <c r="L687" s="450"/>
      <c r="M687" s="482"/>
      <c r="N687" s="452"/>
      <c r="O687" s="452"/>
      <c r="P687" s="452"/>
    </row>
    <row r="688" spans="2:16" ht="12.9" hidden="1" customHeight="1">
      <c r="B688" s="1291" t="str">
        <f t="shared" si="216"/>
        <v>kWh - weather normalized</v>
      </c>
      <c r="C688" s="454">
        <f t="shared" si="217"/>
        <v>41591625.67292235</v>
      </c>
      <c r="D688" s="454">
        <f t="shared" si="217"/>
        <v>41268647.042907096</v>
      </c>
      <c r="E688" s="454">
        <f t="shared" si="218"/>
        <v>-322978.63001525402</v>
      </c>
      <c r="F688" s="462">
        <f t="shared" si="219"/>
        <v>-7.7654726111252908E-3</v>
      </c>
      <c r="G688" s="452"/>
      <c r="K688" s="473"/>
      <c r="L688" s="450"/>
      <c r="M688" s="483"/>
      <c r="N688" s="452"/>
      <c r="O688" s="452"/>
      <c r="P688" s="452"/>
    </row>
    <row r="689" spans="2:16" ht="12.9" hidden="1" customHeight="1">
      <c r="B689" s="1291" t="e">
        <f t="shared" si="216"/>
        <v>#REF!</v>
      </c>
      <c r="C689" s="454">
        <f t="shared" si="217"/>
        <v>8332.7696025465229</v>
      </c>
      <c r="D689" s="454">
        <f t="shared" si="217"/>
        <v>8250.0686485429305</v>
      </c>
      <c r="E689" s="454">
        <f t="shared" si="218"/>
        <v>-82.700954003592415</v>
      </c>
      <c r="F689" s="462">
        <f t="shared" si="219"/>
        <v>-9.9247858693127331E-3</v>
      </c>
      <c r="G689" s="452"/>
      <c r="K689" s="473"/>
      <c r="L689" s="452"/>
      <c r="M689" s="482"/>
      <c r="N689" s="452"/>
      <c r="O689" s="452"/>
      <c r="P689" s="452"/>
    </row>
    <row r="690" spans="2:16" ht="12.9" hidden="1" customHeight="1">
      <c r="B690" s="1291" t="e">
        <f t="shared" si="216"/>
        <v>#REF!</v>
      </c>
      <c r="C690" s="454">
        <f t="shared" si="217"/>
        <v>8147.2332366155433</v>
      </c>
      <c r="D690" s="454">
        <f t="shared" si="217"/>
        <v>8071.31763014025</v>
      </c>
      <c r="E690" s="454">
        <f t="shared" si="218"/>
        <v>-75.915606475293316</v>
      </c>
      <c r="F690" s="462">
        <f t="shared" si="219"/>
        <v>-9.3179616037148763E-3</v>
      </c>
      <c r="G690" s="452"/>
      <c r="H690" s="452"/>
      <c r="I690" s="452"/>
      <c r="K690" s="473"/>
      <c r="L690" s="484"/>
      <c r="M690" s="484"/>
      <c r="N690" s="452"/>
      <c r="O690" s="452"/>
      <c r="P690" s="452"/>
    </row>
    <row r="691" spans="2:16" ht="12.9" hidden="1" customHeight="1">
      <c r="B691" s="1292" t="e">
        <f t="shared" si="216"/>
        <v>#REF!</v>
      </c>
      <c r="C691" s="454">
        <f t="shared" si="217"/>
        <v>1500817.69</v>
      </c>
      <c r="D691" s="454">
        <f t="shared" si="217"/>
        <v>1609147.7399999998</v>
      </c>
      <c r="E691" s="455">
        <f t="shared" si="218"/>
        <v>108330.04999999981</v>
      </c>
      <c r="F691" s="1248">
        <f t="shared" si="219"/>
        <v>7.2180685716730739E-2</v>
      </c>
      <c r="G691" s="452"/>
      <c r="H691" s="452"/>
      <c r="I691" s="452"/>
      <c r="K691" s="473"/>
      <c r="L691" s="485"/>
      <c r="M691" s="485"/>
      <c r="N691" s="452"/>
      <c r="O691" s="452"/>
      <c r="P691" s="452"/>
    </row>
    <row r="692" spans="2:16" ht="12.9" hidden="1" customHeight="1">
      <c r="B692" s="1266"/>
      <c r="C692" s="1262"/>
      <c r="D692" s="1262"/>
      <c r="E692" s="1260"/>
      <c r="F692" s="1261"/>
      <c r="G692" s="452"/>
      <c r="H692" s="432"/>
      <c r="I692" s="432"/>
      <c r="J692" s="487"/>
      <c r="K692" s="475"/>
      <c r="L692" s="468"/>
      <c r="M692" s="452"/>
      <c r="N692" s="452"/>
      <c r="O692" s="452"/>
      <c r="P692" s="452"/>
    </row>
    <row r="693" spans="2:16" ht="12.9" hidden="1" customHeight="1">
      <c r="B693" s="1293" t="str">
        <f t="shared" ref="B693:B729" si="220">B626</f>
        <v>General Service &lt; 50 kW</v>
      </c>
      <c r="C693" s="459"/>
      <c r="D693" s="459"/>
      <c r="E693" s="459"/>
      <c r="F693" s="464"/>
      <c r="G693" s="452"/>
      <c r="H693" s="488"/>
      <c r="I693" s="489"/>
      <c r="J693" s="489"/>
      <c r="K693" s="490"/>
      <c r="L693" s="471"/>
      <c r="M693" s="489"/>
      <c r="N693" s="452"/>
      <c r="O693" s="452"/>
      <c r="P693" s="452"/>
    </row>
    <row r="694" spans="2:16" ht="12.9" hidden="1" customHeight="1">
      <c r="B694" s="1294" t="str">
        <f t="shared" si="220"/>
        <v># of Customers</v>
      </c>
      <c r="C694" s="454">
        <f t="shared" ref="C694:D699" si="221">E347</f>
        <v>739</v>
      </c>
      <c r="D694" s="454">
        <f t="shared" si="221"/>
        <v>735</v>
      </c>
      <c r="E694" s="454">
        <f>D694-C694</f>
        <v>-4</v>
      </c>
      <c r="F694" s="462">
        <f>E694/C694</f>
        <v>-5.4127198917456026E-3</v>
      </c>
      <c r="G694" s="452"/>
      <c r="H694" s="452"/>
      <c r="I694" s="452"/>
      <c r="J694" s="452"/>
      <c r="K694" s="474"/>
      <c r="L694" s="452"/>
      <c r="M694" s="452"/>
      <c r="N694" s="452"/>
      <c r="O694" s="452"/>
      <c r="P694" s="452"/>
    </row>
    <row r="695" spans="2:16" ht="12.9" hidden="1" customHeight="1">
      <c r="B695" s="1294" t="str">
        <f t="shared" si="220"/>
        <v>kWh - actual</v>
      </c>
      <c r="C695" s="454">
        <f t="shared" si="221"/>
        <v>20252448.662</v>
      </c>
      <c r="D695" s="454">
        <f t="shared" si="221"/>
        <v>19700297</v>
      </c>
      <c r="E695" s="454">
        <f t="shared" ref="E695:E699" si="222">D695-C695</f>
        <v>-552151.66200000048</v>
      </c>
      <c r="F695" s="462">
        <f t="shared" ref="F695:F699" si="223">E695/C695</f>
        <v>-2.7263452001041813E-2</v>
      </c>
      <c r="G695" s="452"/>
      <c r="H695" s="409"/>
      <c r="K695" s="465"/>
      <c r="L695" s="491"/>
      <c r="M695" s="452"/>
      <c r="N695" s="452"/>
      <c r="O695" s="452"/>
      <c r="P695" s="452"/>
    </row>
    <row r="696" spans="2:16" ht="12.9" hidden="1" customHeight="1">
      <c r="B696" s="1294" t="str">
        <f t="shared" si="220"/>
        <v>kWh - weather normalized</v>
      </c>
      <c r="C696" s="454">
        <f t="shared" si="221"/>
        <v>19801510.269943308</v>
      </c>
      <c r="D696" s="454">
        <f t="shared" si="221"/>
        <v>19273458.351547394</v>
      </c>
      <c r="E696" s="454">
        <f t="shared" si="222"/>
        <v>-528051.91839591414</v>
      </c>
      <c r="F696" s="462">
        <f t="shared" si="223"/>
        <v>-2.6667254729425542E-2</v>
      </c>
      <c r="G696" s="452"/>
      <c r="K696" s="465"/>
      <c r="L696" s="478"/>
      <c r="M696" s="452"/>
      <c r="N696" s="452"/>
      <c r="O696" s="452"/>
      <c r="P696" s="452"/>
    </row>
    <row r="697" spans="2:16" ht="12.9" hidden="1" customHeight="1">
      <c r="B697" s="1291" t="e">
        <f t="shared" si="220"/>
        <v>#REF!</v>
      </c>
      <c r="C697" s="454">
        <f t="shared" si="221"/>
        <v>27405.207932341003</v>
      </c>
      <c r="D697" s="454">
        <f t="shared" si="221"/>
        <v>26803.125170068026</v>
      </c>
      <c r="E697" s="454">
        <f t="shared" si="222"/>
        <v>-602.08276227297756</v>
      </c>
      <c r="F697" s="462">
        <f t="shared" si="223"/>
        <v>-2.1969647658190438E-2</v>
      </c>
      <c r="G697" s="452"/>
      <c r="K697" s="473"/>
      <c r="L697" s="479"/>
      <c r="M697" s="452"/>
      <c r="N697" s="452"/>
      <c r="O697" s="452"/>
      <c r="P697" s="452"/>
    </row>
    <row r="698" spans="2:16" ht="12.9" hidden="1" customHeight="1">
      <c r="B698" s="1291" t="e">
        <f t="shared" si="220"/>
        <v>#REF!</v>
      </c>
      <c r="C698" s="454">
        <f t="shared" si="221"/>
        <v>26795.007131181745</v>
      </c>
      <c r="D698" s="454">
        <f t="shared" si="221"/>
        <v>26222.392315030469</v>
      </c>
      <c r="E698" s="454">
        <f t="shared" si="222"/>
        <v>-572.61481615127559</v>
      </c>
      <c r="F698" s="462">
        <f t="shared" si="223"/>
        <v>-2.1370205775572096E-2</v>
      </c>
      <c r="G698" s="452"/>
      <c r="H698" s="451"/>
      <c r="I698" s="451"/>
      <c r="J698" s="451"/>
      <c r="K698" s="465"/>
      <c r="L698" s="450"/>
      <c r="M698" s="452"/>
      <c r="N698" s="452"/>
      <c r="O698" s="452"/>
      <c r="P698" s="452"/>
    </row>
    <row r="699" spans="2:16" ht="12.9" hidden="1" customHeight="1">
      <c r="B699" s="1295" t="e">
        <f t="shared" si="220"/>
        <v>#REF!</v>
      </c>
      <c r="C699" s="454">
        <f t="shared" si="221"/>
        <v>495354.92000000004</v>
      </c>
      <c r="D699" s="454">
        <f t="shared" si="221"/>
        <v>503343.12</v>
      </c>
      <c r="E699" s="455">
        <f t="shared" si="222"/>
        <v>7988.1999999999534</v>
      </c>
      <c r="F699" s="1248">
        <f t="shared" si="223"/>
        <v>1.612621511864655E-2</v>
      </c>
      <c r="G699" s="452"/>
      <c r="H699" s="451"/>
      <c r="I699" s="451"/>
      <c r="J699" s="450"/>
      <c r="K699" s="465"/>
      <c r="L699" s="451"/>
      <c r="M699" s="452"/>
      <c r="N699" s="452"/>
      <c r="O699" s="452"/>
      <c r="P699" s="452"/>
    </row>
    <row r="700" spans="2:16" ht="12.9" hidden="1" customHeight="1">
      <c r="B700" s="1266"/>
      <c r="C700" s="1262"/>
      <c r="D700" s="1262"/>
      <c r="E700" s="1260"/>
      <c r="F700" s="1261"/>
      <c r="G700" s="452"/>
      <c r="H700" s="451"/>
      <c r="I700" s="451"/>
      <c r="J700" s="450"/>
      <c r="K700" s="465"/>
      <c r="L700" s="451"/>
      <c r="M700" s="452"/>
      <c r="N700" s="452"/>
      <c r="O700" s="452"/>
      <c r="P700" s="452"/>
    </row>
    <row r="701" spans="2:16" ht="12.9" hidden="1" customHeight="1">
      <c r="B701" s="1293" t="str">
        <f t="shared" si="220"/>
        <v>General Service 50 to 4,999 kW</v>
      </c>
      <c r="C701" s="459"/>
      <c r="D701" s="459"/>
      <c r="E701" s="459"/>
      <c r="F701" s="464"/>
      <c r="G701" s="452"/>
      <c r="H701" s="451"/>
      <c r="I701" s="451"/>
      <c r="J701" s="450"/>
      <c r="K701" s="476"/>
      <c r="L701" s="468"/>
      <c r="M701" s="452"/>
      <c r="N701" s="452"/>
      <c r="O701" s="452"/>
      <c r="P701" s="452"/>
    </row>
    <row r="702" spans="2:16" ht="12.9" hidden="1" customHeight="1">
      <c r="B702" s="1291" t="str">
        <f t="shared" si="220"/>
        <v># of Customers</v>
      </c>
      <c r="C702" s="454">
        <f t="shared" ref="C702:D709" si="224">E359</f>
        <v>65</v>
      </c>
      <c r="D702" s="454">
        <f t="shared" si="224"/>
        <v>62</v>
      </c>
      <c r="E702" s="454">
        <f>D702-C702</f>
        <v>-3</v>
      </c>
      <c r="F702" s="462">
        <f>E702/C702</f>
        <v>-4.6153846153846156E-2</v>
      </c>
      <c r="G702" s="452"/>
      <c r="H702" s="451"/>
      <c r="I702" s="451"/>
      <c r="J702" s="450"/>
      <c r="K702" s="493"/>
      <c r="L702" s="476"/>
      <c r="M702" s="492"/>
      <c r="N702" s="492"/>
      <c r="O702" s="492"/>
      <c r="P702" s="452"/>
    </row>
    <row r="703" spans="2:16" ht="12.9" hidden="1" customHeight="1">
      <c r="B703" s="1291" t="str">
        <f t="shared" si="220"/>
        <v>kWh - actual</v>
      </c>
      <c r="C703" s="454">
        <f t="shared" si="224"/>
        <v>37703866.302273989</v>
      </c>
      <c r="D703" s="454">
        <f t="shared" si="224"/>
        <v>37004001</v>
      </c>
      <c r="E703" s="454">
        <f>D703-C703</f>
        <v>-699865.30227398872</v>
      </c>
      <c r="F703" s="462">
        <f>E703/C703</f>
        <v>-1.8562162741166378E-2</v>
      </c>
      <c r="G703" s="452"/>
      <c r="H703" s="451"/>
      <c r="I703" s="451"/>
      <c r="J703" s="450"/>
      <c r="K703" s="492"/>
      <c r="L703" s="492"/>
      <c r="M703" s="492"/>
      <c r="N703" s="492"/>
      <c r="O703" s="492"/>
      <c r="P703" s="452"/>
    </row>
    <row r="704" spans="2:16" ht="12.9" hidden="1" customHeight="1">
      <c r="B704" s="1291" t="str">
        <f t="shared" si="220"/>
        <v>kWh - weather normalized</v>
      </c>
      <c r="C704" s="454">
        <f t="shared" si="224"/>
        <v>37296831.445979528</v>
      </c>
      <c r="D704" s="454">
        <f t="shared" si="224"/>
        <v>36615273.120496981</v>
      </c>
      <c r="E704" s="454">
        <f>D704-C704</f>
        <v>-681558.32548254728</v>
      </c>
      <c r="F704" s="462">
        <f>E704/C704</f>
        <v>-1.8273893493330973E-2</v>
      </c>
      <c r="G704" s="452"/>
      <c r="H704" s="451"/>
      <c r="I704" s="451"/>
      <c r="J704" s="450"/>
      <c r="K704" s="495"/>
      <c r="L704" s="476"/>
      <c r="M704" s="492"/>
      <c r="N704" s="492"/>
      <c r="O704" s="492"/>
      <c r="P704" s="452"/>
    </row>
    <row r="705" spans="2:16" ht="12.9" hidden="1" customHeight="1">
      <c r="B705" s="1291" t="str">
        <f t="shared" si="220"/>
        <v>kW - actual</v>
      </c>
      <c r="C705" s="454">
        <f t="shared" si="224"/>
        <v>112493.40000000001</v>
      </c>
      <c r="D705" s="454">
        <f t="shared" si="224"/>
        <v>109763.6</v>
      </c>
      <c r="E705" s="454">
        <f>D705-C705</f>
        <v>-2729.8000000000029</v>
      </c>
      <c r="F705" s="462">
        <f>E705/C705</f>
        <v>-2.4266312512556315E-2</v>
      </c>
      <c r="G705" s="452"/>
      <c r="H705" s="451"/>
      <c r="I705" s="451"/>
      <c r="J705" s="450"/>
      <c r="K705" s="493"/>
      <c r="L705" s="496"/>
      <c r="M705" s="492"/>
      <c r="N705" s="492"/>
      <c r="O705" s="492"/>
      <c r="P705" s="452"/>
    </row>
    <row r="706" spans="2:16" ht="12.9" hidden="1" customHeight="1">
      <c r="B706" s="1291" t="str">
        <f t="shared" si="220"/>
        <v>kW - weather normalized</v>
      </c>
      <c r="C706" s="454">
        <f t="shared" si="224"/>
        <v>111278.96924279371</v>
      </c>
      <c r="D706" s="454">
        <f t="shared" si="224"/>
        <v>108610.53086364857</v>
      </c>
      <c r="E706" s="454">
        <f t="shared" ref="E706:E709" si="225">D706-C706</f>
        <v>-2668.4383791451401</v>
      </c>
      <c r="F706" s="462">
        <f t="shared" ref="F706:F709" si="226">E706/C706</f>
        <v>-2.3979718695300054E-2</v>
      </c>
      <c r="G706" s="452"/>
      <c r="H706" s="451"/>
      <c r="I706" s="451"/>
      <c r="J706" s="450"/>
      <c r="K706" s="493"/>
      <c r="L706" s="496"/>
      <c r="M706" s="492"/>
      <c r="N706" s="492"/>
      <c r="O706" s="492"/>
      <c r="P706" s="452"/>
    </row>
    <row r="707" spans="2:16" ht="12.9" hidden="1" customHeight="1">
      <c r="B707" s="1291" t="e">
        <f t="shared" si="220"/>
        <v>#REF!</v>
      </c>
      <c r="C707" s="454">
        <f t="shared" si="224"/>
        <v>1730.6676923076925</v>
      </c>
      <c r="D707" s="454">
        <f t="shared" si="224"/>
        <v>1770.3806451612904</v>
      </c>
      <c r="E707" s="454">
        <f t="shared" si="225"/>
        <v>39.712952853597926</v>
      </c>
      <c r="F707" s="462">
        <f t="shared" si="226"/>
        <v>2.2946607849739318E-2</v>
      </c>
      <c r="G707" s="452"/>
      <c r="H707" s="451"/>
      <c r="I707" s="451"/>
      <c r="J707" s="450"/>
      <c r="K707" s="787"/>
      <c r="L707" s="496"/>
      <c r="M707" s="492"/>
      <c r="N707" s="492"/>
      <c r="O707" s="492"/>
      <c r="P707" s="452"/>
    </row>
    <row r="708" spans="2:16" ht="12.9" hidden="1" customHeight="1">
      <c r="B708" s="1291" t="e">
        <f t="shared" si="220"/>
        <v>#REF!</v>
      </c>
      <c r="C708" s="454">
        <f t="shared" si="224"/>
        <v>1711.9841421968263</v>
      </c>
      <c r="D708" s="454">
        <f t="shared" si="224"/>
        <v>1751.7827558652996</v>
      </c>
      <c r="E708" s="454">
        <f t="shared" si="225"/>
        <v>39.798613668473308</v>
      </c>
      <c r="F708" s="462">
        <f t="shared" si="226"/>
        <v>2.3247069109766132E-2</v>
      </c>
      <c r="G708" s="452"/>
      <c r="H708" s="451"/>
      <c r="I708" s="451"/>
      <c r="J708" s="450"/>
      <c r="K708" s="495"/>
      <c r="L708" s="497"/>
      <c r="M708" s="492"/>
      <c r="N708" s="492"/>
      <c r="O708" s="492"/>
      <c r="P708" s="452"/>
    </row>
    <row r="709" spans="2:16" ht="12.9" hidden="1" customHeight="1">
      <c r="B709" s="1292" t="e">
        <f t="shared" si="220"/>
        <v>#REF!</v>
      </c>
      <c r="C709" s="454">
        <f t="shared" si="224"/>
        <v>425839.14</v>
      </c>
      <c r="D709" s="454">
        <f t="shared" si="224"/>
        <v>456243.20999999996</v>
      </c>
      <c r="E709" s="455">
        <f t="shared" si="225"/>
        <v>30404.069999999949</v>
      </c>
      <c r="F709" s="1248">
        <f t="shared" si="226"/>
        <v>7.1398016631350397E-2</v>
      </c>
      <c r="G709" s="452"/>
      <c r="H709" s="451"/>
      <c r="I709" s="451"/>
      <c r="J709" s="450"/>
      <c r="K709" s="495"/>
      <c r="L709" s="497"/>
      <c r="M709" s="492"/>
      <c r="N709" s="492"/>
      <c r="O709" s="492"/>
      <c r="P709" s="452"/>
    </row>
    <row r="710" spans="2:16" ht="12.9" hidden="1" customHeight="1">
      <c r="B710" s="1266"/>
      <c r="C710" s="1262"/>
      <c r="D710" s="1262"/>
      <c r="E710" s="1260"/>
      <c r="F710" s="1261"/>
      <c r="G710" s="452"/>
      <c r="H710" s="451"/>
      <c r="I710" s="451"/>
      <c r="J710" s="450"/>
      <c r="K710" s="787"/>
      <c r="L710" s="476"/>
      <c r="M710" s="492"/>
      <c r="N710" s="492"/>
      <c r="O710" s="492"/>
      <c r="P710" s="452"/>
    </row>
    <row r="711" spans="2:16" ht="12.9" hidden="1" customHeight="1">
      <c r="B711" s="1293" t="str">
        <f t="shared" si="220"/>
        <v xml:space="preserve">Street Lights </v>
      </c>
      <c r="C711" s="459"/>
      <c r="D711" s="459"/>
      <c r="E711" s="459"/>
      <c r="F711" s="464"/>
      <c r="G711" s="452"/>
      <c r="K711" s="493"/>
      <c r="L711" s="476"/>
      <c r="M711" s="492"/>
      <c r="N711" s="492"/>
      <c r="O711" s="492"/>
      <c r="P711" s="452"/>
    </row>
    <row r="712" spans="2:16" ht="12.9" hidden="1" customHeight="1">
      <c r="B712" s="1289" t="str">
        <f t="shared" si="220"/>
        <v># of Customers</v>
      </c>
      <c r="C712" s="1249">
        <f t="shared" ref="C712:D719" si="227">E375</f>
        <v>1711</v>
      </c>
      <c r="D712" s="1249">
        <f t="shared" si="227"/>
        <v>1711</v>
      </c>
      <c r="E712" s="454">
        <f>D712-C712</f>
        <v>0</v>
      </c>
      <c r="F712" s="462">
        <f>E712/C712</f>
        <v>0</v>
      </c>
      <c r="G712" s="452"/>
      <c r="H712" s="492"/>
      <c r="I712" s="492"/>
      <c r="J712" s="492"/>
      <c r="K712" s="492"/>
      <c r="L712" s="492"/>
      <c r="M712" s="492"/>
      <c r="N712" s="492"/>
      <c r="O712" s="492"/>
      <c r="P712" s="452"/>
    </row>
    <row r="713" spans="2:16" ht="12.9" hidden="1" customHeight="1">
      <c r="B713" s="1291" t="str">
        <f t="shared" si="220"/>
        <v>kWh - actual</v>
      </c>
      <c r="C713" s="1249">
        <f t="shared" si="227"/>
        <v>714488.57293399889</v>
      </c>
      <c r="D713" s="1249">
        <f t="shared" si="227"/>
        <v>691963</v>
      </c>
      <c r="E713" s="454">
        <f t="shared" ref="E713:E719" si="228">D713-C713</f>
        <v>-22525.57293399889</v>
      </c>
      <c r="F713" s="462">
        <f t="shared" ref="F713:F719" si="229">E713/C713</f>
        <v>-3.1526848416202305E-2</v>
      </c>
      <c r="G713" s="452"/>
      <c r="H713" s="494"/>
      <c r="I713" s="432"/>
      <c r="J713" s="432"/>
      <c r="K713" s="495"/>
      <c r="L713" s="492"/>
      <c r="M713" s="492"/>
      <c r="N713" s="492"/>
      <c r="O713" s="492"/>
      <c r="P713" s="452"/>
    </row>
    <row r="714" spans="2:16" ht="12.9" hidden="1" customHeight="1">
      <c r="B714" s="1291" t="str">
        <f t="shared" si="220"/>
        <v>kWh - weather normalized</v>
      </c>
      <c r="C714" s="1249">
        <f t="shared" si="227"/>
        <v>714488.57293399889</v>
      </c>
      <c r="D714" s="1249">
        <f t="shared" si="227"/>
        <v>691963</v>
      </c>
      <c r="E714" s="454">
        <f t="shared" si="228"/>
        <v>-22525.57293399889</v>
      </c>
      <c r="F714" s="462">
        <f t="shared" si="229"/>
        <v>-3.1526848416202305E-2</v>
      </c>
      <c r="G714" s="452"/>
      <c r="H714" s="432"/>
      <c r="I714" s="432"/>
      <c r="J714" s="432"/>
      <c r="K714" s="493"/>
      <c r="L714" s="492"/>
      <c r="M714" s="492"/>
      <c r="N714" s="492"/>
      <c r="O714" s="492"/>
      <c r="P714" s="452"/>
    </row>
    <row r="715" spans="2:16" ht="12.9" hidden="1" customHeight="1">
      <c r="B715" s="1291" t="str">
        <f t="shared" si="220"/>
        <v>kW - actual</v>
      </c>
      <c r="C715" s="1249">
        <f t="shared" si="227"/>
        <v>1938.5</v>
      </c>
      <c r="D715" s="1249">
        <f t="shared" si="227"/>
        <v>1886.9</v>
      </c>
      <c r="E715" s="454">
        <f t="shared" si="228"/>
        <v>-51.599999999999909</v>
      </c>
      <c r="F715" s="462">
        <f t="shared" si="229"/>
        <v>-2.6618519473819918E-2</v>
      </c>
      <c r="G715" s="452"/>
      <c r="H715" s="432"/>
      <c r="I715" s="432"/>
      <c r="J715" s="432"/>
      <c r="K715" s="493"/>
      <c r="L715" s="492"/>
      <c r="M715" s="492"/>
      <c r="N715" s="492"/>
      <c r="O715" s="492"/>
      <c r="P715" s="452"/>
    </row>
    <row r="716" spans="2:16" ht="12.9" hidden="1" customHeight="1">
      <c r="B716" s="1291" t="str">
        <f t="shared" si="220"/>
        <v>kW - weather normalized</v>
      </c>
      <c r="C716" s="1249">
        <f t="shared" si="227"/>
        <v>1938.5</v>
      </c>
      <c r="D716" s="1249">
        <f t="shared" si="227"/>
        <v>1886.9</v>
      </c>
      <c r="E716" s="454">
        <f t="shared" si="228"/>
        <v>-51.599999999999909</v>
      </c>
      <c r="F716" s="462">
        <f t="shared" si="229"/>
        <v>-2.6618519473819918E-2</v>
      </c>
      <c r="G716" s="452"/>
      <c r="H716" s="432"/>
      <c r="I716" s="432"/>
      <c r="J716" s="432"/>
      <c r="K716" s="495"/>
      <c r="L716" s="492"/>
      <c r="M716" s="432"/>
      <c r="N716" s="432"/>
      <c r="O716" s="432"/>
    </row>
    <row r="717" spans="2:16" hidden="1">
      <c r="B717" s="1291" t="e">
        <f t="shared" si="220"/>
        <v>#REF!</v>
      </c>
      <c r="C717" s="1249">
        <f t="shared" si="227"/>
        <v>1.1329631794272355</v>
      </c>
      <c r="D717" s="1249">
        <f t="shared" si="227"/>
        <v>1.1028053769725308</v>
      </c>
      <c r="E717" s="454">
        <f t="shared" si="228"/>
        <v>-3.0157802454704674E-2</v>
      </c>
      <c r="F717" s="462">
        <f t="shared" si="229"/>
        <v>-2.661851947381981E-2</v>
      </c>
    </row>
    <row r="718" spans="2:16" hidden="1">
      <c r="B718" s="1291" t="e">
        <f t="shared" si="220"/>
        <v>#REF!</v>
      </c>
      <c r="C718" s="1249">
        <f t="shared" si="227"/>
        <v>1.1329631794272355</v>
      </c>
      <c r="D718" s="1249">
        <f t="shared" si="227"/>
        <v>1.1028053769725308</v>
      </c>
      <c r="E718" s="454">
        <f t="shared" si="228"/>
        <v>-3.0157802454704674E-2</v>
      </c>
      <c r="F718" s="462">
        <f t="shared" si="229"/>
        <v>-2.661851947381981E-2</v>
      </c>
    </row>
    <row r="719" spans="2:16" hidden="1">
      <c r="B719" s="1292" t="e">
        <f t="shared" si="220"/>
        <v>#REF!</v>
      </c>
      <c r="C719" s="1249">
        <f t="shared" si="227"/>
        <v>127247.22</v>
      </c>
      <c r="D719" s="1249">
        <f t="shared" si="227"/>
        <v>101589.66</v>
      </c>
      <c r="E719" s="455">
        <f t="shared" si="228"/>
        <v>-25657.559999999998</v>
      </c>
      <c r="F719" s="1248">
        <f t="shared" si="229"/>
        <v>-0.20163552492541681</v>
      </c>
    </row>
    <row r="720" spans="2:16" hidden="1">
      <c r="B720" s="1266"/>
      <c r="C720" s="1262"/>
      <c r="D720" s="1262"/>
      <c r="E720" s="1260"/>
      <c r="F720" s="1261"/>
      <c r="G720" s="452"/>
      <c r="H720" s="452"/>
      <c r="I720" s="452"/>
      <c r="J720" s="452"/>
      <c r="K720" s="452"/>
      <c r="L720" s="452"/>
      <c r="M720" s="452"/>
      <c r="N720" s="452"/>
      <c r="O720" s="452"/>
    </row>
    <row r="721" spans="2:15" hidden="1">
      <c r="B721" s="592" t="str">
        <f t="shared" si="220"/>
        <v>Sentinel Lights</v>
      </c>
      <c r="C721" s="459"/>
      <c r="D721" s="459"/>
      <c r="E721" s="459"/>
      <c r="F721" s="464"/>
      <c r="G721" s="452"/>
      <c r="I721" s="452"/>
      <c r="K721" s="452"/>
      <c r="L721" s="452"/>
      <c r="M721" s="452"/>
      <c r="N721" s="452"/>
      <c r="O721" s="452"/>
    </row>
    <row r="722" spans="2:15" hidden="1">
      <c r="B722" s="1252" t="str">
        <f t="shared" si="220"/>
        <v># of Customers</v>
      </c>
      <c r="C722" s="1253">
        <f t="shared" ref="C722:D729" si="230">E392</f>
        <v>72</v>
      </c>
      <c r="D722" s="1253">
        <f t="shared" si="230"/>
        <v>74</v>
      </c>
      <c r="E722" s="454">
        <f t="shared" ref="E722:E729" si="231">D722-C722</f>
        <v>2</v>
      </c>
      <c r="F722" s="462">
        <f t="shared" ref="F722:F729" si="232">E722/C722</f>
        <v>2.7777777777777776E-2</v>
      </c>
      <c r="G722" s="452"/>
      <c r="H722" s="472"/>
      <c r="I722" s="452"/>
      <c r="J722" s="452"/>
      <c r="K722" s="452"/>
      <c r="L722" s="486"/>
      <c r="M722" s="486"/>
      <c r="N722" s="452"/>
      <c r="O722" s="452"/>
    </row>
    <row r="723" spans="2:15" ht="12.9" hidden="1" customHeight="1">
      <c r="B723" s="1252" t="str">
        <f t="shared" si="220"/>
        <v>kWh - actual</v>
      </c>
      <c r="C723" s="1253">
        <f t="shared" si="230"/>
        <v>97401</v>
      </c>
      <c r="D723" s="1253">
        <f t="shared" si="230"/>
        <v>98084</v>
      </c>
      <c r="E723" s="454">
        <f t="shared" si="231"/>
        <v>683</v>
      </c>
      <c r="F723" s="462">
        <f t="shared" si="232"/>
        <v>7.012248334206014E-3</v>
      </c>
      <c r="G723" s="452"/>
      <c r="K723" s="473"/>
      <c r="L723" s="454"/>
      <c r="M723" s="452"/>
      <c r="N723" s="452"/>
      <c r="O723" s="452"/>
    </row>
    <row r="724" spans="2:15" ht="12.9" hidden="1" customHeight="1">
      <c r="B724" s="1252" t="str">
        <f t="shared" si="220"/>
        <v>kWh - weather normalized</v>
      </c>
      <c r="C724" s="1253">
        <f t="shared" si="230"/>
        <v>97401</v>
      </c>
      <c r="D724" s="1253">
        <f t="shared" si="230"/>
        <v>98084</v>
      </c>
      <c r="E724" s="454">
        <f t="shared" si="231"/>
        <v>683</v>
      </c>
      <c r="F724" s="462">
        <f t="shared" si="232"/>
        <v>7.012248334206014E-3</v>
      </c>
      <c r="G724" s="452"/>
      <c r="K724" s="473"/>
      <c r="L724" s="450"/>
      <c r="M724" s="482"/>
      <c r="N724" s="452"/>
      <c r="O724" s="452"/>
    </row>
    <row r="725" spans="2:15" ht="12.9" hidden="1" customHeight="1">
      <c r="B725" s="1252" t="str">
        <f t="shared" si="220"/>
        <v>kW - actual</v>
      </c>
      <c r="C725" s="1253">
        <f t="shared" si="230"/>
        <v>270.2</v>
      </c>
      <c r="D725" s="1253">
        <f t="shared" si="230"/>
        <v>272.39999999999998</v>
      </c>
      <c r="E725" s="454">
        <f t="shared" si="231"/>
        <v>2.1999999999999886</v>
      </c>
      <c r="F725" s="462">
        <f t="shared" si="232"/>
        <v>8.1421169504070634E-3</v>
      </c>
      <c r="G725" s="452"/>
      <c r="K725" s="473"/>
      <c r="L725" s="450"/>
      <c r="M725" s="483"/>
      <c r="N725" s="452"/>
      <c r="O725" s="452"/>
    </row>
    <row r="726" spans="2:15" ht="12.9" hidden="1" customHeight="1">
      <c r="B726" s="1252" t="str">
        <f t="shared" si="220"/>
        <v>kW - weather normalized</v>
      </c>
      <c r="C726" s="1253">
        <f t="shared" si="230"/>
        <v>270.2</v>
      </c>
      <c r="D726" s="1253">
        <f t="shared" si="230"/>
        <v>272.39999999999998</v>
      </c>
      <c r="E726" s="454">
        <f t="shared" si="231"/>
        <v>2.1999999999999886</v>
      </c>
      <c r="F726" s="462">
        <f t="shared" si="232"/>
        <v>8.1421169504070634E-3</v>
      </c>
      <c r="G726" s="452"/>
      <c r="K726" s="473"/>
      <c r="L726" s="452"/>
      <c r="M726" s="482"/>
      <c r="N726" s="452"/>
      <c r="O726" s="452"/>
    </row>
    <row r="727" spans="2:15" ht="12.9" hidden="1" customHeight="1">
      <c r="B727" s="1252" t="e">
        <f t="shared" si="220"/>
        <v>#REF!</v>
      </c>
      <c r="C727" s="1253">
        <f t="shared" si="230"/>
        <v>3.7527777777777778</v>
      </c>
      <c r="D727" s="1253">
        <f t="shared" si="230"/>
        <v>3.6810810810810808</v>
      </c>
      <c r="E727" s="454">
        <f t="shared" si="231"/>
        <v>-7.1696696696696982E-2</v>
      </c>
      <c r="F727" s="462">
        <f t="shared" si="232"/>
        <v>-1.9104967291495866E-2</v>
      </c>
      <c r="G727" s="452"/>
      <c r="H727" s="452"/>
      <c r="I727" s="452"/>
      <c r="K727" s="473"/>
      <c r="L727" s="484"/>
      <c r="M727" s="484"/>
      <c r="N727" s="452"/>
      <c r="O727" s="452"/>
    </row>
    <row r="728" spans="2:15" ht="12.9" hidden="1" customHeight="1">
      <c r="B728" s="1252" t="e">
        <f t="shared" si="220"/>
        <v>#REF!</v>
      </c>
      <c r="C728" s="1253">
        <f t="shared" si="230"/>
        <v>3.7527777777777778</v>
      </c>
      <c r="D728" s="1253">
        <f t="shared" si="230"/>
        <v>3.6810810810810808</v>
      </c>
      <c r="E728" s="454">
        <f t="shared" si="231"/>
        <v>-7.1696696696696982E-2</v>
      </c>
      <c r="F728" s="462">
        <f t="shared" si="232"/>
        <v>-1.9104967291495866E-2</v>
      </c>
      <c r="G728" s="452"/>
      <c r="H728" s="452"/>
      <c r="I728" s="452"/>
      <c r="K728" s="473"/>
      <c r="L728" s="485"/>
      <c r="M728" s="485"/>
      <c r="N728" s="452"/>
      <c r="O728" s="452"/>
    </row>
    <row r="729" spans="2:15" ht="12.9" hidden="1" customHeight="1" thickBot="1">
      <c r="B729" s="1267" t="e">
        <f t="shared" si="220"/>
        <v>#REF!</v>
      </c>
      <c r="C729" s="1253">
        <f t="shared" si="230"/>
        <v>7063.5999999999995</v>
      </c>
      <c r="D729" s="1253">
        <f t="shared" si="230"/>
        <v>7498.51</v>
      </c>
      <c r="E729" s="455">
        <f t="shared" si="231"/>
        <v>434.91000000000076</v>
      </c>
      <c r="F729" s="1248">
        <f t="shared" si="232"/>
        <v>6.1570587235970441E-2</v>
      </c>
      <c r="G729" s="452"/>
      <c r="H729" s="432"/>
      <c r="I729" s="432"/>
      <c r="J729" s="487"/>
      <c r="K729" s="475"/>
      <c r="L729" s="468"/>
      <c r="M729" s="452"/>
      <c r="N729" s="452"/>
      <c r="O729" s="452"/>
    </row>
    <row r="730" spans="2:15" ht="12.9" hidden="1" customHeight="1" thickTop="1">
      <c r="B730" s="719"/>
      <c r="C730" s="722" t="str">
        <f>C683</f>
        <v xml:space="preserve">2017 Actual </v>
      </c>
      <c r="D730" s="722" t="str">
        <f>D683</f>
        <v>2018 Actual</v>
      </c>
      <c r="E730" s="1824" t="s">
        <v>142</v>
      </c>
      <c r="F730" s="1825"/>
      <c r="G730" s="452"/>
      <c r="H730" s="488"/>
      <c r="I730" s="489"/>
      <c r="J730" s="489"/>
      <c r="K730" s="490"/>
      <c r="L730" s="471"/>
      <c r="M730" s="489"/>
      <c r="N730" s="452"/>
      <c r="O730" s="452"/>
    </row>
    <row r="731" spans="2:15" ht="12.9" hidden="1" customHeight="1">
      <c r="B731" s="1293" t="str">
        <f t="shared" ref="B731:B745" si="233">B664</f>
        <v xml:space="preserve">Unmetered Loads </v>
      </c>
      <c r="C731" s="459"/>
      <c r="D731" s="459"/>
      <c r="E731" s="459"/>
      <c r="F731" s="464"/>
      <c r="G731" s="452"/>
      <c r="K731" s="473"/>
      <c r="L731" s="454"/>
      <c r="M731" s="452"/>
      <c r="N731" s="452"/>
      <c r="O731" s="452"/>
    </row>
    <row r="732" spans="2:15" ht="12.9" hidden="1" customHeight="1">
      <c r="B732" s="1289" t="str">
        <f t="shared" si="233"/>
        <v># of Customers</v>
      </c>
      <c r="C732" s="1255">
        <f t="shared" ref="C732:D737" si="234">E408</f>
        <v>57</v>
      </c>
      <c r="D732" s="1255">
        <f t="shared" si="234"/>
        <v>57</v>
      </c>
      <c r="E732" s="454">
        <f>D732-C732</f>
        <v>0</v>
      </c>
      <c r="F732" s="462">
        <f>E732/C732</f>
        <v>0</v>
      </c>
      <c r="G732" s="452"/>
      <c r="H732" s="472"/>
      <c r="K732" s="473"/>
      <c r="L732" s="450"/>
      <c r="M732" s="482"/>
      <c r="N732" s="452"/>
      <c r="O732" s="452"/>
    </row>
    <row r="733" spans="2:15" ht="12.9" hidden="1" customHeight="1">
      <c r="B733" s="1289" t="str">
        <f t="shared" si="233"/>
        <v>kWh - actual</v>
      </c>
      <c r="C733" s="1255">
        <f t="shared" si="234"/>
        <v>541637</v>
      </c>
      <c r="D733" s="1255">
        <f t="shared" si="234"/>
        <v>542146</v>
      </c>
      <c r="E733" s="454">
        <f>D733-C733</f>
        <v>509</v>
      </c>
      <c r="F733" s="462">
        <f>E733/C733</f>
        <v>9.3974377673607969E-4</v>
      </c>
      <c r="G733" s="452"/>
      <c r="K733" s="473"/>
      <c r="L733" s="450"/>
      <c r="M733" s="483"/>
      <c r="N733" s="452"/>
      <c r="O733" s="452"/>
    </row>
    <row r="734" spans="2:15" ht="12.9" hidden="1" customHeight="1">
      <c r="B734" s="1289" t="str">
        <f t="shared" si="233"/>
        <v>kWh - weather normalized</v>
      </c>
      <c r="C734" s="1255">
        <f t="shared" si="234"/>
        <v>541637</v>
      </c>
      <c r="D734" s="1255">
        <f t="shared" si="234"/>
        <v>542146</v>
      </c>
      <c r="E734" s="454">
        <f>D734-C734</f>
        <v>509</v>
      </c>
      <c r="F734" s="462">
        <f>E734/C734</f>
        <v>9.3974377673607969E-4</v>
      </c>
      <c r="G734" s="452"/>
      <c r="K734" s="473"/>
      <c r="L734" s="452"/>
      <c r="M734" s="482"/>
      <c r="N734" s="452"/>
      <c r="O734" s="452"/>
    </row>
    <row r="735" spans="2:15" ht="12.9" hidden="1" customHeight="1">
      <c r="B735" s="1289" t="e">
        <f t="shared" si="233"/>
        <v>#REF!</v>
      </c>
      <c r="C735" s="1255">
        <f t="shared" si="234"/>
        <v>9502.4035087719294</v>
      </c>
      <c r="D735" s="1255">
        <f t="shared" si="234"/>
        <v>9511.3333333333339</v>
      </c>
      <c r="E735" s="454">
        <f>D735-C735</f>
        <v>8.92982456140453</v>
      </c>
      <c r="F735" s="462">
        <f>E735/C735</f>
        <v>9.3974377673618724E-4</v>
      </c>
      <c r="G735" s="452"/>
      <c r="H735" s="452"/>
      <c r="I735" s="452"/>
      <c r="K735" s="473"/>
      <c r="L735" s="484"/>
      <c r="M735" s="484"/>
      <c r="N735" s="452"/>
      <c r="O735" s="452"/>
    </row>
    <row r="736" spans="2:15" ht="12.9" hidden="1" customHeight="1">
      <c r="B736" s="1289" t="e">
        <f t="shared" si="233"/>
        <v>#REF!</v>
      </c>
      <c r="C736" s="1255">
        <f t="shared" si="234"/>
        <v>9502.4035087719294</v>
      </c>
      <c r="D736" s="1255">
        <f t="shared" si="234"/>
        <v>9511.3333333333339</v>
      </c>
      <c r="E736" s="454">
        <f t="shared" ref="E736:E737" si="235">D736-C736</f>
        <v>8.92982456140453</v>
      </c>
      <c r="F736" s="462">
        <f t="shared" ref="F736:F737" si="236">E736/C736</f>
        <v>9.3974377673618724E-4</v>
      </c>
      <c r="G736" s="452"/>
      <c r="H736" s="452"/>
      <c r="I736" s="452"/>
      <c r="K736" s="473"/>
      <c r="L736" s="485"/>
      <c r="M736" s="485"/>
      <c r="N736" s="452"/>
      <c r="O736" s="452"/>
    </row>
    <row r="737" spans="2:15" ht="12.9" hidden="1" customHeight="1">
      <c r="B737" s="1295" t="e">
        <f t="shared" si="233"/>
        <v>#REF!</v>
      </c>
      <c r="C737" s="1255">
        <f t="shared" si="234"/>
        <v>13086.92</v>
      </c>
      <c r="D737" s="1255">
        <f t="shared" si="234"/>
        <v>13920.650000000001</v>
      </c>
      <c r="E737" s="461">
        <f t="shared" si="235"/>
        <v>833.73000000000138</v>
      </c>
      <c r="F737" s="463">
        <f t="shared" si="236"/>
        <v>6.370712130891007E-2</v>
      </c>
      <c r="G737" s="452"/>
      <c r="H737" s="432"/>
      <c r="I737" s="432"/>
      <c r="J737" s="487"/>
      <c r="K737" s="475"/>
      <c r="L737" s="468"/>
      <c r="M737" s="452"/>
      <c r="N737" s="452"/>
      <c r="O737" s="452"/>
    </row>
    <row r="738" spans="2:15" ht="12.9" hidden="1" customHeight="1">
      <c r="B738" s="1296"/>
      <c r="C738" s="1263"/>
      <c r="D738" s="1263"/>
      <c r="E738" s="1260"/>
      <c r="F738" s="1261"/>
      <c r="G738" s="452"/>
      <c r="H738" s="488"/>
      <c r="I738" s="489"/>
      <c r="J738" s="489"/>
      <c r="K738" s="490"/>
      <c r="L738" s="471"/>
      <c r="M738" s="489"/>
      <c r="N738" s="452"/>
      <c r="O738" s="452"/>
    </row>
    <row r="739" spans="2:15" ht="12.9" hidden="1" customHeight="1">
      <c r="B739" s="1293" t="str">
        <f t="shared" si="233"/>
        <v>Total</v>
      </c>
      <c r="C739" s="1256"/>
      <c r="D739" s="1256"/>
      <c r="E739" s="459"/>
      <c r="F739" s="464"/>
      <c r="G739" s="452"/>
      <c r="H739" s="452"/>
      <c r="I739" s="452"/>
      <c r="J739" s="452"/>
      <c r="K739" s="474"/>
      <c r="L739" s="452"/>
      <c r="M739" s="452"/>
      <c r="N739" s="452"/>
      <c r="O739" s="452"/>
    </row>
    <row r="740" spans="2:15" ht="12.9" hidden="1" customHeight="1">
      <c r="B740" s="1294" t="str">
        <f t="shared" si="233"/>
        <v># of Customers</v>
      </c>
      <c r="C740" s="1255">
        <f t="shared" ref="C740:D740" si="237">C686+C694+C702+C712+C722+C732</f>
        <v>7749</v>
      </c>
      <c r="D740" s="1255">
        <f t="shared" si="237"/>
        <v>7752</v>
      </c>
      <c r="E740" s="454">
        <f>D740-C740</f>
        <v>3</v>
      </c>
      <c r="F740" s="462">
        <f>E740/C740</f>
        <v>3.8714672861014324E-4</v>
      </c>
      <c r="G740" s="452"/>
      <c r="H740" s="409"/>
      <c r="K740" s="465"/>
      <c r="L740" s="491"/>
      <c r="M740" s="452"/>
      <c r="N740" s="452"/>
      <c r="O740" s="452"/>
    </row>
    <row r="741" spans="2:15" ht="12.9" hidden="1" customHeight="1">
      <c r="B741" s="1294" t="str">
        <f t="shared" si="233"/>
        <v>kWh - actual</v>
      </c>
      <c r="C741" s="1255">
        <f t="shared" ref="C741:D741" si="238">C687+C695+C703+C713+C723+C733</f>
        <v>101848630.358208</v>
      </c>
      <c r="D741" s="1255">
        <f t="shared" si="238"/>
        <v>100219092</v>
      </c>
      <c r="E741" s="1258">
        <f>D741-C741</f>
        <v>-1629538.3582080007</v>
      </c>
      <c r="F741" s="1264">
        <f>E741/C741</f>
        <v>-1.5999609935615357E-2</v>
      </c>
      <c r="G741" s="452"/>
      <c r="K741" s="465"/>
      <c r="L741" s="478"/>
      <c r="M741" s="452"/>
      <c r="N741" s="452"/>
      <c r="O741" s="452"/>
    </row>
    <row r="742" spans="2:15" ht="12.9" hidden="1" customHeight="1">
      <c r="B742" s="1294" t="str">
        <f t="shared" si="233"/>
        <v>kWh - weather normalized</v>
      </c>
      <c r="C742" s="1255">
        <f t="shared" ref="C742:D742" si="239">C688+C696+C704+C714+C724+C734</f>
        <v>100043493.96177918</v>
      </c>
      <c r="D742" s="1255">
        <f t="shared" si="239"/>
        <v>98489571.514951468</v>
      </c>
      <c r="E742" s="1258">
        <f t="shared" ref="E742:E745" si="240">D742-C742</f>
        <v>-1553922.4468277097</v>
      </c>
      <c r="F742" s="1264">
        <f t="shared" ref="F742:F745" si="241">E742/C742</f>
        <v>-1.5532468782241586E-2</v>
      </c>
      <c r="G742" s="452"/>
      <c r="H742" s="452"/>
      <c r="K742" s="473"/>
      <c r="L742" s="479"/>
      <c r="M742" s="452"/>
      <c r="N742" s="452"/>
      <c r="O742" s="452"/>
    </row>
    <row r="743" spans="2:15" ht="12.9" hidden="1" customHeight="1">
      <c r="B743" s="1294" t="str">
        <f t="shared" si="233"/>
        <v>kW - actual</v>
      </c>
      <c r="C743" s="1255">
        <f>C705+C715+C725</f>
        <v>114702.1</v>
      </c>
      <c r="D743" s="1255">
        <f>D705+D715+D725</f>
        <v>111922.9</v>
      </c>
      <c r="E743" s="1258">
        <f t="shared" si="240"/>
        <v>-2779.2000000000116</v>
      </c>
      <c r="F743" s="1264">
        <f t="shared" si="241"/>
        <v>-2.4229722036475457E-2</v>
      </c>
      <c r="G743" s="452"/>
      <c r="K743" s="465"/>
      <c r="L743" s="450"/>
      <c r="M743" s="452"/>
      <c r="N743" s="452"/>
      <c r="O743" s="452"/>
    </row>
    <row r="744" spans="2:15" ht="12.9" hidden="1" customHeight="1">
      <c r="B744" s="1294" t="str">
        <f t="shared" si="233"/>
        <v>kW - weather normalized</v>
      </c>
      <c r="C744" s="1255">
        <f>C706+C716+C726</f>
        <v>113487.66924279371</v>
      </c>
      <c r="D744" s="1255">
        <f>D706+D716+D726</f>
        <v>110769.83086364856</v>
      </c>
      <c r="E744" s="1258">
        <f t="shared" si="240"/>
        <v>-2717.8383791451488</v>
      </c>
      <c r="F744" s="1264">
        <f t="shared" si="241"/>
        <v>-2.394831436118975E-2</v>
      </c>
      <c r="G744" s="452"/>
      <c r="H744" s="452"/>
      <c r="I744" s="452"/>
      <c r="K744" s="465"/>
      <c r="L744" s="451"/>
      <c r="M744" s="452"/>
      <c r="N744" s="452"/>
      <c r="O744" s="452"/>
    </row>
    <row r="745" spans="2:15" ht="12.9" hidden="1" customHeight="1" thickBot="1">
      <c r="B745" s="1297" t="e">
        <f t="shared" si="233"/>
        <v>#REF!</v>
      </c>
      <c r="C745" s="1259">
        <f>C691+C699+C709+C719+C729+C737</f>
        <v>2569409.4900000002</v>
      </c>
      <c r="D745" s="1259">
        <f>D691+D699+D709+D719+D729+D737</f>
        <v>2691742.8899999997</v>
      </c>
      <c r="E745" s="1247">
        <f t="shared" si="240"/>
        <v>122333.39999999944</v>
      </c>
      <c r="F745" s="1265">
        <f t="shared" si="241"/>
        <v>4.7611484458243918E-2</v>
      </c>
      <c r="G745" s="452"/>
      <c r="H745" s="452"/>
      <c r="I745" s="452"/>
      <c r="K745" s="465"/>
      <c r="L745" s="451"/>
      <c r="M745" s="452"/>
      <c r="N745" s="452"/>
      <c r="O745" s="452"/>
    </row>
    <row r="746" spans="2:15" ht="14.4" hidden="1" thickTop="1">
      <c r="B746" s="1300"/>
      <c r="C746" s="523"/>
      <c r="D746" s="523"/>
      <c r="E746" s="495"/>
      <c r="F746" s="521"/>
    </row>
    <row r="747" spans="2:15" hidden="1">
      <c r="B747" s="1300"/>
      <c r="C747" s="523"/>
      <c r="D747" s="523"/>
      <c r="E747" s="495"/>
      <c r="F747" s="521"/>
    </row>
    <row r="748" spans="2:15" hidden="1">
      <c r="B748" s="1299" t="s">
        <v>566</v>
      </c>
      <c r="C748" s="452"/>
      <c r="D748" s="452"/>
      <c r="E748" s="452"/>
      <c r="F748" s="452"/>
    </row>
    <row r="749" spans="2:15" ht="14.4" hidden="1" thickBot="1">
      <c r="B749" s="1298"/>
      <c r="C749" s="452"/>
      <c r="D749" s="452"/>
      <c r="E749" s="452"/>
      <c r="F749" s="452"/>
    </row>
    <row r="750" spans="2:15" ht="14.4" hidden="1" thickTop="1">
      <c r="B750" s="719"/>
      <c r="C750" s="722" t="s">
        <v>554</v>
      </c>
      <c r="D750" s="722" t="s">
        <v>447</v>
      </c>
      <c r="E750" s="1824" t="s">
        <v>142</v>
      </c>
      <c r="F750" s="1825" t="e">
        <f>#REF!</f>
        <v>#REF!</v>
      </c>
    </row>
    <row r="751" spans="2:15" hidden="1">
      <c r="B751" s="589"/>
      <c r="C751" s="720"/>
      <c r="D751" s="720"/>
      <c r="E751" s="720"/>
      <c r="F751" s="721" t="s">
        <v>141</v>
      </c>
    </row>
    <row r="752" spans="2:15" hidden="1">
      <c r="B752" s="1290" t="str">
        <f t="shared" ref="B752:B758" si="242">B685</f>
        <v xml:space="preserve">Residential </v>
      </c>
      <c r="C752" s="453"/>
      <c r="D752" s="453"/>
      <c r="E752" s="453"/>
      <c r="F752" s="458"/>
    </row>
    <row r="753" spans="2:6" hidden="1">
      <c r="B753" s="1291" t="str">
        <f t="shared" si="242"/>
        <v># of Customers</v>
      </c>
      <c r="C753" s="454">
        <f t="shared" ref="C753:D758" si="243">F335</f>
        <v>5113</v>
      </c>
      <c r="D753" s="454">
        <f t="shared" si="243"/>
        <v>5107</v>
      </c>
      <c r="E753" s="454">
        <f>D753-C753</f>
        <v>-6</v>
      </c>
      <c r="F753" s="462">
        <f>E753/C753</f>
        <v>-1.1734793663211421E-3</v>
      </c>
    </row>
    <row r="754" spans="2:6" hidden="1">
      <c r="B754" s="1291" t="str">
        <f t="shared" si="242"/>
        <v>kWh - actual</v>
      </c>
      <c r="C754" s="454">
        <f t="shared" si="243"/>
        <v>42182601</v>
      </c>
      <c r="D754" s="454">
        <f t="shared" si="243"/>
        <v>43593897</v>
      </c>
      <c r="E754" s="454">
        <f t="shared" ref="E754:E758" si="244">D754-C754</f>
        <v>1411296</v>
      </c>
      <c r="F754" s="462">
        <f t="shared" ref="F754:F758" si="245">E754/C754</f>
        <v>3.3456827377714334E-2</v>
      </c>
    </row>
    <row r="755" spans="2:6" hidden="1">
      <c r="B755" s="1291" t="str">
        <f t="shared" si="242"/>
        <v>kWh - weather normalized</v>
      </c>
      <c r="C755" s="454">
        <f t="shared" si="243"/>
        <v>41268647.042907096</v>
      </c>
      <c r="D755" s="454">
        <f t="shared" si="243"/>
        <v>43935848.788816221</v>
      </c>
      <c r="E755" s="454">
        <f t="shared" si="244"/>
        <v>2667201.7459091246</v>
      </c>
      <c r="F755" s="462">
        <f t="shared" si="245"/>
        <v>6.4630220204118377E-2</v>
      </c>
    </row>
    <row r="756" spans="2:6" hidden="1">
      <c r="B756" s="1291" t="e">
        <f t="shared" si="242"/>
        <v>#REF!</v>
      </c>
      <c r="C756" s="454">
        <f t="shared" si="243"/>
        <v>8250.0686485429305</v>
      </c>
      <c r="D756" s="454">
        <f t="shared" si="243"/>
        <v>8536.1067162717845</v>
      </c>
      <c r="E756" s="454">
        <f t="shared" si="244"/>
        <v>286.038067728854</v>
      </c>
      <c r="F756" s="462">
        <f t="shared" si="245"/>
        <v>3.4670992438271653E-2</v>
      </c>
    </row>
    <row r="757" spans="2:6" hidden="1">
      <c r="B757" s="1291" t="e">
        <f t="shared" si="242"/>
        <v>#REF!</v>
      </c>
      <c r="C757" s="454">
        <f t="shared" si="243"/>
        <v>8071.31763014025</v>
      </c>
      <c r="D757" s="454">
        <f t="shared" si="243"/>
        <v>8603.064184220917</v>
      </c>
      <c r="E757" s="454">
        <f t="shared" si="244"/>
        <v>531.74655408066701</v>
      </c>
      <c r="F757" s="462">
        <f t="shared" si="245"/>
        <v>6.5881009575809155E-2</v>
      </c>
    </row>
    <row r="758" spans="2:6" hidden="1">
      <c r="B758" s="1292" t="e">
        <f t="shared" si="242"/>
        <v>#REF!</v>
      </c>
      <c r="C758" s="454">
        <f t="shared" si="243"/>
        <v>1609147.7399999998</v>
      </c>
      <c r="D758" s="454">
        <f t="shared" si="243"/>
        <v>1623109.1295849946</v>
      </c>
      <c r="E758" s="455">
        <f t="shared" si="244"/>
        <v>13961.389584994875</v>
      </c>
      <c r="F758" s="1248">
        <f t="shared" si="245"/>
        <v>8.6762633647267697E-3</v>
      </c>
    </row>
    <row r="759" spans="2:6" hidden="1">
      <c r="B759" s="1266"/>
      <c r="C759" s="1262"/>
      <c r="D759" s="1262"/>
      <c r="E759" s="1260"/>
      <c r="F759" s="1261"/>
    </row>
    <row r="760" spans="2:6" hidden="1">
      <c r="B760" s="1293" t="str">
        <f t="shared" ref="B760:B796" si="246">B693</f>
        <v>General Service &lt; 50 kW</v>
      </c>
      <c r="C760" s="459"/>
      <c r="D760" s="459"/>
      <c r="E760" s="459"/>
      <c r="F760" s="464"/>
    </row>
    <row r="761" spans="2:6" hidden="1">
      <c r="B761" s="1294" t="str">
        <f t="shared" si="246"/>
        <v># of Customers</v>
      </c>
      <c r="C761" s="454">
        <f t="shared" ref="C761:D766" si="247">F347</f>
        <v>735</v>
      </c>
      <c r="D761" s="454">
        <f t="shared" si="247"/>
        <v>731</v>
      </c>
      <c r="E761" s="454">
        <f>D761-C761</f>
        <v>-4</v>
      </c>
      <c r="F761" s="462">
        <f>E761/C761</f>
        <v>-5.4421768707482989E-3</v>
      </c>
    </row>
    <row r="762" spans="2:6" hidden="1">
      <c r="B762" s="1294" t="str">
        <f t="shared" si="246"/>
        <v>kWh - actual</v>
      </c>
      <c r="C762" s="454">
        <f t="shared" si="247"/>
        <v>19700297</v>
      </c>
      <c r="D762" s="454">
        <f t="shared" si="247"/>
        <v>18533558</v>
      </c>
      <c r="E762" s="454">
        <f t="shared" ref="E762:E766" si="248">D762-C762</f>
        <v>-1166739</v>
      </c>
      <c r="F762" s="462">
        <f t="shared" ref="F762:F766" si="249">E762/C762</f>
        <v>-5.9224437073207577E-2</v>
      </c>
    </row>
    <row r="763" spans="2:6" hidden="1">
      <c r="B763" s="1294" t="str">
        <f t="shared" si="246"/>
        <v>kWh - weather normalized</v>
      </c>
      <c r="C763" s="454">
        <f t="shared" si="247"/>
        <v>19273458.351547394</v>
      </c>
      <c r="D763" s="454">
        <f t="shared" si="247"/>
        <v>18678935.764947906</v>
      </c>
      <c r="E763" s="454">
        <f t="shared" si="248"/>
        <v>-594522.58659948781</v>
      </c>
      <c r="F763" s="462">
        <f t="shared" si="249"/>
        <v>-3.0846699941204678E-2</v>
      </c>
    </row>
    <row r="764" spans="2:6" hidden="1">
      <c r="B764" s="1291" t="e">
        <f t="shared" si="246"/>
        <v>#REF!</v>
      </c>
      <c r="C764" s="454">
        <f t="shared" si="247"/>
        <v>26803.125170068026</v>
      </c>
      <c r="D764" s="454">
        <f t="shared" si="247"/>
        <v>25353.704514363886</v>
      </c>
      <c r="E764" s="454">
        <f t="shared" si="248"/>
        <v>-1449.4206557041398</v>
      </c>
      <c r="F764" s="462">
        <f t="shared" si="249"/>
        <v>-5.4076554375933665E-2</v>
      </c>
    </row>
    <row r="765" spans="2:6" hidden="1">
      <c r="B765" s="1291" t="e">
        <f t="shared" si="246"/>
        <v>#REF!</v>
      </c>
      <c r="C765" s="454">
        <f t="shared" si="247"/>
        <v>26222.392315030469</v>
      </c>
      <c r="D765" s="454">
        <f t="shared" si="247"/>
        <v>25552.579705811087</v>
      </c>
      <c r="E765" s="454">
        <f t="shared" si="248"/>
        <v>-669.81260921938156</v>
      </c>
      <c r="F765" s="462">
        <f t="shared" si="249"/>
        <v>-2.5543535508598513E-2</v>
      </c>
    </row>
    <row r="766" spans="2:6" hidden="1">
      <c r="B766" s="1295" t="e">
        <f t="shared" si="246"/>
        <v>#REF!</v>
      </c>
      <c r="C766" s="454">
        <f t="shared" si="247"/>
        <v>503343.12</v>
      </c>
      <c r="D766" s="454">
        <f t="shared" si="247"/>
        <v>531692.80000000005</v>
      </c>
      <c r="E766" s="455">
        <f t="shared" si="248"/>
        <v>28349.680000000051</v>
      </c>
      <c r="F766" s="1248">
        <f t="shared" si="249"/>
        <v>5.6322772426093855E-2</v>
      </c>
    </row>
    <row r="767" spans="2:6" hidden="1">
      <c r="B767" s="1266"/>
      <c r="C767" s="1262"/>
      <c r="D767" s="1262"/>
      <c r="E767" s="1260"/>
      <c r="F767" s="1261"/>
    </row>
    <row r="768" spans="2:6" hidden="1">
      <c r="B768" s="1293" t="str">
        <f t="shared" si="246"/>
        <v>General Service 50 to 4,999 kW</v>
      </c>
      <c r="C768" s="459"/>
      <c r="D768" s="459"/>
      <c r="E768" s="459"/>
      <c r="F768" s="464"/>
    </row>
    <row r="769" spans="2:6" hidden="1">
      <c r="B769" s="1291" t="str">
        <f t="shared" si="246"/>
        <v># of Customers</v>
      </c>
      <c r="C769" s="454">
        <f t="shared" ref="C769:D776" si="250">F359</f>
        <v>62</v>
      </c>
      <c r="D769" s="454">
        <f t="shared" si="250"/>
        <v>61</v>
      </c>
      <c r="E769" s="454">
        <f>D769-C769</f>
        <v>-1</v>
      </c>
      <c r="F769" s="462">
        <f>E769/C769</f>
        <v>-1.6129032258064516E-2</v>
      </c>
    </row>
    <row r="770" spans="2:6" hidden="1">
      <c r="B770" s="1291" t="str">
        <f t="shared" si="246"/>
        <v>kWh - actual</v>
      </c>
      <c r="C770" s="454">
        <f t="shared" si="250"/>
        <v>37004001</v>
      </c>
      <c r="D770" s="454">
        <f t="shared" si="250"/>
        <v>36107964</v>
      </c>
      <c r="E770" s="454">
        <f>D770-C770</f>
        <v>-896037</v>
      </c>
      <c r="F770" s="462">
        <f>E770/C770</f>
        <v>-2.4214597767414393E-2</v>
      </c>
    </row>
    <row r="771" spans="2:6" hidden="1">
      <c r="B771" s="1291" t="str">
        <f t="shared" si="246"/>
        <v>kWh - weather normalized</v>
      </c>
      <c r="C771" s="454">
        <f t="shared" si="250"/>
        <v>36615273.120496981</v>
      </c>
      <c r="D771" s="454">
        <f t="shared" si="250"/>
        <v>36245288.564300053</v>
      </c>
      <c r="E771" s="454">
        <f>D771-C771</f>
        <v>-369984.55619692802</v>
      </c>
      <c r="F771" s="462">
        <f>E771/C771</f>
        <v>-1.0104651001218755E-2</v>
      </c>
    </row>
    <row r="772" spans="2:6" hidden="1">
      <c r="B772" s="1291" t="str">
        <f t="shared" si="246"/>
        <v>kW - actual</v>
      </c>
      <c r="C772" s="454">
        <f t="shared" si="250"/>
        <v>109763.6</v>
      </c>
      <c r="D772" s="454">
        <f t="shared" si="250"/>
        <v>109147</v>
      </c>
      <c r="E772" s="454">
        <f>D772-C772</f>
        <v>-616.60000000000582</v>
      </c>
      <c r="F772" s="462">
        <f>E772/C772</f>
        <v>-5.6175271219238961E-3</v>
      </c>
    </row>
    <row r="773" spans="2:6" hidden="1">
      <c r="B773" s="1291" t="str">
        <f t="shared" si="246"/>
        <v>kW - weather normalized</v>
      </c>
      <c r="C773" s="454">
        <f t="shared" si="250"/>
        <v>108610.53086364857</v>
      </c>
      <c r="D773" s="454">
        <f t="shared" si="250"/>
        <v>109562.10410887907</v>
      </c>
      <c r="E773" s="454">
        <f t="shared" ref="E773:E776" si="251">D773-C773</f>
        <v>951.57324523049465</v>
      </c>
      <c r="F773" s="462">
        <f t="shared" ref="F773:F776" si="252">E773/C773</f>
        <v>8.7613349982159205E-3</v>
      </c>
    </row>
    <row r="774" spans="2:6" hidden="1">
      <c r="B774" s="1291" t="e">
        <f t="shared" si="246"/>
        <v>#REF!</v>
      </c>
      <c r="C774" s="454">
        <f t="shared" si="250"/>
        <v>1770.3806451612904</v>
      </c>
      <c r="D774" s="454">
        <f t="shared" si="250"/>
        <v>1789.295081967213</v>
      </c>
      <c r="E774" s="454">
        <f t="shared" si="251"/>
        <v>18.914436805922605</v>
      </c>
      <c r="F774" s="462">
        <f t="shared" si="252"/>
        <v>1.0683824892470741E-2</v>
      </c>
    </row>
    <row r="775" spans="2:6" hidden="1">
      <c r="B775" s="1291" t="e">
        <f t="shared" si="246"/>
        <v>#REF!</v>
      </c>
      <c r="C775" s="454">
        <f t="shared" si="250"/>
        <v>1751.7827558652996</v>
      </c>
      <c r="D775" s="454">
        <f t="shared" si="250"/>
        <v>1796.1000673586732</v>
      </c>
      <c r="E775" s="454">
        <f t="shared" si="251"/>
        <v>44.317311493373609</v>
      </c>
      <c r="F775" s="462">
        <f t="shared" si="252"/>
        <v>2.5298406063760406E-2</v>
      </c>
    </row>
    <row r="776" spans="2:6" hidden="1">
      <c r="B776" s="1292" t="e">
        <f t="shared" si="246"/>
        <v>#REF!</v>
      </c>
      <c r="C776" s="454">
        <f t="shared" si="250"/>
        <v>456243.20999999996</v>
      </c>
      <c r="D776" s="454">
        <f t="shared" si="250"/>
        <v>460312.73000000004</v>
      </c>
      <c r="E776" s="455">
        <f t="shared" si="251"/>
        <v>4069.5200000000768</v>
      </c>
      <c r="F776" s="1248">
        <f t="shared" si="252"/>
        <v>8.9196286340350733E-3</v>
      </c>
    </row>
    <row r="777" spans="2:6" hidden="1">
      <c r="B777" s="1266"/>
      <c r="C777" s="1262"/>
      <c r="D777" s="1262"/>
      <c r="E777" s="1260"/>
      <c r="F777" s="1261"/>
    </row>
    <row r="778" spans="2:6" hidden="1">
      <c r="B778" s="1293" t="str">
        <f t="shared" si="246"/>
        <v xml:space="preserve">Street Lights </v>
      </c>
      <c r="C778" s="459"/>
      <c r="D778" s="459"/>
      <c r="E778" s="459"/>
      <c r="F778" s="464"/>
    </row>
    <row r="779" spans="2:6" hidden="1">
      <c r="B779" s="1289" t="str">
        <f t="shared" si="246"/>
        <v># of Customers</v>
      </c>
      <c r="C779" s="1249">
        <f t="shared" ref="C779:D786" si="253">F375</f>
        <v>1711</v>
      </c>
      <c r="D779" s="1249">
        <f t="shared" si="253"/>
        <v>1712</v>
      </c>
      <c r="E779" s="454">
        <f>D779-C779</f>
        <v>1</v>
      </c>
      <c r="F779" s="462">
        <f>E779/C779</f>
        <v>5.8445353594389242E-4</v>
      </c>
    </row>
    <row r="780" spans="2:6" hidden="1">
      <c r="B780" s="1291" t="str">
        <f t="shared" si="246"/>
        <v>kWh - actual</v>
      </c>
      <c r="C780" s="1249">
        <f t="shared" si="253"/>
        <v>691963</v>
      </c>
      <c r="D780" s="1249">
        <f t="shared" si="253"/>
        <v>644755</v>
      </c>
      <c r="E780" s="454">
        <f t="shared" ref="E780:E786" si="254">D780-C780</f>
        <v>-47208</v>
      </c>
      <c r="F780" s="462">
        <f t="shared" ref="F780:F786" si="255">E780/C780</f>
        <v>-6.8223300956843064E-2</v>
      </c>
    </row>
    <row r="781" spans="2:6" hidden="1">
      <c r="B781" s="1291" t="str">
        <f t="shared" si="246"/>
        <v>kWh - weather normalized</v>
      </c>
      <c r="C781" s="1249">
        <f t="shared" si="253"/>
        <v>691963</v>
      </c>
      <c r="D781" s="1249">
        <f t="shared" si="253"/>
        <v>644755</v>
      </c>
      <c r="E781" s="454">
        <f t="shared" si="254"/>
        <v>-47208</v>
      </c>
      <c r="F781" s="462">
        <f t="shared" si="255"/>
        <v>-6.8223300956843064E-2</v>
      </c>
    </row>
    <row r="782" spans="2:6" hidden="1">
      <c r="B782" s="1291" t="str">
        <f t="shared" si="246"/>
        <v>kW - actual</v>
      </c>
      <c r="C782" s="1249">
        <f t="shared" si="253"/>
        <v>1886.9</v>
      </c>
      <c r="D782" s="1249">
        <f t="shared" si="253"/>
        <v>1743.9</v>
      </c>
      <c r="E782" s="454">
        <f t="shared" si="254"/>
        <v>-143</v>
      </c>
      <c r="F782" s="462">
        <f t="shared" si="255"/>
        <v>-7.5785680216227669E-2</v>
      </c>
    </row>
    <row r="783" spans="2:6" hidden="1">
      <c r="B783" s="1291" t="str">
        <f t="shared" si="246"/>
        <v>kW - weather normalized</v>
      </c>
      <c r="C783" s="1249">
        <f t="shared" si="253"/>
        <v>1886.9</v>
      </c>
      <c r="D783" s="1249">
        <f t="shared" si="253"/>
        <v>1743.9</v>
      </c>
      <c r="E783" s="454">
        <f t="shared" si="254"/>
        <v>-143</v>
      </c>
      <c r="F783" s="462">
        <f t="shared" si="255"/>
        <v>-7.5785680216227669E-2</v>
      </c>
    </row>
    <row r="784" spans="2:6" hidden="1">
      <c r="B784" s="1291" t="e">
        <f t="shared" si="246"/>
        <v>#REF!</v>
      </c>
      <c r="C784" s="1249">
        <f t="shared" si="253"/>
        <v>1.1028053769725308</v>
      </c>
      <c r="D784" s="1249">
        <f t="shared" si="253"/>
        <v>1.0186331775700934</v>
      </c>
      <c r="E784" s="454">
        <f t="shared" si="254"/>
        <v>-8.4172199402437364E-2</v>
      </c>
      <c r="F784" s="462">
        <f t="shared" si="255"/>
        <v>-7.6325525029185604E-2</v>
      </c>
    </row>
    <row r="785" spans="2:6" hidden="1">
      <c r="B785" s="1291" t="e">
        <f t="shared" si="246"/>
        <v>#REF!</v>
      </c>
      <c r="C785" s="1249">
        <f t="shared" si="253"/>
        <v>1.1028053769725308</v>
      </c>
      <c r="D785" s="1249">
        <f t="shared" si="253"/>
        <v>1.0186331775700934</v>
      </c>
      <c r="E785" s="454">
        <f t="shared" si="254"/>
        <v>-8.4172199402437364E-2</v>
      </c>
      <c r="F785" s="462">
        <f t="shared" si="255"/>
        <v>-7.6325525029185604E-2</v>
      </c>
    </row>
    <row r="786" spans="2:6" hidden="1">
      <c r="B786" s="1292" t="e">
        <f t="shared" si="246"/>
        <v>#REF!</v>
      </c>
      <c r="C786" s="1249">
        <f t="shared" si="253"/>
        <v>101589.66</v>
      </c>
      <c r="D786" s="1249">
        <f t="shared" si="253"/>
        <v>97215.610000000015</v>
      </c>
      <c r="E786" s="455">
        <f t="shared" si="254"/>
        <v>-4374.0499999999884</v>
      </c>
      <c r="F786" s="1248">
        <f t="shared" si="255"/>
        <v>-4.3056055114270374E-2</v>
      </c>
    </row>
    <row r="787" spans="2:6" hidden="1">
      <c r="B787" s="1266"/>
      <c r="C787" s="1262"/>
      <c r="D787" s="1262"/>
      <c r="E787" s="1260"/>
      <c r="F787" s="1261"/>
    </row>
    <row r="788" spans="2:6" hidden="1">
      <c r="B788" s="592" t="str">
        <f t="shared" si="246"/>
        <v>Sentinel Lights</v>
      </c>
      <c r="C788" s="459"/>
      <c r="D788" s="459"/>
      <c r="E788" s="459"/>
      <c r="F788" s="464"/>
    </row>
    <row r="789" spans="2:6" hidden="1">
      <c r="B789" s="1252" t="str">
        <f t="shared" si="246"/>
        <v># of Customers</v>
      </c>
      <c r="C789" s="1253">
        <f t="shared" ref="C789:D796" si="256">F392</f>
        <v>74</v>
      </c>
      <c r="D789" s="1253">
        <f t="shared" si="256"/>
        <v>73</v>
      </c>
      <c r="E789" s="454">
        <f t="shared" ref="E789:E796" si="257">D789-C789</f>
        <v>-1</v>
      </c>
      <c r="F789" s="462">
        <f t="shared" ref="F789:F796" si="258">E789/C789</f>
        <v>-1.3513513513513514E-2</v>
      </c>
    </row>
    <row r="790" spans="2:6" hidden="1">
      <c r="B790" s="1252" t="str">
        <f t="shared" si="246"/>
        <v>kWh - actual</v>
      </c>
      <c r="C790" s="1253">
        <f t="shared" si="256"/>
        <v>98084</v>
      </c>
      <c r="D790" s="1253">
        <f t="shared" si="256"/>
        <v>96660</v>
      </c>
      <c r="E790" s="454">
        <f t="shared" si="257"/>
        <v>-1424</v>
      </c>
      <c r="F790" s="462">
        <f t="shared" si="258"/>
        <v>-1.451816810081155E-2</v>
      </c>
    </row>
    <row r="791" spans="2:6" hidden="1">
      <c r="B791" s="1252" t="str">
        <f t="shared" si="246"/>
        <v>kWh - weather normalized</v>
      </c>
      <c r="C791" s="1253">
        <f t="shared" si="256"/>
        <v>98084</v>
      </c>
      <c r="D791" s="1253">
        <f t="shared" si="256"/>
        <v>96660</v>
      </c>
      <c r="E791" s="454">
        <f t="shared" si="257"/>
        <v>-1424</v>
      </c>
      <c r="F791" s="462">
        <f t="shared" si="258"/>
        <v>-1.451816810081155E-2</v>
      </c>
    </row>
    <row r="792" spans="2:6" hidden="1">
      <c r="B792" s="1252" t="str">
        <f t="shared" si="246"/>
        <v>kW - actual</v>
      </c>
      <c r="C792" s="1253">
        <f t="shared" si="256"/>
        <v>272.39999999999998</v>
      </c>
      <c r="D792" s="1253">
        <f t="shared" si="256"/>
        <v>268.5</v>
      </c>
      <c r="E792" s="454">
        <f t="shared" si="257"/>
        <v>-3.8999999999999773</v>
      </c>
      <c r="F792" s="462">
        <f t="shared" si="258"/>
        <v>-1.4317180616740005E-2</v>
      </c>
    </row>
    <row r="793" spans="2:6" hidden="1">
      <c r="B793" s="1252" t="str">
        <f t="shared" si="246"/>
        <v>kW - weather normalized</v>
      </c>
      <c r="C793" s="1253">
        <f t="shared" si="256"/>
        <v>272.39999999999998</v>
      </c>
      <c r="D793" s="1253">
        <f t="shared" si="256"/>
        <v>268.5</v>
      </c>
      <c r="E793" s="454">
        <f t="shared" si="257"/>
        <v>-3.8999999999999773</v>
      </c>
      <c r="F793" s="462">
        <f t="shared" si="258"/>
        <v>-1.4317180616740005E-2</v>
      </c>
    </row>
    <row r="794" spans="2:6" hidden="1">
      <c r="B794" s="1252" t="e">
        <f t="shared" si="246"/>
        <v>#REF!</v>
      </c>
      <c r="C794" s="1253">
        <f t="shared" si="256"/>
        <v>3.6810810810810808</v>
      </c>
      <c r="D794" s="1253">
        <f t="shared" si="256"/>
        <v>3.6780821917808217</v>
      </c>
      <c r="E794" s="454">
        <f t="shared" si="257"/>
        <v>-2.9988893002590444E-3</v>
      </c>
      <c r="F794" s="462">
        <f t="shared" si="258"/>
        <v>-8.1467624162690638E-4</v>
      </c>
    </row>
    <row r="795" spans="2:6" hidden="1">
      <c r="B795" s="1252" t="e">
        <f t="shared" si="246"/>
        <v>#REF!</v>
      </c>
      <c r="C795" s="1253">
        <f t="shared" si="256"/>
        <v>3.6810810810810808</v>
      </c>
      <c r="D795" s="1253">
        <f t="shared" si="256"/>
        <v>3.6780821917808217</v>
      </c>
      <c r="E795" s="454">
        <f t="shared" si="257"/>
        <v>-2.9988893002590444E-3</v>
      </c>
      <c r="F795" s="462">
        <f t="shared" si="258"/>
        <v>-8.1467624162690638E-4</v>
      </c>
    </row>
    <row r="796" spans="2:6" ht="14.4" hidden="1" thickBot="1">
      <c r="B796" s="1267" t="e">
        <f t="shared" si="246"/>
        <v>#REF!</v>
      </c>
      <c r="C796" s="1253">
        <f t="shared" si="256"/>
        <v>7498.51</v>
      </c>
      <c r="D796" s="1253">
        <f t="shared" si="256"/>
        <v>7969.7200000000012</v>
      </c>
      <c r="E796" s="455">
        <f t="shared" si="257"/>
        <v>471.21000000000095</v>
      </c>
      <c r="F796" s="1248">
        <f t="shared" si="258"/>
        <v>6.2840484309549624E-2</v>
      </c>
    </row>
    <row r="797" spans="2:6" ht="14.4" hidden="1" thickTop="1">
      <c r="B797" s="719"/>
      <c r="C797" s="722" t="str">
        <f>C750</f>
        <v xml:space="preserve">2018 Actual </v>
      </c>
      <c r="D797" s="722" t="str">
        <f>D750</f>
        <v>2019 Actual</v>
      </c>
      <c r="E797" s="1826" t="s">
        <v>142</v>
      </c>
      <c r="F797" s="1827"/>
    </row>
    <row r="798" spans="2:6" hidden="1">
      <c r="B798" s="1293" t="str">
        <f t="shared" ref="B798:B812" si="259">B731</f>
        <v xml:space="preserve">Unmetered Loads </v>
      </c>
      <c r="C798" s="459"/>
      <c r="D798" s="459"/>
      <c r="E798" s="459"/>
      <c r="F798" s="464"/>
    </row>
    <row r="799" spans="2:6" hidden="1">
      <c r="B799" s="1289" t="str">
        <f t="shared" si="259"/>
        <v># of Customers</v>
      </c>
      <c r="C799" s="1255">
        <f t="shared" ref="C799:D804" si="260">F408</f>
        <v>57</v>
      </c>
      <c r="D799" s="1255">
        <f t="shared" si="260"/>
        <v>57</v>
      </c>
      <c r="E799" s="454">
        <f>D799-C799</f>
        <v>0</v>
      </c>
      <c r="F799" s="462">
        <f>E799/C799</f>
        <v>0</v>
      </c>
    </row>
    <row r="800" spans="2:6" hidden="1">
      <c r="B800" s="1289" t="str">
        <f t="shared" si="259"/>
        <v>kWh - actual</v>
      </c>
      <c r="C800" s="1255">
        <f t="shared" si="260"/>
        <v>542146</v>
      </c>
      <c r="D800" s="1255">
        <f t="shared" si="260"/>
        <v>535316</v>
      </c>
      <c r="E800" s="454">
        <f>D800-C800</f>
        <v>-6830</v>
      </c>
      <c r="F800" s="462">
        <f>E800/C800</f>
        <v>-1.259808243535874E-2</v>
      </c>
    </row>
    <row r="801" spans="2:6" hidden="1">
      <c r="B801" s="1289" t="str">
        <f t="shared" si="259"/>
        <v>kWh - weather normalized</v>
      </c>
      <c r="C801" s="1255">
        <f t="shared" si="260"/>
        <v>542146</v>
      </c>
      <c r="D801" s="1255">
        <f t="shared" si="260"/>
        <v>535316</v>
      </c>
      <c r="E801" s="454">
        <f>D801-C801</f>
        <v>-6830</v>
      </c>
      <c r="F801" s="462">
        <f>E801/C801</f>
        <v>-1.259808243535874E-2</v>
      </c>
    </row>
    <row r="802" spans="2:6" hidden="1">
      <c r="B802" s="1289" t="e">
        <f t="shared" si="259"/>
        <v>#REF!</v>
      </c>
      <c r="C802" s="1255">
        <f t="shared" si="260"/>
        <v>9511.3333333333339</v>
      </c>
      <c r="D802" s="1255">
        <f t="shared" si="260"/>
        <v>9391.5087719298244</v>
      </c>
      <c r="E802" s="454">
        <f>D802-C802</f>
        <v>-119.82456140350951</v>
      </c>
      <c r="F802" s="462">
        <f>E802/C802</f>
        <v>-1.2598082435358817E-2</v>
      </c>
    </row>
    <row r="803" spans="2:6" hidden="1">
      <c r="B803" s="1289" t="e">
        <f t="shared" si="259"/>
        <v>#REF!</v>
      </c>
      <c r="C803" s="1255">
        <f t="shared" si="260"/>
        <v>9511.3333333333339</v>
      </c>
      <c r="D803" s="1255">
        <f t="shared" si="260"/>
        <v>9391.5087719298244</v>
      </c>
      <c r="E803" s="454">
        <f t="shared" ref="E803:E804" si="261">D803-C803</f>
        <v>-119.82456140350951</v>
      </c>
      <c r="F803" s="462">
        <f t="shared" ref="F803:F804" si="262">E803/C803</f>
        <v>-1.2598082435358817E-2</v>
      </c>
    </row>
    <row r="804" spans="2:6" hidden="1">
      <c r="B804" s="1295" t="e">
        <f t="shared" si="259"/>
        <v>#REF!</v>
      </c>
      <c r="C804" s="1255">
        <f t="shared" si="260"/>
        <v>13920.650000000001</v>
      </c>
      <c r="D804" s="1255">
        <f t="shared" si="260"/>
        <v>14140.06</v>
      </c>
      <c r="E804" s="461">
        <f t="shared" si="261"/>
        <v>219.40999999999804</v>
      </c>
      <c r="F804" s="463">
        <f t="shared" si="262"/>
        <v>1.5761476655184781E-2</v>
      </c>
    </row>
    <row r="805" spans="2:6" hidden="1">
      <c r="B805" s="1296"/>
      <c r="C805" s="1263"/>
      <c r="D805" s="1263"/>
      <c r="E805" s="1260"/>
      <c r="F805" s="1261"/>
    </row>
    <row r="806" spans="2:6" hidden="1">
      <c r="B806" s="1293" t="str">
        <f t="shared" si="259"/>
        <v>Total</v>
      </c>
      <c r="C806" s="1256"/>
      <c r="D806" s="1256"/>
      <c r="E806" s="459"/>
      <c r="F806" s="464"/>
    </row>
    <row r="807" spans="2:6" hidden="1">
      <c r="B807" s="1294" t="str">
        <f t="shared" si="259"/>
        <v># of Customers</v>
      </c>
      <c r="C807" s="1255">
        <f t="shared" ref="C807:D807" si="263">C753+C761+C769+C779+C789+C799</f>
        <v>7752</v>
      </c>
      <c r="D807" s="1255">
        <f t="shared" si="263"/>
        <v>7741</v>
      </c>
      <c r="E807" s="454">
        <f>D807-C807</f>
        <v>-11</v>
      </c>
      <c r="F807" s="462">
        <f>E807/C807</f>
        <v>-1.4189886480908153E-3</v>
      </c>
    </row>
    <row r="808" spans="2:6" hidden="1">
      <c r="B808" s="1294" t="str">
        <f t="shared" si="259"/>
        <v>kWh - actual</v>
      </c>
      <c r="C808" s="1255">
        <f t="shared" ref="C808:D808" si="264">C754+C762+C770+C780+C790+C800</f>
        <v>100219092</v>
      </c>
      <c r="D808" s="1255">
        <f t="shared" si="264"/>
        <v>99512150</v>
      </c>
      <c r="E808" s="1258">
        <f>D808-C808</f>
        <v>-706942</v>
      </c>
      <c r="F808" s="1264">
        <f>E808/C808</f>
        <v>-7.0539653262873302E-3</v>
      </c>
    </row>
    <row r="809" spans="2:6" hidden="1">
      <c r="B809" s="1294" t="str">
        <f t="shared" si="259"/>
        <v>kWh - weather normalized</v>
      </c>
      <c r="C809" s="1255">
        <f t="shared" ref="C809:D809" si="265">C755+C763+C771+C781+C791+C801</f>
        <v>98489571.514951468</v>
      </c>
      <c r="D809" s="1255">
        <f t="shared" si="265"/>
        <v>100136804.11806418</v>
      </c>
      <c r="E809" s="1258">
        <f t="shared" ref="E809:E812" si="266">D809-C809</f>
        <v>1647232.6031127125</v>
      </c>
      <c r="F809" s="1264">
        <f t="shared" ref="F809:F812" si="267">E809/C809</f>
        <v>1.672494435477009E-2</v>
      </c>
    </row>
    <row r="810" spans="2:6" hidden="1">
      <c r="B810" s="1294" t="str">
        <f t="shared" si="259"/>
        <v>kW - actual</v>
      </c>
      <c r="C810" s="1255">
        <f>C772+C782+C792</f>
        <v>111922.9</v>
      </c>
      <c r="D810" s="1255">
        <f>D772+D782+D792</f>
        <v>111159.4</v>
      </c>
      <c r="E810" s="1258">
        <f t="shared" si="266"/>
        <v>-763.5</v>
      </c>
      <c r="F810" s="1264">
        <f t="shared" si="267"/>
        <v>-6.8216602679165754E-3</v>
      </c>
    </row>
    <row r="811" spans="2:6" hidden="1">
      <c r="B811" s="1294" t="str">
        <f t="shared" si="259"/>
        <v>kW - weather normalized</v>
      </c>
      <c r="C811" s="1255">
        <f>C773+C783+C793</f>
        <v>110769.83086364856</v>
      </c>
      <c r="D811" s="1255">
        <f>D773+D783+D793</f>
        <v>111574.50410887906</v>
      </c>
      <c r="E811" s="1258">
        <f t="shared" si="266"/>
        <v>804.67324523050047</v>
      </c>
      <c r="F811" s="1264">
        <f t="shared" si="267"/>
        <v>7.2643718867911608E-3</v>
      </c>
    </row>
    <row r="812" spans="2:6" ht="14.4" hidden="1" thickBot="1">
      <c r="B812" s="1297" t="e">
        <f t="shared" si="259"/>
        <v>#REF!</v>
      </c>
      <c r="C812" s="1259">
        <f>C758+C766+C776+C786+C796+C804</f>
        <v>2691742.8899999997</v>
      </c>
      <c r="D812" s="1259">
        <f>D758+D766+D776+D786+D796+D804</f>
        <v>2734440.049584995</v>
      </c>
      <c r="E812" s="1247">
        <f t="shared" si="266"/>
        <v>42697.159584995359</v>
      </c>
      <c r="F812" s="1265">
        <f t="shared" si="267"/>
        <v>1.5862272635182986E-2</v>
      </c>
    </row>
    <row r="813" spans="2:6" ht="14.4" hidden="1" thickTop="1">
      <c r="B813" s="1301"/>
      <c r="C813" s="1288"/>
      <c r="D813" s="1288"/>
      <c r="E813" s="495"/>
      <c r="F813" s="521"/>
    </row>
    <row r="814" spans="2:6" hidden="1">
      <c r="B814" s="1301"/>
      <c r="C814" s="1288"/>
      <c r="D814" s="1288"/>
      <c r="E814" s="495"/>
      <c r="F814" s="521"/>
    </row>
    <row r="815" spans="2:6" hidden="1">
      <c r="B815" s="1299" t="s">
        <v>567</v>
      </c>
      <c r="C815" s="452"/>
      <c r="D815" s="452"/>
      <c r="E815" s="452"/>
      <c r="F815" s="452"/>
    </row>
    <row r="816" spans="2:6" ht="14.4" hidden="1" thickBot="1">
      <c r="B816" s="1298"/>
      <c r="C816" s="452"/>
      <c r="D816" s="452"/>
      <c r="E816" s="452"/>
      <c r="F816" s="452"/>
    </row>
    <row r="817" spans="2:6" ht="14.4" hidden="1" thickTop="1">
      <c r="B817" s="719"/>
      <c r="C817" s="722" t="s">
        <v>542</v>
      </c>
      <c r="D817" s="722" t="s">
        <v>555</v>
      </c>
      <c r="E817" s="1824" t="s">
        <v>142</v>
      </c>
      <c r="F817" s="1825" t="e">
        <f>#REF!</f>
        <v>#REF!</v>
      </c>
    </row>
    <row r="818" spans="2:6" hidden="1">
      <c r="B818" s="589"/>
      <c r="C818" s="720"/>
      <c r="D818" s="720"/>
      <c r="E818" s="720"/>
      <c r="F818" s="721" t="s">
        <v>141</v>
      </c>
    </row>
    <row r="819" spans="2:6" hidden="1">
      <c r="B819" s="1290" t="str">
        <f t="shared" ref="B819:B825" si="268">B752</f>
        <v xml:space="preserve">Residential </v>
      </c>
      <c r="C819" s="453"/>
      <c r="D819" s="453"/>
      <c r="E819" s="453"/>
      <c r="F819" s="458"/>
    </row>
    <row r="820" spans="2:6" hidden="1">
      <c r="B820" s="1291" t="str">
        <f t="shared" si="268"/>
        <v># of Customers</v>
      </c>
      <c r="C820" s="454">
        <f t="shared" ref="C820:D825" si="269">G335</f>
        <v>5107</v>
      </c>
      <c r="D820" s="454">
        <f t="shared" si="269"/>
        <v>5117</v>
      </c>
      <c r="E820" s="454">
        <f>D820-C820</f>
        <v>10</v>
      </c>
      <c r="F820" s="462">
        <f>E820/C820</f>
        <v>1.9580967299784608E-3</v>
      </c>
    </row>
    <row r="821" spans="2:6" hidden="1">
      <c r="B821" s="1291" t="str">
        <f t="shared" si="268"/>
        <v>kWh - actual</v>
      </c>
      <c r="C821" s="454">
        <f t="shared" si="269"/>
        <v>43593897</v>
      </c>
      <c r="D821" s="454">
        <f t="shared" si="269"/>
        <v>43612856</v>
      </c>
      <c r="E821" s="454">
        <f t="shared" ref="E821:E825" si="270">D821-C821</f>
        <v>18959</v>
      </c>
      <c r="F821" s="462">
        <f t="shared" ref="F821:F825" si="271">E821/C821</f>
        <v>4.3490032561209198E-4</v>
      </c>
    </row>
    <row r="822" spans="2:6" hidden="1">
      <c r="B822" s="1291" t="str">
        <f t="shared" si="268"/>
        <v>kWh - weather normalized</v>
      </c>
      <c r="C822" s="454">
        <f t="shared" si="269"/>
        <v>43935848.788816221</v>
      </c>
      <c r="D822" s="454">
        <f t="shared" si="269"/>
        <v>43612856</v>
      </c>
      <c r="E822" s="454">
        <f t="shared" si="270"/>
        <v>-322992.78881622106</v>
      </c>
      <c r="F822" s="462">
        <f t="shared" si="271"/>
        <v>-7.3514635023607007E-3</v>
      </c>
    </row>
    <row r="823" spans="2:6" hidden="1">
      <c r="B823" s="1291" t="e">
        <f t="shared" si="268"/>
        <v>#REF!</v>
      </c>
      <c r="C823" s="454">
        <f t="shared" si="269"/>
        <v>8536.1067162717845</v>
      </c>
      <c r="D823" s="454">
        <f t="shared" si="269"/>
        <v>8523.1299589603277</v>
      </c>
      <c r="E823" s="454">
        <f t="shared" si="270"/>
        <v>-12.976757311456822</v>
      </c>
      <c r="F823" s="462">
        <f t="shared" si="271"/>
        <v>-1.5202196672073154E-3</v>
      </c>
    </row>
    <row r="824" spans="2:6" hidden="1">
      <c r="B824" s="1291" t="e">
        <f t="shared" si="268"/>
        <v>#REF!</v>
      </c>
      <c r="C824" s="454">
        <f t="shared" si="269"/>
        <v>8603.064184220917</v>
      </c>
      <c r="D824" s="454">
        <f t="shared" si="269"/>
        <v>8523.1299589603277</v>
      </c>
      <c r="E824" s="454">
        <f t="shared" si="270"/>
        <v>-79.934225260589301</v>
      </c>
      <c r="F824" s="462">
        <f t="shared" si="271"/>
        <v>-9.2913668373180974E-3</v>
      </c>
    </row>
    <row r="825" spans="2:6" hidden="1">
      <c r="B825" s="1292" t="e">
        <f t="shared" si="268"/>
        <v>#REF!</v>
      </c>
      <c r="C825" s="454">
        <f t="shared" si="269"/>
        <v>1623109.1295849946</v>
      </c>
      <c r="D825" s="454">
        <f t="shared" si="269"/>
        <v>1598899.56</v>
      </c>
      <c r="E825" s="455">
        <f t="shared" si="270"/>
        <v>-24209.569584994577</v>
      </c>
      <c r="F825" s="1248">
        <f t="shared" si="271"/>
        <v>-1.4915552592070388E-2</v>
      </c>
    </row>
    <row r="826" spans="2:6" hidden="1">
      <c r="B826" s="1266"/>
      <c r="C826" s="1262"/>
      <c r="D826" s="1262"/>
      <c r="E826" s="1260"/>
      <c r="F826" s="1261"/>
    </row>
    <row r="827" spans="2:6" hidden="1">
      <c r="B827" s="1293" t="str">
        <f t="shared" ref="B827:B863" si="272">B760</f>
        <v>General Service &lt; 50 kW</v>
      </c>
      <c r="C827" s="459"/>
      <c r="D827" s="459"/>
      <c r="E827" s="459"/>
      <c r="F827" s="464"/>
    </row>
    <row r="828" spans="2:6" hidden="1">
      <c r="B828" s="1294" t="str">
        <f t="shared" si="272"/>
        <v># of Customers</v>
      </c>
      <c r="C828" s="454">
        <f t="shared" ref="C828:D833" si="273">G347</f>
        <v>731</v>
      </c>
      <c r="D828" s="454">
        <f t="shared" si="273"/>
        <v>730</v>
      </c>
      <c r="E828" s="454">
        <f>D828-C828</f>
        <v>-1</v>
      </c>
      <c r="F828" s="462">
        <f>E828/C828</f>
        <v>-1.3679890560875513E-3</v>
      </c>
    </row>
    <row r="829" spans="2:6" hidden="1">
      <c r="B829" s="1294" t="str">
        <f t="shared" si="272"/>
        <v>kWh - actual</v>
      </c>
      <c r="C829" s="454">
        <f t="shared" si="273"/>
        <v>18533558</v>
      </c>
      <c r="D829" s="454">
        <f t="shared" si="273"/>
        <v>17739759</v>
      </c>
      <c r="E829" s="454">
        <f t="shared" ref="E829:E833" si="274">D829-C829</f>
        <v>-793799</v>
      </c>
      <c r="F829" s="462">
        <f t="shared" ref="F829:F833" si="275">E829/C829</f>
        <v>-4.2830362092373196E-2</v>
      </c>
    </row>
    <row r="830" spans="2:6" hidden="1">
      <c r="B830" s="1294" t="str">
        <f t="shared" si="272"/>
        <v>kWh - weather normalized</v>
      </c>
      <c r="C830" s="454">
        <f t="shared" si="273"/>
        <v>18678935.764947906</v>
      </c>
      <c r="D830" s="454">
        <f t="shared" si="273"/>
        <v>17739759</v>
      </c>
      <c r="E830" s="454">
        <f t="shared" si="274"/>
        <v>-939176.76494790614</v>
      </c>
      <c r="F830" s="462">
        <f t="shared" si="275"/>
        <v>-5.027999329117696E-2</v>
      </c>
    </row>
    <row r="831" spans="2:6" hidden="1">
      <c r="B831" s="1291" t="e">
        <f t="shared" si="272"/>
        <v>#REF!</v>
      </c>
      <c r="C831" s="454">
        <f t="shared" si="273"/>
        <v>25353.704514363886</v>
      </c>
      <c r="D831" s="454">
        <f t="shared" si="273"/>
        <v>24301.039726027397</v>
      </c>
      <c r="E831" s="454">
        <f t="shared" si="274"/>
        <v>-1052.6647883364894</v>
      </c>
      <c r="F831" s="462">
        <f t="shared" si="275"/>
        <v>-4.1519170807568291E-2</v>
      </c>
    </row>
    <row r="832" spans="2:6" hidden="1">
      <c r="B832" s="1291" t="e">
        <f t="shared" si="272"/>
        <v>#REF!</v>
      </c>
      <c r="C832" s="454">
        <f t="shared" si="273"/>
        <v>25552.579705811087</v>
      </c>
      <c r="D832" s="454">
        <f t="shared" si="273"/>
        <v>24301.039726027397</v>
      </c>
      <c r="E832" s="454">
        <f t="shared" si="274"/>
        <v>-1251.5399797836908</v>
      </c>
      <c r="F832" s="462">
        <f t="shared" si="275"/>
        <v>-4.8979006980616892E-2</v>
      </c>
    </row>
    <row r="833" spans="2:6" hidden="1">
      <c r="B833" s="1295" t="e">
        <f t="shared" si="272"/>
        <v>#REF!</v>
      </c>
      <c r="C833" s="454">
        <f t="shared" si="273"/>
        <v>531692.80000000005</v>
      </c>
      <c r="D833" s="454">
        <f t="shared" si="273"/>
        <v>496374.55169790925</v>
      </c>
      <c r="E833" s="455">
        <f t="shared" si="274"/>
        <v>-35318.248302090797</v>
      </c>
      <c r="F833" s="1248">
        <f t="shared" si="275"/>
        <v>-6.6426042071833197E-2</v>
      </c>
    </row>
    <row r="834" spans="2:6" hidden="1">
      <c r="B834" s="1266"/>
      <c r="C834" s="1262"/>
      <c r="D834" s="1262"/>
      <c r="E834" s="1260"/>
      <c r="F834" s="1261"/>
    </row>
    <row r="835" spans="2:6" hidden="1">
      <c r="B835" s="1293" t="str">
        <f t="shared" si="272"/>
        <v>General Service 50 to 4,999 kW</v>
      </c>
      <c r="C835" s="459"/>
      <c r="D835" s="459"/>
      <c r="E835" s="459"/>
      <c r="F835" s="464"/>
    </row>
    <row r="836" spans="2:6" hidden="1">
      <c r="B836" s="1291" t="str">
        <f t="shared" si="272"/>
        <v># of Customers</v>
      </c>
      <c r="C836" s="454">
        <f t="shared" ref="C836:D843" si="276">G359</f>
        <v>61</v>
      </c>
      <c r="D836" s="454">
        <f t="shared" si="276"/>
        <v>61</v>
      </c>
      <c r="E836" s="454">
        <f>D836-C836</f>
        <v>0</v>
      </c>
      <c r="F836" s="462">
        <f>E836/C836</f>
        <v>0</v>
      </c>
    </row>
    <row r="837" spans="2:6" hidden="1">
      <c r="B837" s="1291" t="str">
        <f t="shared" si="272"/>
        <v>kWh - actual</v>
      </c>
      <c r="C837" s="454">
        <f t="shared" si="276"/>
        <v>36107964</v>
      </c>
      <c r="D837" s="454">
        <f t="shared" si="276"/>
        <v>37832568</v>
      </c>
      <c r="E837" s="454">
        <f>D837-C837</f>
        <v>1724604</v>
      </c>
      <c r="F837" s="462">
        <f>E837/C837</f>
        <v>4.776242714765086E-2</v>
      </c>
    </row>
    <row r="838" spans="2:6" hidden="1">
      <c r="B838" s="1291" t="str">
        <f t="shared" si="272"/>
        <v>kWh - weather normalized</v>
      </c>
      <c r="C838" s="454">
        <f t="shared" si="276"/>
        <v>36245288.564300053</v>
      </c>
      <c r="D838" s="454">
        <f t="shared" si="276"/>
        <v>37832568</v>
      </c>
      <c r="E838" s="454">
        <f>D838-C838</f>
        <v>1587279.4356999472</v>
      </c>
      <c r="F838" s="462">
        <f>E838/C838</f>
        <v>4.3792710682495288E-2</v>
      </c>
    </row>
    <row r="839" spans="2:6" hidden="1">
      <c r="B839" s="1291" t="str">
        <f t="shared" si="272"/>
        <v>kW - actual</v>
      </c>
      <c r="C839" s="454">
        <f t="shared" si="276"/>
        <v>109147</v>
      </c>
      <c r="D839" s="454">
        <f t="shared" si="276"/>
        <v>110834.3</v>
      </c>
      <c r="E839" s="454">
        <f>D839-C839</f>
        <v>1687.3000000000029</v>
      </c>
      <c r="F839" s="462">
        <f>E839/C839</f>
        <v>1.5458968180527206E-2</v>
      </c>
    </row>
    <row r="840" spans="2:6" hidden="1">
      <c r="B840" s="1291" t="str">
        <f t="shared" si="272"/>
        <v>kW - weather normalized</v>
      </c>
      <c r="C840" s="454">
        <f t="shared" si="276"/>
        <v>109562.10410887907</v>
      </c>
      <c r="D840" s="454">
        <f t="shared" si="276"/>
        <v>110834.3</v>
      </c>
      <c r="E840" s="454">
        <f t="shared" ref="E840:E843" si="277">D840-C840</f>
        <v>1272.1958911209367</v>
      </c>
      <c r="F840" s="462">
        <f t="shared" ref="F840:F843" si="278">E840/C840</f>
        <v>1.161164164807087E-2</v>
      </c>
    </row>
    <row r="841" spans="2:6" hidden="1">
      <c r="B841" s="1291" t="e">
        <f t="shared" si="272"/>
        <v>#REF!</v>
      </c>
      <c r="C841" s="454">
        <f t="shared" si="276"/>
        <v>1789.295081967213</v>
      </c>
      <c r="D841" s="454">
        <f t="shared" si="276"/>
        <v>1816.9557377049182</v>
      </c>
      <c r="E841" s="454">
        <f t="shared" si="277"/>
        <v>27.660655737705156</v>
      </c>
      <c r="F841" s="462">
        <f t="shared" si="278"/>
        <v>1.5458968180527312E-2</v>
      </c>
    </row>
    <row r="842" spans="2:6" hidden="1">
      <c r="B842" s="1291" t="e">
        <f t="shared" si="272"/>
        <v>#REF!</v>
      </c>
      <c r="C842" s="454">
        <f t="shared" si="276"/>
        <v>1796.1000673586732</v>
      </c>
      <c r="D842" s="454">
        <f t="shared" si="276"/>
        <v>1816.9557377049182</v>
      </c>
      <c r="E842" s="454">
        <f t="shared" si="277"/>
        <v>20.855670346245006</v>
      </c>
      <c r="F842" s="462">
        <f t="shared" si="278"/>
        <v>1.1611641648070948E-2</v>
      </c>
    </row>
    <row r="843" spans="2:6" hidden="1">
      <c r="B843" s="1292" t="e">
        <f t="shared" si="272"/>
        <v>#REF!</v>
      </c>
      <c r="C843" s="454">
        <f t="shared" si="276"/>
        <v>460312.73000000004</v>
      </c>
      <c r="D843" s="454">
        <f t="shared" si="276"/>
        <v>436011.13265644439</v>
      </c>
      <c r="E843" s="455">
        <f t="shared" si="277"/>
        <v>-24301.597343555652</v>
      </c>
      <c r="F843" s="1248">
        <f t="shared" si="278"/>
        <v>-5.2793667782239366E-2</v>
      </c>
    </row>
    <row r="844" spans="2:6" hidden="1">
      <c r="B844" s="1266"/>
      <c r="C844" s="1262"/>
      <c r="D844" s="1262"/>
      <c r="E844" s="1260"/>
      <c r="F844" s="1261"/>
    </row>
    <row r="845" spans="2:6" hidden="1">
      <c r="B845" s="1293" t="str">
        <f t="shared" si="272"/>
        <v xml:space="preserve">Street Lights </v>
      </c>
      <c r="C845" s="459"/>
      <c r="D845" s="459"/>
      <c r="E845" s="459"/>
      <c r="F845" s="464"/>
    </row>
    <row r="846" spans="2:6" hidden="1">
      <c r="B846" s="1289" t="str">
        <f t="shared" si="272"/>
        <v># of Customers</v>
      </c>
      <c r="C846" s="1249">
        <f t="shared" ref="C846:D853" si="279">G375</f>
        <v>1712</v>
      </c>
      <c r="D846" s="1249">
        <f t="shared" si="279"/>
        <v>1712</v>
      </c>
      <c r="E846" s="454">
        <f>D846-C846</f>
        <v>0</v>
      </c>
      <c r="F846" s="462">
        <f>E846/C846</f>
        <v>0</v>
      </c>
    </row>
    <row r="847" spans="2:6" hidden="1">
      <c r="B847" s="1291" t="str">
        <f t="shared" si="272"/>
        <v>kWh - actual</v>
      </c>
      <c r="C847" s="1249">
        <f t="shared" si="279"/>
        <v>644755</v>
      </c>
      <c r="D847" s="1249">
        <f t="shared" si="279"/>
        <v>643596</v>
      </c>
      <c r="E847" s="454">
        <f t="shared" ref="E847:E853" si="280">D847-C847</f>
        <v>-1159</v>
      </c>
      <c r="F847" s="462">
        <f t="shared" ref="F847:F853" si="281">E847/C847</f>
        <v>-1.7975820272816806E-3</v>
      </c>
    </row>
    <row r="848" spans="2:6" hidden="1">
      <c r="B848" s="1291" t="str">
        <f t="shared" si="272"/>
        <v>kWh - weather normalized</v>
      </c>
      <c r="C848" s="1249">
        <f t="shared" si="279"/>
        <v>644755</v>
      </c>
      <c r="D848" s="1249">
        <f t="shared" si="279"/>
        <v>643596</v>
      </c>
      <c r="E848" s="454">
        <f t="shared" si="280"/>
        <v>-1159</v>
      </c>
      <c r="F848" s="462">
        <f t="shared" si="281"/>
        <v>-1.7975820272816806E-3</v>
      </c>
    </row>
    <row r="849" spans="2:6" hidden="1">
      <c r="B849" s="1291" t="str">
        <f t="shared" si="272"/>
        <v>kW - actual</v>
      </c>
      <c r="C849" s="1249">
        <f t="shared" si="279"/>
        <v>1743.9</v>
      </c>
      <c r="D849" s="1249">
        <f t="shared" si="279"/>
        <v>1745.6</v>
      </c>
      <c r="E849" s="454">
        <f t="shared" si="280"/>
        <v>1.6999999999998181</v>
      </c>
      <c r="F849" s="462">
        <f t="shared" si="281"/>
        <v>9.7482653821883022E-4</v>
      </c>
    </row>
    <row r="850" spans="2:6" hidden="1">
      <c r="B850" s="1291" t="str">
        <f t="shared" si="272"/>
        <v>kW - weather normalized</v>
      </c>
      <c r="C850" s="1249">
        <f t="shared" si="279"/>
        <v>1743.9</v>
      </c>
      <c r="D850" s="1249">
        <f t="shared" si="279"/>
        <v>1745.6</v>
      </c>
      <c r="E850" s="454">
        <f t="shared" si="280"/>
        <v>1.6999999999998181</v>
      </c>
      <c r="F850" s="462">
        <f t="shared" si="281"/>
        <v>9.7482653821883022E-4</v>
      </c>
    </row>
    <row r="851" spans="2:6" hidden="1">
      <c r="B851" s="1291" t="e">
        <f t="shared" si="272"/>
        <v>#REF!</v>
      </c>
      <c r="C851" s="1249">
        <f t="shared" si="279"/>
        <v>1.0186331775700934</v>
      </c>
      <c r="D851" s="1249">
        <f t="shared" si="279"/>
        <v>1.0196261682242991</v>
      </c>
      <c r="E851" s="454">
        <f t="shared" si="280"/>
        <v>9.9299065420566102E-4</v>
      </c>
      <c r="F851" s="462">
        <f t="shared" si="281"/>
        <v>9.7482653821898721E-4</v>
      </c>
    </row>
    <row r="852" spans="2:6" hidden="1">
      <c r="B852" s="1291" t="e">
        <f t="shared" si="272"/>
        <v>#REF!</v>
      </c>
      <c r="C852" s="1249">
        <f t="shared" si="279"/>
        <v>1.0186331775700934</v>
      </c>
      <c r="D852" s="1249">
        <f t="shared" si="279"/>
        <v>1.0196261682242991</v>
      </c>
      <c r="E852" s="454">
        <f t="shared" si="280"/>
        <v>9.9299065420566102E-4</v>
      </c>
      <c r="F852" s="462">
        <f t="shared" si="281"/>
        <v>9.7482653821898721E-4</v>
      </c>
    </row>
    <row r="853" spans="2:6" hidden="1">
      <c r="B853" s="1292" t="e">
        <f t="shared" si="272"/>
        <v>#REF!</v>
      </c>
      <c r="C853" s="1304">
        <f t="shared" si="279"/>
        <v>97215.610000000015</v>
      </c>
      <c r="D853" s="1304">
        <f t="shared" si="279"/>
        <v>94334.265948000015</v>
      </c>
      <c r="E853" s="1201">
        <f t="shared" si="280"/>
        <v>-2881.3440520000004</v>
      </c>
      <c r="F853" s="1248">
        <f t="shared" si="281"/>
        <v>-2.9638697447868709E-2</v>
      </c>
    </row>
    <row r="854" spans="2:6" hidden="1">
      <c r="B854" s="1302"/>
      <c r="C854" s="1305" t="s">
        <v>542</v>
      </c>
      <c r="D854" s="1305" t="s">
        <v>555</v>
      </c>
      <c r="E854" s="1306" t="s">
        <v>142</v>
      </c>
      <c r="F854" s="1303"/>
    </row>
    <row r="855" spans="2:6" hidden="1">
      <c r="B855" s="592" t="str">
        <f t="shared" si="272"/>
        <v>Sentinel Lights</v>
      </c>
      <c r="C855" s="459"/>
      <c r="D855" s="459"/>
      <c r="E855" s="459"/>
      <c r="F855" s="464"/>
    </row>
    <row r="856" spans="2:6" hidden="1">
      <c r="B856" s="1252" t="str">
        <f t="shared" si="272"/>
        <v># of Customers</v>
      </c>
      <c r="C856" s="1253">
        <f t="shared" ref="C856:D863" si="282">G392</f>
        <v>73</v>
      </c>
      <c r="D856" s="1253">
        <f t="shared" si="282"/>
        <v>70</v>
      </c>
      <c r="E856" s="454">
        <f t="shared" ref="E856:E863" si="283">D856-C856</f>
        <v>-3</v>
      </c>
      <c r="F856" s="462">
        <f t="shared" ref="F856:F863" si="284">E856/C856</f>
        <v>-4.1095890410958902E-2</v>
      </c>
    </row>
    <row r="857" spans="2:6" hidden="1">
      <c r="B857" s="1252" t="str">
        <f t="shared" si="272"/>
        <v>kWh - actual</v>
      </c>
      <c r="C857" s="1253">
        <f t="shared" si="282"/>
        <v>96660</v>
      </c>
      <c r="D857" s="1253">
        <f t="shared" si="282"/>
        <v>88607</v>
      </c>
      <c r="E857" s="454">
        <f t="shared" si="283"/>
        <v>-8053</v>
      </c>
      <c r="F857" s="462">
        <f t="shared" si="284"/>
        <v>-8.3312642251189742E-2</v>
      </c>
    </row>
    <row r="858" spans="2:6" hidden="1">
      <c r="B858" s="1252" t="str">
        <f t="shared" si="272"/>
        <v>kWh - weather normalized</v>
      </c>
      <c r="C858" s="1253">
        <f t="shared" si="282"/>
        <v>96660</v>
      </c>
      <c r="D858" s="1253">
        <f t="shared" si="282"/>
        <v>88607</v>
      </c>
      <c r="E858" s="454">
        <f t="shared" si="283"/>
        <v>-8053</v>
      </c>
      <c r="F858" s="462">
        <f t="shared" si="284"/>
        <v>-8.3312642251189742E-2</v>
      </c>
    </row>
    <row r="859" spans="2:6" hidden="1">
      <c r="B859" s="1252" t="str">
        <f t="shared" si="272"/>
        <v>kW - actual</v>
      </c>
      <c r="C859" s="1253">
        <f t="shared" si="282"/>
        <v>268.5</v>
      </c>
      <c r="D859" s="1253">
        <f t="shared" si="282"/>
        <v>246.13055555555553</v>
      </c>
      <c r="E859" s="454">
        <f t="shared" si="283"/>
        <v>-22.369444444444468</v>
      </c>
      <c r="F859" s="462">
        <f t="shared" si="284"/>
        <v>-8.3312642251189825E-2</v>
      </c>
    </row>
    <row r="860" spans="2:6" hidden="1">
      <c r="B860" s="1252" t="str">
        <f t="shared" si="272"/>
        <v>kW - weather normalized</v>
      </c>
      <c r="C860" s="1253">
        <f t="shared" si="282"/>
        <v>268.5</v>
      </c>
      <c r="D860" s="1253">
        <f t="shared" si="282"/>
        <v>246.13055555555553</v>
      </c>
      <c r="E860" s="454">
        <f t="shared" si="283"/>
        <v>-22.369444444444468</v>
      </c>
      <c r="F860" s="462">
        <f t="shared" si="284"/>
        <v>-8.3312642251189825E-2</v>
      </c>
    </row>
    <row r="861" spans="2:6" hidden="1">
      <c r="B861" s="1252" t="e">
        <f t="shared" si="272"/>
        <v>#REF!</v>
      </c>
      <c r="C861" s="1253">
        <f t="shared" si="282"/>
        <v>3.6780821917808217</v>
      </c>
      <c r="D861" s="1253">
        <f t="shared" si="282"/>
        <v>3.5161507936507932</v>
      </c>
      <c r="E861" s="454">
        <f t="shared" si="283"/>
        <v>-0.16193139813002855</v>
      </c>
      <c r="F861" s="462">
        <f t="shared" si="284"/>
        <v>-4.4026041204812232E-2</v>
      </c>
    </row>
    <row r="862" spans="2:6" hidden="1">
      <c r="B862" s="1252" t="e">
        <f t="shared" si="272"/>
        <v>#REF!</v>
      </c>
      <c r="C862" s="1253">
        <f t="shared" si="282"/>
        <v>3.6780821917808217</v>
      </c>
      <c r="D862" s="1253">
        <f t="shared" si="282"/>
        <v>3.5161507936507932</v>
      </c>
      <c r="E862" s="454">
        <f t="shared" si="283"/>
        <v>-0.16193139813002855</v>
      </c>
      <c r="F862" s="462">
        <f t="shared" si="284"/>
        <v>-4.4026041204812232E-2</v>
      </c>
    </row>
    <row r="863" spans="2:6" hidden="1">
      <c r="B863" s="1267" t="e">
        <f t="shared" si="272"/>
        <v>#REF!</v>
      </c>
      <c r="C863" s="1253">
        <f t="shared" si="282"/>
        <v>7969.7200000000012</v>
      </c>
      <c r="D863" s="1253">
        <f t="shared" si="282"/>
        <v>7862.9455767567542</v>
      </c>
      <c r="E863" s="455">
        <f t="shared" si="283"/>
        <v>-106.77442324324693</v>
      </c>
      <c r="F863" s="1248">
        <f t="shared" si="284"/>
        <v>-1.33975124901812E-2</v>
      </c>
    </row>
    <row r="864" spans="2:6" hidden="1">
      <c r="B864" s="1296"/>
      <c r="C864" s="1263"/>
      <c r="D864" s="1263"/>
      <c r="E864" s="1260"/>
      <c r="F864" s="1261"/>
    </row>
    <row r="865" spans="2:6" hidden="1">
      <c r="B865" s="1293" t="str">
        <f t="shared" ref="B865:B879" si="285">B798</f>
        <v xml:space="preserve">Unmetered Loads </v>
      </c>
      <c r="C865" s="459"/>
      <c r="D865" s="459"/>
      <c r="E865" s="459"/>
      <c r="F865" s="464"/>
    </row>
    <row r="866" spans="2:6" hidden="1">
      <c r="B866" s="1289" t="str">
        <f t="shared" si="285"/>
        <v># of Customers</v>
      </c>
      <c r="C866" s="1255">
        <f t="shared" ref="C866:D871" si="286">G408</f>
        <v>57</v>
      </c>
      <c r="D866" s="1255">
        <f t="shared" si="286"/>
        <v>57</v>
      </c>
      <c r="E866" s="454">
        <f>D866-C866</f>
        <v>0</v>
      </c>
      <c r="F866" s="462">
        <f>E866/C866</f>
        <v>0</v>
      </c>
    </row>
    <row r="867" spans="2:6" hidden="1">
      <c r="B867" s="1289" t="str">
        <f t="shared" si="285"/>
        <v>kWh - actual</v>
      </c>
      <c r="C867" s="1255">
        <f t="shared" si="286"/>
        <v>535316</v>
      </c>
      <c r="D867" s="1255">
        <f t="shared" si="286"/>
        <v>555040</v>
      </c>
      <c r="E867" s="454">
        <f>D867-C867</f>
        <v>19724</v>
      </c>
      <c r="F867" s="462">
        <f>E867/C867</f>
        <v>3.6845526754290925E-2</v>
      </c>
    </row>
    <row r="868" spans="2:6" hidden="1">
      <c r="B868" s="1289" t="str">
        <f t="shared" si="285"/>
        <v>kWh - weather normalized</v>
      </c>
      <c r="C868" s="1255">
        <f t="shared" si="286"/>
        <v>535316</v>
      </c>
      <c r="D868" s="1255">
        <f t="shared" si="286"/>
        <v>555040</v>
      </c>
      <c r="E868" s="454">
        <f>D868-C868</f>
        <v>19724</v>
      </c>
      <c r="F868" s="462">
        <f>E868/C868</f>
        <v>3.6845526754290925E-2</v>
      </c>
    </row>
    <row r="869" spans="2:6" hidden="1">
      <c r="B869" s="1289" t="e">
        <f t="shared" si="285"/>
        <v>#REF!</v>
      </c>
      <c r="C869" s="1255">
        <f t="shared" si="286"/>
        <v>9391.5087719298244</v>
      </c>
      <c r="D869" s="1255">
        <f t="shared" si="286"/>
        <v>9737.5438596491222</v>
      </c>
      <c r="E869" s="454">
        <f>D869-C869</f>
        <v>346.03508771929774</v>
      </c>
      <c r="F869" s="462">
        <f>E869/C869</f>
        <v>3.6845526754290869E-2</v>
      </c>
    </row>
    <row r="870" spans="2:6" hidden="1">
      <c r="B870" s="1289" t="e">
        <f t="shared" si="285"/>
        <v>#REF!</v>
      </c>
      <c r="C870" s="1255">
        <f t="shared" si="286"/>
        <v>9391.5087719298244</v>
      </c>
      <c r="D870" s="1255">
        <f t="shared" si="286"/>
        <v>9737.5438596491222</v>
      </c>
      <c r="E870" s="454">
        <f t="shared" ref="E870:E871" si="287">D870-C870</f>
        <v>346.03508771929774</v>
      </c>
      <c r="F870" s="462">
        <f t="shared" ref="F870:F871" si="288">E870/C870</f>
        <v>3.6845526754290869E-2</v>
      </c>
    </row>
    <row r="871" spans="2:6" hidden="1">
      <c r="B871" s="1295" t="e">
        <f t="shared" si="285"/>
        <v>#REF!</v>
      </c>
      <c r="C871" s="1255">
        <f t="shared" si="286"/>
        <v>14140.06</v>
      </c>
      <c r="D871" s="1255">
        <f t="shared" si="286"/>
        <v>14117.258400000001</v>
      </c>
      <c r="E871" s="461">
        <f t="shared" si="287"/>
        <v>-22.801599999998871</v>
      </c>
      <c r="F871" s="463">
        <f t="shared" si="288"/>
        <v>-1.6125532706366785E-3</v>
      </c>
    </row>
    <row r="872" spans="2:6" hidden="1">
      <c r="B872" s="1296"/>
      <c r="C872" s="1263"/>
      <c r="D872" s="1263"/>
      <c r="E872" s="1260"/>
      <c r="F872" s="1261"/>
    </row>
    <row r="873" spans="2:6" hidden="1">
      <c r="B873" s="1293" t="str">
        <f t="shared" si="285"/>
        <v>Total</v>
      </c>
      <c r="C873" s="1256"/>
      <c r="D873" s="1256"/>
      <c r="E873" s="459"/>
      <c r="F873" s="464"/>
    </row>
    <row r="874" spans="2:6" hidden="1">
      <c r="B874" s="1294" t="str">
        <f t="shared" si="285"/>
        <v># of Customers</v>
      </c>
      <c r="C874" s="1255">
        <f t="shared" ref="C874:D874" si="289">C820+C828+C836+C846+C856+C866</f>
        <v>7741</v>
      </c>
      <c r="D874" s="1255">
        <f t="shared" si="289"/>
        <v>7747</v>
      </c>
      <c r="E874" s="454">
        <f>D874-C874</f>
        <v>6</v>
      </c>
      <c r="F874" s="462">
        <f>E874/C874</f>
        <v>7.7509365715023898E-4</v>
      </c>
    </row>
    <row r="875" spans="2:6" hidden="1">
      <c r="B875" s="1294" t="str">
        <f t="shared" si="285"/>
        <v>kWh - actual</v>
      </c>
      <c r="C875" s="1255">
        <f t="shared" ref="C875:D875" si="290">C821+C829+C837+C847+C857+C867</f>
        <v>99512150</v>
      </c>
      <c r="D875" s="1255">
        <f t="shared" si="290"/>
        <v>100472426</v>
      </c>
      <c r="E875" s="1258">
        <f>D875-C875</f>
        <v>960276</v>
      </c>
      <c r="F875" s="1264">
        <f>E875/C875</f>
        <v>9.6498367284798894E-3</v>
      </c>
    </row>
    <row r="876" spans="2:6" hidden="1">
      <c r="B876" s="1294" t="str">
        <f t="shared" si="285"/>
        <v>kWh - weather normalized</v>
      </c>
      <c r="C876" s="1255">
        <f t="shared" ref="C876:D876" si="291">C822+C830+C838+C848+C858+C868</f>
        <v>100136804.11806418</v>
      </c>
      <c r="D876" s="1255">
        <f t="shared" si="291"/>
        <v>100472426</v>
      </c>
      <c r="E876" s="1258">
        <f t="shared" ref="E876:E879" si="292">D876-C876</f>
        <v>335621.88193581998</v>
      </c>
      <c r="F876" s="1264">
        <f t="shared" ref="F876:F879" si="293">E876/C876</f>
        <v>3.351633646507353E-3</v>
      </c>
    </row>
    <row r="877" spans="2:6" hidden="1">
      <c r="B877" s="1294" t="str">
        <f t="shared" si="285"/>
        <v>kW - actual</v>
      </c>
      <c r="C877" s="1255">
        <f>C839+C849+C859</f>
        <v>111159.4</v>
      </c>
      <c r="D877" s="1255">
        <f>D839+D849+D859</f>
        <v>112826.03055555557</v>
      </c>
      <c r="E877" s="1258">
        <f t="shared" si="292"/>
        <v>1666.6305555555737</v>
      </c>
      <c r="F877" s="1264">
        <f t="shared" si="293"/>
        <v>1.4993158973110449E-2</v>
      </c>
    </row>
    <row r="878" spans="2:6" hidden="1">
      <c r="B878" s="1294" t="str">
        <f t="shared" si="285"/>
        <v>kW - weather normalized</v>
      </c>
      <c r="C878" s="1255">
        <f>C840+C850+C860</f>
        <v>111574.50410887906</v>
      </c>
      <c r="D878" s="1255">
        <f>D840+D850+D860</f>
        <v>112826.03055555557</v>
      </c>
      <c r="E878" s="1258">
        <f t="shared" si="292"/>
        <v>1251.5264466765075</v>
      </c>
      <c r="F878" s="1264">
        <f t="shared" si="293"/>
        <v>1.121695728492968E-2</v>
      </c>
    </row>
    <row r="879" spans="2:6" ht="14.4" thickBot="1">
      <c r="B879" s="1297" t="e">
        <f t="shared" si="285"/>
        <v>#REF!</v>
      </c>
      <c r="C879" s="1259">
        <f>C825+C833+C843+C853+C863+C871</f>
        <v>2734440.049584995</v>
      </c>
      <c r="D879" s="1259">
        <f>D825+D833+D843+D853+D863+D871</f>
        <v>2647599.7142791105</v>
      </c>
      <c r="E879" s="1247">
        <f t="shared" si="292"/>
        <v>-86840.33530588448</v>
      </c>
      <c r="F879" s="1265">
        <f t="shared" si="293"/>
        <v>-3.1757995688756903E-2</v>
      </c>
    </row>
    <row r="880" spans="2:6" ht="14.4" thickTop="1">
      <c r="B880" s="1301"/>
      <c r="C880" s="1288"/>
      <c r="D880" s="1288"/>
      <c r="E880" s="495"/>
      <c r="F880" s="521"/>
    </row>
    <row r="881" spans="2:8">
      <c r="B881" s="1301"/>
      <c r="C881" s="1288"/>
      <c r="D881" s="1288"/>
      <c r="E881" s="495"/>
      <c r="F881" s="521"/>
    </row>
    <row r="882" spans="2:8">
      <c r="B882" s="937"/>
      <c r="C882" s="409" t="s">
        <v>592</v>
      </c>
      <c r="D882" s="937"/>
      <c r="E882" s="175"/>
      <c r="F882" s="170"/>
      <c r="G882" s="169"/>
    </row>
    <row r="883" spans="2:8">
      <c r="B883" s="937"/>
      <c r="C883" s="409"/>
      <c r="D883" s="937"/>
      <c r="E883" s="175"/>
      <c r="F883" s="170"/>
      <c r="G883" s="169"/>
    </row>
    <row r="884" spans="2:8" ht="39.6">
      <c r="B884" s="1334"/>
      <c r="C884" s="1335" t="s">
        <v>1</v>
      </c>
      <c r="D884" s="1336" t="s">
        <v>110</v>
      </c>
      <c r="E884" s="1336" t="s">
        <v>249</v>
      </c>
      <c r="F884" s="1336" t="s">
        <v>179</v>
      </c>
      <c r="G884" s="1336" t="s">
        <v>159</v>
      </c>
      <c r="H884" s="1337" t="s">
        <v>2</v>
      </c>
    </row>
    <row r="885" spans="2:8">
      <c r="B885" s="1338">
        <v>2010</v>
      </c>
      <c r="C885" s="564">
        <f>'Rate Class Energy Model '!E24</f>
        <v>8650.5351718625097</v>
      </c>
      <c r="D885" s="564">
        <f>'Rate Class Energy Model '!F24</f>
        <v>26573.054616384914</v>
      </c>
      <c r="E885" s="564">
        <f>'Rate Class Energy Model '!G24</f>
        <v>651988</v>
      </c>
      <c r="F885" s="564">
        <f>'Rate Class Energy Model '!H24</f>
        <v>853.71344685848499</v>
      </c>
      <c r="G885" s="564">
        <f>'Rate Class Energy Model '!I24</f>
        <v>1443.4933333333333</v>
      </c>
      <c r="H885" s="1339">
        <f>'Rate Class Energy Model '!J24</f>
        <v>8396.2542372881362</v>
      </c>
    </row>
    <row r="886" spans="2:8">
      <c r="B886" s="1338">
        <v>2011</v>
      </c>
      <c r="C886" s="564">
        <f>'Rate Class Energy Model '!E25</f>
        <v>8381.4889552238801</v>
      </c>
      <c r="D886" s="564">
        <f>'Rate Class Energy Model '!F25</f>
        <v>25544.393506493507</v>
      </c>
      <c r="E886" s="564">
        <f>'Rate Class Energy Model '!G25</f>
        <v>635074.58208955219</v>
      </c>
      <c r="F886" s="564">
        <f>'Rate Class Energy Model '!H25</f>
        <v>853.67469172049323</v>
      </c>
      <c r="G886" s="564">
        <f>'Rate Class Energy Model '!I25</f>
        <v>1443.5466666666666</v>
      </c>
      <c r="H886" s="1339">
        <f>'Rate Class Energy Model '!J25</f>
        <v>8321.0833333333339</v>
      </c>
    </row>
    <row r="887" spans="2:8">
      <c r="B887" s="1338">
        <v>2012</v>
      </c>
      <c r="C887" s="564">
        <f>'Rate Class Energy Model '!E26</f>
        <v>8493.5130089374379</v>
      </c>
      <c r="D887" s="564">
        <f>'Rate Class Energy Model '!F26</f>
        <v>26474.557312252964</v>
      </c>
      <c r="E887" s="564">
        <f>'Rate Class Energy Model '!G26</f>
        <v>649946.19999999995</v>
      </c>
      <c r="F887" s="564">
        <f>'Rate Class Energy Model '!H26</f>
        <v>847.86350322202691</v>
      </c>
      <c r="G887" s="564">
        <f>'Rate Class Energy Model '!I26</f>
        <v>1443.7466666666667</v>
      </c>
      <c r="H887" s="1339">
        <f>'Rate Class Energy Model '!J26</f>
        <v>8719.6393442622957</v>
      </c>
    </row>
    <row r="888" spans="2:8">
      <c r="B888" s="1338">
        <v>2013</v>
      </c>
      <c r="C888" s="564">
        <f>'Rate Class Energy Model '!E27</f>
        <v>8387.3468253968258</v>
      </c>
      <c r="D888" s="564">
        <f>'Rate Class Energy Model '!F27</f>
        <v>27506.354111405835</v>
      </c>
      <c r="E888" s="564">
        <f>'Rate Class Energy Model '!G27</f>
        <v>665381.5</v>
      </c>
      <c r="F888" s="564">
        <f>'Rate Class Energy Model '!H27</f>
        <v>774.1681312243702</v>
      </c>
      <c r="G888" s="564">
        <f>'Rate Class Energy Model '!I27</f>
        <v>1457.36</v>
      </c>
      <c r="H888" s="1339">
        <f>'Rate Class Energy Model '!J27</f>
        <v>9274.7377049180323</v>
      </c>
    </row>
    <row r="889" spans="2:8">
      <c r="B889" s="1338">
        <v>2014</v>
      </c>
      <c r="C889" s="564">
        <f>'Rate Class Energy Model '!E28</f>
        <v>8100.1802453502178</v>
      </c>
      <c r="D889" s="564">
        <f>'Rate Class Energy Model '!F28</f>
        <v>27834.411053908356</v>
      </c>
      <c r="E889" s="564">
        <f>'Rate Class Energy Model '!G28</f>
        <v>639344.953125</v>
      </c>
      <c r="F889" s="564">
        <f>'Rate Class Energy Model '!H28</f>
        <v>615.24137931034488</v>
      </c>
      <c r="G889" s="564">
        <f>'Rate Class Energy Model '!I28</f>
        <v>1460.0266666666666</v>
      </c>
      <c r="H889" s="1339">
        <f>'Rate Class Energy Model '!J28</f>
        <v>9213.0677966101703</v>
      </c>
    </row>
    <row r="890" spans="2:8">
      <c r="B890" s="1338">
        <v>2015</v>
      </c>
      <c r="C890" s="564">
        <f>'Rate Class Energy Model '!E29</f>
        <v>7982.6549652928425</v>
      </c>
      <c r="D890" s="564">
        <f>'Rate Class Energy Model '!F29</f>
        <v>27498.139128378381</v>
      </c>
      <c r="E890" s="564">
        <f>'Rate Class Energy Model '!G29</f>
        <v>616500.296875</v>
      </c>
      <c r="F890" s="564">
        <f>'Rate Class Energy Model '!H29</f>
        <v>451.87492694330803</v>
      </c>
      <c r="G890" s="564">
        <f>'Rate Class Energy Model '!I29</f>
        <v>1462.8904109589041</v>
      </c>
      <c r="H890" s="1339">
        <f>'Rate Class Energy Model '!J29</f>
        <v>9420.4137931034475</v>
      </c>
    </row>
    <row r="891" spans="2:8">
      <c r="B891" s="1338">
        <v>2016</v>
      </c>
      <c r="C891" s="564">
        <f>'Rate Class Energy Model '!E30</f>
        <v>7738.1676861858905</v>
      </c>
      <c r="D891" s="564">
        <f>'Rate Class Energy Model '!F30</f>
        <v>26742.810985155193</v>
      </c>
      <c r="E891" s="564">
        <f>'Rate Class Energy Model '!G30</f>
        <v>607725.04761904757</v>
      </c>
      <c r="F891" s="564">
        <f>'Rate Class Energy Model '!H30</f>
        <v>418.86031560490943</v>
      </c>
      <c r="G891" s="564">
        <f>'Rate Class Energy Model '!I30</f>
        <v>1407.1267605633802</v>
      </c>
      <c r="H891" s="1339">
        <f>'Rate Class Energy Model '!J30</f>
        <v>9457.8421052631584</v>
      </c>
    </row>
    <row r="892" spans="2:8">
      <c r="B892" s="1338">
        <v>2017</v>
      </c>
      <c r="C892" s="564">
        <f>'Rate Class Energy Model '!E31</f>
        <v>8332.7696025465229</v>
      </c>
      <c r="D892" s="564">
        <f>'Rate Class Energy Model '!F31</f>
        <v>27405.207932341003</v>
      </c>
      <c r="E892" s="564">
        <f>'Rate Class Energy Model '!G31</f>
        <v>580059.48157344596</v>
      </c>
      <c r="F892" s="564">
        <f>'Rate Class Energy Model '!H31</f>
        <v>417.58537284278134</v>
      </c>
      <c r="G892" s="564">
        <f>'Rate Class Energy Model '!I31</f>
        <v>1352.7916666666667</v>
      </c>
      <c r="H892" s="1339">
        <f>'Rate Class Energy Model '!J31</f>
        <v>9502.4035087719294</v>
      </c>
    </row>
    <row r="893" spans="2:8">
      <c r="B893" s="1338">
        <v>2018</v>
      </c>
      <c r="C893" s="564">
        <f>'Rate Class Energy Model '!E32</f>
        <v>8250.0686485429305</v>
      </c>
      <c r="D893" s="564">
        <f>'Rate Class Energy Model '!F32</f>
        <v>26803.125170068026</v>
      </c>
      <c r="E893" s="564">
        <f>'Rate Class Energy Model '!G32</f>
        <v>596838.72580645164</v>
      </c>
      <c r="F893" s="564">
        <f>'Rate Class Energy Model '!H32</f>
        <v>404.42022209234364</v>
      </c>
      <c r="G893" s="564">
        <f>'Rate Class Energy Model '!I32</f>
        <v>1325.4594594594594</v>
      </c>
      <c r="H893" s="1339">
        <f>'Rate Class Energy Model '!J32</f>
        <v>9511.3333333333339</v>
      </c>
    </row>
    <row r="894" spans="2:8">
      <c r="B894" s="1338">
        <v>2019</v>
      </c>
      <c r="C894" s="564">
        <f>'Rate Class Energy Model '!E33</f>
        <v>8536.1067162717845</v>
      </c>
      <c r="D894" s="564">
        <f>'Rate Class Energy Model '!F33</f>
        <v>25353.704514363886</v>
      </c>
      <c r="E894" s="564">
        <f>'Rate Class Energy Model '!G33</f>
        <v>591933.83606557373</v>
      </c>
      <c r="F894" s="564">
        <f>'Rate Class Energy Model '!H33</f>
        <v>376.60922897196264</v>
      </c>
      <c r="G894" s="564">
        <f>'Rate Class Energy Model '!I33</f>
        <v>1324.1095890410959</v>
      </c>
      <c r="H894" s="1339">
        <f>'Rate Class Energy Model '!J33</f>
        <v>9391.5087719298244</v>
      </c>
    </row>
    <row r="895" spans="2:8">
      <c r="B895" s="1340">
        <v>2020</v>
      </c>
      <c r="C895" s="1308">
        <f>'Rate Class Energy Model '!E34</f>
        <v>8523.1299589603277</v>
      </c>
      <c r="D895" s="1308">
        <f>'Rate Class Energy Model '!F34</f>
        <v>24301.039726027397</v>
      </c>
      <c r="E895" s="1308">
        <f>'Rate Class Energy Model '!G34</f>
        <v>620206.03278688528</v>
      </c>
      <c r="F895" s="1308">
        <f>'Rate Class Energy Model '!H34</f>
        <v>375.93224299065423</v>
      </c>
      <c r="G895" s="1308">
        <f>'Rate Class Energy Model '!I34</f>
        <v>1265.8142857142857</v>
      </c>
      <c r="H895" s="1341">
        <f>'Rate Class Energy Model '!J34</f>
        <v>9737.5438596491222</v>
      </c>
    </row>
    <row r="896" spans="2:8">
      <c r="B896" s="1342">
        <v>2021</v>
      </c>
      <c r="C896" s="1094">
        <f>'Rate Class Energy Model '!E39</f>
        <v>8168.7826083721748</v>
      </c>
      <c r="D896" s="1094">
        <f>'Rate Class Energy Model '!F39</f>
        <v>26389.847308008142</v>
      </c>
      <c r="E896" s="1094">
        <f>'Rate Class Energy Model '!G39</f>
        <v>606866.6068776428</v>
      </c>
      <c r="F896" s="1094">
        <f>'Rate Class Energy Model '!H39</f>
        <v>375.93224299065423</v>
      </c>
      <c r="G896" s="1094">
        <f>'Rate Class Energy Model '!I39</f>
        <v>1242.0237870002541</v>
      </c>
      <c r="H896" s="1343">
        <f>'Rate Class Energy Model '!J39</f>
        <v>9786.7248843287853</v>
      </c>
    </row>
    <row r="897" spans="2:7">
      <c r="B897" s="1301"/>
      <c r="C897" s="1288"/>
      <c r="D897" s="1288"/>
      <c r="E897" s="495"/>
      <c r="F897" s="521"/>
    </row>
    <row r="898" spans="2:7">
      <c r="B898" s="1301"/>
      <c r="C898" s="1288"/>
      <c r="D898" s="1288"/>
      <c r="E898" s="495"/>
      <c r="F898" s="521"/>
    </row>
    <row r="899" spans="2:7">
      <c r="B899" s="937"/>
      <c r="C899" s="409" t="s">
        <v>593</v>
      </c>
      <c r="D899" s="937"/>
      <c r="E899" s="175"/>
      <c r="F899" s="170"/>
      <c r="G899" s="169"/>
    </row>
    <row r="900" spans="2:7">
      <c r="B900" s="937"/>
      <c r="C900" s="409"/>
      <c r="D900" s="937"/>
      <c r="E900" s="175"/>
      <c r="F900" s="170"/>
      <c r="G900" s="169"/>
    </row>
    <row r="901" spans="2:7" ht="39.6">
      <c r="B901" s="1334"/>
      <c r="C901" s="1336" t="s">
        <v>249</v>
      </c>
      <c r="D901" s="1336" t="s">
        <v>179</v>
      </c>
      <c r="E901" s="1337" t="s">
        <v>159</v>
      </c>
    </row>
    <row r="902" spans="2:7">
      <c r="B902" s="1338">
        <v>2010</v>
      </c>
      <c r="C902" s="564">
        <f>'Rate Class Load Model'!B3/'Rate Class Customer Model'!D4</f>
        <v>1981.2424242424242</v>
      </c>
      <c r="D902" s="1344">
        <f>'Rate Class Load Model'!C3/'Rate Class Customer Model'!E4</f>
        <v>2.3141514973576043</v>
      </c>
      <c r="E902" s="1345">
        <f>'Rate Class Load Model'!D3/'Rate Class Customer Model'!F4</f>
        <v>4</v>
      </c>
    </row>
    <row r="903" spans="2:7">
      <c r="B903" s="1338">
        <v>2011</v>
      </c>
      <c r="C903" s="564">
        <f>'Rate Class Load Model'!B4/'Rate Class Customer Model'!D5</f>
        <v>1872.6716417910447</v>
      </c>
      <c r="D903" s="1344">
        <f>'Rate Class Load Model'!C4/'Rate Class Customer Model'!E5</f>
        <v>2.3012331180270111</v>
      </c>
      <c r="E903" s="1345">
        <f>'Rate Class Load Model'!D4/'Rate Class Customer Model'!F5</f>
        <v>4</v>
      </c>
    </row>
    <row r="904" spans="2:7">
      <c r="B904" s="1338">
        <v>2012</v>
      </c>
      <c r="C904" s="564">
        <f>'Rate Class Load Model'!B5/'Rate Class Customer Model'!D6</f>
        <v>2048.4307692307693</v>
      </c>
      <c r="D904" s="1344">
        <f>'Rate Class Load Model'!C5/'Rate Class Customer Model'!E6</f>
        <v>2.2964264792032805</v>
      </c>
      <c r="E904" s="1345">
        <f>'Rate Class Load Model'!D5/'Rate Class Customer Model'!F6</f>
        <v>4</v>
      </c>
    </row>
    <row r="905" spans="2:7">
      <c r="B905" s="1338">
        <v>2013</v>
      </c>
      <c r="C905" s="564">
        <f>'Rate Class Load Model'!B6/'Rate Class Customer Model'!D7</f>
        <v>2061.671875</v>
      </c>
      <c r="D905" s="1344">
        <f>'Rate Class Load Model'!C6/'Rate Class Customer Model'!E7</f>
        <v>2.1206795547744579</v>
      </c>
      <c r="E905" s="1345">
        <f>'Rate Class Load Model'!D6/'Rate Class Customer Model'!F7</f>
        <v>4.0266666666666664</v>
      </c>
    </row>
    <row r="906" spans="2:7">
      <c r="B906" s="1338">
        <v>2014</v>
      </c>
      <c r="C906" s="564">
        <f>'Rate Class Load Model'!B7/'Rate Class Customer Model'!D8</f>
        <v>1964.600625</v>
      </c>
      <c r="D906" s="1344">
        <f>'Rate Class Load Model'!C7/'Rate Class Customer Model'!E8</f>
        <v>1.6724722384570425</v>
      </c>
      <c r="E906" s="1345">
        <f>'Rate Class Load Model'!D7/'Rate Class Customer Model'!F8</f>
        <v>4.0266666666666664</v>
      </c>
    </row>
    <row r="907" spans="2:7">
      <c r="B907" s="1338">
        <v>2015</v>
      </c>
      <c r="C907" s="564">
        <f>'Rate Class Load Model'!B8/'Rate Class Customer Model'!D9</f>
        <v>1804.3265624999999</v>
      </c>
      <c r="D907" s="1344">
        <f>'Rate Class Load Model'!C8/'Rate Class Customer Model'!E9</f>
        <v>1.2100058445353592</v>
      </c>
      <c r="E907" s="1345">
        <f>'Rate Class Load Model'!D8/'Rate Class Customer Model'!F9</f>
        <v>4.1369863013698627</v>
      </c>
    </row>
    <row r="908" spans="2:7">
      <c r="B908" s="1338">
        <v>2016</v>
      </c>
      <c r="C908" s="564">
        <f>'Rate Class Load Model'!B9/'Rate Class Customer Model'!D10</f>
        <v>1773.0825396825396</v>
      </c>
      <c r="D908" s="1344">
        <f>'Rate Class Load Model'!C9/'Rate Class Customer Model'!E10</f>
        <v>1.1365400350672121</v>
      </c>
      <c r="E908" s="1345">
        <f>'Rate Class Load Model'!D9/'Rate Class Customer Model'!F10</f>
        <v>3.8830985915492957</v>
      </c>
    </row>
    <row r="909" spans="2:7">
      <c r="B909" s="1338">
        <v>2017</v>
      </c>
      <c r="C909" s="564">
        <f>'Rate Class Load Model'!B10/'Rate Class Customer Model'!D11</f>
        <v>1730.6676923076925</v>
      </c>
      <c r="D909" s="1344">
        <f>'Rate Class Load Model'!C10/'Rate Class Customer Model'!E11</f>
        <v>1.1329631794272355</v>
      </c>
      <c r="E909" s="1345">
        <f>'Rate Class Load Model'!D10/'Rate Class Customer Model'!F11</f>
        <v>3.7527777777777778</v>
      </c>
    </row>
    <row r="910" spans="2:7">
      <c r="B910" s="1338">
        <v>2018</v>
      </c>
      <c r="C910" s="564">
        <f>'Rate Class Load Model'!B11/'Rate Class Customer Model'!D12</f>
        <v>1770.3806451612904</v>
      </c>
      <c r="D910" s="1344">
        <f>'Rate Class Load Model'!C11/'Rate Class Customer Model'!E12</f>
        <v>1.1028053769725308</v>
      </c>
      <c r="E910" s="1345">
        <f>'Rate Class Load Model'!D11/'Rate Class Customer Model'!F12</f>
        <v>3.6810810810810808</v>
      </c>
    </row>
    <row r="911" spans="2:7">
      <c r="B911" s="1338">
        <v>2019</v>
      </c>
      <c r="C911" s="1094">
        <f>'Rate Class Load Model'!B12/'Rate Class Customer Model'!D13</f>
        <v>1789.295081967213</v>
      </c>
      <c r="D911" s="1333">
        <f>'Rate Class Load Model'!C12/'Rate Class Customer Model'!E13</f>
        <v>1.0186331775700934</v>
      </c>
      <c r="E911" s="1346">
        <f>'Rate Class Load Model'!D12/'Rate Class Customer Model'!F13</f>
        <v>3.6780821917808217</v>
      </c>
    </row>
    <row r="912" spans="2:7">
      <c r="B912" s="1340">
        <v>2020</v>
      </c>
      <c r="C912" s="564">
        <f>'Rate Class Load Model'!B13/'Rate Class Customer Model'!D14</f>
        <v>1816.9557377049182</v>
      </c>
      <c r="D912" s="1344">
        <f>'Rate Class Load Model'!C13/'Rate Class Customer Model'!E14</f>
        <v>1.0196261682242991</v>
      </c>
      <c r="E912" s="1345">
        <f>'Rate Class Load Model'!D13/'Rate Class Customer Model'!F14</f>
        <v>3.5161507936507932</v>
      </c>
    </row>
    <row r="913" spans="2:16">
      <c r="B913" s="1342">
        <v>2021</v>
      </c>
      <c r="C913" s="1094">
        <f>'Rate Class Load Model'!B14/'Rate Class Customer Model'!D15</f>
        <v>1762.8975275025805</v>
      </c>
      <c r="D913" s="1333">
        <f>'Rate Class Load Model'!C14/'Rate Class Customer Model'!E15</f>
        <v>1.0196261682242991</v>
      </c>
      <c r="E913" s="1346">
        <f>'Rate Class Load Model'!D14/'Rate Class Customer Model'!F15</f>
        <v>3.4500660750007057</v>
      </c>
    </row>
    <row r="914" spans="2:16">
      <c r="B914" s="1301"/>
      <c r="C914" s="1288"/>
      <c r="D914" s="1288"/>
      <c r="E914" s="495"/>
      <c r="F914" s="521"/>
    </row>
    <row r="915" spans="2:16">
      <c r="B915" s="1301"/>
      <c r="C915" s="1288"/>
      <c r="D915" s="1288"/>
      <c r="E915" s="495"/>
      <c r="F915" s="521"/>
    </row>
    <row r="916" spans="2:16">
      <c r="B916" s="1301"/>
      <c r="C916" s="1288"/>
      <c r="D916" s="1288"/>
      <c r="E916" s="495"/>
      <c r="F916" s="521"/>
    </row>
    <row r="917" spans="2:16" ht="12.9" customHeight="1">
      <c r="B917" s="1298"/>
      <c r="C917" s="452"/>
      <c r="D917" s="452"/>
      <c r="E917" s="452"/>
      <c r="F917" s="452"/>
      <c r="G917" s="723"/>
      <c r="H917" s="432"/>
      <c r="I917" s="432"/>
      <c r="J917" s="432"/>
      <c r="K917" s="476"/>
      <c r="L917" s="450"/>
      <c r="M917" s="470"/>
      <c r="N917" s="452"/>
      <c r="O917" s="452"/>
      <c r="P917" s="452"/>
    </row>
    <row r="918" spans="2:16" ht="12.9" customHeight="1">
      <c r="B918" s="1299"/>
      <c r="C918" s="452"/>
      <c r="D918" s="452"/>
      <c r="E918" s="452"/>
      <c r="F918" s="452"/>
      <c r="G918" s="723"/>
      <c r="H918" s="432"/>
      <c r="I918" s="432"/>
      <c r="J918" s="432"/>
      <c r="K918" s="476"/>
      <c r="L918" s="452"/>
      <c r="N918" s="452"/>
      <c r="O918" s="452"/>
      <c r="P918" s="452"/>
    </row>
    <row r="919" spans="2:16" ht="12.9" customHeight="1">
      <c r="B919" s="1298"/>
      <c r="C919" s="452"/>
      <c r="D919" s="452"/>
      <c r="E919" s="452"/>
      <c r="F919" s="452"/>
      <c r="G919" s="723"/>
      <c r="H919" s="432"/>
      <c r="I919" s="432"/>
      <c r="J919" s="432"/>
      <c r="K919" s="476"/>
      <c r="L919" s="451"/>
      <c r="M919" s="468"/>
      <c r="N919" s="452"/>
      <c r="O919" s="452"/>
      <c r="P919" s="452"/>
    </row>
  </sheetData>
  <mergeCells count="12">
    <mergeCell ref="E750:F750"/>
    <mergeCell ref="E797:F797"/>
    <mergeCell ref="E817:F817"/>
    <mergeCell ref="E616:F616"/>
    <mergeCell ref="E663:F663"/>
    <mergeCell ref="E683:F683"/>
    <mergeCell ref="E730:F730"/>
    <mergeCell ref="C259:J259"/>
    <mergeCell ref="C271:J271"/>
    <mergeCell ref="C263:J263"/>
    <mergeCell ref="C275:J275"/>
    <mergeCell ref="E568:F568"/>
  </mergeCells>
  <phoneticPr fontId="17" type="noConversion"/>
  <conditionalFormatting sqref="F605 F575 F746:F747 D427:I433 E436:F437 H436:H437 J437 D434:F435 I434:I435 D464:I465 E439:E451 G439:G450 I439:I450 K439:K450 M439:M450 D452:I452 F451:M451 D484:I485 D504:I505 F563:I563 F571:F573 F899:F900 D901">
    <cfRule type="cellIs" dxfId="134" priority="312" operator="lessThan">
      <formula>0</formula>
    </cfRule>
  </conditionalFormatting>
  <conditionalFormatting sqref="F580 F587 F594 F601">
    <cfRule type="cellIs" dxfId="133" priority="270" operator="lessThan">
      <formula>0</formula>
    </cfRule>
  </conditionalFormatting>
  <conditionalFormatting sqref="F576:F578">
    <cfRule type="cellIs" dxfId="132" priority="258" operator="lessThan">
      <formula>0</formula>
    </cfRule>
  </conditionalFormatting>
  <conditionalFormatting sqref="F581:F585">
    <cfRule type="cellIs" dxfId="131" priority="257" operator="lessThan">
      <formula>0</formula>
    </cfRule>
  </conditionalFormatting>
  <conditionalFormatting sqref="F588:F592">
    <cfRule type="cellIs" dxfId="130" priority="255" operator="lessThan">
      <formula>0</formula>
    </cfRule>
  </conditionalFormatting>
  <conditionalFormatting sqref="F602:F604">
    <cfRule type="cellIs" dxfId="129" priority="252" operator="lessThan">
      <formula>0</formula>
    </cfRule>
  </conditionalFormatting>
  <conditionalFormatting sqref="F606:F611">
    <cfRule type="cellIs" dxfId="128" priority="251" operator="lessThan">
      <formula>0</formula>
    </cfRule>
  </conditionalFormatting>
  <conditionalFormatting sqref="N391:N399">
    <cfRule type="cellIs" dxfId="127" priority="210" operator="lessThan">
      <formula>0</formula>
    </cfRule>
  </conditionalFormatting>
  <conditionalFormatting sqref="F679">
    <cfRule type="cellIs" dxfId="126" priority="237" operator="lessThan">
      <formula>0</formula>
    </cfRule>
  </conditionalFormatting>
  <conditionalFormatting sqref="F635:F642">
    <cfRule type="cellIs" dxfId="125" priority="159" operator="lessThan">
      <formula>0</formula>
    </cfRule>
  </conditionalFormatting>
  <conditionalFormatting sqref="F668:F669">
    <cfRule type="cellIs" dxfId="124" priority="154" operator="lessThan">
      <formula>0</formula>
    </cfRule>
  </conditionalFormatting>
  <conditionalFormatting sqref="F645:F650 F652">
    <cfRule type="cellIs" dxfId="123" priority="158" operator="lessThan">
      <formula>0</formula>
    </cfRule>
  </conditionalFormatting>
  <conditionalFormatting sqref="F665:F667 F670">
    <cfRule type="cellIs" dxfId="122" priority="157" operator="lessThan">
      <formula>0</formula>
    </cfRule>
  </conditionalFormatting>
  <conditionalFormatting sqref="F672:F678">
    <cfRule type="cellIs" dxfId="121" priority="156" operator="lessThan">
      <formula>0</formula>
    </cfRule>
  </conditionalFormatting>
  <conditionalFormatting sqref="F655:F662">
    <cfRule type="cellIs" dxfId="120" priority="155" operator="lessThan">
      <formula>0</formula>
    </cfRule>
  </conditionalFormatting>
  <conditionalFormatting sqref="F653">
    <cfRule type="cellIs" dxfId="119" priority="153" operator="lessThan">
      <formula>0</formula>
    </cfRule>
  </conditionalFormatting>
  <conditionalFormatting sqref="F595:F599">
    <cfRule type="cellIs" dxfId="118" priority="181" operator="lessThan">
      <formula>0</formula>
    </cfRule>
  </conditionalFormatting>
  <conditionalFormatting sqref="F593">
    <cfRule type="cellIs" dxfId="117" priority="179" operator="lessThan">
      <formula>0</formula>
    </cfRule>
  </conditionalFormatting>
  <conditionalFormatting sqref="F586">
    <cfRule type="cellIs" dxfId="116" priority="178" operator="lessThan">
      <formula>0</formula>
    </cfRule>
  </conditionalFormatting>
  <conditionalFormatting sqref="F579">
    <cfRule type="cellIs" dxfId="115" priority="177" operator="lessThan">
      <formula>0</formula>
    </cfRule>
  </conditionalFormatting>
  <conditionalFormatting sqref="F574">
    <cfRule type="cellIs" dxfId="114" priority="176" operator="lessThan">
      <formula>0</formula>
    </cfRule>
  </conditionalFormatting>
  <conditionalFormatting sqref="F643">
    <cfRule type="cellIs" dxfId="113" priority="152" operator="lessThan">
      <formula>0</formula>
    </cfRule>
  </conditionalFormatting>
  <conditionalFormatting sqref="F633">
    <cfRule type="cellIs" dxfId="112" priority="151" operator="lessThan">
      <formula>0</formula>
    </cfRule>
  </conditionalFormatting>
  <conditionalFormatting sqref="F625">
    <cfRule type="cellIs" dxfId="111" priority="150" operator="lessThan">
      <formula>0</formula>
    </cfRule>
  </conditionalFormatting>
  <conditionalFormatting sqref="D342:I344">
    <cfRule type="cellIs" dxfId="110" priority="149" operator="lessThan">
      <formula>0</formula>
    </cfRule>
  </conditionalFormatting>
  <conditionalFormatting sqref="D354:I356">
    <cfRule type="cellIs" dxfId="109" priority="148" operator="lessThan">
      <formula>0</formula>
    </cfRule>
  </conditionalFormatting>
  <conditionalFormatting sqref="D368:I372">
    <cfRule type="cellIs" dxfId="108" priority="147" operator="lessThan">
      <formula>0</formula>
    </cfRule>
  </conditionalFormatting>
  <conditionalFormatting sqref="D384:I388">
    <cfRule type="cellIs" dxfId="107" priority="146" operator="lessThan">
      <formula>0</formula>
    </cfRule>
  </conditionalFormatting>
  <conditionalFormatting sqref="D401:I405">
    <cfRule type="cellIs" dxfId="106" priority="145" operator="lessThan">
      <formula>0</formula>
    </cfRule>
  </conditionalFormatting>
  <conditionalFormatting sqref="D415:I417">
    <cfRule type="cellIs" dxfId="105" priority="144" operator="lessThan">
      <formula>0</formula>
    </cfRule>
  </conditionalFormatting>
  <conditionalFormatting sqref="F619:F624 F671 F626">
    <cfRule type="cellIs" dxfId="104" priority="162" operator="lessThan">
      <formula>0</formula>
    </cfRule>
  </conditionalFormatting>
  <conditionalFormatting sqref="F634 F644 F654 F664">
    <cfRule type="cellIs" dxfId="103" priority="161" operator="lessThan">
      <formula>0</formula>
    </cfRule>
  </conditionalFormatting>
  <conditionalFormatting sqref="F627:F632">
    <cfRule type="cellIs" dxfId="102" priority="160" operator="lessThan">
      <formula>0</formula>
    </cfRule>
  </conditionalFormatting>
  <conditionalFormatting sqref="F692">
    <cfRule type="cellIs" dxfId="101" priority="130" operator="lessThan">
      <formula>0</formula>
    </cfRule>
  </conditionalFormatting>
  <conditionalFormatting sqref="F722:F729">
    <cfRule type="cellIs" dxfId="100" priority="135" operator="lessThan">
      <formula>0</formula>
    </cfRule>
  </conditionalFormatting>
  <conditionalFormatting sqref="F735:F736">
    <cfRule type="cellIs" dxfId="99" priority="134" operator="lessThan">
      <formula>0</formula>
    </cfRule>
  </conditionalFormatting>
  <conditionalFormatting sqref="F720">
    <cfRule type="cellIs" dxfId="98" priority="133" operator="lessThan">
      <formula>0</formula>
    </cfRule>
  </conditionalFormatting>
  <conditionalFormatting sqref="F710">
    <cfRule type="cellIs" dxfId="97" priority="132" operator="lessThan">
      <formula>0</formula>
    </cfRule>
  </conditionalFormatting>
  <conditionalFormatting sqref="F700">
    <cfRule type="cellIs" dxfId="96" priority="131" operator="lessThan">
      <formula>0</formula>
    </cfRule>
  </conditionalFormatting>
  <conditionalFormatting sqref="F686:F691 F738 F693">
    <cfRule type="cellIs" dxfId="95" priority="142" operator="lessThan">
      <formula>0</formula>
    </cfRule>
  </conditionalFormatting>
  <conditionalFormatting sqref="F701 F711 F721 F731">
    <cfRule type="cellIs" dxfId="94" priority="141" operator="lessThan">
      <formula>0</formula>
    </cfRule>
  </conditionalFormatting>
  <conditionalFormatting sqref="F694:F699">
    <cfRule type="cellIs" dxfId="93" priority="140" operator="lessThan">
      <formula>0</formula>
    </cfRule>
  </conditionalFormatting>
  <conditionalFormatting sqref="F702:F709">
    <cfRule type="cellIs" dxfId="92" priority="139" operator="lessThan">
      <formula>0</formula>
    </cfRule>
  </conditionalFormatting>
  <conditionalFormatting sqref="F712:F719">
    <cfRule type="cellIs" dxfId="91" priority="138" operator="lessThan">
      <formula>0</formula>
    </cfRule>
  </conditionalFormatting>
  <conditionalFormatting sqref="F732:F734 F737">
    <cfRule type="cellIs" dxfId="90" priority="137" operator="lessThan">
      <formula>0</formula>
    </cfRule>
  </conditionalFormatting>
  <conditionalFormatting sqref="F739:F745">
    <cfRule type="cellIs" dxfId="89" priority="136" operator="lessThan">
      <formula>0</formula>
    </cfRule>
  </conditionalFormatting>
  <conditionalFormatting sqref="F759">
    <cfRule type="cellIs" dxfId="88" priority="117" operator="lessThan">
      <formula>0</formula>
    </cfRule>
  </conditionalFormatting>
  <conditionalFormatting sqref="F789:F796">
    <cfRule type="cellIs" dxfId="87" priority="122" operator="lessThan">
      <formula>0</formula>
    </cfRule>
  </conditionalFormatting>
  <conditionalFormatting sqref="F802">
    <cfRule type="cellIs" dxfId="86" priority="121" operator="lessThan">
      <formula>0</formula>
    </cfRule>
  </conditionalFormatting>
  <conditionalFormatting sqref="F787">
    <cfRule type="cellIs" dxfId="85" priority="120" operator="lessThan">
      <formula>0</formula>
    </cfRule>
  </conditionalFormatting>
  <conditionalFormatting sqref="F777">
    <cfRule type="cellIs" dxfId="84" priority="119" operator="lessThan">
      <formula>0</formula>
    </cfRule>
  </conditionalFormatting>
  <conditionalFormatting sqref="F767">
    <cfRule type="cellIs" dxfId="83" priority="118" operator="lessThan">
      <formula>0</formula>
    </cfRule>
  </conditionalFormatting>
  <conditionalFormatting sqref="F753:F758 F805 F760">
    <cfRule type="cellIs" dxfId="82" priority="129" operator="lessThan">
      <formula>0</formula>
    </cfRule>
  </conditionalFormatting>
  <conditionalFormatting sqref="F768 F778 F788 F798">
    <cfRule type="cellIs" dxfId="81" priority="128" operator="lessThan">
      <formula>0</formula>
    </cfRule>
  </conditionalFormatting>
  <conditionalFormatting sqref="F761:F766">
    <cfRule type="cellIs" dxfId="80" priority="127" operator="lessThan">
      <formula>0</formula>
    </cfRule>
  </conditionalFormatting>
  <conditionalFormatting sqref="F769:F776">
    <cfRule type="cellIs" dxfId="79" priority="126" operator="lessThan">
      <formula>0</formula>
    </cfRule>
  </conditionalFormatting>
  <conditionalFormatting sqref="F779:F786">
    <cfRule type="cellIs" dxfId="78" priority="125" operator="lessThan">
      <formula>0</formula>
    </cfRule>
  </conditionalFormatting>
  <conditionalFormatting sqref="F799:F801 F804">
    <cfRule type="cellIs" dxfId="77" priority="124" operator="lessThan">
      <formula>0</formula>
    </cfRule>
  </conditionalFormatting>
  <conditionalFormatting sqref="F806:F814 F880:F884 F897:F898 F914:F916">
    <cfRule type="cellIs" dxfId="76" priority="123" operator="lessThan">
      <formula>0</formula>
    </cfRule>
  </conditionalFormatting>
  <conditionalFormatting sqref="F651">
    <cfRule type="cellIs" dxfId="75" priority="116" operator="lessThan">
      <formula>0</formula>
    </cfRule>
  </conditionalFormatting>
  <conditionalFormatting sqref="F803">
    <cfRule type="cellIs" dxfId="74" priority="115" operator="lessThan">
      <formula>0</formula>
    </cfRule>
  </conditionalFormatting>
  <conditionalFormatting sqref="F826">
    <cfRule type="cellIs" dxfId="73" priority="102" operator="lessThan">
      <formula>0</formula>
    </cfRule>
  </conditionalFormatting>
  <conditionalFormatting sqref="F856:F863">
    <cfRule type="cellIs" dxfId="72" priority="107" operator="lessThan">
      <formula>0</formula>
    </cfRule>
  </conditionalFormatting>
  <conditionalFormatting sqref="F869">
    <cfRule type="cellIs" dxfId="71" priority="106" operator="lessThan">
      <formula>0</formula>
    </cfRule>
  </conditionalFormatting>
  <conditionalFormatting sqref="F854">
    <cfRule type="cellIs" dxfId="70" priority="105" operator="lessThan">
      <formula>0</formula>
    </cfRule>
  </conditionalFormatting>
  <conditionalFormatting sqref="F844">
    <cfRule type="cellIs" dxfId="69" priority="104" operator="lessThan">
      <formula>0</formula>
    </cfRule>
  </conditionalFormatting>
  <conditionalFormatting sqref="F834">
    <cfRule type="cellIs" dxfId="68" priority="103" operator="lessThan">
      <formula>0</formula>
    </cfRule>
  </conditionalFormatting>
  <conditionalFormatting sqref="F820:F825 F872 F827">
    <cfRule type="cellIs" dxfId="67" priority="114" operator="lessThan">
      <formula>0</formula>
    </cfRule>
  </conditionalFormatting>
  <conditionalFormatting sqref="F835 F845 F855 F865">
    <cfRule type="cellIs" dxfId="66" priority="113" operator="lessThan">
      <formula>0</formula>
    </cfRule>
  </conditionalFormatting>
  <conditionalFormatting sqref="F828:F833">
    <cfRule type="cellIs" dxfId="65" priority="112" operator="lessThan">
      <formula>0</formula>
    </cfRule>
  </conditionalFormatting>
  <conditionalFormatting sqref="F836:F843">
    <cfRule type="cellIs" dxfId="64" priority="111" operator="lessThan">
      <formula>0</formula>
    </cfRule>
  </conditionalFormatting>
  <conditionalFormatting sqref="F846:F853">
    <cfRule type="cellIs" dxfId="63" priority="110" operator="lessThan">
      <formula>0</formula>
    </cfRule>
  </conditionalFormatting>
  <conditionalFormatting sqref="F866:F868 F871">
    <cfRule type="cellIs" dxfId="62" priority="109" operator="lessThan">
      <formula>0</formula>
    </cfRule>
  </conditionalFormatting>
  <conditionalFormatting sqref="F873:F879">
    <cfRule type="cellIs" dxfId="61" priority="108" operator="lessThan">
      <formula>0</formula>
    </cfRule>
  </conditionalFormatting>
  <conditionalFormatting sqref="F870">
    <cfRule type="cellIs" dxfId="60" priority="101" operator="lessThan">
      <formula>0</formula>
    </cfRule>
  </conditionalFormatting>
  <conditionalFormatting sqref="F864">
    <cfRule type="cellIs" dxfId="59" priority="100" operator="lessThan">
      <formula>0</formula>
    </cfRule>
  </conditionalFormatting>
  <conditionalFormatting sqref="K436">
    <cfRule type="cellIs" dxfId="58" priority="99" operator="lessThan">
      <formula>0</formula>
    </cfRule>
  </conditionalFormatting>
  <conditionalFormatting sqref="L436">
    <cfRule type="cellIs" dxfId="57" priority="98" operator="lessThan">
      <formula>0</formula>
    </cfRule>
  </conditionalFormatting>
  <conditionalFormatting sqref="M436">
    <cfRule type="cellIs" dxfId="56" priority="97" operator="lessThan">
      <formula>0</formula>
    </cfRule>
  </conditionalFormatting>
  <conditionalFormatting sqref="J436">
    <cfRule type="cellIs" dxfId="55" priority="94" operator="lessThan">
      <formula>0</formula>
    </cfRule>
  </conditionalFormatting>
  <conditionalFormatting sqref="G436:G437">
    <cfRule type="cellIs" dxfId="54" priority="91" operator="lessThan">
      <formula>0</formula>
    </cfRule>
  </conditionalFormatting>
  <conditionalFormatting sqref="I436:I437">
    <cfRule type="cellIs" dxfId="53" priority="90" operator="lessThan">
      <formula>0</formula>
    </cfRule>
  </conditionalFormatting>
  <conditionalFormatting sqref="E455:F456 H455:H456 J456 E457:E463 D453:F454 I453:I454">
    <cfRule type="cellIs" dxfId="52" priority="85" operator="lessThan">
      <formula>0</formula>
    </cfRule>
  </conditionalFormatting>
  <conditionalFormatting sqref="K455">
    <cfRule type="cellIs" dxfId="51" priority="84" operator="lessThan">
      <formula>0</formula>
    </cfRule>
  </conditionalFormatting>
  <conditionalFormatting sqref="L455">
    <cfRule type="cellIs" dxfId="50" priority="83" operator="lessThan">
      <formula>0</formula>
    </cfRule>
  </conditionalFormatting>
  <conditionalFormatting sqref="M455">
    <cfRule type="cellIs" dxfId="49" priority="82" operator="lessThan">
      <formula>0</formula>
    </cfRule>
  </conditionalFormatting>
  <conditionalFormatting sqref="J455">
    <cfRule type="cellIs" dxfId="48" priority="81" operator="lessThan">
      <formula>0</formula>
    </cfRule>
  </conditionalFormatting>
  <conditionalFormatting sqref="G455:G456">
    <cfRule type="cellIs" dxfId="47" priority="80" operator="lessThan">
      <formula>0</formula>
    </cfRule>
  </conditionalFormatting>
  <conditionalFormatting sqref="I455:I456">
    <cfRule type="cellIs" dxfId="46" priority="79" operator="lessThan">
      <formula>0</formula>
    </cfRule>
  </conditionalFormatting>
  <conditionalFormatting sqref="G457:G463">
    <cfRule type="cellIs" dxfId="45" priority="78" operator="lessThan">
      <formula>0</formula>
    </cfRule>
  </conditionalFormatting>
  <conditionalFormatting sqref="I457:I463">
    <cfRule type="cellIs" dxfId="44" priority="77" operator="lessThan">
      <formula>0</formula>
    </cfRule>
  </conditionalFormatting>
  <conditionalFormatting sqref="K457:K463">
    <cfRule type="cellIs" dxfId="43" priority="76" operator="lessThan">
      <formula>0</formula>
    </cfRule>
  </conditionalFormatting>
  <conditionalFormatting sqref="M457:M463">
    <cfRule type="cellIs" dxfId="42" priority="75" operator="lessThan">
      <formula>0</formula>
    </cfRule>
  </conditionalFormatting>
  <conditionalFormatting sqref="E468:F469 H468:H469 J469 D466:F467 I466:I467 E471:E483 G471:G482 I471:I482 K471:K482 M471:M482 F483:M483">
    <cfRule type="cellIs" dxfId="41" priority="74" operator="lessThan">
      <formula>0</formula>
    </cfRule>
  </conditionalFormatting>
  <conditionalFormatting sqref="K468">
    <cfRule type="cellIs" dxfId="40" priority="73" operator="lessThan">
      <formula>0</formula>
    </cfRule>
  </conditionalFormatting>
  <conditionalFormatting sqref="L468">
    <cfRule type="cellIs" dxfId="39" priority="72" operator="lessThan">
      <formula>0</formula>
    </cfRule>
  </conditionalFormatting>
  <conditionalFormatting sqref="M468">
    <cfRule type="cellIs" dxfId="38" priority="71" operator="lessThan">
      <formula>0</formula>
    </cfRule>
  </conditionalFormatting>
  <conditionalFormatting sqref="J468">
    <cfRule type="cellIs" dxfId="37" priority="70" operator="lessThan">
      <formula>0</formula>
    </cfRule>
  </conditionalFormatting>
  <conditionalFormatting sqref="G468:G469">
    <cfRule type="cellIs" dxfId="36" priority="69" operator="lessThan">
      <formula>0</formula>
    </cfRule>
  </conditionalFormatting>
  <conditionalFormatting sqref="I468:I469">
    <cfRule type="cellIs" dxfId="35" priority="68" operator="lessThan">
      <formula>0</formula>
    </cfRule>
  </conditionalFormatting>
  <conditionalFormatting sqref="E488:F489 H488:H489 J489 D486:F487 I486:I487 E491:E503 G491:G502 I491:I502 K491:K502 M491:M502 F503:M503">
    <cfRule type="cellIs" dxfId="34" priority="67" operator="lessThan">
      <formula>0</formula>
    </cfRule>
  </conditionalFormatting>
  <conditionalFormatting sqref="K488">
    <cfRule type="cellIs" dxfId="33" priority="66" operator="lessThan">
      <formula>0</formula>
    </cfRule>
  </conditionalFormatting>
  <conditionalFormatting sqref="L488">
    <cfRule type="cellIs" dxfId="32" priority="65" operator="lessThan">
      <formula>0</formula>
    </cfRule>
  </conditionalFormatting>
  <conditionalFormatting sqref="M488">
    <cfRule type="cellIs" dxfId="31" priority="64" operator="lessThan">
      <formula>0</formula>
    </cfRule>
  </conditionalFormatting>
  <conditionalFormatting sqref="J488">
    <cfRule type="cellIs" dxfId="30" priority="63" operator="lessThan">
      <formula>0</formula>
    </cfRule>
  </conditionalFormatting>
  <conditionalFormatting sqref="G488:G489">
    <cfRule type="cellIs" dxfId="29" priority="62" operator="lessThan">
      <formula>0</formula>
    </cfRule>
  </conditionalFormatting>
  <conditionalFormatting sqref="I488:I489">
    <cfRule type="cellIs" dxfId="28" priority="61" operator="lessThan">
      <formula>0</formula>
    </cfRule>
  </conditionalFormatting>
  <conditionalFormatting sqref="Q488:Q489">
    <cfRule type="cellIs" dxfId="27" priority="54" operator="lessThan">
      <formula>0</formula>
    </cfRule>
  </conditionalFormatting>
  <conditionalFormatting sqref="N488:N489 P488:P489 R489 O491:O502 Q491:Q502 S491:S502 U491:U502 N503:U503">
    <cfRule type="cellIs" dxfId="26" priority="60" operator="lessThan">
      <formula>0</formula>
    </cfRule>
  </conditionalFormatting>
  <conditionalFormatting sqref="S488">
    <cfRule type="cellIs" dxfId="25" priority="59" operator="lessThan">
      <formula>0</formula>
    </cfRule>
  </conditionalFormatting>
  <conditionalFormatting sqref="T488">
    <cfRule type="cellIs" dxfId="24" priority="58" operator="lessThan">
      <formula>0</formula>
    </cfRule>
  </conditionalFormatting>
  <conditionalFormatting sqref="U488">
    <cfRule type="cellIs" dxfId="23" priority="57" operator="lessThan">
      <formula>0</formula>
    </cfRule>
  </conditionalFormatting>
  <conditionalFormatting sqref="R488">
    <cfRule type="cellIs" dxfId="22" priority="56" operator="lessThan">
      <formula>0</formula>
    </cfRule>
  </conditionalFormatting>
  <conditionalFormatting sqref="O488:O489">
    <cfRule type="cellIs" dxfId="21" priority="55" operator="lessThan">
      <formula>0</formula>
    </cfRule>
  </conditionalFormatting>
  <conditionalFormatting sqref="E508:F509 H508:H509 J509 D506:F507 I506:I507 E511:E524 G511:G522 I511:I522 K511:K522 M511:M522 F523:M524 E545:M545 E564:M564">
    <cfRule type="cellIs" dxfId="20" priority="53" operator="lessThan">
      <formula>0</formula>
    </cfRule>
  </conditionalFormatting>
  <conditionalFormatting sqref="K508">
    <cfRule type="cellIs" dxfId="19" priority="52" operator="lessThan">
      <formula>0</formula>
    </cfRule>
  </conditionalFormatting>
  <conditionalFormatting sqref="L508">
    <cfRule type="cellIs" dxfId="18" priority="51" operator="lessThan">
      <formula>0</formula>
    </cfRule>
  </conditionalFormatting>
  <conditionalFormatting sqref="M508">
    <cfRule type="cellIs" dxfId="17" priority="50" operator="lessThan">
      <formula>0</formula>
    </cfRule>
  </conditionalFormatting>
  <conditionalFormatting sqref="J508">
    <cfRule type="cellIs" dxfId="16" priority="49" operator="lessThan">
      <formula>0</formula>
    </cfRule>
  </conditionalFormatting>
  <conditionalFormatting sqref="G508:G509">
    <cfRule type="cellIs" dxfId="15" priority="48" operator="lessThan">
      <formula>0</formula>
    </cfRule>
  </conditionalFormatting>
  <conditionalFormatting sqref="I508:I509">
    <cfRule type="cellIs" dxfId="14" priority="47" operator="lessThan">
      <formula>0</formula>
    </cfRule>
  </conditionalFormatting>
  <conditionalFormatting sqref="D525:I525">
    <cfRule type="cellIs" dxfId="13" priority="46" operator="lessThan">
      <formula>0</formula>
    </cfRule>
  </conditionalFormatting>
  <conditionalFormatting sqref="E528:F529 H528:H529 J529 D526:F527 I526:I527 E531:E544 G531:G542 I531:I542 K531:K542 M531:M542 F543:M544">
    <cfRule type="cellIs" dxfId="12" priority="45" operator="lessThan">
      <formula>0</formula>
    </cfRule>
  </conditionalFormatting>
  <conditionalFormatting sqref="K528">
    <cfRule type="cellIs" dxfId="11" priority="44" operator="lessThan">
      <formula>0</formula>
    </cfRule>
  </conditionalFormatting>
  <conditionalFormatting sqref="L528">
    <cfRule type="cellIs" dxfId="10" priority="43" operator="lessThan">
      <formula>0</formula>
    </cfRule>
  </conditionalFormatting>
  <conditionalFormatting sqref="M528">
    <cfRule type="cellIs" dxfId="9" priority="42" operator="lessThan">
      <formula>0</formula>
    </cfRule>
  </conditionalFormatting>
  <conditionalFormatting sqref="J528">
    <cfRule type="cellIs" dxfId="8" priority="41" operator="lessThan">
      <formula>0</formula>
    </cfRule>
  </conditionalFormatting>
  <conditionalFormatting sqref="G528:G529">
    <cfRule type="cellIs" dxfId="7" priority="40" operator="lessThan">
      <formula>0</formula>
    </cfRule>
  </conditionalFormatting>
  <conditionalFormatting sqref="I528:I529">
    <cfRule type="cellIs" dxfId="6" priority="39" operator="lessThan">
      <formula>0</formula>
    </cfRule>
  </conditionalFormatting>
  <conditionalFormatting sqref="E548:F549 H549 D546:F547 I546:I547 E551:E563 G551:G562 I551:I562">
    <cfRule type="cellIs" dxfId="5" priority="38" operator="lessThan">
      <formula>0</formula>
    </cfRule>
  </conditionalFormatting>
  <conditionalFormatting sqref="I548">
    <cfRule type="cellIs" dxfId="4" priority="37" operator="lessThan">
      <formula>0</formula>
    </cfRule>
  </conditionalFormatting>
  <conditionalFormatting sqref="H548">
    <cfRule type="cellIs" dxfId="3" priority="34" operator="lessThan">
      <formula>0</formula>
    </cfRule>
  </conditionalFormatting>
  <conditionalFormatting sqref="G548:G549">
    <cfRule type="cellIs" dxfId="2" priority="33" operator="lessThan">
      <formula>0</formula>
    </cfRule>
  </conditionalFormatting>
  <conditionalFormatting sqref="F600">
    <cfRule type="cellIs" dxfId="1" priority="31" operator="lessThan">
      <formula>0</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E270"/>
  <sheetViews>
    <sheetView zoomScaleNormal="100" workbookViewId="0">
      <selection activeCell="C2" sqref="C2"/>
    </sheetView>
  </sheetViews>
  <sheetFormatPr defaultColWidth="9.109375" defaultRowHeight="13.2"/>
  <cols>
    <col min="1" max="1" width="14" style="107" customWidth="1"/>
    <col min="2" max="2" width="16.109375" style="107" customWidth="1"/>
    <col min="3" max="3" width="13.6640625" style="107" customWidth="1"/>
    <col min="4" max="4" width="13" style="107" customWidth="1"/>
    <col min="5" max="5" width="13.109375" style="107" customWidth="1"/>
    <col min="6" max="6" width="14" style="107" customWidth="1"/>
    <col min="7" max="7" width="13.33203125" style="107" customWidth="1"/>
    <col min="8" max="8" width="12.6640625" style="107" customWidth="1"/>
    <col min="9" max="9" width="13.109375" style="107" bestFit="1" customWidth="1"/>
    <col min="10" max="10" width="12.88671875" style="107" customWidth="1"/>
    <col min="11" max="11" width="12.44140625" style="107" customWidth="1"/>
    <col min="12" max="12" width="11.6640625" style="107" customWidth="1"/>
    <col min="13" max="13" width="12.88671875" style="107" bestFit="1" customWidth="1"/>
    <col min="14" max="14" width="13.88671875" style="107" bestFit="1" customWidth="1"/>
    <col min="15" max="15" width="11.33203125" style="107" customWidth="1"/>
    <col min="16" max="16" width="15" style="107" customWidth="1"/>
    <col min="17" max="17" width="15.33203125" style="107" customWidth="1"/>
    <col min="18" max="18" width="11" style="107" customWidth="1"/>
    <col min="19" max="19" width="13" style="107" bestFit="1" customWidth="1"/>
    <col min="20" max="21" width="11.109375" style="107" bestFit="1" customWidth="1"/>
    <col min="22" max="23" width="9.109375" style="107"/>
    <col min="24" max="24" width="13.109375" style="107" customWidth="1"/>
    <col min="25" max="16384" width="9.109375" style="107"/>
  </cols>
  <sheetData>
    <row r="1" spans="1:20" ht="15" customHeight="1">
      <c r="A1" s="995" t="s">
        <v>451</v>
      </c>
      <c r="B1" s="995" t="s">
        <v>451</v>
      </c>
      <c r="C1" s="107" t="s">
        <v>260</v>
      </c>
      <c r="O1" s="364" t="s">
        <v>261</v>
      </c>
      <c r="P1" s="220" t="s">
        <v>267</v>
      </c>
      <c r="Q1" s="223"/>
    </row>
    <row r="2" spans="1:20" ht="71.25" customHeight="1">
      <c r="B2" s="108" t="s">
        <v>278</v>
      </c>
      <c r="C2" s="108" t="s">
        <v>265</v>
      </c>
      <c r="D2" s="108" t="s">
        <v>258</v>
      </c>
      <c r="E2" s="108" t="s">
        <v>277</v>
      </c>
      <c r="F2" s="108" t="s">
        <v>276</v>
      </c>
      <c r="G2" s="108" t="s">
        <v>146</v>
      </c>
      <c r="H2" s="276"/>
      <c r="I2" s="109" t="s">
        <v>10</v>
      </c>
      <c r="O2" s="357" t="s">
        <v>266</v>
      </c>
      <c r="P2" s="358" t="s">
        <v>248</v>
      </c>
      <c r="Q2" s="137" t="s">
        <v>259</v>
      </c>
    </row>
    <row r="3" spans="1:20">
      <c r="A3" s="107">
        <v>2005</v>
      </c>
      <c r="E3" s="110"/>
      <c r="G3" s="110">
        <f>E3/$M$15</f>
        <v>0</v>
      </c>
      <c r="J3" s="109"/>
      <c r="L3" s="348" t="s">
        <v>50</v>
      </c>
      <c r="M3" s="349">
        <v>1</v>
      </c>
      <c r="O3" s="224"/>
      <c r="P3" s="148"/>
      <c r="Q3" s="359"/>
      <c r="R3" s="111"/>
    </row>
    <row r="4" spans="1:20">
      <c r="A4" s="107">
        <v>2006</v>
      </c>
      <c r="B4" s="836">
        <f t="array" ref="B4:B19">TRANSPOSE(D67:S67)</f>
        <v>415552.6948728204</v>
      </c>
      <c r="C4" s="340">
        <f>B4-B3</f>
        <v>415552.6948728204</v>
      </c>
      <c r="D4" s="340">
        <f t="shared" ref="D4:D19" si="0">C4/2</f>
        <v>207776.3474364102</v>
      </c>
      <c r="E4" s="110">
        <f>B3+D4</f>
        <v>207776.3474364102</v>
      </c>
      <c r="F4" s="340">
        <f>E4</f>
        <v>207776.3474364102</v>
      </c>
      <c r="G4" s="346">
        <f t="shared" ref="G4:G19" si="1">F4/$M$15</f>
        <v>2663.7993261078232</v>
      </c>
      <c r="H4" s="308"/>
      <c r="I4" s="112">
        <f>D90</f>
        <v>207776.3474364102</v>
      </c>
      <c r="J4" s="112">
        <f>E4-I4</f>
        <v>0</v>
      </c>
      <c r="L4" s="350" t="s">
        <v>51</v>
      </c>
      <c r="M4" s="351">
        <v>2</v>
      </c>
      <c r="O4" s="360">
        <f>B4</f>
        <v>415552.6948728204</v>
      </c>
      <c r="P4" s="361">
        <f>D47*0.5</f>
        <v>207776.3474364102</v>
      </c>
      <c r="Q4" s="362">
        <f>O4-P4</f>
        <v>207776.3474364102</v>
      </c>
      <c r="R4" s="111"/>
      <c r="S4" s="113"/>
      <c r="T4" s="113"/>
    </row>
    <row r="5" spans="1:20">
      <c r="A5" s="107">
        <v>2007</v>
      </c>
      <c r="B5" s="836">
        <v>749106.26563565712</v>
      </c>
      <c r="C5" s="340">
        <f t="shared" ref="C5:C19" si="2">B5-B4</f>
        <v>333553.57076283672</v>
      </c>
      <c r="D5" s="340">
        <f t="shared" si="0"/>
        <v>166776.78538141836</v>
      </c>
      <c r="E5" s="110">
        <f>B4+D5</f>
        <v>582329.4802542387</v>
      </c>
      <c r="F5" s="340">
        <f>E5-E90</f>
        <v>198742.37729471218</v>
      </c>
      <c r="G5" s="346">
        <f t="shared" si="1"/>
        <v>2547.9791960860534</v>
      </c>
      <c r="H5" s="308"/>
      <c r="I5" s="112">
        <f>D102</f>
        <v>582329.4802542387</v>
      </c>
      <c r="J5" s="112">
        <f t="shared" ref="J5:J19" si="3">E5-I5</f>
        <v>0</v>
      </c>
      <c r="L5" s="350" t="s">
        <v>52</v>
      </c>
      <c r="M5" s="351">
        <v>3</v>
      </c>
      <c r="O5" s="360">
        <f t="shared" ref="O5:O14" si="4">B5</f>
        <v>749106.26563565712</v>
      </c>
      <c r="P5" s="363">
        <f>E48*0.5</f>
        <v>166776.78538141836</v>
      </c>
      <c r="Q5" s="362">
        <f t="shared" ref="Q5:Q14" si="5">O5-P5</f>
        <v>582329.4802542387</v>
      </c>
      <c r="R5" s="111"/>
      <c r="S5" s="111"/>
      <c r="T5" s="111"/>
    </row>
    <row r="6" spans="1:20">
      <c r="A6" s="107">
        <v>2008</v>
      </c>
      <c r="B6" s="836">
        <v>1039688.903973503</v>
      </c>
      <c r="C6" s="340">
        <f t="shared" si="2"/>
        <v>290582.63833784591</v>
      </c>
      <c r="D6" s="340">
        <f t="shared" si="0"/>
        <v>145291.31916892296</v>
      </c>
      <c r="E6" s="110">
        <f t="shared" ref="E6:E19" si="6">B5+D6</f>
        <v>894397.58480458008</v>
      </c>
      <c r="F6" s="340">
        <f>E6-E102</f>
        <v>143901.47760866187</v>
      </c>
      <c r="G6" s="346">
        <f t="shared" si="1"/>
        <v>1844.8907385725881</v>
      </c>
      <c r="H6" s="308"/>
      <c r="I6" s="112">
        <f>D114</f>
        <v>894397.58480458008</v>
      </c>
      <c r="J6" s="112">
        <f t="shared" si="3"/>
        <v>0</v>
      </c>
      <c r="L6" s="350" t="s">
        <v>53</v>
      </c>
      <c r="M6" s="351">
        <v>4</v>
      </c>
      <c r="O6" s="360">
        <f t="shared" si="4"/>
        <v>1039688.903973503</v>
      </c>
      <c r="P6" s="363">
        <f>F49*0.5</f>
        <v>193080.68696292909</v>
      </c>
      <c r="Q6" s="362">
        <f t="shared" si="5"/>
        <v>846608.21701057395</v>
      </c>
      <c r="R6" s="113"/>
      <c r="S6" s="113"/>
      <c r="T6" s="113"/>
    </row>
    <row r="7" spans="1:20">
      <c r="A7" s="107">
        <v>2009</v>
      </c>
      <c r="B7" s="836">
        <v>1802169.88608751</v>
      </c>
      <c r="C7" s="340">
        <f t="shared" si="2"/>
        <v>762480.982114007</v>
      </c>
      <c r="D7" s="340">
        <f t="shared" si="0"/>
        <v>381240.4910570035</v>
      </c>
      <c r="E7" s="110">
        <f t="shared" si="6"/>
        <v>1420929.3950305064</v>
      </c>
      <c r="F7" s="340">
        <f>E7-E114</f>
        <v>404769.02148013527</v>
      </c>
      <c r="G7" s="346">
        <f t="shared" si="1"/>
        <v>5189.3464292325034</v>
      </c>
      <c r="H7" s="308"/>
      <c r="I7" s="112">
        <f>D126</f>
        <v>1420929.3950305069</v>
      </c>
      <c r="J7" s="112">
        <f t="shared" si="3"/>
        <v>0</v>
      </c>
      <c r="L7" s="350" t="s">
        <v>54</v>
      </c>
      <c r="M7" s="351">
        <v>5</v>
      </c>
      <c r="O7" s="360">
        <f t="shared" si="4"/>
        <v>1802169.88608751</v>
      </c>
      <c r="P7" s="363">
        <f>G50*0.5</f>
        <v>411943.37272787117</v>
      </c>
      <c r="Q7" s="362">
        <f t="shared" si="5"/>
        <v>1390226.5133596389</v>
      </c>
      <c r="R7" s="113"/>
      <c r="S7" s="113"/>
      <c r="T7" s="113"/>
    </row>
    <row r="8" spans="1:20">
      <c r="A8" s="220">
        <v>2010</v>
      </c>
      <c r="B8" s="837">
        <v>1879508.692706482</v>
      </c>
      <c r="C8" s="693">
        <f t="shared" si="2"/>
        <v>77338.806618971983</v>
      </c>
      <c r="D8" s="693">
        <f t="shared" si="0"/>
        <v>38669.403309485991</v>
      </c>
      <c r="E8" s="222">
        <f t="shared" si="6"/>
        <v>1840839.2893969961</v>
      </c>
      <c r="F8" s="693">
        <f>E8-E126</f>
        <v>77413.030037143733</v>
      </c>
      <c r="G8" s="840">
        <f t="shared" si="1"/>
        <v>992.47474406594529</v>
      </c>
      <c r="H8" s="308"/>
      <c r="I8" s="112">
        <f>D138</f>
        <v>1840839.2893969968</v>
      </c>
      <c r="J8" s="112">
        <f t="shared" si="3"/>
        <v>0</v>
      </c>
      <c r="L8" s="350" t="s">
        <v>55</v>
      </c>
      <c r="M8" s="351">
        <v>6</v>
      </c>
      <c r="O8" s="360">
        <f t="shared" si="4"/>
        <v>1879508.692706482</v>
      </c>
      <c r="P8" s="363">
        <f>H51*0.5</f>
        <v>245329.61315177131</v>
      </c>
      <c r="Q8" s="362">
        <f t="shared" si="5"/>
        <v>1634179.0795547108</v>
      </c>
      <c r="R8" s="113"/>
      <c r="S8" s="113"/>
      <c r="T8" s="113"/>
    </row>
    <row r="9" spans="1:20">
      <c r="A9" s="107">
        <v>2011</v>
      </c>
      <c r="B9" s="836">
        <v>2629671.732033812</v>
      </c>
      <c r="C9" s="340">
        <f t="shared" si="2"/>
        <v>750163.03932732996</v>
      </c>
      <c r="D9" s="340">
        <f t="shared" si="0"/>
        <v>375081.51966366498</v>
      </c>
      <c r="E9" s="110">
        <f t="shared" si="6"/>
        <v>2254590.212370147</v>
      </c>
      <c r="F9" s="340">
        <f>E9-E138</f>
        <v>348247.58986479696</v>
      </c>
      <c r="G9" s="346">
        <f t="shared" si="1"/>
        <v>4464.7126905743198</v>
      </c>
      <c r="H9" s="308"/>
      <c r="I9" s="112">
        <f>D150</f>
        <v>2254590.212370147</v>
      </c>
      <c r="J9" s="112">
        <f t="shared" si="3"/>
        <v>0</v>
      </c>
      <c r="L9" s="350" t="s">
        <v>56</v>
      </c>
      <c r="M9" s="351">
        <v>7</v>
      </c>
      <c r="O9" s="360">
        <f t="shared" si="4"/>
        <v>2629671.732033812</v>
      </c>
      <c r="P9" s="363">
        <f>I52*0.5</f>
        <v>507192.95866976964</v>
      </c>
      <c r="Q9" s="362">
        <f t="shared" si="5"/>
        <v>2122478.7733640424</v>
      </c>
      <c r="R9" s="113"/>
      <c r="S9" s="113"/>
      <c r="T9" s="113"/>
    </row>
    <row r="10" spans="1:20">
      <c r="A10" s="107">
        <v>2012</v>
      </c>
      <c r="B10" s="836">
        <v>3327697.8034008839</v>
      </c>
      <c r="C10" s="340">
        <f t="shared" si="2"/>
        <v>698026.07136707194</v>
      </c>
      <c r="D10" s="340">
        <f t="shared" si="0"/>
        <v>349013.03568353597</v>
      </c>
      <c r="E10" s="110">
        <f t="shared" si="6"/>
        <v>2978684.7677173479</v>
      </c>
      <c r="F10" s="340">
        <f>E10-E150</f>
        <v>429423.51776929572</v>
      </c>
      <c r="G10" s="346">
        <f t="shared" si="1"/>
        <v>5505.4297149909708</v>
      </c>
      <c r="H10" s="308"/>
      <c r="I10" s="112">
        <f>D162</f>
        <v>2978684.7677173489</v>
      </c>
      <c r="J10" s="112">
        <f t="shared" si="3"/>
        <v>0</v>
      </c>
      <c r="L10" s="350" t="s">
        <v>57</v>
      </c>
      <c r="M10" s="351">
        <v>8</v>
      </c>
      <c r="O10" s="360">
        <f t="shared" si="4"/>
        <v>3327697.8034008839</v>
      </c>
      <c r="P10" s="363">
        <f>J53*0.5</f>
        <v>239431.72695220323</v>
      </c>
      <c r="Q10" s="362">
        <f t="shared" si="5"/>
        <v>3088266.0764486808</v>
      </c>
      <c r="R10" s="113"/>
      <c r="S10" s="113"/>
      <c r="T10" s="113"/>
    </row>
    <row r="11" spans="1:20">
      <c r="A11" s="107">
        <v>2013</v>
      </c>
      <c r="B11" s="836">
        <v>3601067.0168802715</v>
      </c>
      <c r="C11" s="340">
        <f t="shared" si="2"/>
        <v>273369.21347938757</v>
      </c>
      <c r="D11" s="340">
        <f t="shared" si="0"/>
        <v>136684.60673969379</v>
      </c>
      <c r="E11" s="110">
        <f t="shared" si="6"/>
        <v>3464382.4101405777</v>
      </c>
      <c r="F11" s="340">
        <f>E11-E162</f>
        <v>122339.28123382479</v>
      </c>
      <c r="G11" s="346">
        <f t="shared" si="1"/>
        <v>1568.4523235105742</v>
      </c>
      <c r="H11" s="308"/>
      <c r="I11" s="112">
        <f>D174</f>
        <v>3464382.4101405796</v>
      </c>
      <c r="J11" s="112">
        <f t="shared" si="3"/>
        <v>0</v>
      </c>
      <c r="L11" s="350" t="s">
        <v>58</v>
      </c>
      <c r="M11" s="351">
        <v>9</v>
      </c>
      <c r="O11" s="360">
        <f t="shared" si="4"/>
        <v>3601067.0168802715</v>
      </c>
      <c r="P11" s="363">
        <f>K54*0.5</f>
        <v>143021.17512064747</v>
      </c>
      <c r="Q11" s="362">
        <f t="shared" si="5"/>
        <v>3458045.841759624</v>
      </c>
      <c r="R11" s="113"/>
      <c r="S11" s="113"/>
      <c r="T11" s="113"/>
    </row>
    <row r="12" spans="1:20">
      <c r="A12" s="107">
        <v>2014</v>
      </c>
      <c r="B12" s="836">
        <v>4475753.7237504823</v>
      </c>
      <c r="C12" s="340">
        <f t="shared" si="2"/>
        <v>874686.70687021082</v>
      </c>
      <c r="D12" s="340">
        <f t="shared" si="0"/>
        <v>437343.35343510541</v>
      </c>
      <c r="E12" s="110">
        <f t="shared" si="6"/>
        <v>4038410.3703153767</v>
      </c>
      <c r="F12" s="340">
        <f>E12-E174</f>
        <v>470510.10682309698</v>
      </c>
      <c r="G12" s="346">
        <f t="shared" si="1"/>
        <v>6032.1808567063717</v>
      </c>
      <c r="H12" s="308"/>
      <c r="I12" s="112">
        <f>D186</f>
        <v>4038410.3703153785</v>
      </c>
      <c r="J12" s="112">
        <f t="shared" si="3"/>
        <v>0</v>
      </c>
      <c r="L12" s="350" t="s">
        <v>59</v>
      </c>
      <c r="M12" s="351">
        <v>10</v>
      </c>
      <c r="O12" s="360">
        <f t="shared" si="4"/>
        <v>4475753.7237504823</v>
      </c>
      <c r="P12" s="363">
        <f>L55*0.5</f>
        <v>605421.38150839193</v>
      </c>
      <c r="Q12" s="362">
        <f t="shared" si="5"/>
        <v>3870332.3422420905</v>
      </c>
      <c r="R12" s="113"/>
      <c r="S12" s="113"/>
      <c r="T12" s="113"/>
    </row>
    <row r="13" spans="1:20">
      <c r="A13" s="107">
        <v>2015</v>
      </c>
      <c r="B13" s="838">
        <v>5617618.1289679604</v>
      </c>
      <c r="C13" s="340">
        <f t="shared" si="2"/>
        <v>1141864.4052174781</v>
      </c>
      <c r="D13" s="340">
        <f t="shared" si="0"/>
        <v>570932.20260873903</v>
      </c>
      <c r="E13" s="110">
        <f t="shared" si="6"/>
        <v>5046685.9263592213</v>
      </c>
      <c r="F13" s="340">
        <f>E13-E186</f>
        <v>610151.61950122006</v>
      </c>
      <c r="G13" s="346">
        <f t="shared" si="1"/>
        <v>7822.4566602720524</v>
      </c>
      <c r="H13" s="308"/>
      <c r="I13" s="112">
        <f>D198</f>
        <v>5046685.9263592195</v>
      </c>
      <c r="J13" s="112">
        <f t="shared" si="3"/>
        <v>0</v>
      </c>
      <c r="L13" s="350" t="s">
        <v>60</v>
      </c>
      <c r="M13" s="351">
        <v>11</v>
      </c>
      <c r="O13" s="360">
        <f t="shared" si="4"/>
        <v>5617618.1289679604</v>
      </c>
      <c r="P13" s="356">
        <v>0</v>
      </c>
      <c r="Q13" s="362">
        <f t="shared" si="5"/>
        <v>5617618.1289679604</v>
      </c>
      <c r="R13" s="113"/>
      <c r="S13" s="113"/>
      <c r="T13" s="113"/>
    </row>
    <row r="14" spans="1:20">
      <c r="A14" s="107">
        <v>2016</v>
      </c>
      <c r="B14" s="838">
        <v>5992044.8286500499</v>
      </c>
      <c r="C14" s="340">
        <f t="shared" si="2"/>
        <v>374426.6996820895</v>
      </c>
      <c r="D14" s="340">
        <f t="shared" si="0"/>
        <v>187213.34984104475</v>
      </c>
      <c r="E14" s="110">
        <f t="shared" si="6"/>
        <v>5804831.4788090046</v>
      </c>
      <c r="F14" s="340">
        <f>E14-E198</f>
        <v>241863.4128718311</v>
      </c>
      <c r="G14" s="346">
        <f t="shared" si="1"/>
        <v>3100.8129855362963</v>
      </c>
      <c r="H14" s="308"/>
      <c r="I14" s="112">
        <f>D210</f>
        <v>5804831.4788090046</v>
      </c>
      <c r="J14" s="112">
        <f t="shared" si="3"/>
        <v>0</v>
      </c>
      <c r="L14" s="350" t="s">
        <v>61</v>
      </c>
      <c r="M14" s="351">
        <v>12</v>
      </c>
      <c r="O14" s="365">
        <f t="shared" si="4"/>
        <v>5992044.8286500499</v>
      </c>
      <c r="P14" s="366">
        <v>0</v>
      </c>
      <c r="Q14" s="367">
        <f t="shared" si="5"/>
        <v>5992044.8286500499</v>
      </c>
    </row>
    <row r="15" spans="1:20">
      <c r="A15" s="107">
        <v>2017</v>
      </c>
      <c r="B15" s="836">
        <v>7175605.0759273116</v>
      </c>
      <c r="C15" s="340">
        <f t="shared" si="2"/>
        <v>1183560.2472772617</v>
      </c>
      <c r="D15" s="340">
        <f t="shared" si="0"/>
        <v>591780.12363863084</v>
      </c>
      <c r="E15" s="110">
        <f t="shared" si="6"/>
        <v>6583824.9522886807</v>
      </c>
      <c r="F15" s="340">
        <f>E15-E210</f>
        <v>574339.81643428095</v>
      </c>
      <c r="G15" s="346">
        <f t="shared" si="1"/>
        <v>7363.330979926679</v>
      </c>
      <c r="I15" s="112">
        <f>D222</f>
        <v>6583824.9522886779</v>
      </c>
      <c r="J15" s="112">
        <f t="shared" si="3"/>
        <v>0</v>
      </c>
      <c r="K15" s="112"/>
      <c r="L15" s="352" t="s">
        <v>5</v>
      </c>
      <c r="M15" s="353">
        <f>SUM(M3:M14)</f>
        <v>78</v>
      </c>
      <c r="O15" s="220"/>
      <c r="P15" s="220"/>
      <c r="Q15" s="220"/>
    </row>
    <row r="16" spans="1:20">
      <c r="A16" s="107">
        <v>2018</v>
      </c>
      <c r="B16" s="838">
        <v>7858183.4860070674</v>
      </c>
      <c r="C16" s="340">
        <f t="shared" si="2"/>
        <v>682578.41007975582</v>
      </c>
      <c r="D16" s="340">
        <f t="shared" si="0"/>
        <v>341289.20503987791</v>
      </c>
      <c r="E16" s="110">
        <f t="shared" si="6"/>
        <v>7516894.280967189</v>
      </c>
      <c r="F16" s="340">
        <f>E16-E222</f>
        <v>447089.48400335293</v>
      </c>
      <c r="G16" s="346">
        <f t="shared" si="1"/>
        <v>5731.9164615814479</v>
      </c>
      <c r="H16" s="110"/>
      <c r="I16" s="356">
        <f>D234</f>
        <v>7516894.2809671909</v>
      </c>
      <c r="J16" s="112">
        <f t="shared" si="3"/>
        <v>0</v>
      </c>
      <c r="K16" s="112"/>
      <c r="L16" s="829"/>
      <c r="M16" s="829"/>
      <c r="O16" s="148"/>
      <c r="P16" s="148"/>
      <c r="Q16" s="148"/>
    </row>
    <row r="17" spans="1:17">
      <c r="A17" s="107">
        <v>2019</v>
      </c>
      <c r="B17" s="838">
        <v>7742978.0901957452</v>
      </c>
      <c r="C17" s="340">
        <f t="shared" si="2"/>
        <v>-115205.39581132215</v>
      </c>
      <c r="D17" s="340">
        <f t="shared" si="0"/>
        <v>-57602.697905661073</v>
      </c>
      <c r="E17" s="110">
        <f t="shared" si="6"/>
        <v>7800580.7881014068</v>
      </c>
      <c r="F17" s="340">
        <f>E17-E234</f>
        <v>-94619.979330162518</v>
      </c>
      <c r="G17" s="346">
        <f t="shared" si="1"/>
        <v>-1213.0766580790066</v>
      </c>
      <c r="H17" s="110"/>
      <c r="I17" s="356">
        <f>D246</f>
        <v>7800580.788101403</v>
      </c>
      <c r="J17" s="112">
        <f t="shared" si="3"/>
        <v>0</v>
      </c>
      <c r="K17" s="112"/>
      <c r="L17" s="829"/>
      <c r="M17" s="829"/>
      <c r="O17" s="148"/>
      <c r="P17" s="148"/>
      <c r="Q17" s="148"/>
    </row>
    <row r="18" spans="1:17">
      <c r="A18" s="107">
        <v>2020</v>
      </c>
      <c r="B18" s="838">
        <v>7434872.2241933551</v>
      </c>
      <c r="C18" s="340">
        <f t="shared" si="2"/>
        <v>-308105.86600239016</v>
      </c>
      <c r="D18" s="340">
        <f t="shared" si="0"/>
        <v>-154052.93300119508</v>
      </c>
      <c r="E18" s="110">
        <f t="shared" si="6"/>
        <v>7588925.1571945501</v>
      </c>
      <c r="F18" s="340">
        <f>E18-E246</f>
        <v>-131592.57147363573</v>
      </c>
      <c r="G18" s="346">
        <f t="shared" si="1"/>
        <v>-1687.0842496619966</v>
      </c>
      <c r="H18" s="110"/>
      <c r="I18" s="356">
        <f>D258</f>
        <v>7588925.1571945501</v>
      </c>
      <c r="J18" s="112">
        <f t="shared" si="3"/>
        <v>0</v>
      </c>
      <c r="K18" s="112"/>
      <c r="L18" s="829"/>
      <c r="M18" s="829"/>
      <c r="O18" s="148"/>
      <c r="P18" s="148"/>
      <c r="Q18" s="148"/>
    </row>
    <row r="19" spans="1:17">
      <c r="A19" s="107">
        <v>2021</v>
      </c>
      <c r="B19" s="836">
        <v>6811985.5301277367</v>
      </c>
      <c r="C19" s="340">
        <f t="shared" si="2"/>
        <v>-622886.69406561833</v>
      </c>
      <c r="D19" s="340">
        <f t="shared" si="0"/>
        <v>-311443.34703280916</v>
      </c>
      <c r="E19" s="110">
        <f t="shared" si="6"/>
        <v>7123428.8771605454</v>
      </c>
      <c r="F19" s="340">
        <f>E19-E258</f>
        <v>-354148.71955631208</v>
      </c>
      <c r="G19" s="346">
        <f t="shared" si="1"/>
        <v>-4540.3681994398985</v>
      </c>
      <c r="I19" s="112">
        <f>D270</f>
        <v>7123428.8771605417</v>
      </c>
      <c r="J19" s="112">
        <f t="shared" si="3"/>
        <v>0</v>
      </c>
      <c r="K19" s="112"/>
      <c r="L19" s="829"/>
      <c r="M19" s="829"/>
      <c r="O19" s="148"/>
      <c r="P19" s="148"/>
      <c r="Q19" s="148"/>
    </row>
    <row r="20" spans="1:17">
      <c r="B20" s="308"/>
      <c r="K20" s="112"/>
      <c r="L20" s="830"/>
      <c r="M20" s="830"/>
      <c r="O20" s="148"/>
      <c r="P20" s="148"/>
      <c r="Q20" s="148"/>
    </row>
    <row r="21" spans="1:17">
      <c r="A21" s="107" t="s">
        <v>5</v>
      </c>
      <c r="B21" s="354">
        <f>SUM(B4:B12)</f>
        <v>19920216.719341423</v>
      </c>
      <c r="E21" s="354">
        <f>SUM(E4:E14)</f>
        <v>28533857.262634404</v>
      </c>
      <c r="F21" s="110"/>
      <c r="H21" s="110"/>
      <c r="I21" s="354">
        <f>SUM(I4:I14)</f>
        <v>28533857.262634411</v>
      </c>
      <c r="J21" s="112">
        <f>E21-I21</f>
        <v>0</v>
      </c>
      <c r="K21" s="112"/>
      <c r="L21" s="344"/>
      <c r="M21" s="344"/>
    </row>
    <row r="22" spans="1:17">
      <c r="B22" s="356"/>
      <c r="E22" s="356"/>
      <c r="F22" s="110"/>
      <c r="H22" s="110"/>
      <c r="I22" s="356"/>
      <c r="J22" s="112"/>
      <c r="K22" s="112"/>
      <c r="L22" s="829"/>
      <c r="M22" s="829"/>
    </row>
    <row r="23" spans="1:17">
      <c r="D23" s="110"/>
      <c r="F23" s="110"/>
    </row>
    <row r="24" spans="1:17">
      <c r="D24" s="114" t="s">
        <v>157</v>
      </c>
      <c r="F24" s="110"/>
      <c r="G24" s="107" t="s">
        <v>275</v>
      </c>
      <c r="M24" s="235" t="s">
        <v>246</v>
      </c>
    </row>
    <row r="25" spans="1:17" ht="13.8" thickBot="1">
      <c r="D25" s="218">
        <v>5100000</v>
      </c>
      <c r="F25" s="110"/>
      <c r="J25" s="246"/>
      <c r="K25" s="246"/>
      <c r="L25" s="246"/>
      <c r="M25" s="247">
        <v>5000000</v>
      </c>
      <c r="N25" s="246"/>
      <c r="O25" s="246"/>
      <c r="P25" s="246"/>
      <c r="Q25" s="246"/>
    </row>
    <row r="26" spans="1:17">
      <c r="A26" s="116"/>
      <c r="B26" s="117">
        <v>2011</v>
      </c>
      <c r="C26" s="117">
        <v>2012</v>
      </c>
      <c r="D26" s="117">
        <v>2013</v>
      </c>
      <c r="E26" s="117">
        <v>2014</v>
      </c>
      <c r="F26" s="117" t="s">
        <v>5</v>
      </c>
      <c r="G26" s="117">
        <v>2015</v>
      </c>
      <c r="H26" s="118">
        <v>2016</v>
      </c>
      <c r="J26" s="243"/>
      <c r="K26" s="244">
        <v>2015</v>
      </c>
      <c r="L26" s="244">
        <v>2016</v>
      </c>
      <c r="M26" s="244">
        <v>2017</v>
      </c>
      <c r="N26" s="244">
        <v>2018</v>
      </c>
      <c r="O26" s="244">
        <v>2019</v>
      </c>
      <c r="P26" s="244">
        <v>2020</v>
      </c>
      <c r="Q26" s="245" t="s">
        <v>5</v>
      </c>
    </row>
    <row r="27" spans="1:17">
      <c r="A27" s="119" t="s">
        <v>86</v>
      </c>
      <c r="B27" s="120">
        <f t="shared" ref="B27:E28" si="7">B33/$D$25</f>
        <v>0.1988235294117647</v>
      </c>
      <c r="C27" s="120">
        <f t="shared" si="7"/>
        <v>0.1988235294117647</v>
      </c>
      <c r="D27" s="120">
        <f t="shared" si="7"/>
        <v>0.1988235294117647</v>
      </c>
      <c r="E27" s="120">
        <f t="shared" si="7"/>
        <v>0.18196078431372548</v>
      </c>
      <c r="F27" s="121">
        <f>SUM(B27:E27)</f>
        <v>0.77843137254901951</v>
      </c>
      <c r="G27" s="1844" t="s">
        <v>247</v>
      </c>
      <c r="H27" s="1845"/>
      <c r="J27" s="236" t="s">
        <v>113</v>
      </c>
      <c r="K27" s="237">
        <f>K41/M25</f>
        <v>0.29435460000000002</v>
      </c>
      <c r="L27" s="127"/>
      <c r="M27" s="127"/>
      <c r="N27" s="127"/>
      <c r="O27" s="127"/>
      <c r="P27" s="127"/>
      <c r="Q27" s="238">
        <f t="shared" ref="Q27:Q31" si="8">SUM(K27:P27)</f>
        <v>0.29435460000000002</v>
      </c>
    </row>
    <row r="28" spans="1:17">
      <c r="A28" s="119" t="s">
        <v>87</v>
      </c>
      <c r="B28" s="120">
        <f t="shared" si="7"/>
        <v>-2.8823529411764706E-2</v>
      </c>
      <c r="C28" s="120">
        <f t="shared" si="7"/>
        <v>9.3137254901960786E-2</v>
      </c>
      <c r="D28" s="120">
        <f t="shared" si="7"/>
        <v>9.3137254901960786E-2</v>
      </c>
      <c r="E28" s="120">
        <f t="shared" si="7"/>
        <v>9.3137254901960786E-2</v>
      </c>
      <c r="F28" s="121">
        <f>SUM(B28:E28)</f>
        <v>0.25058823529411767</v>
      </c>
      <c r="G28" s="1844"/>
      <c r="H28" s="1845"/>
      <c r="J28" s="236" t="s">
        <v>114</v>
      </c>
      <c r="K28" s="127"/>
      <c r="L28" s="237">
        <f>L41/M25</f>
        <v>0.13006719999999999</v>
      </c>
      <c r="M28" s="127"/>
      <c r="N28" s="127"/>
      <c r="O28" s="127"/>
      <c r="P28" s="127"/>
      <c r="Q28" s="238">
        <f t="shared" si="8"/>
        <v>0.13006719999999999</v>
      </c>
    </row>
    <row r="29" spans="1:17">
      <c r="A29" s="119" t="s">
        <v>88</v>
      </c>
      <c r="B29" s="122"/>
      <c r="C29" s="120">
        <f t="shared" ref="C29:E30" si="9">C35/$D$25</f>
        <v>1.3725490196078432E-3</v>
      </c>
      <c r="D29" s="120">
        <f t="shared" si="9"/>
        <v>5.4901960784313725E-2</v>
      </c>
      <c r="E29" s="120">
        <f t="shared" si="9"/>
        <v>5.4901960784313725E-2</v>
      </c>
      <c r="F29" s="121">
        <f>SUM(B29:E29)</f>
        <v>0.11117647058823529</v>
      </c>
      <c r="G29" s="1844"/>
      <c r="H29" s="1845"/>
      <c r="J29" s="236" t="s">
        <v>171</v>
      </c>
      <c r="K29" s="127"/>
      <c r="L29" s="127"/>
      <c r="M29" s="237">
        <f>M41/M25</f>
        <v>0.3838389587107246</v>
      </c>
      <c r="N29" s="127"/>
      <c r="O29" s="127"/>
      <c r="P29" s="127"/>
      <c r="Q29" s="238">
        <f t="shared" si="8"/>
        <v>0.3838389587107246</v>
      </c>
    </row>
    <row r="30" spans="1:17">
      <c r="A30" s="119" t="s">
        <v>89</v>
      </c>
      <c r="B30" s="122"/>
      <c r="C30" s="120">
        <f t="shared" si="9"/>
        <v>1.9411764705882354E-2</v>
      </c>
      <c r="D30" s="120">
        <f t="shared" si="9"/>
        <v>2.4705882352941175E-2</v>
      </c>
      <c r="E30" s="120">
        <f t="shared" si="9"/>
        <v>0.23745098039215687</v>
      </c>
      <c r="F30" s="121">
        <f>SUM(B30:E30)</f>
        <v>0.28156862745098038</v>
      </c>
      <c r="G30" s="1844"/>
      <c r="H30" s="1845"/>
      <c r="J30" s="236" t="s">
        <v>172</v>
      </c>
      <c r="K30" s="127"/>
      <c r="L30" s="127"/>
      <c r="M30" s="127"/>
      <c r="N30" s="237">
        <f>N41/M25</f>
        <v>0.2433835</v>
      </c>
      <c r="O30" s="127"/>
      <c r="P30" s="127"/>
      <c r="Q30" s="238">
        <f t="shared" si="8"/>
        <v>0.2433835</v>
      </c>
    </row>
    <row r="31" spans="1:17">
      <c r="A31" s="119" t="s">
        <v>5</v>
      </c>
      <c r="B31" s="121">
        <f>SUM(B27:B30)</f>
        <v>0.16999999999999998</v>
      </c>
      <c r="C31" s="121">
        <f>SUM(C27:C30)</f>
        <v>0.31274509803921569</v>
      </c>
      <c r="D31" s="121">
        <f>SUM(D27:D30)</f>
        <v>0.37156862745098046</v>
      </c>
      <c r="E31" s="121">
        <f>SUM(E27:E30)</f>
        <v>0.5674509803921568</v>
      </c>
      <c r="F31" s="121">
        <f>SUM(B31:E31)</f>
        <v>1.421764705882353</v>
      </c>
      <c r="G31" s="1844"/>
      <c r="H31" s="1845"/>
      <c r="J31" s="236" t="s">
        <v>173</v>
      </c>
      <c r="K31" s="127"/>
      <c r="L31" s="127"/>
      <c r="M31" s="127"/>
      <c r="N31" s="127"/>
      <c r="O31" s="237">
        <f>O41/M25</f>
        <v>9.5277325844454373E-4</v>
      </c>
      <c r="P31" s="127"/>
      <c r="Q31" s="238">
        <f t="shared" si="8"/>
        <v>9.5277325844454373E-4</v>
      </c>
    </row>
    <row r="32" spans="1:17">
      <c r="A32" s="265"/>
      <c r="B32" s="266"/>
      <c r="C32" s="266"/>
      <c r="D32" s="266"/>
      <c r="E32" s="266"/>
      <c r="F32" s="266"/>
      <c r="G32" s="266"/>
      <c r="H32" s="267"/>
      <c r="J32" s="236" t="s">
        <v>174</v>
      </c>
      <c r="K32" s="127"/>
      <c r="L32" s="127"/>
      <c r="M32" s="127"/>
      <c r="N32" s="127"/>
      <c r="O32" s="127"/>
      <c r="P32" s="237"/>
      <c r="Q32" s="238"/>
    </row>
    <row r="33" spans="1:25">
      <c r="A33" s="119" t="s">
        <v>86</v>
      </c>
      <c r="B33" s="268">
        <f>1000000*[23]Sheet1!C9</f>
        <v>1014000</v>
      </c>
      <c r="C33" s="268">
        <f>1000000*[23]Sheet1!D9</f>
        <v>1014000</v>
      </c>
      <c r="D33" s="268">
        <f>1000000*[23]Sheet1!E9</f>
        <v>1014000</v>
      </c>
      <c r="E33" s="268">
        <f>1000000*[23]Sheet1!F9</f>
        <v>928000</v>
      </c>
      <c r="F33" s="269">
        <f>SUM(B33:E33)</f>
        <v>3970000</v>
      </c>
      <c r="G33" s="123"/>
      <c r="H33" s="126"/>
      <c r="J33" s="236" t="s">
        <v>170</v>
      </c>
      <c r="K33" s="237">
        <f>SUM(K27:K32)</f>
        <v>0.29435460000000002</v>
      </c>
      <c r="L33" s="237">
        <f t="shared" ref="L33:O33" si="10">SUM(L27:L32)</f>
        <v>0.13006719999999999</v>
      </c>
      <c r="M33" s="237">
        <f t="shared" si="10"/>
        <v>0.3838389587107246</v>
      </c>
      <c r="N33" s="237">
        <f t="shared" si="10"/>
        <v>0.2433835</v>
      </c>
      <c r="O33" s="237">
        <f t="shared" si="10"/>
        <v>9.5277325844454373E-4</v>
      </c>
      <c r="P33" s="237"/>
      <c r="Q33" s="238">
        <f>SUM(K33:P33)</f>
        <v>1.0525970319691691</v>
      </c>
    </row>
    <row r="34" spans="1:25">
      <c r="A34" s="119" t="s">
        <v>87</v>
      </c>
      <c r="B34" s="268">
        <f>1000000*[23]Sheet1!C10</f>
        <v>-147000</v>
      </c>
      <c r="C34" s="268">
        <f>1000000*[23]Sheet1!D10</f>
        <v>475000</v>
      </c>
      <c r="D34" s="268">
        <f>1000000*[23]Sheet1!E10</f>
        <v>475000</v>
      </c>
      <c r="E34" s="268">
        <f>1000000*[23]Sheet1!F10</f>
        <v>475000</v>
      </c>
      <c r="F34" s="269">
        <f>SUM(B34:E34)</f>
        <v>1278000</v>
      </c>
      <c r="G34" s="123"/>
      <c r="H34" s="126"/>
      <c r="J34" s="241"/>
      <c r="K34" s="138"/>
      <c r="L34" s="138"/>
      <c r="M34" s="138"/>
      <c r="N34" s="138"/>
      <c r="O34" s="138"/>
      <c r="P34" s="138"/>
      <c r="Q34" s="242"/>
    </row>
    <row r="35" spans="1:25">
      <c r="A35" s="119" t="s">
        <v>88</v>
      </c>
      <c r="B35" s="418">
        <f>1000000*[23]Sheet1!C11</f>
        <v>0</v>
      </c>
      <c r="C35" s="268">
        <f>1000000*[23]Sheet1!D11</f>
        <v>7000</v>
      </c>
      <c r="D35" s="268">
        <f>1000000*[23]Sheet1!E11</f>
        <v>280000</v>
      </c>
      <c r="E35" s="268">
        <f>1000000*[23]Sheet1!F11</f>
        <v>280000</v>
      </c>
      <c r="F35" s="269">
        <f>SUM(B35:E35)</f>
        <v>567000</v>
      </c>
      <c r="G35" s="123"/>
      <c r="H35" s="126"/>
      <c r="J35" s="236" t="s">
        <v>113</v>
      </c>
      <c r="K35" s="124">
        <f>SUM(M56:M58)</f>
        <v>1471773</v>
      </c>
      <c r="L35" s="127"/>
      <c r="M35" s="127"/>
      <c r="N35" s="127"/>
      <c r="O35" s="127"/>
      <c r="P35" s="127"/>
      <c r="Q35" s="127">
        <f t="shared" ref="Q35:Q39" si="11">SUM(K35:O35)</f>
        <v>1471773</v>
      </c>
    </row>
    <row r="36" spans="1:25">
      <c r="A36" s="119" t="s">
        <v>89</v>
      </c>
      <c r="B36" s="418">
        <f>1000000*[23]Sheet1!C12</f>
        <v>0</v>
      </c>
      <c r="C36" s="268">
        <f>1000000*[23]Sheet1!D12</f>
        <v>99000</v>
      </c>
      <c r="D36" s="268">
        <f>1000000*[23]Sheet1!E12</f>
        <v>126000</v>
      </c>
      <c r="E36" s="268">
        <f>1000000*[23]Sheet1!F12</f>
        <v>1211000</v>
      </c>
      <c r="F36" s="269">
        <f>SUM(B36:E36)</f>
        <v>1436000</v>
      </c>
      <c r="G36" s="123"/>
      <c r="H36" s="126"/>
      <c r="J36" s="236" t="s">
        <v>114</v>
      </c>
      <c r="K36" s="127"/>
      <c r="L36" s="124">
        <f>SUM(N59:N60)</f>
        <v>650336</v>
      </c>
      <c r="M36" s="127"/>
      <c r="N36" s="127"/>
      <c r="O36" s="127"/>
      <c r="P36" s="127"/>
      <c r="Q36" s="127">
        <f t="shared" si="11"/>
        <v>650336</v>
      </c>
    </row>
    <row r="37" spans="1:25">
      <c r="A37" s="119" t="s">
        <v>11</v>
      </c>
      <c r="B37" s="123">
        <f>SUM(B33:B36)</f>
        <v>867000</v>
      </c>
      <c r="C37" s="123">
        <f>SUM(C33:C36)</f>
        <v>1595000</v>
      </c>
      <c r="D37" s="123">
        <f>SUM(D33:D36)</f>
        <v>1895000</v>
      </c>
      <c r="E37" s="123">
        <f>SUM(E33:E36)</f>
        <v>2894000</v>
      </c>
      <c r="F37" s="123">
        <f>SUM(B37:E37)</f>
        <v>7251000</v>
      </c>
      <c r="G37" s="123"/>
      <c r="H37" s="126"/>
      <c r="J37" s="236" t="s">
        <v>171</v>
      </c>
      <c r="K37" s="127"/>
      <c r="L37" s="127"/>
      <c r="M37" s="124">
        <f>SUM(O61:O62)+O63</f>
        <v>1919194.7935536229</v>
      </c>
      <c r="N37" s="127"/>
      <c r="O37" s="127"/>
      <c r="P37" s="127"/>
      <c r="Q37" s="127">
        <f t="shared" si="11"/>
        <v>1919194.7935536229</v>
      </c>
    </row>
    <row r="38" spans="1:25">
      <c r="A38" s="1846"/>
      <c r="B38" s="1847"/>
      <c r="C38" s="1847"/>
      <c r="D38" s="1847"/>
      <c r="E38" s="1847"/>
      <c r="F38" s="1847"/>
      <c r="G38" s="1847"/>
      <c r="H38" s="1848"/>
      <c r="J38" s="236" t="s">
        <v>172</v>
      </c>
      <c r="K38" s="127"/>
      <c r="L38" s="127"/>
      <c r="M38" s="127"/>
      <c r="N38" s="124">
        <f>SUM(P64)</f>
        <v>1216917.5</v>
      </c>
      <c r="O38" s="127"/>
      <c r="P38" s="127"/>
      <c r="Q38" s="127">
        <f t="shared" si="11"/>
        <v>1216917.5</v>
      </c>
    </row>
    <row r="39" spans="1:25">
      <c r="A39" s="119" t="s">
        <v>113</v>
      </c>
      <c r="B39" s="127"/>
      <c r="C39" s="127"/>
      <c r="D39" s="127"/>
      <c r="E39" s="127"/>
      <c r="F39" s="128"/>
      <c r="G39" s="125">
        <f>K35</f>
        <v>1471773</v>
      </c>
      <c r="H39" s="126">
        <f>G39</f>
        <v>1471773</v>
      </c>
      <c r="J39" s="236" t="s">
        <v>173</v>
      </c>
      <c r="K39" s="127"/>
      <c r="L39" s="127"/>
      <c r="M39" s="127"/>
      <c r="N39" s="127"/>
      <c r="O39" s="124">
        <f>SUM(Q65)</f>
        <v>4763.8662922227186</v>
      </c>
      <c r="P39" s="127"/>
      <c r="Q39" s="127">
        <f t="shared" si="11"/>
        <v>4763.8662922227186</v>
      </c>
    </row>
    <row r="40" spans="1:25">
      <c r="A40" s="119" t="s">
        <v>114</v>
      </c>
      <c r="B40" s="127"/>
      <c r="C40" s="127"/>
      <c r="D40" s="127"/>
      <c r="E40" s="127"/>
      <c r="F40" s="127"/>
      <c r="G40" s="123"/>
      <c r="H40" s="126">
        <f>L36</f>
        <v>650336</v>
      </c>
      <c r="J40" s="236" t="s">
        <v>174</v>
      </c>
      <c r="K40" s="127"/>
      <c r="L40" s="127"/>
      <c r="M40" s="127"/>
      <c r="N40" s="127"/>
      <c r="O40" s="127"/>
      <c r="P40" s="124"/>
      <c r="Q40" s="124"/>
    </row>
    <row r="41" spans="1:25" ht="13.8" thickBot="1">
      <c r="A41" s="129" t="s">
        <v>11</v>
      </c>
      <c r="B41" s="130"/>
      <c r="C41" s="130"/>
      <c r="D41" s="130"/>
      <c r="E41" s="130"/>
      <c r="F41" s="130"/>
      <c r="G41" s="131">
        <f>SUM(G39:G40)</f>
        <v>1471773</v>
      </c>
      <c r="H41" s="132">
        <f>SUM(H39:H40)</f>
        <v>2122109</v>
      </c>
      <c r="J41" s="239" t="s">
        <v>170</v>
      </c>
      <c r="K41" s="240">
        <f>SUM(K35:K40)</f>
        <v>1471773</v>
      </c>
      <c r="L41" s="240">
        <f t="shared" ref="L41:O41" si="12">SUM(L35:L40)</f>
        <v>650336</v>
      </c>
      <c r="M41" s="240">
        <f t="shared" si="12"/>
        <v>1919194.7935536229</v>
      </c>
      <c r="N41" s="240">
        <f t="shared" si="12"/>
        <v>1216917.5</v>
      </c>
      <c r="O41" s="240">
        <f t="shared" si="12"/>
        <v>4763.8662922227186</v>
      </c>
      <c r="P41" s="240"/>
      <c r="Q41" s="240">
        <f>SUM(K41:O41)</f>
        <v>5262985.1598458448</v>
      </c>
    </row>
    <row r="42" spans="1:25">
      <c r="D42" s="110"/>
      <c r="F42" s="110"/>
    </row>
    <row r="43" spans="1:25">
      <c r="D43" s="110"/>
      <c r="F43" s="110"/>
    </row>
    <row r="44" spans="1:25" ht="15.6">
      <c r="D44" s="347" t="s">
        <v>245</v>
      </c>
      <c r="E44" s="235"/>
      <c r="F44" s="110"/>
      <c r="J44" s="107" t="s">
        <v>428</v>
      </c>
    </row>
    <row r="46" spans="1:25">
      <c r="A46" s="138"/>
      <c r="B46" s="917" t="s">
        <v>417</v>
      </c>
      <c r="C46" s="917"/>
      <c r="D46" s="248">
        <v>2006</v>
      </c>
      <c r="E46" s="248">
        <v>2007</v>
      </c>
      <c r="F46" s="248">
        <v>2008</v>
      </c>
      <c r="G46" s="248">
        <v>2009</v>
      </c>
      <c r="H46" s="248">
        <v>2010</v>
      </c>
      <c r="I46" s="248">
        <v>2011</v>
      </c>
      <c r="J46" s="248">
        <v>2012</v>
      </c>
      <c r="K46" s="248">
        <v>2013</v>
      </c>
      <c r="L46" s="249">
        <v>2014</v>
      </c>
      <c r="M46" s="248">
        <v>2015</v>
      </c>
      <c r="N46" s="248">
        <v>2016</v>
      </c>
      <c r="O46" s="248">
        <v>2017</v>
      </c>
      <c r="P46" s="248">
        <v>2018</v>
      </c>
      <c r="Q46" s="248">
        <v>2019</v>
      </c>
      <c r="R46" s="248">
        <v>2020</v>
      </c>
      <c r="S46" s="248">
        <v>2021</v>
      </c>
      <c r="T46" s="248">
        <v>2022</v>
      </c>
      <c r="U46" s="248">
        <v>2023</v>
      </c>
      <c r="V46" s="248">
        <v>2024</v>
      </c>
      <c r="W46" s="248">
        <v>2025</v>
      </c>
      <c r="X46" s="248">
        <v>2026</v>
      </c>
      <c r="Y46" s="248">
        <v>2027</v>
      </c>
    </row>
    <row r="47" spans="1:25">
      <c r="A47" s="918" t="s">
        <v>147</v>
      </c>
      <c r="B47" s="133" t="s">
        <v>421</v>
      </c>
      <c r="C47" s="133"/>
      <c r="D47" s="270">
        <f>'[24]Summary - LDC'!E19*1000</f>
        <v>415552.6948728204</v>
      </c>
      <c r="E47" s="270">
        <f>'[24]Summary - LDC'!F19*1000</f>
        <v>415552.6948728204</v>
      </c>
      <c r="F47" s="270">
        <f>'[24]Summary - LDC'!G19*1000</f>
        <v>415552.6948728204</v>
      </c>
      <c r="G47" s="270">
        <f>'[24]Summary - LDC'!H19*1000</f>
        <v>415552.6948728204</v>
      </c>
      <c r="H47" s="270">
        <f>'[24]Summary - LDC'!I19*1000</f>
        <v>72172.301702875498</v>
      </c>
      <c r="I47" s="270">
        <f>'[24]Summary - LDC'!J19*1000</f>
        <v>72172.301702875498</v>
      </c>
      <c r="J47" s="270">
        <f>'[24]Summary - LDC'!K19*1000</f>
        <v>66018.00672684735</v>
      </c>
      <c r="K47" s="270">
        <f>'[24]Summary - LDC'!L19*1000</f>
        <v>66018.00672684735</v>
      </c>
      <c r="L47" s="271">
        <f>'[24]Summary - LDC'!M19*1000</f>
        <v>62034.088982352689</v>
      </c>
      <c r="M47" s="270">
        <f>'[24]Summary - LDC'!N19*1000</f>
        <v>62034.088982352689</v>
      </c>
      <c r="N47" s="270">
        <f>'[24]Summary - LDC'!O19*1000</f>
        <v>58608.530728798214</v>
      </c>
      <c r="O47" s="270">
        <v>58608.530728798214</v>
      </c>
      <c r="P47" s="270">
        <v>58608.530728798214</v>
      </c>
      <c r="Q47" s="270">
        <v>58608.530728798214</v>
      </c>
      <c r="R47" s="270">
        <v>53051.724421457788</v>
      </c>
      <c r="S47" s="270">
        <v>46113.3677418648</v>
      </c>
    </row>
    <row r="48" spans="1:25">
      <c r="A48" s="918" t="s">
        <v>148</v>
      </c>
      <c r="B48" s="133" t="s">
        <v>421</v>
      </c>
      <c r="C48" s="133"/>
      <c r="D48" s="274"/>
      <c r="E48" s="270">
        <f>'[24]Summary - LDC'!F20*1000</f>
        <v>333553.57076283672</v>
      </c>
      <c r="F48" s="270">
        <f>'[24]Summary - LDC'!G20*1000</f>
        <v>237974.83517482443</v>
      </c>
      <c r="G48" s="270">
        <f>'[24]Summary - LDC'!H20*1000</f>
        <v>226154.19241683211</v>
      </c>
      <c r="H48" s="270">
        <f>'[24]Summary - LDC'!I20*1000</f>
        <v>226154.19241683211</v>
      </c>
      <c r="I48" s="270">
        <f>'[24]Summary - LDC'!J20*1000</f>
        <v>225998.92110914437</v>
      </c>
      <c r="J48" s="270">
        <f>'[24]Summary - LDC'!K20*1000</f>
        <v>219866.94770573743</v>
      </c>
      <c r="K48" s="270">
        <f>'[24]Summary - LDC'!L20*1000</f>
        <v>219866.94770573743</v>
      </c>
      <c r="L48" s="271">
        <f>'[24]Summary - LDC'!M20*1000</f>
        <v>219866.94770573743</v>
      </c>
      <c r="M48" s="270">
        <f>'[24]Summary - LDC'!N20*1000</f>
        <v>85173.205446111926</v>
      </c>
      <c r="N48" s="270">
        <f>'[24]Summary - LDC'!O20*1000</f>
        <v>51547.191357416938</v>
      </c>
      <c r="O48" s="270">
        <v>29476.56582669025</v>
      </c>
      <c r="P48" s="270">
        <v>29476.56582669025</v>
      </c>
      <c r="Q48" s="270">
        <v>29476.56582669025</v>
      </c>
      <c r="R48" s="270">
        <v>29476.56582669025</v>
      </c>
      <c r="S48" s="270">
        <v>24904.201408229183</v>
      </c>
    </row>
    <row r="49" spans="1:25">
      <c r="A49" s="918" t="s">
        <v>149</v>
      </c>
      <c r="B49" s="133" t="s">
        <v>421</v>
      </c>
      <c r="C49" s="133"/>
      <c r="D49" s="274"/>
      <c r="E49" s="274"/>
      <c r="F49" s="270">
        <f>'[24]Summary - LDC'!G21*1000</f>
        <v>386161.37392585818</v>
      </c>
      <c r="G49" s="270">
        <f>'[24]Summary - LDC'!H21*1000</f>
        <v>336576.25334211515</v>
      </c>
      <c r="H49" s="270">
        <f>'[24]Summary - LDC'!I21*1000</f>
        <v>336576.25334211515</v>
      </c>
      <c r="I49" s="270">
        <f>'[24]Summary - LDC'!J21*1000</f>
        <v>336576.25334211515</v>
      </c>
      <c r="J49" s="270">
        <f>'[24]Summary - LDC'!K21*1000</f>
        <v>316589.93506054528</v>
      </c>
      <c r="K49" s="270">
        <f>'[24]Summary - LDC'!L21*1000</f>
        <v>316164.41506054532</v>
      </c>
      <c r="L49" s="271">
        <f>'[24]Summary - LDC'!M21*1000</f>
        <v>295795.24860914104</v>
      </c>
      <c r="M49" s="270">
        <f>'[24]Summary - LDC'!N21*1000</f>
        <v>280577.75641037466</v>
      </c>
      <c r="N49" s="270">
        <f>'[24]Summary - LDC'!O21*1000</f>
        <v>217809.13852963698</v>
      </c>
      <c r="O49" s="270">
        <v>158815.80765487292</v>
      </c>
      <c r="P49" s="270">
        <v>146818.15959340616</v>
      </c>
      <c r="Q49" s="270">
        <v>146818.15959340616</v>
      </c>
      <c r="R49" s="270">
        <v>144868.08069438019</v>
      </c>
      <c r="S49" s="270">
        <v>143543.82675788307</v>
      </c>
    </row>
    <row r="50" spans="1:25">
      <c r="A50" s="918" t="s">
        <v>150</v>
      </c>
      <c r="B50" s="133" t="s">
        <v>421</v>
      </c>
      <c r="C50" s="133"/>
      <c r="D50" s="274"/>
      <c r="E50" s="274"/>
      <c r="F50" s="274"/>
      <c r="G50" s="270">
        <f>'[24]Summary - LDC'!H22*1000</f>
        <v>823886.74545574235</v>
      </c>
      <c r="H50" s="270">
        <f>'[24]Summary - LDC'!I22*1000</f>
        <v>753946.71894111647</v>
      </c>
      <c r="I50" s="270">
        <f>'[24]Summary - LDC'!J22*1000</f>
        <v>753946.71894111647</v>
      </c>
      <c r="J50" s="270">
        <f>'[24]Summary - LDC'!K22*1000</f>
        <v>753116.27831212443</v>
      </c>
      <c r="K50" s="270">
        <f>'[24]Summary - LDC'!L22*1000</f>
        <v>725050.40238512959</v>
      </c>
      <c r="L50" s="271">
        <f>'[24]Summary - LDC'!M22*1000</f>
        <v>654150.1252715888</v>
      </c>
      <c r="M50" s="270">
        <f>'[24]Summary - LDC'!N22*1000</f>
        <v>643460.90401315992</v>
      </c>
      <c r="N50" s="270">
        <f>'[24]Summary - LDC'!O22*1000</f>
        <v>643227.67287644988</v>
      </c>
      <c r="O50" s="270">
        <v>501236.61844084819</v>
      </c>
      <c r="P50" s="270">
        <v>337437.43421658664</v>
      </c>
      <c r="Q50" s="270">
        <v>277876.90573284338</v>
      </c>
      <c r="R50" s="270">
        <v>58242.072672796552</v>
      </c>
      <c r="S50" s="270">
        <v>52492.131987379551</v>
      </c>
    </row>
    <row r="51" spans="1:25">
      <c r="A51" s="919" t="s">
        <v>151</v>
      </c>
      <c r="B51" s="957" t="s">
        <v>421</v>
      </c>
      <c r="C51" s="957"/>
      <c r="D51" s="275"/>
      <c r="E51" s="275"/>
      <c r="F51" s="275"/>
      <c r="G51" s="275"/>
      <c r="H51" s="272">
        <f>'[24]Summary - LDC'!I23*1000</f>
        <v>490659.22630354261</v>
      </c>
      <c r="I51" s="272">
        <f>'[24]Summary - LDC'!J23*1000</f>
        <v>372935.92627486284</v>
      </c>
      <c r="J51" s="272">
        <f>'[24]Summary - LDC'!K23*1000</f>
        <v>372355.19439150492</v>
      </c>
      <c r="K51" s="272">
        <f>'[24]Summary - LDC'!L23*1000</f>
        <v>372086.38908714731</v>
      </c>
      <c r="L51" s="273">
        <f>'[24]Summary - LDC'!M23*1000</f>
        <v>350309.73119312461</v>
      </c>
      <c r="M51" s="272">
        <f>'[24]Summary - LDC'!N23*1000</f>
        <v>286647.10263024451</v>
      </c>
      <c r="N51" s="272">
        <f>'[24]Summary - LDC'!O23*1000</f>
        <v>284496.86309639667</v>
      </c>
      <c r="O51" s="272">
        <v>221568.72263942673</v>
      </c>
      <c r="P51" s="272">
        <v>90730.013932220259</v>
      </c>
      <c r="Q51" s="272">
        <v>85763.35214081101</v>
      </c>
      <c r="R51" s="272">
        <v>83537.69433681485</v>
      </c>
      <c r="S51" s="272">
        <v>83537.69433681485</v>
      </c>
    </row>
    <row r="52" spans="1:25">
      <c r="A52" s="918" t="s">
        <v>86</v>
      </c>
      <c r="B52" s="133" t="s">
        <v>420</v>
      </c>
      <c r="C52" s="133"/>
      <c r="D52" s="115"/>
      <c r="E52" s="115"/>
      <c r="F52" s="115"/>
      <c r="G52" s="115"/>
      <c r="H52" s="115"/>
      <c r="I52" s="115">
        <v>1014385.9173395393</v>
      </c>
      <c r="J52" s="115">
        <v>1014385.9173395393</v>
      </c>
      <c r="K52" s="115">
        <v>1014385.9173395393</v>
      </c>
      <c r="L52" s="134">
        <v>928229.32605543907</v>
      </c>
      <c r="M52" s="274">
        <v>909865.31750513613</v>
      </c>
      <c r="N52" s="274">
        <v>875222.21168693912</v>
      </c>
      <c r="O52" s="274">
        <v>701688.18523600686</v>
      </c>
      <c r="P52" s="274">
        <v>701526.06005125772</v>
      </c>
      <c r="Q52" s="274">
        <v>710945.59466292709</v>
      </c>
      <c r="R52" s="274">
        <v>682673.74706433888</v>
      </c>
      <c r="S52" s="274">
        <v>329987.97472180944</v>
      </c>
    </row>
    <row r="53" spans="1:25">
      <c r="A53" s="918" t="s">
        <v>87</v>
      </c>
      <c r="B53" s="133" t="s">
        <v>420</v>
      </c>
      <c r="C53" s="133"/>
      <c r="D53" s="115"/>
      <c r="E53" s="115"/>
      <c r="F53" s="115"/>
      <c r="G53" s="115"/>
      <c r="H53" s="115"/>
      <c r="I53" s="135">
        <v>-147227.3066758416</v>
      </c>
      <c r="J53" s="115">
        <v>478863.45390440646</v>
      </c>
      <c r="K53" s="115">
        <v>475181.59685863019</v>
      </c>
      <c r="L53" s="134">
        <v>474984.35225522006</v>
      </c>
      <c r="M53" s="274">
        <v>412294.40483059047</v>
      </c>
      <c r="N53" s="274">
        <v>388032.54988997406</v>
      </c>
      <c r="O53" s="274">
        <v>207865.83003768139</v>
      </c>
      <c r="P53" s="274">
        <v>184168.43748568816</v>
      </c>
      <c r="Q53" s="274">
        <v>184133.33700619024</v>
      </c>
      <c r="R53" s="274">
        <v>176417.76439246637</v>
      </c>
      <c r="S53" s="274">
        <v>-37904.230915888606</v>
      </c>
    </row>
    <row r="54" spans="1:25">
      <c r="A54" s="918" t="s">
        <v>88</v>
      </c>
      <c r="B54" s="133" t="s">
        <v>420</v>
      </c>
      <c r="C54" s="133"/>
      <c r="D54" s="115"/>
      <c r="E54" s="115"/>
      <c r="F54" s="115"/>
      <c r="G54" s="115"/>
      <c r="H54" s="115"/>
      <c r="I54" s="115">
        <v>0</v>
      </c>
      <c r="J54" s="115">
        <v>7495.7899601791878</v>
      </c>
      <c r="K54" s="115">
        <v>286042.35024129495</v>
      </c>
      <c r="L54" s="134">
        <v>279541.14066109498</v>
      </c>
      <c r="M54" s="274">
        <v>277984.78199620696</v>
      </c>
      <c r="N54" s="274">
        <v>268189.13914155297</v>
      </c>
      <c r="O54" s="274">
        <v>242020.86374508106</v>
      </c>
      <c r="P54" s="274">
        <v>218259.49112486219</v>
      </c>
      <c r="Q54" s="274">
        <v>216816.34216856319</v>
      </c>
      <c r="R54" s="274">
        <v>216793.83321080822</v>
      </c>
      <c r="S54" s="274">
        <v>197935.06508754316</v>
      </c>
    </row>
    <row r="55" spans="1:25">
      <c r="A55" s="919" t="s">
        <v>89</v>
      </c>
      <c r="B55" s="957" t="s">
        <v>420</v>
      </c>
      <c r="C55" s="957"/>
      <c r="D55" s="136"/>
      <c r="E55" s="136"/>
      <c r="F55" s="136"/>
      <c r="G55" s="136"/>
      <c r="H55" s="136"/>
      <c r="I55" s="136">
        <v>883</v>
      </c>
      <c r="J55" s="275">
        <v>99006.279999999984</v>
      </c>
      <c r="K55" s="275">
        <v>126270.99147539999</v>
      </c>
      <c r="L55" s="329">
        <v>1210842.7630167839</v>
      </c>
      <c r="M55" s="330">
        <v>1187807.5671537837</v>
      </c>
      <c r="N55" s="275">
        <v>1085776.5313428841</v>
      </c>
      <c r="O55" s="275">
        <v>1016068.1580642839</v>
      </c>
      <c r="P55" s="275">
        <v>996322.29304755793</v>
      </c>
      <c r="Q55" s="275">
        <v>976158.21053090005</v>
      </c>
      <c r="R55" s="275">
        <v>970344.46363790007</v>
      </c>
      <c r="S55" s="275">
        <v>968714.25931540015</v>
      </c>
    </row>
    <row r="56" spans="1:25">
      <c r="A56" s="918" t="s">
        <v>113</v>
      </c>
      <c r="B56" s="133" t="s">
        <v>419</v>
      </c>
      <c r="C56" s="133"/>
      <c r="D56" s="115"/>
      <c r="E56" s="115"/>
      <c r="F56" s="115"/>
      <c r="G56" s="115"/>
      <c r="H56" s="115"/>
      <c r="I56" s="788"/>
      <c r="J56" s="788"/>
      <c r="K56" s="788"/>
      <c r="L56" s="832"/>
      <c r="M56" s="833">
        <v>1433296</v>
      </c>
      <c r="N56" s="833">
        <v>1394436</v>
      </c>
      <c r="O56" s="833">
        <v>1382364</v>
      </c>
      <c r="P56" s="833">
        <v>1382183</v>
      </c>
      <c r="Q56" s="833">
        <v>1368895</v>
      </c>
      <c r="R56" s="833">
        <v>1353837</v>
      </c>
      <c r="S56" s="833">
        <v>1328164</v>
      </c>
    </row>
    <row r="57" spans="1:25">
      <c r="A57" s="918" t="s">
        <v>384</v>
      </c>
      <c r="B57" s="133" t="s">
        <v>528</v>
      </c>
      <c r="C57" s="133"/>
      <c r="D57" s="115"/>
      <c r="E57" s="115"/>
      <c r="F57" s="115"/>
      <c r="G57" s="115"/>
      <c r="H57" s="115"/>
      <c r="I57" s="788"/>
      <c r="J57" s="788"/>
      <c r="K57" s="788"/>
      <c r="L57" s="832"/>
      <c r="M57" s="833">
        <v>95930</v>
      </c>
      <c r="N57" s="833">
        <v>95782</v>
      </c>
      <c r="O57" s="833">
        <v>95782</v>
      </c>
      <c r="P57" s="833">
        <v>95782</v>
      </c>
      <c r="Q57" s="833">
        <v>95782</v>
      </c>
      <c r="R57" s="833">
        <v>95782</v>
      </c>
      <c r="S57" s="833">
        <v>95782</v>
      </c>
      <c r="T57" s="835"/>
      <c r="U57" s="835"/>
      <c r="V57" s="835"/>
      <c r="W57" s="835"/>
      <c r="X57" s="835"/>
      <c r="Y57" s="835"/>
    </row>
    <row r="58" spans="1:25">
      <c r="A58" s="918" t="s">
        <v>385</v>
      </c>
      <c r="B58" s="133" t="s">
        <v>419</v>
      </c>
      <c r="C58" s="133"/>
      <c r="D58" s="115"/>
      <c r="E58" s="115"/>
      <c r="F58" s="115"/>
      <c r="G58" s="115"/>
      <c r="H58" s="115"/>
      <c r="I58" s="788"/>
      <c r="J58" s="788"/>
      <c r="K58" s="788"/>
      <c r="L58" s="832"/>
      <c r="M58" s="833">
        <v>-57453</v>
      </c>
      <c r="N58" s="833">
        <v>-21419</v>
      </c>
      <c r="O58" s="833">
        <v>-9422</v>
      </c>
      <c r="P58" s="833">
        <v>-428</v>
      </c>
      <c r="Q58" s="833">
        <v>-428</v>
      </c>
      <c r="R58" s="833">
        <v>-428</v>
      </c>
      <c r="S58" s="833">
        <v>25014</v>
      </c>
      <c r="T58" s="835"/>
      <c r="U58" s="835"/>
      <c r="V58" s="835"/>
      <c r="W58" s="835"/>
      <c r="X58" s="835"/>
      <c r="Y58" s="835"/>
    </row>
    <row r="59" spans="1:25">
      <c r="A59" s="918" t="s">
        <v>114</v>
      </c>
      <c r="B59" s="133" t="s">
        <v>419</v>
      </c>
      <c r="C59" s="133"/>
      <c r="D59" s="115"/>
      <c r="E59" s="115"/>
      <c r="F59" s="115"/>
      <c r="G59" s="115"/>
      <c r="H59" s="115"/>
      <c r="I59" s="308"/>
      <c r="J59" s="308"/>
      <c r="K59" s="308"/>
      <c r="L59" s="834"/>
      <c r="M59" s="835"/>
      <c r="N59" s="835">
        <v>577544</v>
      </c>
      <c r="O59" s="835">
        <v>574980</v>
      </c>
      <c r="P59" s="835">
        <v>574385</v>
      </c>
      <c r="Q59" s="835">
        <v>570963</v>
      </c>
      <c r="R59" s="835">
        <v>570963</v>
      </c>
      <c r="S59" s="835">
        <v>557879</v>
      </c>
      <c r="T59" s="835"/>
      <c r="U59" s="835"/>
      <c r="V59" s="835"/>
      <c r="W59" s="835"/>
      <c r="X59" s="835"/>
      <c r="Y59" s="835"/>
    </row>
    <row r="60" spans="1:25">
      <c r="A60" s="1149" t="s">
        <v>386</v>
      </c>
      <c r="B60" s="1150" t="s">
        <v>419</v>
      </c>
      <c r="C60" s="1150"/>
      <c r="D60" s="1151"/>
      <c r="E60" s="1151"/>
      <c r="F60" s="1151"/>
      <c r="G60" s="1151"/>
      <c r="H60" s="1151"/>
      <c r="I60" s="1152"/>
      <c r="J60" s="1152"/>
      <c r="K60" s="1152"/>
      <c r="L60" s="1153"/>
      <c r="M60" s="1154"/>
      <c r="N60" s="1154">
        <v>72792</v>
      </c>
      <c r="O60" s="1154">
        <v>75357</v>
      </c>
      <c r="P60" s="1154">
        <v>75146</v>
      </c>
      <c r="Q60" s="1154">
        <v>73935</v>
      </c>
      <c r="R60" s="1154">
        <v>73935</v>
      </c>
      <c r="S60" s="1154">
        <v>71732</v>
      </c>
      <c r="T60" s="835"/>
      <c r="U60" s="835"/>
      <c r="V60" s="835"/>
      <c r="W60" s="835"/>
      <c r="X60" s="835"/>
      <c r="Y60" s="835"/>
    </row>
    <row r="61" spans="1:25">
      <c r="A61" s="1155" t="s">
        <v>171</v>
      </c>
      <c r="B61" s="1156" t="s">
        <v>419</v>
      </c>
      <c r="C61" s="1156"/>
      <c r="D61" s="1157"/>
      <c r="E61" s="1157"/>
      <c r="F61" s="1157"/>
      <c r="G61" s="1157"/>
      <c r="H61" s="1157"/>
      <c r="I61" s="1158"/>
      <c r="J61" s="1158"/>
      <c r="K61" s="1158"/>
      <c r="L61" s="1159"/>
      <c r="M61" s="1160"/>
      <c r="N61" s="1160"/>
      <c r="O61" s="1160">
        <v>1002377</v>
      </c>
      <c r="P61" s="1160">
        <v>851480</v>
      </c>
      <c r="Q61" s="1160">
        <v>851480</v>
      </c>
      <c r="R61" s="1160">
        <v>851480</v>
      </c>
      <c r="S61" s="1160">
        <v>851480</v>
      </c>
      <c r="T61" s="835"/>
      <c r="U61" s="835"/>
      <c r="V61" s="835"/>
      <c r="W61" s="835"/>
      <c r="X61" s="835"/>
      <c r="Y61" s="835"/>
    </row>
    <row r="62" spans="1:25">
      <c r="A62" s="918" t="s">
        <v>387</v>
      </c>
      <c r="B62" s="133" t="s">
        <v>418</v>
      </c>
      <c r="C62" s="133"/>
      <c r="D62" s="115"/>
      <c r="E62" s="115"/>
      <c r="F62" s="115"/>
      <c r="G62" s="115"/>
      <c r="H62" s="115"/>
      <c r="I62" s="308"/>
      <c r="J62" s="308"/>
      <c r="K62" s="308"/>
      <c r="L62" s="834"/>
      <c r="M62" s="835"/>
      <c r="N62" s="835"/>
      <c r="O62" s="835">
        <v>865802.79355362279</v>
      </c>
      <c r="P62" s="956">
        <v>848356</v>
      </c>
      <c r="Q62" s="956">
        <v>830617</v>
      </c>
      <c r="R62" s="835">
        <v>828693</v>
      </c>
      <c r="S62" s="956">
        <v>828536.6872633911</v>
      </c>
      <c r="T62" s="835"/>
      <c r="U62" s="835"/>
      <c r="V62" s="835"/>
      <c r="W62" s="835"/>
      <c r="X62" s="835"/>
      <c r="Y62" s="835"/>
    </row>
    <row r="63" spans="1:25">
      <c r="A63" s="918" t="s">
        <v>411</v>
      </c>
      <c r="B63" s="133" t="s">
        <v>431</v>
      </c>
      <c r="C63" s="133"/>
      <c r="D63" s="115"/>
      <c r="E63" s="115"/>
      <c r="F63" s="115"/>
      <c r="G63" s="115"/>
      <c r="H63" s="115"/>
      <c r="L63" s="137"/>
      <c r="M63" s="831"/>
      <c r="N63" s="831"/>
      <c r="O63" s="831">
        <v>51015</v>
      </c>
      <c r="P63" s="955">
        <v>51015</v>
      </c>
      <c r="Q63" s="955">
        <v>50762.725512392673</v>
      </c>
      <c r="R63" s="955">
        <v>50762.725512392673</v>
      </c>
      <c r="S63" s="955">
        <v>50764</v>
      </c>
      <c r="T63" s="831"/>
      <c r="U63" s="831"/>
      <c r="V63" s="831"/>
      <c r="W63" s="831"/>
      <c r="X63" s="831"/>
    </row>
    <row r="64" spans="1:25">
      <c r="A64" s="918" t="s">
        <v>172</v>
      </c>
      <c r="B64" s="133" t="s">
        <v>418</v>
      </c>
      <c r="C64" s="133"/>
      <c r="D64" s="115"/>
      <c r="E64" s="115"/>
      <c r="F64" s="115"/>
      <c r="G64" s="115"/>
      <c r="H64" s="115"/>
      <c r="I64" s="308"/>
      <c r="J64" s="308"/>
      <c r="K64" s="308"/>
      <c r="L64" s="834"/>
      <c r="M64" s="835"/>
      <c r="N64" s="835"/>
      <c r="O64" s="835"/>
      <c r="P64" s="831">
        <v>1216917.5</v>
      </c>
      <c r="Q64" s="955">
        <v>1209610.5</v>
      </c>
      <c r="R64" s="831">
        <v>1190246.5524233098</v>
      </c>
      <c r="S64" s="955">
        <v>1190246.5524233098</v>
      </c>
    </row>
    <row r="65" spans="1:20">
      <c r="A65" s="918" t="s">
        <v>173</v>
      </c>
      <c r="B65" s="133" t="s">
        <v>418</v>
      </c>
      <c r="C65" s="133"/>
      <c r="D65" s="115"/>
      <c r="E65" s="115"/>
      <c r="F65" s="115"/>
      <c r="G65" s="115"/>
      <c r="H65" s="115"/>
      <c r="L65" s="137"/>
      <c r="M65" s="831"/>
      <c r="N65" s="831"/>
      <c r="O65" s="831"/>
      <c r="P65" s="831"/>
      <c r="Q65" s="831">
        <v>4763.8662922227186</v>
      </c>
      <c r="R65" s="831">
        <v>4195</v>
      </c>
      <c r="S65" s="955">
        <v>3063</v>
      </c>
    </row>
    <row r="66" spans="1:20">
      <c r="A66" s="133"/>
      <c r="B66" s="133"/>
      <c r="C66" s="133"/>
      <c r="D66" s="115"/>
      <c r="E66" s="115"/>
      <c r="F66" s="115"/>
      <c r="G66" s="115"/>
      <c r="H66" s="115"/>
      <c r="L66" s="137"/>
      <c r="M66" s="831"/>
      <c r="N66" s="831"/>
      <c r="O66" s="831"/>
      <c r="P66" s="831"/>
      <c r="Q66" s="831"/>
      <c r="R66" s="831"/>
      <c r="S66" s="831"/>
      <c r="T66" s="854"/>
    </row>
    <row r="67" spans="1:20">
      <c r="A67" s="138" t="s">
        <v>5</v>
      </c>
      <c r="B67" s="917"/>
      <c r="C67" s="917"/>
      <c r="D67" s="139">
        <f t="shared" ref="D67:I67" si="13">SUM(D47:D65)</f>
        <v>415552.6948728204</v>
      </c>
      <c r="E67" s="139">
        <f t="shared" si="13"/>
        <v>749106.26563565712</v>
      </c>
      <c r="F67" s="139">
        <f t="shared" si="13"/>
        <v>1039688.903973503</v>
      </c>
      <c r="G67" s="139">
        <f t="shared" si="13"/>
        <v>1802169.88608751</v>
      </c>
      <c r="H67" s="139">
        <f t="shared" si="13"/>
        <v>1879508.692706482</v>
      </c>
      <c r="I67" s="139">
        <f t="shared" si="13"/>
        <v>2629671.732033812</v>
      </c>
      <c r="J67" s="139">
        <f t="shared" ref="J67:S67" si="14">SUM(J47:J66)</f>
        <v>3327697.8034008839</v>
      </c>
      <c r="K67" s="139">
        <f t="shared" si="14"/>
        <v>3601067.0168802715</v>
      </c>
      <c r="L67" s="139">
        <f t="shared" si="14"/>
        <v>4475753.7237504823</v>
      </c>
      <c r="M67" s="139">
        <f t="shared" si="14"/>
        <v>5617618.1289679604</v>
      </c>
      <c r="N67" s="139">
        <f t="shared" si="14"/>
        <v>5992044.8286500499</v>
      </c>
      <c r="O67" s="139">
        <f t="shared" si="14"/>
        <v>7175605.0759273116</v>
      </c>
      <c r="P67" s="139">
        <f t="shared" si="14"/>
        <v>7858183.4860070674</v>
      </c>
      <c r="Q67" s="139">
        <f t="shared" si="14"/>
        <v>7742978.0901957452</v>
      </c>
      <c r="R67" s="139">
        <f t="shared" si="14"/>
        <v>7434872.2241933551</v>
      </c>
      <c r="S67" s="139">
        <f t="shared" si="14"/>
        <v>6811985.5301277367</v>
      </c>
    </row>
    <row r="68" spans="1:20">
      <c r="A68" s="148"/>
      <c r="B68" s="229"/>
      <c r="C68" s="229"/>
      <c r="D68" s="229"/>
      <c r="E68" s="229"/>
      <c r="F68" s="229"/>
      <c r="G68" s="229"/>
      <c r="H68" s="229"/>
      <c r="I68" s="229"/>
      <c r="J68" s="229"/>
      <c r="K68" s="229"/>
      <c r="L68" s="229"/>
    </row>
    <row r="69" spans="1:20">
      <c r="D69" s="110"/>
      <c r="F69" s="110"/>
    </row>
    <row r="70" spans="1:20" ht="24.75" customHeight="1">
      <c r="A70" s="219"/>
      <c r="B70" s="233" t="s">
        <v>169</v>
      </c>
      <c r="C70" s="221"/>
      <c r="D70" s="221" t="s">
        <v>168</v>
      </c>
      <c r="E70" s="222"/>
      <c r="F70" s="220"/>
      <c r="G70" s="223"/>
      <c r="H70" s="223"/>
    </row>
    <row r="71" spans="1:20">
      <c r="A71" s="224"/>
      <c r="B71" s="148"/>
      <c r="C71" s="148">
        <v>2011</v>
      </c>
      <c r="D71" s="225">
        <v>2012</v>
      </c>
      <c r="E71" s="148">
        <v>2013</v>
      </c>
      <c r="F71" s="148">
        <v>2014</v>
      </c>
      <c r="G71" s="148">
        <v>2015</v>
      </c>
      <c r="H71" s="137">
        <v>2016</v>
      </c>
    </row>
    <row r="72" spans="1:20">
      <c r="A72" s="224"/>
      <c r="B72" s="326"/>
      <c r="C72" s="225">
        <v>0</v>
      </c>
      <c r="D72" s="225">
        <v>0</v>
      </c>
      <c r="E72" s="225">
        <v>0</v>
      </c>
      <c r="F72" s="374"/>
      <c r="G72" s="230"/>
      <c r="H72" s="137"/>
    </row>
    <row r="73" spans="1:20">
      <c r="A73" s="226"/>
      <c r="B73" s="234"/>
      <c r="C73" s="227"/>
      <c r="D73" s="228"/>
      <c r="E73" s="227"/>
      <c r="F73" s="375"/>
      <c r="G73" s="231"/>
      <c r="H73" s="232"/>
    </row>
    <row r="74" spans="1:20">
      <c r="D74" s="110"/>
      <c r="F74" s="110" t="s">
        <v>271</v>
      </c>
    </row>
    <row r="75" spans="1:20">
      <c r="D75" s="110"/>
      <c r="F75" s="373"/>
    </row>
    <row r="76" spans="1:20" ht="39.75" customHeight="1">
      <c r="C76" s="355" t="s">
        <v>152</v>
      </c>
      <c r="G76" s="324" t="s">
        <v>153</v>
      </c>
    </row>
    <row r="77" spans="1:20" ht="29.25" customHeight="1">
      <c r="C77" s="140" t="s">
        <v>154</v>
      </c>
      <c r="D77" s="141" t="s">
        <v>155</v>
      </c>
      <c r="E77" s="141" t="s">
        <v>156</v>
      </c>
      <c r="G77" s="235" t="s">
        <v>231</v>
      </c>
      <c r="J77" s="107" t="s">
        <v>409</v>
      </c>
      <c r="K77" s="107" t="s">
        <v>410</v>
      </c>
    </row>
    <row r="78" spans="1:20" ht="11.25" customHeight="1">
      <c r="C78" s="142"/>
      <c r="D78" s="141"/>
      <c r="E78" s="141"/>
      <c r="G78" s="142" t="s">
        <v>144</v>
      </c>
      <c r="H78" s="107" t="str">
        <f>K77</f>
        <v>Uplifted 2</v>
      </c>
    </row>
    <row r="79" spans="1:20" ht="12.75" hidden="1" customHeight="1">
      <c r="A79" s="144">
        <v>38718</v>
      </c>
      <c r="B79" s="145"/>
      <c r="C79" s="110">
        <f>$G$4</f>
        <v>2663.7993261078232</v>
      </c>
      <c r="G79" s="112"/>
      <c r="H79" s="112"/>
    </row>
    <row r="80" spans="1:20" hidden="1">
      <c r="A80" s="144">
        <v>38749</v>
      </c>
      <c r="B80" s="146"/>
      <c r="C80" s="110">
        <f t="shared" ref="C80:C90" si="15">C79+$G$4</f>
        <v>5327.5986522156463</v>
      </c>
      <c r="G80" s="112"/>
    </row>
    <row r="81" spans="1:57" hidden="1">
      <c r="A81" s="144">
        <v>38777</v>
      </c>
      <c r="B81" s="146"/>
      <c r="C81" s="110">
        <f t="shared" si="15"/>
        <v>7991.3979783234699</v>
      </c>
      <c r="G81" s="112"/>
    </row>
    <row r="82" spans="1:57" hidden="1">
      <c r="A82" s="144">
        <v>38808</v>
      </c>
      <c r="B82" s="146"/>
      <c r="C82" s="110">
        <f t="shared" si="15"/>
        <v>10655.197304431293</v>
      </c>
      <c r="G82" s="112"/>
    </row>
    <row r="83" spans="1:57" hidden="1">
      <c r="A83" s="144">
        <v>38838</v>
      </c>
      <c r="B83" s="146"/>
      <c r="C83" s="110">
        <f t="shared" si="15"/>
        <v>13318.996630539115</v>
      </c>
      <c r="G83" s="112"/>
    </row>
    <row r="84" spans="1:57" hidden="1">
      <c r="A84" s="144">
        <v>38869</v>
      </c>
      <c r="B84" s="146"/>
      <c r="C84" s="110">
        <f t="shared" si="15"/>
        <v>15982.795956646938</v>
      </c>
      <c r="G84" s="112"/>
    </row>
    <row r="85" spans="1:57" hidden="1">
      <c r="A85" s="144">
        <v>38899</v>
      </c>
      <c r="B85" s="146"/>
      <c r="C85" s="110">
        <f t="shared" si="15"/>
        <v>18646.595282754763</v>
      </c>
      <c r="G85" s="112"/>
    </row>
    <row r="86" spans="1:57" hidden="1">
      <c r="A86" s="144">
        <v>38930</v>
      </c>
      <c r="B86" s="146"/>
      <c r="C86" s="110">
        <f t="shared" si="15"/>
        <v>21310.394608862585</v>
      </c>
      <c r="G86" s="112"/>
    </row>
    <row r="87" spans="1:57" hidden="1">
      <c r="A87" s="144">
        <v>38961</v>
      </c>
      <c r="B87" s="146"/>
      <c r="C87" s="110">
        <f t="shared" si="15"/>
        <v>23974.193934970408</v>
      </c>
      <c r="G87" s="112"/>
      <c r="BE87" s="107" t="s">
        <v>62</v>
      </c>
    </row>
    <row r="88" spans="1:57" hidden="1">
      <c r="A88" s="144">
        <v>38991</v>
      </c>
      <c r="B88" s="146"/>
      <c r="C88" s="110">
        <f t="shared" si="15"/>
        <v>26637.993261078231</v>
      </c>
      <c r="G88" s="112"/>
      <c r="AA88" s="113"/>
    </row>
    <row r="89" spans="1:57" hidden="1">
      <c r="A89" s="144">
        <v>39022</v>
      </c>
      <c r="B89" s="146"/>
      <c r="C89" s="110">
        <f t="shared" si="15"/>
        <v>29301.792587186053</v>
      </c>
      <c r="D89" s="147" t="s">
        <v>10</v>
      </c>
      <c r="G89" s="112"/>
      <c r="H89" s="147" t="s">
        <v>10</v>
      </c>
    </row>
    <row r="90" spans="1:57" hidden="1">
      <c r="A90" s="277">
        <v>39052</v>
      </c>
      <c r="B90" s="277"/>
      <c r="C90" s="278">
        <f t="shared" si="15"/>
        <v>31965.591913293876</v>
      </c>
      <c r="D90" s="278">
        <f>SUM(C79:C90)</f>
        <v>207776.3474364102</v>
      </c>
      <c r="E90" s="278">
        <f>C90*12</f>
        <v>383587.10295952653</v>
      </c>
      <c r="F90" s="277"/>
      <c r="G90" s="279"/>
      <c r="H90" s="278">
        <f>SUM(G79:G90)</f>
        <v>0</v>
      </c>
      <c r="I90" s="280" t="e">
        <f>H90-D90*#REF!</f>
        <v>#REF!</v>
      </c>
    </row>
    <row r="91" spans="1:57" hidden="1">
      <c r="A91" s="144">
        <v>39083</v>
      </c>
      <c r="B91" s="144"/>
      <c r="C91" s="110">
        <f t="shared" ref="C91:C102" si="16">C90+$G$5</f>
        <v>34513.571109379933</v>
      </c>
      <c r="D91" s="112">
        <f>D90-P5</f>
        <v>40999.562054991839</v>
      </c>
      <c r="G91" s="112"/>
    </row>
    <row r="92" spans="1:57" hidden="1">
      <c r="A92" s="144">
        <v>39114</v>
      </c>
      <c r="B92" s="144"/>
      <c r="C92" s="110">
        <f t="shared" si="16"/>
        <v>37061.550305465986</v>
      </c>
      <c r="G92" s="112"/>
    </row>
    <row r="93" spans="1:57" hidden="1">
      <c r="A93" s="144">
        <v>39142</v>
      </c>
      <c r="B93" s="144"/>
      <c r="C93" s="110">
        <f t="shared" si="16"/>
        <v>39609.529501552039</v>
      </c>
      <c r="G93" s="112"/>
    </row>
    <row r="94" spans="1:57" hidden="1">
      <c r="A94" s="144">
        <v>39173</v>
      </c>
      <c r="B94" s="144"/>
      <c r="C94" s="110">
        <f t="shared" si="16"/>
        <v>42157.508697638092</v>
      </c>
      <c r="G94" s="112"/>
    </row>
    <row r="95" spans="1:57" hidden="1">
      <c r="A95" s="144">
        <v>39203</v>
      </c>
      <c r="B95" s="144"/>
      <c r="C95" s="110">
        <f t="shared" si="16"/>
        <v>44705.487893724145</v>
      </c>
      <c r="G95" s="112"/>
    </row>
    <row r="96" spans="1:57" hidden="1">
      <c r="A96" s="144">
        <v>39234</v>
      </c>
      <c r="B96" s="144"/>
      <c r="C96" s="110">
        <f t="shared" si="16"/>
        <v>47253.467089810198</v>
      </c>
      <c r="G96" s="112"/>
    </row>
    <row r="97" spans="1:24" hidden="1">
      <c r="A97" s="144">
        <v>39264</v>
      </c>
      <c r="B97" s="144"/>
      <c r="C97" s="110">
        <f t="shared" si="16"/>
        <v>49801.446285896251</v>
      </c>
      <c r="G97" s="112"/>
    </row>
    <row r="98" spans="1:24" hidden="1">
      <c r="A98" s="144">
        <v>39295</v>
      </c>
      <c r="B98" s="144"/>
      <c r="C98" s="110">
        <f t="shared" si="16"/>
        <v>52349.425481982304</v>
      </c>
      <c r="G98" s="112"/>
    </row>
    <row r="99" spans="1:24" hidden="1">
      <c r="A99" s="144">
        <v>39326</v>
      </c>
      <c r="B99" s="144"/>
      <c r="C99" s="110">
        <f t="shared" si="16"/>
        <v>54897.404678068357</v>
      </c>
      <c r="G99" s="112"/>
    </row>
    <row r="100" spans="1:24" hidden="1">
      <c r="A100" s="144">
        <v>39356</v>
      </c>
      <c r="B100" s="144"/>
      <c r="C100" s="110">
        <f t="shared" si="16"/>
        <v>57445.38387415441</v>
      </c>
      <c r="G100" s="112"/>
      <c r="W100" s="148"/>
    </row>
    <row r="101" spans="1:24" hidden="1">
      <c r="A101" s="144">
        <v>39387</v>
      </c>
      <c r="B101" s="144"/>
      <c r="C101" s="110">
        <f t="shared" si="16"/>
        <v>59993.363070240463</v>
      </c>
      <c r="D101" s="147" t="s">
        <v>10</v>
      </c>
      <c r="G101" s="112"/>
    </row>
    <row r="102" spans="1:24" hidden="1">
      <c r="A102" s="277">
        <v>39417</v>
      </c>
      <c r="B102" s="277"/>
      <c r="C102" s="278">
        <f t="shared" si="16"/>
        <v>62541.342266326516</v>
      </c>
      <c r="D102" s="278">
        <f>SUM(C91:C102)</f>
        <v>582329.4802542387</v>
      </c>
      <c r="E102" s="278">
        <f>C102*12</f>
        <v>750496.10719591822</v>
      </c>
      <c r="F102" s="281"/>
      <c r="G102" s="279"/>
      <c r="H102" s="278">
        <f>SUM(G91:G102)</f>
        <v>0</v>
      </c>
      <c r="I102" s="280" t="e">
        <f>H102-D102*#REF!</f>
        <v>#REF!</v>
      </c>
    </row>
    <row r="103" spans="1:24" hidden="1">
      <c r="A103" s="144">
        <v>39448</v>
      </c>
      <c r="B103" s="144"/>
      <c r="C103" s="110">
        <f t="shared" ref="C103:C114" si="17">C102+$G$6</f>
        <v>64386.233004899106</v>
      </c>
      <c r="D103" s="112"/>
      <c r="G103" s="112"/>
    </row>
    <row r="104" spans="1:24" hidden="1">
      <c r="A104" s="144">
        <v>39479</v>
      </c>
      <c r="B104" s="144"/>
      <c r="C104" s="110">
        <f t="shared" si="17"/>
        <v>66231.12374347169</v>
      </c>
      <c r="G104" s="112"/>
    </row>
    <row r="105" spans="1:24" hidden="1">
      <c r="A105" s="144">
        <v>39508</v>
      </c>
      <c r="B105" s="144"/>
      <c r="C105" s="110">
        <f t="shared" si="17"/>
        <v>68076.01448204428</v>
      </c>
      <c r="G105" s="112"/>
    </row>
    <row r="106" spans="1:24" hidden="1">
      <c r="A106" s="144">
        <v>39539</v>
      </c>
      <c r="B106" s="144"/>
      <c r="C106" s="110">
        <f t="shared" si="17"/>
        <v>69920.905220616871</v>
      </c>
      <c r="G106" s="112"/>
    </row>
    <row r="107" spans="1:24" hidden="1">
      <c r="A107" s="144">
        <v>39569</v>
      </c>
      <c r="B107" s="144"/>
      <c r="C107" s="110">
        <f t="shared" si="17"/>
        <v>71765.795959189461</v>
      </c>
      <c r="G107" s="112"/>
      <c r="O107" s="113"/>
      <c r="P107" s="113"/>
      <c r="Q107" s="113"/>
      <c r="R107" s="113"/>
    </row>
    <row r="108" spans="1:24" hidden="1">
      <c r="A108" s="144">
        <v>39600</v>
      </c>
      <c r="B108" s="144"/>
      <c r="C108" s="110">
        <f t="shared" si="17"/>
        <v>73610.686697762052</v>
      </c>
      <c r="G108" s="112"/>
      <c r="O108" s="149"/>
      <c r="P108" s="149"/>
      <c r="Q108" s="149"/>
      <c r="R108" s="149"/>
      <c r="S108" s="149"/>
      <c r="T108" s="113"/>
      <c r="U108" s="113"/>
      <c r="V108" s="113"/>
      <c r="W108" s="113"/>
    </row>
    <row r="109" spans="1:24" hidden="1">
      <c r="A109" s="144">
        <v>39630</v>
      </c>
      <c r="B109" s="144"/>
      <c r="C109" s="110">
        <f t="shared" si="17"/>
        <v>75455.577436334643</v>
      </c>
      <c r="G109" s="112"/>
      <c r="O109" s="149"/>
      <c r="P109" s="149"/>
      <c r="Q109" s="149"/>
      <c r="R109" s="149"/>
      <c r="S109" s="149"/>
      <c r="T109" s="113"/>
      <c r="U109" s="113"/>
      <c r="V109" s="113"/>
      <c r="W109" s="113"/>
      <c r="X109" s="113"/>
    </row>
    <row r="110" spans="1:24" hidden="1">
      <c r="A110" s="144">
        <v>39661</v>
      </c>
      <c r="B110" s="144"/>
      <c r="C110" s="110">
        <f t="shared" si="17"/>
        <v>77300.468174907233</v>
      </c>
      <c r="G110" s="112"/>
      <c r="O110" s="149"/>
      <c r="P110" s="149"/>
      <c r="Q110" s="149"/>
      <c r="R110" s="149"/>
      <c r="S110" s="149"/>
      <c r="T110" s="113"/>
      <c r="U110" s="113"/>
      <c r="V110" s="113"/>
      <c r="W110" s="113"/>
      <c r="X110" s="113"/>
    </row>
    <row r="111" spans="1:24" hidden="1">
      <c r="A111" s="144">
        <v>39692</v>
      </c>
      <c r="B111" s="144"/>
      <c r="C111" s="110">
        <f t="shared" si="17"/>
        <v>79145.358913479824</v>
      </c>
      <c r="G111" s="112"/>
      <c r="O111" s="149"/>
      <c r="P111" s="149"/>
      <c r="Q111" s="149"/>
      <c r="R111" s="149"/>
      <c r="S111" s="149"/>
      <c r="T111" s="113"/>
      <c r="U111" s="113"/>
      <c r="V111" s="113"/>
      <c r="W111" s="113"/>
      <c r="X111" s="113"/>
    </row>
    <row r="112" spans="1:24" hidden="1">
      <c r="A112" s="144">
        <v>39722</v>
      </c>
      <c r="B112" s="144"/>
      <c r="C112" s="110">
        <f t="shared" si="17"/>
        <v>80990.249652052415</v>
      </c>
      <c r="G112" s="112"/>
      <c r="O112" s="149"/>
      <c r="P112" s="149"/>
      <c r="Q112" s="149"/>
      <c r="R112" s="149"/>
      <c r="S112" s="149"/>
      <c r="T112" s="113"/>
      <c r="U112" s="113"/>
      <c r="V112" s="113"/>
      <c r="W112" s="113"/>
      <c r="X112" s="113"/>
    </row>
    <row r="113" spans="1:24" hidden="1">
      <c r="A113" s="144">
        <v>39753</v>
      </c>
      <c r="B113" s="144"/>
      <c r="C113" s="110">
        <f t="shared" si="17"/>
        <v>82835.140390625005</v>
      </c>
      <c r="G113" s="112"/>
      <c r="U113" s="113"/>
      <c r="V113" s="113"/>
      <c r="W113" s="113"/>
      <c r="X113" s="113"/>
    </row>
    <row r="114" spans="1:24" hidden="1">
      <c r="A114" s="277">
        <v>39783</v>
      </c>
      <c r="B114" s="277"/>
      <c r="C114" s="278">
        <f t="shared" si="17"/>
        <v>84680.031129197596</v>
      </c>
      <c r="D114" s="278">
        <f>SUM(C103:C114)</f>
        <v>894397.58480458008</v>
      </c>
      <c r="E114" s="278">
        <f>C114*12</f>
        <v>1016160.3735503712</v>
      </c>
      <c r="F114" s="281"/>
      <c r="G114" s="279"/>
      <c r="H114" s="278">
        <f>SUM(G103:G114)</f>
        <v>0</v>
      </c>
      <c r="I114" s="282" t="e">
        <f>H114-D114*#REF!</f>
        <v>#REF!</v>
      </c>
      <c r="O114" s="115"/>
      <c r="P114" s="115"/>
      <c r="Q114" s="115"/>
      <c r="R114" s="115"/>
      <c r="S114" s="115"/>
      <c r="V114" s="113"/>
      <c r="W114" s="113"/>
      <c r="X114" s="113"/>
    </row>
    <row r="115" spans="1:24" hidden="1">
      <c r="A115" s="144">
        <v>39814</v>
      </c>
      <c r="B115" s="144"/>
      <c r="C115" s="110">
        <f t="shared" ref="C115:C126" si="18">C114+$G$7</f>
        <v>89869.377558430104</v>
      </c>
      <c r="D115" s="112"/>
      <c r="G115" s="112"/>
      <c r="O115" s="115"/>
      <c r="P115" s="115"/>
      <c r="Q115" s="115"/>
      <c r="R115" s="115"/>
      <c r="S115" s="115"/>
      <c r="U115" s="113"/>
      <c r="V115" s="113"/>
      <c r="W115" s="113"/>
      <c r="X115" s="113"/>
    </row>
    <row r="116" spans="1:24" hidden="1">
      <c r="A116" s="144">
        <v>39845</v>
      </c>
      <c r="B116" s="144"/>
      <c r="C116" s="110">
        <f t="shared" si="18"/>
        <v>95058.723987662612</v>
      </c>
      <c r="G116" s="112"/>
      <c r="O116" s="115"/>
      <c r="P116" s="115"/>
      <c r="Q116" s="115"/>
      <c r="R116" s="115"/>
      <c r="S116" s="115"/>
      <c r="W116" s="113"/>
      <c r="X116" s="113"/>
    </row>
    <row r="117" spans="1:24" hidden="1">
      <c r="A117" s="144">
        <v>39873</v>
      </c>
      <c r="B117" s="144"/>
      <c r="C117" s="110">
        <f t="shared" si="18"/>
        <v>100248.07041689512</v>
      </c>
      <c r="G117" s="112"/>
      <c r="O117" s="115"/>
      <c r="P117" s="115"/>
      <c r="Q117" s="115"/>
      <c r="R117" s="115"/>
      <c r="S117" s="115"/>
      <c r="X117" s="113"/>
    </row>
    <row r="118" spans="1:24" hidden="1">
      <c r="A118" s="144">
        <v>39904</v>
      </c>
      <c r="B118" s="144"/>
      <c r="C118" s="110">
        <f t="shared" si="18"/>
        <v>105437.41684612763</v>
      </c>
      <c r="G118" s="112"/>
      <c r="O118" s="115"/>
      <c r="P118" s="115"/>
      <c r="Q118" s="115"/>
      <c r="R118" s="115"/>
      <c r="S118" s="115"/>
      <c r="T118" s="113"/>
      <c r="U118" s="113"/>
      <c r="V118" s="113"/>
      <c r="W118" s="113"/>
      <c r="X118" s="113"/>
    </row>
    <row r="119" spans="1:24" hidden="1">
      <c r="A119" s="144">
        <v>39934</v>
      </c>
      <c r="B119" s="144"/>
      <c r="C119" s="110">
        <f t="shared" si="18"/>
        <v>110626.76327536014</v>
      </c>
      <c r="G119" s="112"/>
    </row>
    <row r="120" spans="1:24" hidden="1">
      <c r="A120" s="144">
        <v>39965</v>
      </c>
      <c r="B120" s="144"/>
      <c r="C120" s="110">
        <f t="shared" si="18"/>
        <v>115816.10970459264</v>
      </c>
      <c r="G120" s="112"/>
    </row>
    <row r="121" spans="1:24" hidden="1">
      <c r="A121" s="144">
        <v>39995</v>
      </c>
      <c r="B121" s="144"/>
      <c r="C121" s="110">
        <f t="shared" si="18"/>
        <v>121005.45613382515</v>
      </c>
      <c r="G121" s="112"/>
    </row>
    <row r="122" spans="1:24" hidden="1">
      <c r="A122" s="144">
        <v>40026</v>
      </c>
      <c r="B122" s="144"/>
      <c r="C122" s="110">
        <f t="shared" si="18"/>
        <v>126194.80256305766</v>
      </c>
      <c r="G122" s="112"/>
    </row>
    <row r="123" spans="1:24" hidden="1">
      <c r="A123" s="144">
        <v>40057</v>
      </c>
      <c r="B123" s="144"/>
      <c r="C123" s="110">
        <f t="shared" si="18"/>
        <v>131384.14899229017</v>
      </c>
      <c r="G123" s="112"/>
    </row>
    <row r="124" spans="1:24" hidden="1">
      <c r="A124" s="144">
        <v>40087</v>
      </c>
      <c r="B124" s="144"/>
      <c r="C124" s="110">
        <f t="shared" si="18"/>
        <v>136573.49542152268</v>
      </c>
      <c r="G124" s="112"/>
    </row>
    <row r="125" spans="1:24" hidden="1">
      <c r="A125" s="144">
        <v>40118</v>
      </c>
      <c r="B125" s="144"/>
      <c r="C125" s="110">
        <f t="shared" si="18"/>
        <v>141762.84185075518</v>
      </c>
      <c r="G125" s="112"/>
    </row>
    <row r="126" spans="1:24" hidden="1">
      <c r="A126" s="845">
        <v>40148</v>
      </c>
      <c r="B126" s="845"/>
      <c r="C126" s="846">
        <f t="shared" si="18"/>
        <v>146952.18827998769</v>
      </c>
      <c r="D126" s="846">
        <f>SUM(C115:C126)</f>
        <v>1420929.3950305069</v>
      </c>
      <c r="E126" s="846">
        <f>C126*12</f>
        <v>1763426.2593598524</v>
      </c>
      <c r="F126" s="847"/>
      <c r="G126" s="848" t="e">
        <f>C126*#REF!</f>
        <v>#REF!</v>
      </c>
      <c r="H126" s="846" t="e">
        <f>SUM(G115:G126)</f>
        <v>#REF!</v>
      </c>
      <c r="I126" s="849" t="e">
        <f>H126-D126*#REF!</f>
        <v>#REF!</v>
      </c>
    </row>
    <row r="127" spans="1:24">
      <c r="A127" s="144">
        <v>40179</v>
      </c>
      <c r="B127" s="144"/>
      <c r="C127" s="110">
        <f t="shared" ref="C127:C138" si="19">C126+$G$8</f>
        <v>147944.66302405365</v>
      </c>
      <c r="D127" s="112"/>
      <c r="G127" s="340">
        <f t="shared" ref="G127:G158" si="20">K127</f>
        <v>0</v>
      </c>
      <c r="J127" s="143">
        <f>SUMIF('Rate Class Energy Model '!$A$3:$A$14,YEAR(A127),'Rate Class Energy Model '!$C$3:$C$14)</f>
        <v>0</v>
      </c>
      <c r="K127" s="340">
        <f t="shared" ref="K127:K158" si="21">C127*J127</f>
        <v>0</v>
      </c>
    </row>
    <row r="128" spans="1:24">
      <c r="A128" s="144">
        <v>40210</v>
      </c>
      <c r="B128" s="144"/>
      <c r="C128" s="110">
        <f t="shared" si="19"/>
        <v>148937.1377681196</v>
      </c>
      <c r="G128" s="112">
        <f t="shared" si="20"/>
        <v>0</v>
      </c>
      <c r="J128" s="143">
        <f>SUMIF('Rate Class Energy Model '!$A$3:$A$14,YEAR(A128),'Rate Class Energy Model '!$C$3:$C$14)</f>
        <v>0</v>
      </c>
      <c r="K128" s="340">
        <f t="shared" si="21"/>
        <v>0</v>
      </c>
    </row>
    <row r="129" spans="1:12">
      <c r="A129" s="144">
        <v>40238</v>
      </c>
      <c r="B129" s="144"/>
      <c r="C129" s="110">
        <f t="shared" si="19"/>
        <v>149929.61251218556</v>
      </c>
      <c r="G129" s="112">
        <f t="shared" si="20"/>
        <v>0</v>
      </c>
      <c r="J129" s="143">
        <f>SUMIF('Rate Class Energy Model '!$A$3:$A$14,YEAR(A129),'Rate Class Energy Model '!$C$3:$C$14)</f>
        <v>0</v>
      </c>
      <c r="K129" s="340">
        <f t="shared" si="21"/>
        <v>0</v>
      </c>
    </row>
    <row r="130" spans="1:12">
      <c r="A130" s="144">
        <v>40269</v>
      </c>
      <c r="B130" s="144"/>
      <c r="C130" s="110">
        <f t="shared" si="19"/>
        <v>150922.08725625151</v>
      </c>
      <c r="G130" s="112">
        <f t="shared" si="20"/>
        <v>0</v>
      </c>
      <c r="J130" s="143">
        <f>SUMIF('Rate Class Energy Model '!$A$3:$A$14,YEAR(A130),'Rate Class Energy Model '!$C$3:$C$14)</f>
        <v>0</v>
      </c>
      <c r="K130" s="340">
        <f t="shared" si="21"/>
        <v>0</v>
      </c>
    </row>
    <row r="131" spans="1:12">
      <c r="A131" s="144">
        <v>40299</v>
      </c>
      <c r="B131" s="144"/>
      <c r="C131" s="110">
        <f t="shared" si="19"/>
        <v>151914.56200031747</v>
      </c>
      <c r="G131" s="112">
        <f t="shared" si="20"/>
        <v>0</v>
      </c>
      <c r="J131" s="143">
        <f>SUMIF('Rate Class Energy Model '!$A$3:$A$14,YEAR(A131),'Rate Class Energy Model '!$C$3:$C$14)</f>
        <v>0</v>
      </c>
      <c r="K131" s="340">
        <f t="shared" si="21"/>
        <v>0</v>
      </c>
    </row>
    <row r="132" spans="1:12">
      <c r="A132" s="144">
        <v>40330</v>
      </c>
      <c r="B132" s="144"/>
      <c r="C132" s="110">
        <f t="shared" si="19"/>
        <v>152907.03674438343</v>
      </c>
      <c r="G132" s="112">
        <f t="shared" si="20"/>
        <v>0</v>
      </c>
      <c r="J132" s="143">
        <f>SUMIF('Rate Class Energy Model '!$A$3:$A$14,YEAR(A132),'Rate Class Energy Model '!$C$3:$C$14)</f>
        <v>0</v>
      </c>
      <c r="K132" s="340">
        <f t="shared" si="21"/>
        <v>0</v>
      </c>
    </row>
    <row r="133" spans="1:12">
      <c r="A133" s="144">
        <v>40360</v>
      </c>
      <c r="B133" s="144"/>
      <c r="C133" s="110">
        <f t="shared" si="19"/>
        <v>153899.51148844938</v>
      </c>
      <c r="G133" s="112">
        <f t="shared" si="20"/>
        <v>0</v>
      </c>
      <c r="J133" s="143">
        <f>SUMIF('Rate Class Energy Model '!$A$3:$A$14,YEAR(A133),'Rate Class Energy Model '!$C$3:$C$14)</f>
        <v>0</v>
      </c>
      <c r="K133" s="340">
        <f t="shared" si="21"/>
        <v>0</v>
      </c>
    </row>
    <row r="134" spans="1:12">
      <c r="A134" s="144">
        <v>40391</v>
      </c>
      <c r="B134" s="144"/>
      <c r="C134" s="110">
        <f t="shared" si="19"/>
        <v>154891.98623251534</v>
      </c>
      <c r="G134" s="112">
        <f t="shared" si="20"/>
        <v>0</v>
      </c>
      <c r="J134" s="143">
        <f>SUMIF('Rate Class Energy Model '!$A$3:$A$14,YEAR(A134),'Rate Class Energy Model '!$C$3:$C$14)</f>
        <v>0</v>
      </c>
      <c r="K134" s="340">
        <f t="shared" si="21"/>
        <v>0</v>
      </c>
    </row>
    <row r="135" spans="1:12">
      <c r="A135" s="144">
        <v>40422</v>
      </c>
      <c r="B135" s="144"/>
      <c r="C135" s="110">
        <f t="shared" si="19"/>
        <v>155884.46097658129</v>
      </c>
      <c r="G135" s="112">
        <f t="shared" si="20"/>
        <v>0</v>
      </c>
      <c r="J135" s="143">
        <f>SUMIF('Rate Class Energy Model '!$A$3:$A$14,YEAR(A135),'Rate Class Energy Model '!$C$3:$C$14)</f>
        <v>0</v>
      </c>
      <c r="K135" s="340">
        <f t="shared" si="21"/>
        <v>0</v>
      </c>
    </row>
    <row r="136" spans="1:12">
      <c r="A136" s="144">
        <v>40452</v>
      </c>
      <c r="B136" s="144"/>
      <c r="C136" s="110">
        <f t="shared" si="19"/>
        <v>156876.93572064725</v>
      </c>
      <c r="G136" s="112">
        <f t="shared" si="20"/>
        <v>0</v>
      </c>
      <c r="J136" s="143">
        <f>SUMIF('Rate Class Energy Model '!$A$3:$A$14,YEAR(A136),'Rate Class Energy Model '!$C$3:$C$14)</f>
        <v>0</v>
      </c>
      <c r="K136" s="340">
        <f t="shared" si="21"/>
        <v>0</v>
      </c>
    </row>
    <row r="137" spans="1:12">
      <c r="A137" s="144">
        <v>40483</v>
      </c>
      <c r="B137" s="144"/>
      <c r="C137" s="110">
        <f t="shared" si="19"/>
        <v>157869.4104647132</v>
      </c>
      <c r="G137" s="112">
        <f t="shared" si="20"/>
        <v>0</v>
      </c>
      <c r="J137" s="143">
        <f>SUMIF('Rate Class Energy Model '!$A$3:$A$14,YEAR(A137),'Rate Class Energy Model '!$C$3:$C$14)</f>
        <v>0</v>
      </c>
      <c r="K137" s="340">
        <f t="shared" si="21"/>
        <v>0</v>
      </c>
    </row>
    <row r="138" spans="1:12">
      <c r="A138" s="277">
        <v>40513</v>
      </c>
      <c r="B138" s="277"/>
      <c r="C138" s="278">
        <f t="shared" si="19"/>
        <v>158861.88520877916</v>
      </c>
      <c r="D138" s="278">
        <f>SUM(C127:C138)</f>
        <v>1840839.2893969968</v>
      </c>
      <c r="E138" s="278">
        <f>C138*12</f>
        <v>1906342.62250535</v>
      </c>
      <c r="F138" s="281"/>
      <c r="G138" s="279">
        <f t="shared" si="20"/>
        <v>0</v>
      </c>
      <c r="H138" s="278">
        <f>SUM(G127:G138)</f>
        <v>0</v>
      </c>
      <c r="I138" s="279"/>
      <c r="J138" s="890">
        <f>SUMIF('Rate Class Energy Model '!$A$3:$A$14,YEAR(A138),'Rate Class Energy Model '!$C$3:$C$14)</f>
        <v>0</v>
      </c>
      <c r="K138" s="889">
        <f t="shared" si="21"/>
        <v>0</v>
      </c>
      <c r="L138" s="281"/>
    </row>
    <row r="139" spans="1:12">
      <c r="A139" s="144">
        <v>40544</v>
      </c>
      <c r="B139" s="144"/>
      <c r="C139" s="110">
        <f t="shared" ref="C139:C150" si="22">C138+$G$9</f>
        <v>163326.59789935348</v>
      </c>
      <c r="D139" s="112"/>
      <c r="G139" s="112">
        <f t="shared" si="20"/>
        <v>177073.86828897084</v>
      </c>
      <c r="I139" s="112"/>
      <c r="J139" s="143">
        <f>SUMIF('Rate Class Energy Model '!$A$3:$A$14,YEAR(A139),'Rate Class Energy Model '!$C$3:$C$14)</f>
        <v>1.0841704325347474</v>
      </c>
      <c r="K139" s="340">
        <f t="shared" si="21"/>
        <v>177073.86828897084</v>
      </c>
    </row>
    <row r="140" spans="1:12">
      <c r="A140" s="144">
        <v>40575</v>
      </c>
      <c r="B140" s="144"/>
      <c r="C140" s="110">
        <f t="shared" si="22"/>
        <v>167791.3105899278</v>
      </c>
      <c r="G140" s="112">
        <f t="shared" si="20"/>
        <v>181914.37777785418</v>
      </c>
      <c r="I140" s="112"/>
      <c r="J140" s="143">
        <f>SUMIF('Rate Class Energy Model '!$A$3:$A$14,YEAR(A140),'Rate Class Energy Model '!$C$3:$C$14)</f>
        <v>1.0841704325347474</v>
      </c>
      <c r="K140" s="340">
        <f t="shared" si="21"/>
        <v>181914.37777785418</v>
      </c>
    </row>
    <row r="141" spans="1:12">
      <c r="A141" s="144">
        <v>40603</v>
      </c>
      <c r="B141" s="144"/>
      <c r="C141" s="110">
        <f t="shared" si="22"/>
        <v>172256.02328050212</v>
      </c>
      <c r="G141" s="112">
        <f t="shared" si="20"/>
        <v>186754.8872667375</v>
      </c>
      <c r="I141" s="112"/>
      <c r="J141" s="143">
        <f>SUMIF('Rate Class Energy Model '!$A$3:$A$14,YEAR(A141),'Rate Class Energy Model '!$C$3:$C$14)</f>
        <v>1.0841704325347474</v>
      </c>
      <c r="K141" s="340">
        <f t="shared" si="21"/>
        <v>186754.8872667375</v>
      </c>
    </row>
    <row r="142" spans="1:12">
      <c r="A142" s="144">
        <v>40634</v>
      </c>
      <c r="B142" s="144"/>
      <c r="C142" s="110">
        <f t="shared" si="22"/>
        <v>176720.73597107644</v>
      </c>
      <c r="G142" s="112">
        <f t="shared" si="20"/>
        <v>191595.39675562084</v>
      </c>
      <c r="I142" s="112"/>
      <c r="J142" s="143">
        <f>SUMIF('Rate Class Energy Model '!$A$3:$A$14,YEAR(A142),'Rate Class Energy Model '!$C$3:$C$14)</f>
        <v>1.0841704325347474</v>
      </c>
      <c r="K142" s="340">
        <f t="shared" si="21"/>
        <v>191595.39675562084</v>
      </c>
    </row>
    <row r="143" spans="1:12">
      <c r="A143" s="144">
        <v>40664</v>
      </c>
      <c r="B143" s="144"/>
      <c r="C143" s="110">
        <f t="shared" si="22"/>
        <v>181185.44866165076</v>
      </c>
      <c r="G143" s="112">
        <f t="shared" si="20"/>
        <v>196435.90624450418</v>
      </c>
      <c r="I143" s="112"/>
      <c r="J143" s="143">
        <f>SUMIF('Rate Class Energy Model '!$A$3:$A$14,YEAR(A143),'Rate Class Energy Model '!$C$3:$C$14)</f>
        <v>1.0841704325347474</v>
      </c>
      <c r="K143" s="340">
        <f t="shared" si="21"/>
        <v>196435.90624450418</v>
      </c>
    </row>
    <row r="144" spans="1:12">
      <c r="A144" s="144">
        <v>40695</v>
      </c>
      <c r="B144" s="144"/>
      <c r="C144" s="110">
        <f t="shared" si="22"/>
        <v>185650.16135222508</v>
      </c>
      <c r="G144" s="112">
        <f t="shared" si="20"/>
        <v>201276.41573338752</v>
      </c>
      <c r="I144" s="112"/>
      <c r="J144" s="143">
        <f>SUMIF('Rate Class Energy Model '!$A$3:$A$14,YEAR(A144),'Rate Class Energy Model '!$C$3:$C$14)</f>
        <v>1.0841704325347474</v>
      </c>
      <c r="K144" s="340">
        <f t="shared" si="21"/>
        <v>201276.41573338752</v>
      </c>
    </row>
    <row r="145" spans="1:12">
      <c r="A145" s="144">
        <v>40725</v>
      </c>
      <c r="B145" s="144"/>
      <c r="C145" s="110">
        <f t="shared" si="22"/>
        <v>190114.87404279941</v>
      </c>
      <c r="G145" s="112">
        <f t="shared" si="20"/>
        <v>206116.92522227086</v>
      </c>
      <c r="I145" s="112"/>
      <c r="J145" s="143">
        <f>SUMIF('Rate Class Energy Model '!$A$3:$A$14,YEAR(A145),'Rate Class Energy Model '!$C$3:$C$14)</f>
        <v>1.0841704325347474</v>
      </c>
      <c r="K145" s="340">
        <f t="shared" si="21"/>
        <v>206116.92522227086</v>
      </c>
    </row>
    <row r="146" spans="1:12">
      <c r="A146" s="144">
        <v>40756</v>
      </c>
      <c r="B146" s="144"/>
      <c r="C146" s="110">
        <f t="shared" si="22"/>
        <v>194579.58673337373</v>
      </c>
      <c r="G146" s="112">
        <f t="shared" si="20"/>
        <v>210957.4347111542</v>
      </c>
      <c r="I146" s="112"/>
      <c r="J146" s="143">
        <f>SUMIF('Rate Class Energy Model '!$A$3:$A$14,YEAR(A146),'Rate Class Energy Model '!$C$3:$C$14)</f>
        <v>1.0841704325347474</v>
      </c>
      <c r="K146" s="340">
        <f t="shared" si="21"/>
        <v>210957.4347111542</v>
      </c>
    </row>
    <row r="147" spans="1:12">
      <c r="A147" s="144">
        <v>40787</v>
      </c>
      <c r="B147" s="144"/>
      <c r="C147" s="110">
        <f t="shared" si="22"/>
        <v>199044.29942394805</v>
      </c>
      <c r="G147" s="112">
        <f t="shared" si="20"/>
        <v>215797.94420003754</v>
      </c>
      <c r="I147" s="112"/>
      <c r="J147" s="143">
        <f>SUMIF('Rate Class Energy Model '!$A$3:$A$14,YEAR(A147),'Rate Class Energy Model '!$C$3:$C$14)</f>
        <v>1.0841704325347474</v>
      </c>
      <c r="K147" s="340">
        <f t="shared" si="21"/>
        <v>215797.94420003754</v>
      </c>
    </row>
    <row r="148" spans="1:12">
      <c r="A148" s="144">
        <v>40817</v>
      </c>
      <c r="B148" s="144"/>
      <c r="C148" s="110">
        <f t="shared" si="22"/>
        <v>203509.01211452237</v>
      </c>
      <c r="G148" s="112">
        <f t="shared" si="20"/>
        <v>220638.45368892088</v>
      </c>
      <c r="I148" s="112"/>
      <c r="J148" s="143">
        <f>SUMIF('Rate Class Energy Model '!$A$3:$A$14,YEAR(A148),'Rate Class Energy Model '!$C$3:$C$14)</f>
        <v>1.0841704325347474</v>
      </c>
      <c r="K148" s="340">
        <f t="shared" si="21"/>
        <v>220638.45368892088</v>
      </c>
    </row>
    <row r="149" spans="1:12">
      <c r="A149" s="144">
        <v>40848</v>
      </c>
      <c r="B149" s="144"/>
      <c r="C149" s="110">
        <f t="shared" si="22"/>
        <v>207973.72480509669</v>
      </c>
      <c r="G149" s="112">
        <f t="shared" si="20"/>
        <v>225478.96317780419</v>
      </c>
      <c r="I149" s="112"/>
      <c r="J149" s="143">
        <f>SUMIF('Rate Class Energy Model '!$A$3:$A$14,YEAR(A149),'Rate Class Energy Model '!$C$3:$C$14)</f>
        <v>1.0841704325347474</v>
      </c>
      <c r="K149" s="340">
        <f t="shared" si="21"/>
        <v>225478.96317780419</v>
      </c>
    </row>
    <row r="150" spans="1:12">
      <c r="A150" s="277">
        <v>40878</v>
      </c>
      <c r="B150" s="277"/>
      <c r="C150" s="278">
        <f t="shared" si="22"/>
        <v>212438.43749567101</v>
      </c>
      <c r="D150" s="278">
        <f>SUM(C139:C150)</f>
        <v>2254590.212370147</v>
      </c>
      <c r="E150" s="278">
        <f>C150*12</f>
        <v>2549261.2499480522</v>
      </c>
      <c r="F150" s="281"/>
      <c r="G150" s="279">
        <f t="shared" si="20"/>
        <v>230319.47266668754</v>
      </c>
      <c r="H150" s="278">
        <f>SUM(G139:G150)</f>
        <v>2444360.0457339501</v>
      </c>
      <c r="I150" s="279"/>
      <c r="J150" s="890">
        <f>SUMIF('Rate Class Energy Model '!$A$3:$A$14,YEAR(A150),'Rate Class Energy Model '!$C$3:$C$14)</f>
        <v>1.0841704325347474</v>
      </c>
      <c r="K150" s="889">
        <f t="shared" si="21"/>
        <v>230319.47266668754</v>
      </c>
      <c r="L150" s="281"/>
    </row>
    <row r="151" spans="1:12">
      <c r="A151" s="144">
        <v>40909</v>
      </c>
      <c r="B151" s="144"/>
      <c r="C151" s="110">
        <f t="shared" ref="C151:C162" si="23">C150+$G$10</f>
        <v>217943.86721066199</v>
      </c>
      <c r="D151" s="112"/>
      <c r="G151" s="112">
        <f t="shared" si="20"/>
        <v>236007.56726317116</v>
      </c>
      <c r="I151" s="112"/>
      <c r="J151" s="143">
        <f>SUMIF('Rate Class Energy Model '!$A$3:$A$14,YEAR(A151),'Rate Class Energy Model '!$C$3:$C$14)</f>
        <v>1.0828823507800245</v>
      </c>
      <c r="K151" s="340">
        <f t="shared" si="21"/>
        <v>236007.56726317116</v>
      </c>
    </row>
    <row r="152" spans="1:12">
      <c r="A152" s="144">
        <v>40940</v>
      </c>
      <c r="B152" s="144"/>
      <c r="C152" s="110">
        <f t="shared" si="23"/>
        <v>223449.29692565298</v>
      </c>
      <c r="G152" s="112">
        <f t="shared" si="20"/>
        <v>241969.29993499478</v>
      </c>
      <c r="I152" s="112"/>
      <c r="J152" s="143">
        <f>SUMIF('Rate Class Energy Model '!$A$3:$A$14,YEAR(A152),'Rate Class Energy Model '!$C$3:$C$14)</f>
        <v>1.0828823507800245</v>
      </c>
      <c r="K152" s="340">
        <f t="shared" si="21"/>
        <v>241969.29993499478</v>
      </c>
    </row>
    <row r="153" spans="1:12">
      <c r="A153" s="144">
        <v>40969</v>
      </c>
      <c r="B153" s="144"/>
      <c r="C153" s="110">
        <f t="shared" si="23"/>
        <v>228954.72664064396</v>
      </c>
      <c r="G153" s="112">
        <f t="shared" si="20"/>
        <v>247931.03260681842</v>
      </c>
      <c r="I153" s="112"/>
      <c r="J153" s="143">
        <f>SUMIF('Rate Class Energy Model '!$A$3:$A$14,YEAR(A153),'Rate Class Energy Model '!$C$3:$C$14)</f>
        <v>1.0828823507800245</v>
      </c>
      <c r="K153" s="340">
        <f t="shared" si="21"/>
        <v>247931.03260681842</v>
      </c>
    </row>
    <row r="154" spans="1:12">
      <c r="A154" s="144">
        <v>41000</v>
      </c>
      <c r="B154" s="144"/>
      <c r="C154" s="110">
        <f t="shared" si="23"/>
        <v>234460.15635563494</v>
      </c>
      <c r="G154" s="112">
        <f t="shared" si="20"/>
        <v>253892.76527864207</v>
      </c>
      <c r="I154" s="112"/>
      <c r="J154" s="143">
        <f>SUMIF('Rate Class Energy Model '!$A$3:$A$14,YEAR(A154),'Rate Class Energy Model '!$C$3:$C$14)</f>
        <v>1.0828823507800245</v>
      </c>
      <c r="K154" s="340">
        <f t="shared" si="21"/>
        <v>253892.76527864207</v>
      </c>
    </row>
    <row r="155" spans="1:12">
      <c r="A155" s="144">
        <v>41030</v>
      </c>
      <c r="B155" s="144"/>
      <c r="C155" s="110">
        <f t="shared" si="23"/>
        <v>239965.58607062593</v>
      </c>
      <c r="G155" s="112">
        <f t="shared" si="20"/>
        <v>259854.49795046571</v>
      </c>
      <c r="I155" s="112"/>
      <c r="J155" s="143">
        <f>SUMIF('Rate Class Energy Model '!$A$3:$A$14,YEAR(A155),'Rate Class Energy Model '!$C$3:$C$14)</f>
        <v>1.0828823507800245</v>
      </c>
      <c r="K155" s="340">
        <f t="shared" si="21"/>
        <v>259854.49795046571</v>
      </c>
    </row>
    <row r="156" spans="1:12">
      <c r="A156" s="144">
        <v>41061</v>
      </c>
      <c r="B156" s="144"/>
      <c r="C156" s="110">
        <f t="shared" si="23"/>
        <v>245471.01578561691</v>
      </c>
      <c r="G156" s="112">
        <f t="shared" si="20"/>
        <v>265816.23062228935</v>
      </c>
      <c r="I156" s="112"/>
      <c r="J156" s="143">
        <f>SUMIF('Rate Class Energy Model '!$A$3:$A$14,YEAR(A156),'Rate Class Energy Model '!$C$3:$C$14)</f>
        <v>1.0828823507800245</v>
      </c>
      <c r="K156" s="340">
        <f t="shared" si="21"/>
        <v>265816.23062228935</v>
      </c>
    </row>
    <row r="157" spans="1:12">
      <c r="A157" s="144">
        <v>41091</v>
      </c>
      <c r="B157" s="144"/>
      <c r="C157" s="110">
        <f t="shared" si="23"/>
        <v>250976.44550060789</v>
      </c>
      <c r="G157" s="112">
        <f t="shared" si="20"/>
        <v>271777.963294113</v>
      </c>
      <c r="I157" s="112"/>
      <c r="J157" s="143">
        <f>SUMIF('Rate Class Energy Model '!$A$3:$A$14,YEAR(A157),'Rate Class Energy Model '!$C$3:$C$14)</f>
        <v>1.0828823507800245</v>
      </c>
      <c r="K157" s="340">
        <f t="shared" si="21"/>
        <v>271777.963294113</v>
      </c>
    </row>
    <row r="158" spans="1:12">
      <c r="A158" s="144">
        <v>41122</v>
      </c>
      <c r="B158" s="144"/>
      <c r="C158" s="110">
        <f t="shared" si="23"/>
        <v>256481.87521559888</v>
      </c>
      <c r="G158" s="112">
        <f t="shared" si="20"/>
        <v>277739.69596593658</v>
      </c>
      <c r="I158" s="112"/>
      <c r="J158" s="143">
        <f>SUMIF('Rate Class Energy Model '!$A$3:$A$14,YEAR(A158),'Rate Class Energy Model '!$C$3:$C$14)</f>
        <v>1.0828823507800245</v>
      </c>
      <c r="K158" s="340">
        <f t="shared" si="21"/>
        <v>277739.69596593658</v>
      </c>
    </row>
    <row r="159" spans="1:12">
      <c r="A159" s="144">
        <v>41153</v>
      </c>
      <c r="B159" s="144"/>
      <c r="C159" s="110">
        <f t="shared" si="23"/>
        <v>261987.30493058986</v>
      </c>
      <c r="G159" s="112">
        <f t="shared" ref="G159:G190" si="24">K159</f>
        <v>283701.42863776023</v>
      </c>
      <c r="I159" s="112"/>
      <c r="J159" s="143">
        <f>SUMIF('Rate Class Energy Model '!$A$3:$A$14,YEAR(A159),'Rate Class Energy Model '!$C$3:$C$14)</f>
        <v>1.0828823507800245</v>
      </c>
      <c r="K159" s="340">
        <f t="shared" ref="K159:K190" si="25">C159*J159</f>
        <v>283701.42863776023</v>
      </c>
    </row>
    <row r="160" spans="1:12">
      <c r="A160" s="144">
        <v>41183</v>
      </c>
      <c r="B160" s="144"/>
      <c r="C160" s="110">
        <f t="shared" si="23"/>
        <v>267492.73464558081</v>
      </c>
      <c r="G160" s="112">
        <f t="shared" si="24"/>
        <v>289663.16130958387</v>
      </c>
      <c r="I160" s="112"/>
      <c r="J160" s="143">
        <f>SUMIF('Rate Class Energy Model '!$A$3:$A$14,YEAR(A160),'Rate Class Energy Model '!$C$3:$C$14)</f>
        <v>1.0828823507800245</v>
      </c>
      <c r="K160" s="340">
        <f t="shared" si="25"/>
        <v>289663.16130958387</v>
      </c>
    </row>
    <row r="161" spans="1:12">
      <c r="A161" s="144">
        <v>41214</v>
      </c>
      <c r="B161" s="144"/>
      <c r="C161" s="110">
        <f t="shared" si="23"/>
        <v>272998.16436057177</v>
      </c>
      <c r="G161" s="112">
        <f t="shared" si="24"/>
        <v>295624.89398140745</v>
      </c>
      <c r="I161" s="112"/>
      <c r="J161" s="143">
        <f>SUMIF('Rate Class Energy Model '!$A$3:$A$14,YEAR(A161),'Rate Class Energy Model '!$C$3:$C$14)</f>
        <v>1.0828823507800245</v>
      </c>
      <c r="K161" s="340">
        <f t="shared" si="25"/>
        <v>295624.89398140745</v>
      </c>
    </row>
    <row r="162" spans="1:12">
      <c r="A162" s="277">
        <v>41244</v>
      </c>
      <c r="B162" s="277"/>
      <c r="C162" s="278">
        <f t="shared" si="23"/>
        <v>278503.59407556272</v>
      </c>
      <c r="D162" s="278">
        <f>SUM(C151:C162)</f>
        <v>2978684.7677173489</v>
      </c>
      <c r="E162" s="278">
        <f>C162*12</f>
        <v>3342043.1289067529</v>
      </c>
      <c r="F162" s="281"/>
      <c r="G162" s="279">
        <f t="shared" si="24"/>
        <v>301586.62665323104</v>
      </c>
      <c r="H162" s="278">
        <f>SUM(G151:G162)</f>
        <v>3225565.1634984142</v>
      </c>
      <c r="I162" s="279"/>
      <c r="J162" s="890">
        <f>SUMIF('Rate Class Energy Model '!$A$3:$A$14,YEAR(A162),'Rate Class Energy Model '!$C$3:$C$14)</f>
        <v>1.0828823507800245</v>
      </c>
      <c r="K162" s="889">
        <f t="shared" si="25"/>
        <v>301586.62665323104</v>
      </c>
      <c r="L162" s="281"/>
    </row>
    <row r="163" spans="1:12">
      <c r="A163" s="144">
        <v>41275</v>
      </c>
      <c r="B163" s="144"/>
      <c r="C163" s="110">
        <f t="shared" ref="C163:C174" si="26">C162+$G$11</f>
        <v>280072.04639907333</v>
      </c>
      <c r="D163" s="112"/>
      <c r="G163" s="112">
        <f t="shared" si="24"/>
        <v>304479.71647535916</v>
      </c>
      <c r="I163" s="112"/>
      <c r="J163" s="143">
        <f>SUMIF('Rate Class Energy Model '!$A$3:$A$14,YEAR(A163),'Rate Class Energy Model '!$C$3:$C$14)</f>
        <v>1.0871478263900263</v>
      </c>
      <c r="K163" s="340">
        <f t="shared" si="25"/>
        <v>304479.71647535916</v>
      </c>
    </row>
    <row r="164" spans="1:12">
      <c r="A164" s="144">
        <v>41306</v>
      </c>
      <c r="B164" s="144"/>
      <c r="C164" s="110">
        <f t="shared" si="26"/>
        <v>281640.49872258393</v>
      </c>
      <c r="G164" s="112">
        <f t="shared" si="24"/>
        <v>306184.85600966011</v>
      </c>
      <c r="I164" s="112"/>
      <c r="J164" s="143">
        <f>SUMIF('Rate Class Energy Model '!$A$3:$A$14,YEAR(A164),'Rate Class Energy Model '!$C$3:$C$14)</f>
        <v>1.0871478263900263</v>
      </c>
      <c r="K164" s="340">
        <f t="shared" si="25"/>
        <v>306184.85600966011</v>
      </c>
    </row>
    <row r="165" spans="1:12">
      <c r="A165" s="144">
        <v>41334</v>
      </c>
      <c r="B165" s="144"/>
      <c r="C165" s="110">
        <f t="shared" si="26"/>
        <v>283208.95104609453</v>
      </c>
      <c r="G165" s="112">
        <f t="shared" si="24"/>
        <v>307889.99554396101</v>
      </c>
      <c r="I165" s="112"/>
      <c r="J165" s="143">
        <f>SUMIF('Rate Class Energy Model '!$A$3:$A$14,YEAR(A165),'Rate Class Energy Model '!$C$3:$C$14)</f>
        <v>1.0871478263900263</v>
      </c>
      <c r="K165" s="340">
        <f t="shared" si="25"/>
        <v>307889.99554396101</v>
      </c>
    </row>
    <row r="166" spans="1:12">
      <c r="A166" s="144">
        <v>41365</v>
      </c>
      <c r="B166" s="144"/>
      <c r="C166" s="110">
        <f t="shared" si="26"/>
        <v>284777.40336960513</v>
      </c>
      <c r="G166" s="112">
        <f t="shared" si="24"/>
        <v>309595.13507826196</v>
      </c>
      <c r="I166" s="112"/>
      <c r="J166" s="143">
        <f>SUMIF('Rate Class Energy Model '!$A$3:$A$14,YEAR(A166),'Rate Class Energy Model '!$C$3:$C$14)</f>
        <v>1.0871478263900263</v>
      </c>
      <c r="K166" s="340">
        <f t="shared" si="25"/>
        <v>309595.13507826196</v>
      </c>
    </row>
    <row r="167" spans="1:12">
      <c r="A167" s="144">
        <v>41395</v>
      </c>
      <c r="B167" s="144"/>
      <c r="C167" s="110">
        <f t="shared" si="26"/>
        <v>286345.85569311574</v>
      </c>
      <c r="G167" s="112">
        <f t="shared" si="24"/>
        <v>311300.27461256291</v>
      </c>
      <c r="I167" s="112"/>
      <c r="J167" s="143">
        <f>SUMIF('Rate Class Energy Model '!$A$3:$A$14,YEAR(A167),'Rate Class Energy Model '!$C$3:$C$14)</f>
        <v>1.0871478263900263</v>
      </c>
      <c r="K167" s="340">
        <f t="shared" si="25"/>
        <v>311300.27461256291</v>
      </c>
    </row>
    <row r="168" spans="1:12">
      <c r="A168" s="144">
        <v>41426</v>
      </c>
      <c r="B168" s="144"/>
      <c r="C168" s="110">
        <f t="shared" si="26"/>
        <v>287914.30801662634</v>
      </c>
      <c r="G168" s="112">
        <f t="shared" si="24"/>
        <v>313005.41414686386</v>
      </c>
      <c r="I168" s="112"/>
      <c r="J168" s="143">
        <f>SUMIF('Rate Class Energy Model '!$A$3:$A$14,YEAR(A168),'Rate Class Energy Model '!$C$3:$C$14)</f>
        <v>1.0871478263900263</v>
      </c>
      <c r="K168" s="340">
        <f t="shared" si="25"/>
        <v>313005.41414686386</v>
      </c>
    </row>
    <row r="169" spans="1:12">
      <c r="A169" s="144">
        <v>41456</v>
      </c>
      <c r="B169" s="144"/>
      <c r="C169" s="110">
        <f t="shared" si="26"/>
        <v>289482.76034013694</v>
      </c>
      <c r="G169" s="112">
        <f t="shared" si="24"/>
        <v>314710.55368116481</v>
      </c>
      <c r="I169" s="112"/>
      <c r="J169" s="143">
        <f>SUMIF('Rate Class Energy Model '!$A$3:$A$14,YEAR(A169),'Rate Class Energy Model '!$C$3:$C$14)</f>
        <v>1.0871478263900263</v>
      </c>
      <c r="K169" s="340">
        <f t="shared" si="25"/>
        <v>314710.55368116481</v>
      </c>
    </row>
    <row r="170" spans="1:12">
      <c r="A170" s="144">
        <v>41487</v>
      </c>
      <c r="B170" s="144"/>
      <c r="C170" s="110">
        <f t="shared" si="26"/>
        <v>291051.21266364754</v>
      </c>
      <c r="G170" s="112">
        <f t="shared" si="24"/>
        <v>316415.6932154657</v>
      </c>
      <c r="I170" s="112"/>
      <c r="J170" s="143">
        <f>SUMIF('Rate Class Energy Model '!$A$3:$A$14,YEAR(A170),'Rate Class Energy Model '!$C$3:$C$14)</f>
        <v>1.0871478263900263</v>
      </c>
      <c r="K170" s="340">
        <f t="shared" si="25"/>
        <v>316415.6932154657</v>
      </c>
    </row>
    <row r="171" spans="1:12">
      <c r="A171" s="144">
        <v>41518</v>
      </c>
      <c r="B171" s="144"/>
      <c r="C171" s="110">
        <f t="shared" si="26"/>
        <v>292619.66498715815</v>
      </c>
      <c r="G171" s="112">
        <f t="shared" si="24"/>
        <v>318120.83274976665</v>
      </c>
      <c r="I171" s="112"/>
      <c r="J171" s="143">
        <f>SUMIF('Rate Class Energy Model '!$A$3:$A$14,YEAR(A171),'Rate Class Energy Model '!$C$3:$C$14)</f>
        <v>1.0871478263900263</v>
      </c>
      <c r="K171" s="340">
        <f t="shared" si="25"/>
        <v>318120.83274976665</v>
      </c>
    </row>
    <row r="172" spans="1:12">
      <c r="A172" s="144">
        <v>41548</v>
      </c>
      <c r="B172" s="144"/>
      <c r="C172" s="110">
        <f t="shared" si="26"/>
        <v>294188.11731066875</v>
      </c>
      <c r="G172" s="112">
        <f t="shared" si="24"/>
        <v>319825.9722840676</v>
      </c>
      <c r="I172" s="112"/>
      <c r="J172" s="143">
        <f>SUMIF('Rate Class Energy Model '!$A$3:$A$14,YEAR(A172),'Rate Class Energy Model '!$C$3:$C$14)</f>
        <v>1.0871478263900263</v>
      </c>
      <c r="K172" s="340">
        <f t="shared" si="25"/>
        <v>319825.9722840676</v>
      </c>
    </row>
    <row r="173" spans="1:12">
      <c r="A173" s="144">
        <v>41579</v>
      </c>
      <c r="B173" s="144"/>
      <c r="C173" s="110">
        <f t="shared" si="26"/>
        <v>295756.56963417935</v>
      </c>
      <c r="G173" s="112">
        <f t="shared" si="24"/>
        <v>321531.11181836855</v>
      </c>
      <c r="I173" s="112"/>
      <c r="J173" s="143">
        <f>SUMIF('Rate Class Energy Model '!$A$3:$A$14,YEAR(A173),'Rate Class Energy Model '!$C$3:$C$14)</f>
        <v>1.0871478263900263</v>
      </c>
      <c r="K173" s="340">
        <f t="shared" si="25"/>
        <v>321531.11181836855</v>
      </c>
    </row>
    <row r="174" spans="1:12">
      <c r="A174" s="277">
        <v>41609</v>
      </c>
      <c r="B174" s="277"/>
      <c r="C174" s="278">
        <f t="shared" si="26"/>
        <v>297325.02195768995</v>
      </c>
      <c r="D174" s="278">
        <f>SUM(C163:C174)</f>
        <v>3464382.4101405796</v>
      </c>
      <c r="E174" s="278">
        <f>C174*12</f>
        <v>3567900.2634922797</v>
      </c>
      <c r="F174" s="281"/>
      <c r="G174" s="279">
        <f t="shared" si="24"/>
        <v>323236.2513526695</v>
      </c>
      <c r="H174" s="278">
        <f>SUM(G163:G174)</f>
        <v>3766295.8069681716</v>
      </c>
      <c r="I174" s="279"/>
      <c r="J174" s="890">
        <f>SUMIF('Rate Class Energy Model '!$A$3:$A$14,YEAR(A174),'Rate Class Energy Model '!$C$3:$C$14)</f>
        <v>1.0871478263900263</v>
      </c>
      <c r="K174" s="889">
        <f t="shared" si="25"/>
        <v>323236.2513526695</v>
      </c>
      <c r="L174" s="281"/>
    </row>
    <row r="175" spans="1:12">
      <c r="A175" s="144">
        <v>41640</v>
      </c>
      <c r="C175" s="112">
        <f t="shared" ref="C175:C186" si="27">C174+$G$12</f>
        <v>303357.20281439635</v>
      </c>
      <c r="D175" s="112"/>
      <c r="G175" s="112">
        <f t="shared" si="24"/>
        <v>326718.43647863669</v>
      </c>
      <c r="I175" s="112"/>
      <c r="J175" s="143">
        <f>SUMIF('Rate Class Energy Model '!$A$3:$A$14,YEAR(A175),'Rate Class Energy Model '!$C$3:$C$14)</f>
        <v>1.0770089961520823</v>
      </c>
      <c r="K175" s="340">
        <f t="shared" si="25"/>
        <v>326718.43647863669</v>
      </c>
    </row>
    <row r="176" spans="1:12">
      <c r="A176" s="144">
        <v>41671</v>
      </c>
      <c r="C176" s="112">
        <f t="shared" si="27"/>
        <v>309389.38367110275</v>
      </c>
      <c r="G176" s="112">
        <f t="shared" si="24"/>
        <v>333215.14952772582</v>
      </c>
      <c r="I176" s="112"/>
      <c r="J176" s="143">
        <f>SUMIF('Rate Class Energy Model '!$A$3:$A$14,YEAR(A176),'Rate Class Energy Model '!$C$3:$C$14)</f>
        <v>1.0770089961520823</v>
      </c>
      <c r="K176" s="340">
        <f t="shared" si="25"/>
        <v>333215.14952772582</v>
      </c>
    </row>
    <row r="177" spans="1:12">
      <c r="A177" s="144">
        <v>41699</v>
      </c>
      <c r="C177" s="112">
        <f t="shared" si="27"/>
        <v>315421.56452780915</v>
      </c>
      <c r="G177" s="112">
        <f t="shared" si="24"/>
        <v>339711.86257681501</v>
      </c>
      <c r="I177" s="112"/>
      <c r="J177" s="143">
        <f>SUMIF('Rate Class Energy Model '!$A$3:$A$14,YEAR(A177),'Rate Class Energy Model '!$C$3:$C$14)</f>
        <v>1.0770089961520823</v>
      </c>
      <c r="K177" s="340">
        <f t="shared" si="25"/>
        <v>339711.86257681501</v>
      </c>
    </row>
    <row r="178" spans="1:12">
      <c r="A178" s="144">
        <v>41730</v>
      </c>
      <c r="C178" s="112">
        <f t="shared" si="27"/>
        <v>321453.74538451555</v>
      </c>
      <c r="G178" s="112">
        <f t="shared" si="24"/>
        <v>346208.5756259042</v>
      </c>
      <c r="I178" s="112"/>
      <c r="J178" s="143">
        <f>SUMIF('Rate Class Energy Model '!$A$3:$A$14,YEAR(A178),'Rate Class Energy Model '!$C$3:$C$14)</f>
        <v>1.0770089961520823</v>
      </c>
      <c r="K178" s="340">
        <f t="shared" si="25"/>
        <v>346208.5756259042</v>
      </c>
    </row>
    <row r="179" spans="1:12">
      <c r="A179" s="144">
        <v>41760</v>
      </c>
      <c r="C179" s="112">
        <f t="shared" si="27"/>
        <v>327485.92624122195</v>
      </c>
      <c r="G179" s="112">
        <f t="shared" si="24"/>
        <v>352705.28867499332</v>
      </c>
      <c r="I179" s="112"/>
      <c r="J179" s="143">
        <f>SUMIF('Rate Class Energy Model '!$A$3:$A$14,YEAR(A179),'Rate Class Energy Model '!$C$3:$C$14)</f>
        <v>1.0770089961520823</v>
      </c>
      <c r="K179" s="340">
        <f t="shared" si="25"/>
        <v>352705.28867499332</v>
      </c>
    </row>
    <row r="180" spans="1:12">
      <c r="A180" s="144">
        <v>41791</v>
      </c>
      <c r="C180" s="112">
        <f t="shared" si="27"/>
        <v>333518.10709792835</v>
      </c>
      <c r="G180" s="112">
        <f t="shared" si="24"/>
        <v>359202.00172408251</v>
      </c>
      <c r="I180" s="112"/>
      <c r="J180" s="143">
        <f>SUMIF('Rate Class Energy Model '!$A$3:$A$14,YEAR(A180),'Rate Class Energy Model '!$C$3:$C$14)</f>
        <v>1.0770089961520823</v>
      </c>
      <c r="K180" s="340">
        <f t="shared" si="25"/>
        <v>359202.00172408251</v>
      </c>
    </row>
    <row r="181" spans="1:12">
      <c r="A181" s="144">
        <v>41821</v>
      </c>
      <c r="C181" s="112">
        <f t="shared" si="27"/>
        <v>339550.28795463475</v>
      </c>
      <c r="G181" s="112">
        <f t="shared" si="24"/>
        <v>365698.7147731717</v>
      </c>
      <c r="I181" s="112"/>
      <c r="J181" s="143">
        <f>SUMIF('Rate Class Energy Model '!$A$3:$A$14,YEAR(A181),'Rate Class Energy Model '!$C$3:$C$14)</f>
        <v>1.0770089961520823</v>
      </c>
      <c r="K181" s="340">
        <f t="shared" si="25"/>
        <v>365698.7147731717</v>
      </c>
    </row>
    <row r="182" spans="1:12">
      <c r="A182" s="144">
        <v>41852</v>
      </c>
      <c r="C182" s="112">
        <f t="shared" si="27"/>
        <v>345582.46881134115</v>
      </c>
      <c r="G182" s="112">
        <f t="shared" si="24"/>
        <v>372195.42782226083</v>
      </c>
      <c r="I182" s="112"/>
      <c r="J182" s="143">
        <f>SUMIF('Rate Class Energy Model '!$A$3:$A$14,YEAR(A182),'Rate Class Energy Model '!$C$3:$C$14)</f>
        <v>1.0770089961520823</v>
      </c>
      <c r="K182" s="340">
        <f t="shared" si="25"/>
        <v>372195.42782226083</v>
      </c>
    </row>
    <row r="183" spans="1:12">
      <c r="A183" s="144">
        <v>41883</v>
      </c>
      <c r="C183" s="112">
        <f t="shared" si="27"/>
        <v>351614.64966804755</v>
      </c>
      <c r="G183" s="112">
        <f t="shared" si="24"/>
        <v>378692.14087135001</v>
      </c>
      <c r="I183" s="112"/>
      <c r="J183" s="143">
        <f>SUMIF('Rate Class Energy Model '!$A$3:$A$14,YEAR(A183),'Rate Class Energy Model '!$C$3:$C$14)</f>
        <v>1.0770089961520823</v>
      </c>
      <c r="K183" s="340">
        <f t="shared" si="25"/>
        <v>378692.14087135001</v>
      </c>
    </row>
    <row r="184" spans="1:12">
      <c r="A184" s="144">
        <v>41913</v>
      </c>
      <c r="C184" s="112">
        <f t="shared" si="27"/>
        <v>357646.83052475395</v>
      </c>
      <c r="G184" s="112">
        <f t="shared" si="24"/>
        <v>385188.8539204392</v>
      </c>
      <c r="I184" s="112"/>
      <c r="J184" s="143">
        <f>SUMIF('Rate Class Energy Model '!$A$3:$A$14,YEAR(A184),'Rate Class Energy Model '!$C$3:$C$14)</f>
        <v>1.0770089961520823</v>
      </c>
      <c r="K184" s="340">
        <f t="shared" si="25"/>
        <v>385188.8539204392</v>
      </c>
    </row>
    <row r="185" spans="1:12">
      <c r="A185" s="144">
        <v>41944</v>
      </c>
      <c r="C185" s="112">
        <f t="shared" si="27"/>
        <v>363679.01138146035</v>
      </c>
      <c r="G185" s="112">
        <f t="shared" si="24"/>
        <v>391685.56696952833</v>
      </c>
      <c r="I185" s="112"/>
      <c r="J185" s="143">
        <f>SUMIF('Rate Class Energy Model '!$A$3:$A$14,YEAR(A185),'Rate Class Energy Model '!$C$3:$C$14)</f>
        <v>1.0770089961520823</v>
      </c>
      <c r="K185" s="340">
        <f t="shared" si="25"/>
        <v>391685.56696952833</v>
      </c>
    </row>
    <row r="186" spans="1:12">
      <c r="A186" s="277">
        <v>41974</v>
      </c>
      <c r="B186" s="281"/>
      <c r="C186" s="279">
        <f t="shared" si="27"/>
        <v>369711.19223816675</v>
      </c>
      <c r="D186" s="278">
        <f>SUM(C175:C186)</f>
        <v>4038410.3703153785</v>
      </c>
      <c r="E186" s="278">
        <f>C186*12</f>
        <v>4436534.3068580013</v>
      </c>
      <c r="F186" s="281"/>
      <c r="G186" s="279">
        <f t="shared" si="24"/>
        <v>398182.28001861752</v>
      </c>
      <c r="H186" s="278">
        <f>SUM(G175:G186)</f>
        <v>4349404.2989835255</v>
      </c>
      <c r="I186" s="279"/>
      <c r="J186" s="890">
        <f>SUMIF('Rate Class Energy Model '!$A$3:$A$14,YEAR(A186),'Rate Class Energy Model '!$C$3:$C$14)</f>
        <v>1.0770089961520823</v>
      </c>
      <c r="K186" s="889">
        <f t="shared" si="25"/>
        <v>398182.28001861752</v>
      </c>
      <c r="L186" s="281"/>
    </row>
    <row r="187" spans="1:12">
      <c r="A187" s="144">
        <v>42005</v>
      </c>
      <c r="C187" s="112">
        <f t="shared" ref="C187:C198" si="28">C186+$G$13</f>
        <v>377533.64889843878</v>
      </c>
      <c r="D187" s="112"/>
      <c r="G187" s="112">
        <f t="shared" si="24"/>
        <v>407927.68910490419</v>
      </c>
      <c r="I187" s="112"/>
      <c r="J187" s="143">
        <f>SUMIF('Rate Class Energy Model '!$A$3:$A$14,YEAR(A187),'Rate Class Energy Model '!$C$3:$C$14)</f>
        <v>1.0805068377220113</v>
      </c>
      <c r="K187" s="340">
        <f t="shared" si="25"/>
        <v>407927.68910490419</v>
      </c>
    </row>
    <row r="188" spans="1:12">
      <c r="A188" s="144">
        <v>42036</v>
      </c>
      <c r="C188" s="112">
        <f t="shared" si="28"/>
        <v>385356.10555871081</v>
      </c>
      <c r="G188" s="112">
        <f t="shared" si="24"/>
        <v>416379.90701411222</v>
      </c>
      <c r="I188" s="112"/>
      <c r="J188" s="143">
        <f>SUMIF('Rate Class Energy Model '!$A$3:$A$14,YEAR(A188),'Rate Class Energy Model '!$C$3:$C$14)</f>
        <v>1.0805068377220113</v>
      </c>
      <c r="K188" s="340">
        <f t="shared" si="25"/>
        <v>416379.90701411222</v>
      </c>
    </row>
    <row r="189" spans="1:12">
      <c r="A189" s="144">
        <v>42064</v>
      </c>
      <c r="C189" s="112">
        <f t="shared" si="28"/>
        <v>393178.56221898284</v>
      </c>
      <c r="G189" s="112">
        <f t="shared" si="24"/>
        <v>424832.1249233202</v>
      </c>
      <c r="I189" s="112"/>
      <c r="J189" s="143">
        <f>SUMIF('Rate Class Energy Model '!$A$3:$A$14,YEAR(A189),'Rate Class Energy Model '!$C$3:$C$14)</f>
        <v>1.0805068377220113</v>
      </c>
      <c r="K189" s="340">
        <f t="shared" si="25"/>
        <v>424832.1249233202</v>
      </c>
    </row>
    <row r="190" spans="1:12">
      <c r="A190" s="144">
        <v>42095</v>
      </c>
      <c r="C190" s="112">
        <f t="shared" si="28"/>
        <v>401001.01887925487</v>
      </c>
      <c r="G190" s="112">
        <f t="shared" si="24"/>
        <v>433284.34283252823</v>
      </c>
      <c r="I190" s="112"/>
      <c r="J190" s="143">
        <f>SUMIF('Rate Class Energy Model '!$A$3:$A$14,YEAR(A190),'Rate Class Energy Model '!$C$3:$C$14)</f>
        <v>1.0805068377220113</v>
      </c>
      <c r="K190" s="340">
        <f t="shared" si="25"/>
        <v>433284.34283252823</v>
      </c>
    </row>
    <row r="191" spans="1:12">
      <c r="A191" s="144">
        <v>42125</v>
      </c>
      <c r="C191" s="112">
        <f t="shared" si="28"/>
        <v>408823.4755395269</v>
      </c>
      <c r="G191" s="112">
        <f t="shared" ref="G191:G222" si="29">K191</f>
        <v>441736.56074173626</v>
      </c>
      <c r="I191" s="112"/>
      <c r="J191" s="143">
        <f>SUMIF('Rate Class Energy Model '!$A$3:$A$14,YEAR(A191),'Rate Class Energy Model '!$C$3:$C$14)</f>
        <v>1.0805068377220113</v>
      </c>
      <c r="K191" s="340">
        <f t="shared" ref="K191:K222" si="30">C191*J191</f>
        <v>441736.56074173626</v>
      </c>
    </row>
    <row r="192" spans="1:12">
      <c r="A192" s="144">
        <v>42156</v>
      </c>
      <c r="C192" s="112">
        <f t="shared" si="28"/>
        <v>416645.93219979893</v>
      </c>
      <c r="G192" s="112">
        <f t="shared" si="29"/>
        <v>450188.77865094424</v>
      </c>
      <c r="I192" s="112"/>
      <c r="J192" s="143">
        <f>SUMIF('Rate Class Energy Model '!$A$3:$A$14,YEAR(A192),'Rate Class Energy Model '!$C$3:$C$14)</f>
        <v>1.0805068377220113</v>
      </c>
      <c r="K192" s="340">
        <f t="shared" si="30"/>
        <v>450188.77865094424</v>
      </c>
    </row>
    <row r="193" spans="1:12">
      <c r="A193" s="144">
        <v>42186</v>
      </c>
      <c r="C193" s="112">
        <f t="shared" si="28"/>
        <v>424468.38886007096</v>
      </c>
      <c r="G193" s="112">
        <f t="shared" si="29"/>
        <v>458640.99656015227</v>
      </c>
      <c r="I193" s="112"/>
      <c r="J193" s="143">
        <f>SUMIF('Rate Class Energy Model '!$A$3:$A$14,YEAR(A193),'Rate Class Energy Model '!$C$3:$C$14)</f>
        <v>1.0805068377220113</v>
      </c>
      <c r="K193" s="340">
        <f t="shared" si="30"/>
        <v>458640.99656015227</v>
      </c>
    </row>
    <row r="194" spans="1:12">
      <c r="A194" s="144">
        <v>42217</v>
      </c>
      <c r="C194" s="112">
        <f t="shared" si="28"/>
        <v>432290.84552034299</v>
      </c>
      <c r="G194" s="112">
        <f t="shared" si="29"/>
        <v>467093.2144693603</v>
      </c>
      <c r="I194" s="112"/>
      <c r="J194" s="143">
        <f>SUMIF('Rate Class Energy Model '!$A$3:$A$14,YEAR(A194),'Rate Class Energy Model '!$C$3:$C$14)</f>
        <v>1.0805068377220113</v>
      </c>
      <c r="K194" s="340">
        <f t="shared" si="30"/>
        <v>467093.2144693603</v>
      </c>
    </row>
    <row r="195" spans="1:12">
      <c r="A195" s="144">
        <v>42248</v>
      </c>
      <c r="C195" s="112">
        <f t="shared" si="28"/>
        <v>440113.30218061502</v>
      </c>
      <c r="G195" s="112">
        <f t="shared" si="29"/>
        <v>475545.43237856834</v>
      </c>
      <c r="I195" s="112"/>
      <c r="J195" s="143">
        <f>SUMIF('Rate Class Energy Model '!$A$3:$A$14,YEAR(A195),'Rate Class Energy Model '!$C$3:$C$14)</f>
        <v>1.0805068377220113</v>
      </c>
      <c r="K195" s="340">
        <f t="shared" si="30"/>
        <v>475545.43237856834</v>
      </c>
    </row>
    <row r="196" spans="1:12">
      <c r="A196" s="144">
        <v>42278</v>
      </c>
      <c r="C196" s="112">
        <f t="shared" si="28"/>
        <v>447935.75884088705</v>
      </c>
      <c r="G196" s="112">
        <f t="shared" si="29"/>
        <v>483997.65028777631</v>
      </c>
      <c r="I196" s="112"/>
      <c r="J196" s="143">
        <f>SUMIF('Rate Class Energy Model '!$A$3:$A$14,YEAR(A196),'Rate Class Energy Model '!$C$3:$C$14)</f>
        <v>1.0805068377220113</v>
      </c>
      <c r="K196" s="340">
        <f t="shared" si="30"/>
        <v>483997.65028777631</v>
      </c>
    </row>
    <row r="197" spans="1:12">
      <c r="A197" s="144">
        <v>42309</v>
      </c>
      <c r="C197" s="112">
        <f t="shared" si="28"/>
        <v>455758.21550115908</v>
      </c>
      <c r="G197" s="112">
        <f t="shared" si="29"/>
        <v>492449.86819698435</v>
      </c>
      <c r="I197" s="112"/>
      <c r="J197" s="143">
        <f>SUMIF('Rate Class Energy Model '!$A$3:$A$14,YEAR(A197),'Rate Class Energy Model '!$C$3:$C$14)</f>
        <v>1.0805068377220113</v>
      </c>
      <c r="K197" s="340">
        <f t="shared" si="30"/>
        <v>492449.86819698435</v>
      </c>
    </row>
    <row r="198" spans="1:12">
      <c r="A198" s="277">
        <v>42339</v>
      </c>
      <c r="B198" s="281"/>
      <c r="C198" s="279">
        <f t="shared" si="28"/>
        <v>463580.67216143111</v>
      </c>
      <c r="D198" s="278">
        <f>SUM(C187:C198)</f>
        <v>5046685.9263592195</v>
      </c>
      <c r="E198" s="278">
        <f>C198*12</f>
        <v>5562968.0659371736</v>
      </c>
      <c r="F198" s="281"/>
      <c r="G198" s="279">
        <f t="shared" si="29"/>
        <v>500902.08610619238</v>
      </c>
      <c r="H198" s="278">
        <f>SUM(G187:G198)</f>
        <v>5452978.6512665795</v>
      </c>
      <c r="I198" s="279"/>
      <c r="J198" s="890">
        <f>SUMIF('Rate Class Energy Model '!$A$3:$A$14,YEAR(A198),'Rate Class Energy Model '!$C$3:$C$14)</f>
        <v>1.0805068377220113</v>
      </c>
      <c r="K198" s="889">
        <f t="shared" si="30"/>
        <v>500902.08610619238</v>
      </c>
      <c r="L198" s="281"/>
    </row>
    <row r="199" spans="1:12">
      <c r="A199" s="144">
        <v>42370</v>
      </c>
      <c r="C199" s="112">
        <f t="shared" ref="C199:C210" si="31">C198+$G$14</f>
        <v>466681.4851469674</v>
      </c>
      <c r="D199" s="112"/>
      <c r="G199" s="112">
        <f t="shared" si="29"/>
        <v>503126.73756472254</v>
      </c>
      <c r="I199" s="112"/>
      <c r="J199" s="143">
        <f>SUMIF('Rate Class Energy Model '!$A$3:$A$14,YEAR(A199),'Rate Class Energy Model '!$C$3:$C$14)</f>
        <v>1.0780944896630682</v>
      </c>
      <c r="K199" s="340">
        <f t="shared" si="30"/>
        <v>503126.73756472254</v>
      </c>
    </row>
    <row r="200" spans="1:12">
      <c r="A200" s="144">
        <v>42401</v>
      </c>
      <c r="C200" s="112">
        <f t="shared" si="31"/>
        <v>469782.2981325037</v>
      </c>
      <c r="G200" s="112">
        <f t="shared" si="29"/>
        <v>506469.70695790491</v>
      </c>
      <c r="I200" s="112"/>
      <c r="J200" s="143">
        <f>SUMIF('Rate Class Energy Model '!$A$3:$A$14,YEAR(A200),'Rate Class Energy Model '!$C$3:$C$14)</f>
        <v>1.0780944896630682</v>
      </c>
      <c r="K200" s="340">
        <f t="shared" si="30"/>
        <v>506469.70695790491</v>
      </c>
    </row>
    <row r="201" spans="1:12">
      <c r="A201" s="144">
        <v>42430</v>
      </c>
      <c r="C201" s="112">
        <f t="shared" si="31"/>
        <v>472883.11111803999</v>
      </c>
      <c r="G201" s="112">
        <f t="shared" si="29"/>
        <v>509812.67635108728</v>
      </c>
      <c r="I201" s="112"/>
      <c r="J201" s="143">
        <f>SUMIF('Rate Class Energy Model '!$A$3:$A$14,YEAR(A201),'Rate Class Energy Model '!$C$3:$C$14)</f>
        <v>1.0780944896630682</v>
      </c>
      <c r="K201" s="340">
        <f t="shared" si="30"/>
        <v>509812.67635108728</v>
      </c>
    </row>
    <row r="202" spans="1:12">
      <c r="A202" s="144">
        <v>42461</v>
      </c>
      <c r="C202" s="112">
        <f t="shared" si="31"/>
        <v>475983.92410357628</v>
      </c>
      <c r="G202" s="112">
        <f t="shared" si="29"/>
        <v>513155.64574426966</v>
      </c>
      <c r="I202" s="112"/>
      <c r="J202" s="143">
        <f>SUMIF('Rate Class Energy Model '!$A$3:$A$14,YEAR(A202),'Rate Class Energy Model '!$C$3:$C$14)</f>
        <v>1.0780944896630682</v>
      </c>
      <c r="K202" s="340">
        <f t="shared" si="30"/>
        <v>513155.64574426966</v>
      </c>
    </row>
    <row r="203" spans="1:12">
      <c r="A203" s="144">
        <v>42491</v>
      </c>
      <c r="C203" s="112">
        <f t="shared" si="31"/>
        <v>479084.73708911258</v>
      </c>
      <c r="G203" s="112">
        <f t="shared" si="29"/>
        <v>516498.61513745203</v>
      </c>
      <c r="I203" s="112"/>
      <c r="J203" s="143">
        <f>SUMIF('Rate Class Energy Model '!$A$3:$A$14,YEAR(A203),'Rate Class Energy Model '!$C$3:$C$14)</f>
        <v>1.0780944896630682</v>
      </c>
      <c r="K203" s="340">
        <f t="shared" si="30"/>
        <v>516498.61513745203</v>
      </c>
    </row>
    <row r="204" spans="1:12">
      <c r="A204" s="144">
        <v>42522</v>
      </c>
      <c r="C204" s="112">
        <f t="shared" si="31"/>
        <v>482185.55007464887</v>
      </c>
      <c r="G204" s="112">
        <f t="shared" si="29"/>
        <v>519841.5845306344</v>
      </c>
      <c r="I204" s="112"/>
      <c r="J204" s="143">
        <f>SUMIF('Rate Class Energy Model '!$A$3:$A$14,YEAR(A204),'Rate Class Energy Model '!$C$3:$C$14)</f>
        <v>1.0780944896630682</v>
      </c>
      <c r="K204" s="340">
        <f t="shared" si="30"/>
        <v>519841.5845306344</v>
      </c>
    </row>
    <row r="205" spans="1:12">
      <c r="A205" s="144">
        <v>42552</v>
      </c>
      <c r="C205" s="112">
        <f t="shared" si="31"/>
        <v>485286.36306018516</v>
      </c>
      <c r="G205" s="112">
        <f t="shared" si="29"/>
        <v>523184.55392381677</v>
      </c>
      <c r="I205" s="112"/>
      <c r="J205" s="143">
        <f>SUMIF('Rate Class Energy Model '!$A$3:$A$14,YEAR(A205),'Rate Class Energy Model '!$C$3:$C$14)</f>
        <v>1.0780944896630682</v>
      </c>
      <c r="K205" s="340">
        <f t="shared" si="30"/>
        <v>523184.55392381677</v>
      </c>
    </row>
    <row r="206" spans="1:12">
      <c r="A206" s="144">
        <v>42583</v>
      </c>
      <c r="C206" s="112">
        <f t="shared" si="31"/>
        <v>488387.17604572146</v>
      </c>
      <c r="G206" s="112">
        <f t="shared" si="29"/>
        <v>526527.52331699908</v>
      </c>
      <c r="I206" s="112"/>
      <c r="J206" s="143">
        <f>SUMIF('Rate Class Energy Model '!$A$3:$A$14,YEAR(A206),'Rate Class Energy Model '!$C$3:$C$14)</f>
        <v>1.0780944896630682</v>
      </c>
      <c r="K206" s="340">
        <f t="shared" si="30"/>
        <v>526527.52331699908</v>
      </c>
    </row>
    <row r="207" spans="1:12">
      <c r="A207" s="144">
        <v>42614</v>
      </c>
      <c r="C207" s="112">
        <f t="shared" si="31"/>
        <v>491487.98903125775</v>
      </c>
      <c r="G207" s="112">
        <f t="shared" si="29"/>
        <v>529870.49271018151</v>
      </c>
      <c r="I207" s="112"/>
      <c r="J207" s="143">
        <f>SUMIF('Rate Class Energy Model '!$A$3:$A$14,YEAR(A207),'Rate Class Energy Model '!$C$3:$C$14)</f>
        <v>1.0780944896630682</v>
      </c>
      <c r="K207" s="340">
        <f t="shared" si="30"/>
        <v>529870.49271018151</v>
      </c>
    </row>
    <row r="208" spans="1:12">
      <c r="A208" s="144">
        <v>42644</v>
      </c>
      <c r="C208" s="112">
        <f t="shared" si="31"/>
        <v>494588.80201679404</v>
      </c>
      <c r="G208" s="112">
        <f t="shared" si="29"/>
        <v>533213.46210336383</v>
      </c>
      <c r="I208" s="112"/>
      <c r="J208" s="143">
        <f>SUMIF('Rate Class Energy Model '!$A$3:$A$14,YEAR(A208),'Rate Class Energy Model '!$C$3:$C$14)</f>
        <v>1.0780944896630682</v>
      </c>
      <c r="K208" s="340">
        <f t="shared" si="30"/>
        <v>533213.46210336383</v>
      </c>
    </row>
    <row r="209" spans="1:12">
      <c r="A209" s="144">
        <v>42675</v>
      </c>
      <c r="C209" s="112">
        <f t="shared" si="31"/>
        <v>497689.61500233033</v>
      </c>
      <c r="G209" s="112">
        <f t="shared" si="29"/>
        <v>536556.43149654625</v>
      </c>
      <c r="I209" s="112"/>
      <c r="J209" s="143">
        <f>SUMIF('Rate Class Energy Model '!$A$3:$A$14,YEAR(A209),'Rate Class Energy Model '!$C$3:$C$14)</f>
        <v>1.0780944896630682</v>
      </c>
      <c r="K209" s="340">
        <f t="shared" si="30"/>
        <v>536556.43149654625</v>
      </c>
    </row>
    <row r="210" spans="1:12">
      <c r="A210" s="277">
        <v>42705</v>
      </c>
      <c r="B210" s="281"/>
      <c r="C210" s="279">
        <f t="shared" si="31"/>
        <v>500790.42798786663</v>
      </c>
      <c r="D210" s="278">
        <f>SUM(C199:C210)</f>
        <v>5804831.4788090046</v>
      </c>
      <c r="E210" s="278">
        <f>C210*12</f>
        <v>6009485.1358543998</v>
      </c>
      <c r="F210" s="281"/>
      <c r="G210" s="279">
        <f t="shared" si="29"/>
        <v>539899.40088972857</v>
      </c>
      <c r="H210" s="278">
        <f>SUM(G199:G210)</f>
        <v>6258156.8307267074</v>
      </c>
      <c r="I210" s="279"/>
      <c r="J210" s="890">
        <f>SUMIF('Rate Class Energy Model '!$A$3:$A$14,YEAR(A210),'Rate Class Energy Model '!$C$3:$C$14)</f>
        <v>1.0780944896630682</v>
      </c>
      <c r="K210" s="889">
        <f t="shared" si="30"/>
        <v>539899.40088972857</v>
      </c>
      <c r="L210" s="281"/>
    </row>
    <row r="211" spans="1:12">
      <c r="A211" s="144">
        <v>42736</v>
      </c>
      <c r="C211" s="112">
        <f>C210+$G$15</f>
        <v>508153.75896779331</v>
      </c>
      <c r="D211" s="112"/>
      <c r="G211" s="112">
        <f t="shared" si="29"/>
        <v>550724.85601926164</v>
      </c>
      <c r="I211" s="112"/>
      <c r="J211" s="143">
        <f>SUMIF('Rate Class Energy Model '!$A$3:$A$14,YEAR(A211),'Rate Class Energy Model '!$C$3:$C$14)</f>
        <v>1.0837760152319693</v>
      </c>
      <c r="K211" s="340">
        <f t="shared" si="30"/>
        <v>550724.85601926164</v>
      </c>
    </row>
    <row r="212" spans="1:12">
      <c r="A212" s="144">
        <v>42767</v>
      </c>
      <c r="C212" s="112">
        <f t="shared" ref="C212:C222" si="32">C211+$G$15</f>
        <v>515517.08994772</v>
      </c>
      <c r="G212" s="112">
        <f t="shared" si="29"/>
        <v>558705.05752752069</v>
      </c>
      <c r="I212" s="112"/>
      <c r="J212" s="143">
        <f>SUMIF('Rate Class Energy Model '!$A$3:$A$14,YEAR(A212),'Rate Class Energy Model '!$C$3:$C$14)</f>
        <v>1.0837760152319693</v>
      </c>
      <c r="K212" s="340">
        <f t="shared" si="30"/>
        <v>558705.05752752069</v>
      </c>
    </row>
    <row r="213" spans="1:12">
      <c r="A213" s="144">
        <v>42795</v>
      </c>
      <c r="C213" s="112">
        <f t="shared" si="32"/>
        <v>522880.42092764669</v>
      </c>
      <c r="G213" s="112">
        <f t="shared" si="29"/>
        <v>566685.25903577975</v>
      </c>
      <c r="I213" s="112"/>
      <c r="J213" s="143">
        <f>SUMIF('Rate Class Energy Model '!$A$3:$A$14,YEAR(A213),'Rate Class Energy Model '!$C$3:$C$14)</f>
        <v>1.0837760152319693</v>
      </c>
      <c r="K213" s="340">
        <f t="shared" si="30"/>
        <v>566685.25903577975</v>
      </c>
    </row>
    <row r="214" spans="1:12">
      <c r="A214" s="144">
        <v>42826</v>
      </c>
      <c r="C214" s="112">
        <f t="shared" si="32"/>
        <v>530243.75190757331</v>
      </c>
      <c r="G214" s="112">
        <f t="shared" si="29"/>
        <v>574665.46054403868</v>
      </c>
      <c r="I214" s="112"/>
      <c r="J214" s="143">
        <f>SUMIF('Rate Class Energy Model '!$A$3:$A$14,YEAR(A214),'Rate Class Energy Model '!$C$3:$C$14)</f>
        <v>1.0837760152319693</v>
      </c>
      <c r="K214" s="340">
        <f t="shared" si="30"/>
        <v>574665.46054403868</v>
      </c>
    </row>
    <row r="215" spans="1:12">
      <c r="A215" s="144">
        <v>42856</v>
      </c>
      <c r="C215" s="112">
        <f t="shared" si="32"/>
        <v>537607.08288749994</v>
      </c>
      <c r="G215" s="112">
        <f t="shared" si="29"/>
        <v>582645.66205229773</v>
      </c>
      <c r="I215" s="112"/>
      <c r="J215" s="143">
        <f>SUMIF('Rate Class Energy Model '!$A$3:$A$14,YEAR(A215),'Rate Class Energy Model '!$C$3:$C$14)</f>
        <v>1.0837760152319693</v>
      </c>
      <c r="K215" s="340">
        <f t="shared" si="30"/>
        <v>582645.66205229773</v>
      </c>
    </row>
    <row r="216" spans="1:12">
      <c r="A216" s="144">
        <v>42887</v>
      </c>
      <c r="C216" s="112">
        <f t="shared" si="32"/>
        <v>544970.41386742657</v>
      </c>
      <c r="G216" s="112">
        <f t="shared" si="29"/>
        <v>590625.86356055667</v>
      </c>
      <c r="I216" s="112"/>
      <c r="J216" s="143">
        <f>SUMIF('Rate Class Energy Model '!$A$3:$A$14,YEAR(A216),'Rate Class Energy Model '!$C$3:$C$14)</f>
        <v>1.0837760152319693</v>
      </c>
      <c r="K216" s="340">
        <f t="shared" si="30"/>
        <v>590625.86356055667</v>
      </c>
    </row>
    <row r="217" spans="1:12">
      <c r="A217" s="144">
        <v>42917</v>
      </c>
      <c r="C217" s="112">
        <f t="shared" si="32"/>
        <v>552333.7448473532</v>
      </c>
      <c r="G217" s="112">
        <f t="shared" si="29"/>
        <v>598606.06506881572</v>
      </c>
      <c r="I217" s="112"/>
      <c r="J217" s="143">
        <f>SUMIF('Rate Class Energy Model '!$A$3:$A$14,YEAR(A217),'Rate Class Energy Model '!$C$3:$C$14)</f>
        <v>1.0837760152319693</v>
      </c>
      <c r="K217" s="340">
        <f t="shared" si="30"/>
        <v>598606.06506881572</v>
      </c>
    </row>
    <row r="218" spans="1:12">
      <c r="A218" s="144">
        <v>42948</v>
      </c>
      <c r="C218" s="112">
        <f t="shared" si="32"/>
        <v>559697.07582727983</v>
      </c>
      <c r="G218" s="112">
        <f t="shared" si="29"/>
        <v>606586.26657707465</v>
      </c>
      <c r="I218" s="112"/>
      <c r="J218" s="143">
        <f>SUMIF('Rate Class Energy Model '!$A$3:$A$14,YEAR(A218),'Rate Class Energy Model '!$C$3:$C$14)</f>
        <v>1.0837760152319693</v>
      </c>
      <c r="K218" s="340">
        <f t="shared" si="30"/>
        <v>606586.26657707465</v>
      </c>
    </row>
    <row r="219" spans="1:12">
      <c r="A219" s="144">
        <v>42979</v>
      </c>
      <c r="C219" s="112">
        <f t="shared" si="32"/>
        <v>567060.40680720645</v>
      </c>
      <c r="G219" s="112">
        <f t="shared" si="29"/>
        <v>614566.4680853337</v>
      </c>
      <c r="I219" s="112"/>
      <c r="J219" s="143">
        <f>SUMIF('Rate Class Energy Model '!$A$3:$A$14,YEAR(A219),'Rate Class Energy Model '!$C$3:$C$14)</f>
        <v>1.0837760152319693</v>
      </c>
      <c r="K219" s="340">
        <f t="shared" si="30"/>
        <v>614566.4680853337</v>
      </c>
    </row>
    <row r="220" spans="1:12">
      <c r="A220" s="144">
        <v>43009</v>
      </c>
      <c r="C220" s="112">
        <f t="shared" si="32"/>
        <v>574423.73778713308</v>
      </c>
      <c r="G220" s="112">
        <f t="shared" si="29"/>
        <v>622546.66959359264</v>
      </c>
      <c r="I220" s="112"/>
      <c r="J220" s="143">
        <f>SUMIF('Rate Class Energy Model '!$A$3:$A$14,YEAR(A220),'Rate Class Energy Model '!$C$3:$C$14)</f>
        <v>1.0837760152319693</v>
      </c>
      <c r="K220" s="340">
        <f t="shared" si="30"/>
        <v>622546.66959359264</v>
      </c>
    </row>
    <row r="221" spans="1:12">
      <c r="A221" s="144">
        <v>43040</v>
      </c>
      <c r="C221" s="112">
        <f t="shared" si="32"/>
        <v>581787.06876705971</v>
      </c>
      <c r="G221" s="112">
        <f t="shared" si="29"/>
        <v>630526.87110185169</v>
      </c>
      <c r="I221" s="112"/>
      <c r="J221" s="143">
        <f>SUMIF('Rate Class Energy Model '!$A$3:$A$14,YEAR(A221),'Rate Class Energy Model '!$C$3:$C$14)</f>
        <v>1.0837760152319693</v>
      </c>
      <c r="K221" s="340">
        <f t="shared" si="30"/>
        <v>630526.87110185169</v>
      </c>
    </row>
    <row r="222" spans="1:12">
      <c r="A222" s="277">
        <v>43070</v>
      </c>
      <c r="B222" s="281"/>
      <c r="C222" s="112">
        <f t="shared" si="32"/>
        <v>589150.39974698634</v>
      </c>
      <c r="D222" s="278">
        <f>SUM(C211:C222)</f>
        <v>6583824.9522886779</v>
      </c>
      <c r="E222" s="278">
        <f>C222*12</f>
        <v>7069804.7969638361</v>
      </c>
      <c r="F222" s="281"/>
      <c r="G222" s="279">
        <f t="shared" si="29"/>
        <v>638507.07261011063</v>
      </c>
      <c r="H222" s="278">
        <f>SUM(G211:G222)</f>
        <v>7135391.5717762336</v>
      </c>
      <c r="I222" s="279"/>
      <c r="J222" s="890">
        <f>SUMIF('Rate Class Energy Model '!$A$3:$A$14,YEAR(A222),'Rate Class Energy Model '!$C$3:$C$14)</f>
        <v>1.0837760152319693</v>
      </c>
      <c r="K222" s="889">
        <f t="shared" si="30"/>
        <v>638507.07261011063</v>
      </c>
      <c r="L222" s="281"/>
    </row>
    <row r="223" spans="1:12">
      <c r="A223" s="144">
        <v>43101</v>
      </c>
      <c r="C223" s="112">
        <f>C222+$G$16</f>
        <v>594882.31620856782</v>
      </c>
      <c r="D223" s="112"/>
      <c r="G223" s="112">
        <f t="shared" ref="G223:G254" si="33">K223</f>
        <v>643744.59163084079</v>
      </c>
      <c r="I223" s="112"/>
      <c r="J223" s="143">
        <f>SUMIF('Rate Class Energy Model '!$A$3:$A$14,YEAR(A223),'Rate Class Energy Model '!$C$3:$C$14)</f>
        <v>1.0821377171432705</v>
      </c>
      <c r="K223" s="340">
        <f t="shared" ref="K223:K254" si="34">C223*J223</f>
        <v>643744.59163084079</v>
      </c>
    </row>
    <row r="224" spans="1:12">
      <c r="A224" s="144">
        <v>43132</v>
      </c>
      <c r="C224" s="112">
        <f t="shared" ref="C224:C234" si="35">C223+$G$16</f>
        <v>600614.2326701493</v>
      </c>
      <c r="G224" s="112">
        <f t="shared" si="33"/>
        <v>649947.31462543248</v>
      </c>
      <c r="I224" s="112"/>
      <c r="J224" s="143">
        <f>SUMIF('Rate Class Energy Model '!$A$3:$A$14,YEAR(A224),'Rate Class Energy Model '!$C$3:$C$14)</f>
        <v>1.0821377171432705</v>
      </c>
      <c r="K224" s="340">
        <f t="shared" si="34"/>
        <v>649947.31462543248</v>
      </c>
    </row>
    <row r="225" spans="1:12">
      <c r="A225" s="144">
        <v>43160</v>
      </c>
      <c r="C225" s="112">
        <f t="shared" si="35"/>
        <v>606346.14913173078</v>
      </c>
      <c r="G225" s="112">
        <f t="shared" si="33"/>
        <v>656150.03762002417</v>
      </c>
      <c r="I225" s="112"/>
      <c r="J225" s="143">
        <f>SUMIF('Rate Class Energy Model '!$A$3:$A$14,YEAR(A225),'Rate Class Energy Model '!$C$3:$C$14)</f>
        <v>1.0821377171432705</v>
      </c>
      <c r="K225" s="340">
        <f t="shared" si="34"/>
        <v>656150.03762002417</v>
      </c>
    </row>
    <row r="226" spans="1:12">
      <c r="A226" s="144">
        <v>43191</v>
      </c>
      <c r="C226" s="112">
        <f t="shared" si="35"/>
        <v>612078.06559331226</v>
      </c>
      <c r="G226" s="112">
        <f t="shared" si="33"/>
        <v>662352.76061461587</v>
      </c>
      <c r="I226" s="112"/>
      <c r="J226" s="143">
        <f>SUMIF('Rate Class Energy Model '!$A$3:$A$14,YEAR(A226),'Rate Class Energy Model '!$C$3:$C$14)</f>
        <v>1.0821377171432705</v>
      </c>
      <c r="K226" s="340">
        <f t="shared" si="34"/>
        <v>662352.76061461587</v>
      </c>
    </row>
    <row r="227" spans="1:12">
      <c r="A227" s="144">
        <v>43221</v>
      </c>
      <c r="C227" s="112">
        <f t="shared" si="35"/>
        <v>617809.98205489374</v>
      </c>
      <c r="G227" s="112">
        <f t="shared" si="33"/>
        <v>668555.48360920756</v>
      </c>
      <c r="I227" s="112"/>
      <c r="J227" s="143">
        <f>SUMIF('Rate Class Energy Model '!$A$3:$A$14,YEAR(A227),'Rate Class Energy Model '!$C$3:$C$14)</f>
        <v>1.0821377171432705</v>
      </c>
      <c r="K227" s="340">
        <f t="shared" si="34"/>
        <v>668555.48360920756</v>
      </c>
    </row>
    <row r="228" spans="1:12">
      <c r="A228" s="144">
        <v>43252</v>
      </c>
      <c r="C228" s="112">
        <f t="shared" si="35"/>
        <v>623541.89851647522</v>
      </c>
      <c r="G228" s="112">
        <f t="shared" si="33"/>
        <v>674758.20660379936</v>
      </c>
      <c r="I228" s="112"/>
      <c r="J228" s="143">
        <f>SUMIF('Rate Class Energy Model '!$A$3:$A$14,YEAR(A228),'Rate Class Energy Model '!$C$3:$C$14)</f>
        <v>1.0821377171432705</v>
      </c>
      <c r="K228" s="340">
        <f t="shared" si="34"/>
        <v>674758.20660379936</v>
      </c>
    </row>
    <row r="229" spans="1:12">
      <c r="A229" s="144">
        <v>43282</v>
      </c>
      <c r="C229" s="112">
        <f t="shared" si="35"/>
        <v>629273.8149780567</v>
      </c>
      <c r="G229" s="112">
        <f t="shared" si="33"/>
        <v>680960.92959839106</v>
      </c>
      <c r="I229" s="112"/>
      <c r="J229" s="143">
        <f>SUMIF('Rate Class Energy Model '!$A$3:$A$14,YEAR(A229),'Rate Class Energy Model '!$C$3:$C$14)</f>
        <v>1.0821377171432705</v>
      </c>
      <c r="K229" s="340">
        <f t="shared" si="34"/>
        <v>680960.92959839106</v>
      </c>
    </row>
    <row r="230" spans="1:12">
      <c r="A230" s="144">
        <v>43313</v>
      </c>
      <c r="C230" s="112">
        <f t="shared" si="35"/>
        <v>635005.73143963818</v>
      </c>
      <c r="G230" s="112">
        <f t="shared" si="33"/>
        <v>687163.65259298275</v>
      </c>
      <c r="I230" s="112"/>
      <c r="J230" s="143">
        <f>SUMIF('Rate Class Energy Model '!$A$3:$A$14,YEAR(A230),'Rate Class Energy Model '!$C$3:$C$14)</f>
        <v>1.0821377171432705</v>
      </c>
      <c r="K230" s="340">
        <f t="shared" si="34"/>
        <v>687163.65259298275</v>
      </c>
    </row>
    <row r="231" spans="1:12">
      <c r="A231" s="144">
        <v>43344</v>
      </c>
      <c r="C231" s="112">
        <f t="shared" si="35"/>
        <v>640737.64790121967</v>
      </c>
      <c r="G231" s="112">
        <f t="shared" si="33"/>
        <v>693366.37558757444</v>
      </c>
      <c r="I231" s="112"/>
      <c r="J231" s="143">
        <f>SUMIF('Rate Class Energy Model '!$A$3:$A$14,YEAR(A231),'Rate Class Energy Model '!$C$3:$C$14)</f>
        <v>1.0821377171432705</v>
      </c>
      <c r="K231" s="340">
        <f t="shared" si="34"/>
        <v>693366.37558757444</v>
      </c>
    </row>
    <row r="232" spans="1:12">
      <c r="A232" s="144">
        <v>43374</v>
      </c>
      <c r="C232" s="112">
        <f t="shared" si="35"/>
        <v>646469.56436280115</v>
      </c>
      <c r="G232" s="112">
        <f t="shared" si="33"/>
        <v>699569.09858216613</v>
      </c>
      <c r="I232" s="112"/>
      <c r="J232" s="143">
        <f>SUMIF('Rate Class Energy Model '!$A$3:$A$14,YEAR(A232),'Rate Class Energy Model '!$C$3:$C$14)</f>
        <v>1.0821377171432705</v>
      </c>
      <c r="K232" s="340">
        <f t="shared" si="34"/>
        <v>699569.09858216613</v>
      </c>
    </row>
    <row r="233" spans="1:12">
      <c r="A233" s="144">
        <v>43405</v>
      </c>
      <c r="C233" s="112">
        <f t="shared" si="35"/>
        <v>652201.48082438263</v>
      </c>
      <c r="G233" s="112">
        <f t="shared" si="33"/>
        <v>705771.82157675794</v>
      </c>
      <c r="I233" s="112"/>
      <c r="J233" s="143">
        <f>SUMIF('Rate Class Energy Model '!$A$3:$A$14,YEAR(A233),'Rate Class Energy Model '!$C$3:$C$14)</f>
        <v>1.0821377171432705</v>
      </c>
      <c r="K233" s="340">
        <f t="shared" si="34"/>
        <v>705771.82157675794</v>
      </c>
    </row>
    <row r="234" spans="1:12">
      <c r="A234" s="277">
        <v>43435</v>
      </c>
      <c r="B234" s="281"/>
      <c r="C234" s="112">
        <f t="shared" si="35"/>
        <v>657933.39728596411</v>
      </c>
      <c r="D234" s="278">
        <f>SUM(C223:C234)</f>
        <v>7516894.2809671909</v>
      </c>
      <c r="E234" s="278">
        <f>C234*12</f>
        <v>7895200.7674315693</v>
      </c>
      <c r="F234" s="281"/>
      <c r="G234" s="279">
        <f t="shared" si="33"/>
        <v>711974.54457134963</v>
      </c>
      <c r="H234" s="278">
        <f>SUM(G223:G234)</f>
        <v>8134314.8172131432</v>
      </c>
      <c r="I234" s="279"/>
      <c r="J234" s="890">
        <f>SUMIF('Rate Class Energy Model '!$A$3:$A$14,YEAR(A234),'Rate Class Energy Model '!$C$3:$C$14)</f>
        <v>1.0821377171432705</v>
      </c>
      <c r="K234" s="889">
        <f t="shared" si="34"/>
        <v>711974.54457134963</v>
      </c>
      <c r="L234" s="281"/>
    </row>
    <row r="235" spans="1:12">
      <c r="A235" s="144">
        <v>43466</v>
      </c>
      <c r="C235" s="112">
        <f>C234+$G$17</f>
        <v>656720.32062788506</v>
      </c>
      <c r="D235" s="112"/>
      <c r="G235" s="112">
        <f t="shared" si="33"/>
        <v>712149.00669210486</v>
      </c>
      <c r="I235" s="112"/>
      <c r="J235" s="143">
        <f>SUMIF('Rate Class Energy Model '!$A$3:$A$14,YEAR(A235),'Rate Class Energy Model '!$C$3:$C$14)</f>
        <v>1.084402270377784</v>
      </c>
      <c r="K235" s="340">
        <f t="shared" si="34"/>
        <v>712149.00669210486</v>
      </c>
    </row>
    <row r="236" spans="1:12">
      <c r="A236" s="144">
        <v>43497</v>
      </c>
      <c r="C236" s="112">
        <f t="shared" ref="C236:C246" si="36">C235+$G$17</f>
        <v>655507.243969806</v>
      </c>
      <c r="G236" s="112">
        <f t="shared" si="33"/>
        <v>710833.54360994161</v>
      </c>
      <c r="I236" s="112"/>
      <c r="J236" s="143">
        <f>SUMIF('Rate Class Energy Model '!$A$3:$A$14,YEAR(A236),'Rate Class Energy Model '!$C$3:$C$14)</f>
        <v>1.084402270377784</v>
      </c>
      <c r="K236" s="340">
        <f t="shared" si="34"/>
        <v>710833.54360994161</v>
      </c>
    </row>
    <row r="237" spans="1:12">
      <c r="A237" s="144">
        <v>43525</v>
      </c>
      <c r="C237" s="112">
        <f t="shared" si="36"/>
        <v>654294.16731172695</v>
      </c>
      <c r="G237" s="112">
        <f t="shared" si="33"/>
        <v>709518.08052777837</v>
      </c>
      <c r="I237" s="112"/>
      <c r="J237" s="143">
        <f>SUMIF('Rate Class Energy Model '!$A$3:$A$14,YEAR(A237),'Rate Class Energy Model '!$C$3:$C$14)</f>
        <v>1.084402270377784</v>
      </c>
      <c r="K237" s="340">
        <f t="shared" si="34"/>
        <v>709518.08052777837</v>
      </c>
    </row>
    <row r="238" spans="1:12">
      <c r="A238" s="144">
        <v>43556</v>
      </c>
      <c r="C238" s="112">
        <f t="shared" si="36"/>
        <v>653081.0906536479</v>
      </c>
      <c r="G238" s="112">
        <f t="shared" si="33"/>
        <v>708202.61744561512</v>
      </c>
      <c r="I238" s="112"/>
      <c r="J238" s="143">
        <f>SUMIF('Rate Class Energy Model '!$A$3:$A$14,YEAR(A238),'Rate Class Energy Model '!$C$3:$C$14)</f>
        <v>1.084402270377784</v>
      </c>
      <c r="K238" s="340">
        <f t="shared" si="34"/>
        <v>708202.61744561512</v>
      </c>
    </row>
    <row r="239" spans="1:12">
      <c r="A239" s="144">
        <v>43586</v>
      </c>
      <c r="C239" s="112">
        <f t="shared" si="36"/>
        <v>651868.01399556885</v>
      </c>
      <c r="G239" s="112">
        <f t="shared" si="33"/>
        <v>706887.15436345199</v>
      </c>
      <c r="I239" s="112"/>
      <c r="J239" s="143">
        <f>SUMIF('Rate Class Energy Model '!$A$3:$A$14,YEAR(A239),'Rate Class Energy Model '!$C$3:$C$14)</f>
        <v>1.084402270377784</v>
      </c>
      <c r="K239" s="340">
        <f t="shared" si="34"/>
        <v>706887.15436345199</v>
      </c>
    </row>
    <row r="240" spans="1:12">
      <c r="A240" s="144">
        <v>43617</v>
      </c>
      <c r="C240" s="112">
        <f t="shared" si="36"/>
        <v>650654.9373374898</v>
      </c>
      <c r="G240" s="112">
        <f t="shared" si="33"/>
        <v>705571.69128128875</v>
      </c>
      <c r="I240" s="112"/>
      <c r="J240" s="143">
        <f>SUMIF('Rate Class Energy Model '!$A$3:$A$14,YEAR(A240),'Rate Class Energy Model '!$C$3:$C$14)</f>
        <v>1.084402270377784</v>
      </c>
      <c r="K240" s="340">
        <f t="shared" si="34"/>
        <v>705571.69128128875</v>
      </c>
    </row>
    <row r="241" spans="1:12">
      <c r="A241" s="144">
        <v>43647</v>
      </c>
      <c r="C241" s="112">
        <f t="shared" si="36"/>
        <v>649441.86067941075</v>
      </c>
      <c r="G241" s="112">
        <f t="shared" si="33"/>
        <v>704256.2281991255</v>
      </c>
      <c r="I241" s="112"/>
      <c r="J241" s="143">
        <f>SUMIF('Rate Class Energy Model '!$A$3:$A$14,YEAR(A241),'Rate Class Energy Model '!$C$3:$C$14)</f>
        <v>1.084402270377784</v>
      </c>
      <c r="K241" s="340">
        <f t="shared" si="34"/>
        <v>704256.2281991255</v>
      </c>
    </row>
    <row r="242" spans="1:12">
      <c r="A242" s="144">
        <v>43678</v>
      </c>
      <c r="C242" s="112">
        <f t="shared" si="36"/>
        <v>648228.7840213317</v>
      </c>
      <c r="G242" s="112">
        <f t="shared" si="33"/>
        <v>702940.76511696225</v>
      </c>
      <c r="I242" s="112"/>
      <c r="J242" s="143">
        <f>SUMIF('Rate Class Energy Model '!$A$3:$A$14,YEAR(A242),'Rate Class Energy Model '!$C$3:$C$14)</f>
        <v>1.084402270377784</v>
      </c>
      <c r="K242" s="340">
        <f t="shared" si="34"/>
        <v>702940.76511696225</v>
      </c>
    </row>
    <row r="243" spans="1:12">
      <c r="A243" s="144">
        <v>43709</v>
      </c>
      <c r="C243" s="112">
        <f t="shared" si="36"/>
        <v>647015.70736325264</v>
      </c>
      <c r="G243" s="112">
        <f t="shared" si="33"/>
        <v>701625.30203479913</v>
      </c>
      <c r="I243" s="112"/>
      <c r="J243" s="143">
        <f>SUMIF('Rate Class Energy Model '!$A$3:$A$14,YEAR(A243),'Rate Class Energy Model '!$C$3:$C$14)</f>
        <v>1.084402270377784</v>
      </c>
      <c r="K243" s="340">
        <f t="shared" si="34"/>
        <v>701625.30203479913</v>
      </c>
    </row>
    <row r="244" spans="1:12">
      <c r="A244" s="144">
        <v>43739</v>
      </c>
      <c r="C244" s="112">
        <f t="shared" si="36"/>
        <v>645802.63070517359</v>
      </c>
      <c r="G244" s="112">
        <f t="shared" si="33"/>
        <v>700309.83895263588</v>
      </c>
      <c r="I244" s="112"/>
      <c r="J244" s="143">
        <f>SUMIF('Rate Class Energy Model '!$A$3:$A$14,YEAR(A244),'Rate Class Energy Model '!$C$3:$C$14)</f>
        <v>1.084402270377784</v>
      </c>
      <c r="K244" s="340">
        <f t="shared" si="34"/>
        <v>700309.83895263588</v>
      </c>
    </row>
    <row r="245" spans="1:12">
      <c r="A245" s="144">
        <v>43770</v>
      </c>
      <c r="C245" s="112">
        <f t="shared" si="36"/>
        <v>644589.55404709454</v>
      </c>
      <c r="G245" s="112">
        <f t="shared" si="33"/>
        <v>698994.37587047264</v>
      </c>
      <c r="I245" s="112"/>
      <c r="J245" s="143">
        <f>SUMIF('Rate Class Energy Model '!$A$3:$A$14,YEAR(A245),'Rate Class Energy Model '!$C$3:$C$14)</f>
        <v>1.084402270377784</v>
      </c>
      <c r="K245" s="340">
        <f t="shared" si="34"/>
        <v>698994.37587047264</v>
      </c>
    </row>
    <row r="246" spans="1:12">
      <c r="A246" s="277">
        <v>43800</v>
      </c>
      <c r="B246" s="281"/>
      <c r="C246" s="112">
        <f t="shared" si="36"/>
        <v>643376.47738901549</v>
      </c>
      <c r="D246" s="278">
        <f>SUM(C235:C246)</f>
        <v>7800580.788101403</v>
      </c>
      <c r="E246" s="278">
        <f>C246*12</f>
        <v>7720517.7286681859</v>
      </c>
      <c r="F246" s="281"/>
      <c r="G246" s="279">
        <f t="shared" si="33"/>
        <v>697678.91278830939</v>
      </c>
      <c r="H246" s="278">
        <f>SUM(G235:G246)</f>
        <v>8458967.5168824866</v>
      </c>
      <c r="I246" s="279"/>
      <c r="J246" s="890">
        <f>SUMIF('Rate Class Energy Model '!$A$3:$A$14,YEAR(A246),'Rate Class Energy Model '!$C$3:$C$14)</f>
        <v>1.084402270377784</v>
      </c>
      <c r="K246" s="889">
        <f t="shared" si="34"/>
        <v>697678.91278830939</v>
      </c>
      <c r="L246" s="281"/>
    </row>
    <row r="247" spans="1:12">
      <c r="A247" s="144">
        <v>43831</v>
      </c>
      <c r="C247" s="112">
        <f>C246+$G$18</f>
        <v>641689.39313935349</v>
      </c>
      <c r="D247" s="112"/>
      <c r="G247" s="112">
        <f t="shared" si="33"/>
        <v>699082.23970341182</v>
      </c>
      <c r="I247" s="112"/>
      <c r="J247" s="143">
        <f>SUMIF('Rate Class Energy Model '!$A$3:$A$14,YEAR(A247),'Rate Class Energy Model '!$C$3:$C$14)</f>
        <v>1.0894402294594179</v>
      </c>
      <c r="K247" s="340">
        <f t="shared" si="34"/>
        <v>699082.23970341182</v>
      </c>
    </row>
    <row r="248" spans="1:12">
      <c r="A248" s="144">
        <v>43862</v>
      </c>
      <c r="C248" s="112">
        <f t="shared" ref="C248:C258" si="37">C247+$G$18</f>
        <v>640002.30888969149</v>
      </c>
      <c r="G248" s="112">
        <f t="shared" si="33"/>
        <v>697244.26225134276</v>
      </c>
      <c r="I248" s="112"/>
      <c r="J248" s="143">
        <f>SUMIF('Rate Class Energy Model '!$A$3:$A$14,YEAR(A248),'Rate Class Energy Model '!$C$3:$C$14)</f>
        <v>1.0894402294594179</v>
      </c>
      <c r="K248" s="340">
        <f t="shared" si="34"/>
        <v>697244.26225134276</v>
      </c>
    </row>
    <row r="249" spans="1:12">
      <c r="A249" s="144">
        <v>43891</v>
      </c>
      <c r="C249" s="112">
        <f t="shared" si="37"/>
        <v>638315.22464002948</v>
      </c>
      <c r="G249" s="112">
        <f t="shared" si="33"/>
        <v>695406.28479927359</v>
      </c>
      <c r="I249" s="112"/>
      <c r="J249" s="143">
        <f>SUMIF('Rate Class Energy Model '!$A$3:$A$14,YEAR(A249),'Rate Class Energy Model '!$C$3:$C$14)</f>
        <v>1.0894402294594179</v>
      </c>
      <c r="K249" s="340">
        <f t="shared" si="34"/>
        <v>695406.28479927359</v>
      </c>
    </row>
    <row r="250" spans="1:12">
      <c r="A250" s="144">
        <v>43922</v>
      </c>
      <c r="C250" s="112">
        <f t="shared" si="37"/>
        <v>636628.14039036748</v>
      </c>
      <c r="G250" s="112">
        <f t="shared" si="33"/>
        <v>693568.30734720442</v>
      </c>
      <c r="I250" s="112"/>
      <c r="J250" s="143">
        <f>SUMIF('Rate Class Energy Model '!$A$3:$A$14,YEAR(A250),'Rate Class Energy Model '!$C$3:$C$14)</f>
        <v>1.0894402294594179</v>
      </c>
      <c r="K250" s="340">
        <f t="shared" si="34"/>
        <v>693568.30734720442</v>
      </c>
    </row>
    <row r="251" spans="1:12">
      <c r="A251" s="144">
        <v>43952</v>
      </c>
      <c r="C251" s="112">
        <f t="shared" si="37"/>
        <v>634941.05614070548</v>
      </c>
      <c r="G251" s="112">
        <f t="shared" si="33"/>
        <v>691730.32989513525</v>
      </c>
      <c r="I251" s="112"/>
      <c r="J251" s="143">
        <f>SUMIF('Rate Class Energy Model '!$A$3:$A$14,YEAR(A251),'Rate Class Energy Model '!$C$3:$C$14)</f>
        <v>1.0894402294594179</v>
      </c>
      <c r="K251" s="340">
        <f t="shared" si="34"/>
        <v>691730.32989513525</v>
      </c>
    </row>
    <row r="252" spans="1:12">
      <c r="A252" s="144">
        <v>43983</v>
      </c>
      <c r="C252" s="112">
        <f t="shared" si="37"/>
        <v>633253.97189104347</v>
      </c>
      <c r="G252" s="112">
        <f t="shared" si="33"/>
        <v>689892.35244306619</v>
      </c>
      <c r="I252" s="112"/>
      <c r="J252" s="143">
        <f>SUMIF('Rate Class Energy Model '!$A$3:$A$14,YEAR(A252),'Rate Class Energy Model '!$C$3:$C$14)</f>
        <v>1.0894402294594179</v>
      </c>
      <c r="K252" s="340">
        <f t="shared" si="34"/>
        <v>689892.35244306619</v>
      </c>
    </row>
    <row r="253" spans="1:12">
      <c r="A253" s="144">
        <v>44013</v>
      </c>
      <c r="C253" s="112">
        <f t="shared" si="37"/>
        <v>631566.88764138147</v>
      </c>
      <c r="G253" s="112">
        <f t="shared" si="33"/>
        <v>688054.37499099702</v>
      </c>
      <c r="I253" s="112"/>
      <c r="J253" s="143">
        <f>SUMIF('Rate Class Energy Model '!$A$3:$A$14,YEAR(A253),'Rate Class Energy Model '!$C$3:$C$14)</f>
        <v>1.0894402294594179</v>
      </c>
      <c r="K253" s="340">
        <f t="shared" si="34"/>
        <v>688054.37499099702</v>
      </c>
    </row>
    <row r="254" spans="1:12">
      <c r="A254" s="144">
        <v>44044</v>
      </c>
      <c r="C254" s="112">
        <f t="shared" si="37"/>
        <v>629879.80339171947</v>
      </c>
      <c r="G254" s="112">
        <f t="shared" si="33"/>
        <v>686216.39753892785</v>
      </c>
      <c r="I254" s="112"/>
      <c r="J254" s="143">
        <f>SUMIF('Rate Class Energy Model '!$A$3:$A$14,YEAR(A254),'Rate Class Energy Model '!$C$3:$C$14)</f>
        <v>1.0894402294594179</v>
      </c>
      <c r="K254" s="340">
        <f t="shared" si="34"/>
        <v>686216.39753892785</v>
      </c>
    </row>
    <row r="255" spans="1:12">
      <c r="A255" s="144">
        <v>44075</v>
      </c>
      <c r="C255" s="112">
        <f t="shared" si="37"/>
        <v>628192.71914205747</v>
      </c>
      <c r="G255" s="112">
        <f t="shared" ref="G255:G270" si="38">K255</f>
        <v>684378.42008685868</v>
      </c>
      <c r="I255" s="112"/>
      <c r="J255" s="143">
        <f>SUMIF('Rate Class Energy Model '!$A$3:$A$14,YEAR(A255),'Rate Class Energy Model '!$C$3:$C$14)</f>
        <v>1.0894402294594179</v>
      </c>
      <c r="K255" s="340">
        <f t="shared" ref="K255:K270" si="39">C255*J255</f>
        <v>684378.42008685868</v>
      </c>
    </row>
    <row r="256" spans="1:12">
      <c r="A256" s="144">
        <v>44105</v>
      </c>
      <c r="C256" s="112">
        <f t="shared" si="37"/>
        <v>626505.63489239546</v>
      </c>
      <c r="G256" s="112">
        <f t="shared" si="38"/>
        <v>682540.44263478962</v>
      </c>
      <c r="I256" s="112"/>
      <c r="J256" s="143">
        <f>SUMIF('Rate Class Energy Model '!$A$3:$A$14,YEAR(A256),'Rate Class Energy Model '!$C$3:$C$14)</f>
        <v>1.0894402294594179</v>
      </c>
      <c r="K256" s="340">
        <f t="shared" si="39"/>
        <v>682540.44263478962</v>
      </c>
    </row>
    <row r="257" spans="1:12">
      <c r="A257" s="144">
        <v>44136</v>
      </c>
      <c r="C257" s="112">
        <f t="shared" si="37"/>
        <v>624818.55064273346</v>
      </c>
      <c r="G257" s="112">
        <f t="shared" si="38"/>
        <v>680702.46518272045</v>
      </c>
      <c r="I257" s="112"/>
      <c r="J257" s="143">
        <f>SUMIF('Rate Class Energy Model '!$A$3:$A$14,YEAR(A257),'Rate Class Energy Model '!$C$3:$C$14)</f>
        <v>1.0894402294594179</v>
      </c>
      <c r="K257" s="340">
        <f t="shared" si="39"/>
        <v>680702.46518272045</v>
      </c>
    </row>
    <row r="258" spans="1:12">
      <c r="A258" s="277">
        <v>44166</v>
      </c>
      <c r="B258" s="281"/>
      <c r="C258" s="112">
        <f t="shared" si="37"/>
        <v>623131.46639307146</v>
      </c>
      <c r="D258" s="278">
        <f>SUM(C247:C258)</f>
        <v>7588925.1571945501</v>
      </c>
      <c r="E258" s="278">
        <f>C258*12</f>
        <v>7477577.5967168575</v>
      </c>
      <c r="F258" s="281"/>
      <c r="G258" s="279">
        <f t="shared" si="38"/>
        <v>678864.48773065128</v>
      </c>
      <c r="H258" s="278">
        <f>SUM(G247:G258)</f>
        <v>8267680.3646043781</v>
      </c>
      <c r="I258" s="279"/>
      <c r="J258" s="890">
        <f>SUMIF('Rate Class Energy Model '!$A$3:$A$14,YEAR(A258),'Rate Class Energy Model '!$C$3:$C$14)</f>
        <v>1.0894402294594179</v>
      </c>
      <c r="K258" s="889">
        <f t="shared" si="39"/>
        <v>678864.48773065128</v>
      </c>
      <c r="L258" s="281"/>
    </row>
    <row r="259" spans="1:12">
      <c r="A259" s="850">
        <v>44197</v>
      </c>
      <c r="C259" s="112">
        <f>C258+$G$19</f>
        <v>618591.09819363151</v>
      </c>
      <c r="D259" s="112"/>
      <c r="G259" s="112">
        <f t="shared" si="38"/>
        <v>672288.49445953337</v>
      </c>
      <c r="I259" s="112"/>
      <c r="J259" s="143">
        <f>SUMIF('Rate Class Energy Model '!$A$3:$A$14,YEAR(A259),'Rate Class Energy Model '!$C$3:$C$14)</f>
        <v>1.0868059634590692</v>
      </c>
      <c r="K259" s="340">
        <f t="shared" si="39"/>
        <v>672288.49445953337</v>
      </c>
    </row>
    <row r="260" spans="1:12">
      <c r="A260" s="850">
        <v>44228</v>
      </c>
      <c r="C260" s="112">
        <f t="shared" ref="C260:C270" si="40">C259+$G$19</f>
        <v>614050.72999419156</v>
      </c>
      <c r="G260" s="112">
        <f t="shared" si="38"/>
        <v>667353.99522408214</v>
      </c>
      <c r="I260" s="112"/>
      <c r="J260" s="143">
        <f>SUMIF('Rate Class Energy Model '!$A$3:$A$14,YEAR(A260),'Rate Class Energy Model '!$C$3:$C$14)</f>
        <v>1.0868059634590692</v>
      </c>
      <c r="K260" s="340">
        <f t="shared" si="39"/>
        <v>667353.99522408214</v>
      </c>
    </row>
    <row r="261" spans="1:12">
      <c r="A261" s="850">
        <v>44256</v>
      </c>
      <c r="C261" s="112">
        <f t="shared" si="40"/>
        <v>609510.3617947516</v>
      </c>
      <c r="G261" s="112">
        <f t="shared" si="38"/>
        <v>662419.49598863092</v>
      </c>
      <c r="I261" s="112"/>
      <c r="J261" s="143">
        <f>SUMIF('Rate Class Energy Model '!$A$3:$A$14,YEAR(A261),'Rate Class Energy Model '!$C$3:$C$14)</f>
        <v>1.0868059634590692</v>
      </c>
      <c r="K261" s="340">
        <f t="shared" si="39"/>
        <v>662419.49598863092</v>
      </c>
    </row>
    <row r="262" spans="1:12">
      <c r="A262" s="850">
        <v>44287</v>
      </c>
      <c r="C262" s="112">
        <f t="shared" si="40"/>
        <v>604969.99359531165</v>
      </c>
      <c r="G262" s="112">
        <f t="shared" si="38"/>
        <v>657484.99675317958</v>
      </c>
      <c r="I262" s="112"/>
      <c r="J262" s="143">
        <f>SUMIF('Rate Class Energy Model '!$A$3:$A$14,YEAR(A262),'Rate Class Energy Model '!$C$3:$C$14)</f>
        <v>1.0868059634590692</v>
      </c>
      <c r="K262" s="340">
        <f t="shared" si="39"/>
        <v>657484.99675317958</v>
      </c>
    </row>
    <row r="263" spans="1:12">
      <c r="A263" s="850">
        <v>44317</v>
      </c>
      <c r="C263" s="112">
        <f t="shared" si="40"/>
        <v>600429.6253958717</v>
      </c>
      <c r="G263" s="112">
        <f t="shared" si="38"/>
        <v>652550.49751772836</v>
      </c>
      <c r="I263" s="112"/>
      <c r="J263" s="143">
        <f>SUMIF('Rate Class Energy Model '!$A$3:$A$14,YEAR(A263),'Rate Class Energy Model '!$C$3:$C$14)</f>
        <v>1.0868059634590692</v>
      </c>
      <c r="K263" s="340">
        <f t="shared" si="39"/>
        <v>652550.49751772836</v>
      </c>
    </row>
    <row r="264" spans="1:12">
      <c r="A264" s="850">
        <v>44348</v>
      </c>
      <c r="C264" s="112">
        <f t="shared" si="40"/>
        <v>595889.25719643175</v>
      </c>
      <c r="G264" s="112">
        <f t="shared" si="38"/>
        <v>647615.99828227714</v>
      </c>
      <c r="I264" s="112"/>
      <c r="J264" s="143">
        <f>SUMIF('Rate Class Energy Model '!$A$3:$A$14,YEAR(A264),'Rate Class Energy Model '!$C$3:$C$14)</f>
        <v>1.0868059634590692</v>
      </c>
      <c r="K264" s="340">
        <f t="shared" si="39"/>
        <v>647615.99828227714</v>
      </c>
    </row>
    <row r="265" spans="1:12">
      <c r="A265" s="850">
        <v>44378</v>
      </c>
      <c r="C265" s="112">
        <f t="shared" si="40"/>
        <v>591348.88899699179</v>
      </c>
      <c r="G265" s="112">
        <f t="shared" si="38"/>
        <v>642681.4990468258</v>
      </c>
      <c r="I265" s="112"/>
      <c r="J265" s="143">
        <f>SUMIF('Rate Class Energy Model '!$A$3:$A$14,YEAR(A265),'Rate Class Energy Model '!$C$3:$C$14)</f>
        <v>1.0868059634590692</v>
      </c>
      <c r="K265" s="340">
        <f t="shared" si="39"/>
        <v>642681.4990468258</v>
      </c>
    </row>
    <row r="266" spans="1:12">
      <c r="A266" s="850">
        <v>44409</v>
      </c>
      <c r="C266" s="112">
        <f t="shared" si="40"/>
        <v>586808.52079755184</v>
      </c>
      <c r="G266" s="112">
        <f t="shared" si="38"/>
        <v>637746.99981137458</v>
      </c>
      <c r="I266" s="112"/>
      <c r="J266" s="143">
        <f>SUMIF('Rate Class Energy Model '!$A$3:$A$14,YEAR(A266),'Rate Class Energy Model '!$C$3:$C$14)</f>
        <v>1.0868059634590692</v>
      </c>
      <c r="K266" s="340">
        <f t="shared" si="39"/>
        <v>637746.99981137458</v>
      </c>
    </row>
    <row r="267" spans="1:12">
      <c r="A267" s="850">
        <v>44440</v>
      </c>
      <c r="C267" s="112">
        <f t="shared" si="40"/>
        <v>582268.15259811189</v>
      </c>
      <c r="G267" s="112">
        <f t="shared" si="38"/>
        <v>632812.50057592336</v>
      </c>
      <c r="I267" s="112"/>
      <c r="J267" s="143">
        <f>SUMIF('Rate Class Energy Model '!$A$3:$A$14,YEAR(A267),'Rate Class Energy Model '!$C$3:$C$14)</f>
        <v>1.0868059634590692</v>
      </c>
      <c r="K267" s="340">
        <f t="shared" si="39"/>
        <v>632812.50057592336</v>
      </c>
    </row>
    <row r="268" spans="1:12">
      <c r="A268" s="850">
        <v>44470</v>
      </c>
      <c r="C268" s="112">
        <f t="shared" si="40"/>
        <v>577727.78439867194</v>
      </c>
      <c r="G268" s="112">
        <f t="shared" si="38"/>
        <v>627878.00134047202</v>
      </c>
      <c r="I268" s="112"/>
      <c r="J268" s="143">
        <f>SUMIF('Rate Class Energy Model '!$A$3:$A$14,YEAR(A268),'Rate Class Energy Model '!$C$3:$C$14)</f>
        <v>1.0868059634590692</v>
      </c>
      <c r="K268" s="340">
        <f t="shared" si="39"/>
        <v>627878.00134047202</v>
      </c>
    </row>
    <row r="269" spans="1:12">
      <c r="A269" s="850">
        <v>44501</v>
      </c>
      <c r="C269" s="112">
        <f t="shared" si="40"/>
        <v>573187.41619923199</v>
      </c>
      <c r="G269" s="112">
        <f t="shared" si="38"/>
        <v>622943.5021050208</v>
      </c>
      <c r="I269" s="112"/>
      <c r="J269" s="143">
        <f>SUMIF('Rate Class Energy Model '!$A$3:$A$14,YEAR(A269),'Rate Class Energy Model '!$C$3:$C$14)</f>
        <v>1.0868059634590692</v>
      </c>
      <c r="K269" s="340">
        <f t="shared" si="39"/>
        <v>622943.5021050208</v>
      </c>
    </row>
    <row r="270" spans="1:12">
      <c r="A270" s="277">
        <v>44531</v>
      </c>
      <c r="B270" s="281"/>
      <c r="C270" s="112">
        <f t="shared" si="40"/>
        <v>568647.04799979203</v>
      </c>
      <c r="D270" s="278">
        <f>SUM(C259:C270)</f>
        <v>7123428.8771605417</v>
      </c>
      <c r="E270" s="278">
        <f>C270*12</f>
        <v>6823764.5759975044</v>
      </c>
      <c r="F270" s="281"/>
      <c r="G270" s="279">
        <f t="shared" si="38"/>
        <v>618009.00286956958</v>
      </c>
      <c r="H270" s="278">
        <f>SUM(G259:G270)</f>
        <v>7741784.9839746179</v>
      </c>
      <c r="I270" s="279"/>
      <c r="J270" s="890">
        <f>SUMIF('Rate Class Energy Model '!$A$3:$A$14,YEAR(A270),'Rate Class Energy Model '!$C$3:$C$14)</f>
        <v>1.0868059634590692</v>
      </c>
      <c r="K270" s="889">
        <f t="shared" si="39"/>
        <v>618009.00286956958</v>
      </c>
      <c r="L270" s="281"/>
    </row>
  </sheetData>
  <mergeCells count="2">
    <mergeCell ref="G27:H31"/>
    <mergeCell ref="A38:H38"/>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sheetPr>
  <dimension ref="A1:N74"/>
  <sheetViews>
    <sheetView showGridLines="0" topLeftCell="A7" zoomScaleNormal="100" workbookViewId="0">
      <selection activeCell="G29" sqref="G29"/>
    </sheetView>
  </sheetViews>
  <sheetFormatPr defaultColWidth="9.109375" defaultRowHeight="13.2"/>
  <cols>
    <col min="1" max="1" width="8.6640625" style="283" customWidth="1"/>
    <col min="2" max="2" width="30.6640625" style="283" customWidth="1"/>
    <col min="3" max="3" width="12.6640625" style="283" customWidth="1"/>
    <col min="4" max="4" width="14" style="283" customWidth="1"/>
    <col min="5" max="7" width="12.6640625" style="283" customWidth="1"/>
    <col min="8" max="8" width="14.6640625" style="283" customWidth="1"/>
    <col min="9" max="15" width="12.33203125" style="283" bestFit="1" customWidth="1"/>
    <col min="16" max="16384" width="9.109375" style="283"/>
  </cols>
  <sheetData>
    <row r="1" spans="1:14">
      <c r="G1" s="284" t="s">
        <v>181</v>
      </c>
      <c r="H1" s="285">
        <v>0</v>
      </c>
    </row>
    <row r="2" spans="1:14">
      <c r="A2" s="283" t="s">
        <v>182</v>
      </c>
      <c r="B2" s="283" t="s">
        <v>183</v>
      </c>
      <c r="G2" s="284" t="s">
        <v>184</v>
      </c>
      <c r="H2" s="286"/>
    </row>
    <row r="3" spans="1:14">
      <c r="G3" s="284" t="s">
        <v>185</v>
      </c>
      <c r="H3" s="286"/>
    </row>
    <row r="4" spans="1:14">
      <c r="G4" s="284" t="s">
        <v>186</v>
      </c>
      <c r="H4" s="286"/>
    </row>
    <row r="5" spans="1:14">
      <c r="G5" s="284" t="s">
        <v>187</v>
      </c>
      <c r="H5" s="287"/>
    </row>
    <row r="6" spans="1:14">
      <c r="G6" s="284"/>
      <c r="H6" s="285"/>
    </row>
    <row r="7" spans="1:14">
      <c r="G7" s="284" t="s">
        <v>188</v>
      </c>
      <c r="H7" s="287"/>
    </row>
    <row r="9" spans="1:14" ht="17.399999999999999">
      <c r="A9" s="1850" t="s">
        <v>189</v>
      </c>
      <c r="B9" s="1850"/>
      <c r="C9" s="1850"/>
      <c r="D9" s="1850"/>
      <c r="E9" s="1850"/>
      <c r="F9" s="1850"/>
      <c r="G9" s="1850"/>
      <c r="H9" s="1850"/>
    </row>
    <row r="10" spans="1:14" ht="17.399999999999999">
      <c r="A10" s="1850" t="s">
        <v>190</v>
      </c>
      <c r="B10" s="1850"/>
      <c r="C10" s="1850"/>
      <c r="D10" s="1850"/>
      <c r="E10" s="1850"/>
      <c r="F10" s="1850"/>
      <c r="G10" s="1850"/>
      <c r="H10" s="1850"/>
    </row>
    <row r="11" spans="1:14">
      <c r="A11" s="1851"/>
      <c r="B11" s="1851"/>
      <c r="C11" s="1851"/>
      <c r="D11" s="1851"/>
      <c r="E11" s="1851"/>
      <c r="F11" s="1851"/>
      <c r="G11" s="1851"/>
      <c r="H11" s="1851"/>
    </row>
    <row r="12" spans="1:14" ht="13.8" thickBot="1"/>
    <row r="13" spans="1:14">
      <c r="A13" s="1852"/>
      <c r="B13" s="1853"/>
      <c r="C13" s="1856" t="s">
        <v>191</v>
      </c>
      <c r="D13" s="1857"/>
      <c r="E13" s="1857"/>
      <c r="F13" s="1857"/>
      <c r="G13" s="1858"/>
      <c r="H13" s="1859" t="s">
        <v>192</v>
      </c>
      <c r="I13" s="283" t="s">
        <v>503</v>
      </c>
    </row>
    <row r="14" spans="1:14">
      <c r="A14" s="1854"/>
      <c r="B14" s="1855"/>
      <c r="C14" s="288">
        <v>2017</v>
      </c>
      <c r="D14" s="288">
        <v>2018</v>
      </c>
      <c r="E14" s="288">
        <v>2019</v>
      </c>
      <c r="F14" s="288">
        <v>2020</v>
      </c>
      <c r="G14" s="288">
        <v>2021</v>
      </c>
      <c r="H14" s="1860"/>
      <c r="J14" s="288">
        <v>2010</v>
      </c>
      <c r="K14" s="288">
        <v>2011</v>
      </c>
      <c r="L14" s="288">
        <v>2012</v>
      </c>
      <c r="M14" s="288">
        <v>2013</v>
      </c>
      <c r="N14" s="288">
        <v>2014</v>
      </c>
    </row>
    <row r="15" spans="1:14">
      <c r="A15" s="289"/>
      <c r="B15" s="1861" t="s">
        <v>193</v>
      </c>
      <c r="C15" s="1862"/>
      <c r="D15" s="1862"/>
      <c r="E15" s="1862"/>
      <c r="F15" s="1862"/>
      <c r="G15" s="1862"/>
      <c r="H15" s="1863"/>
    </row>
    <row r="16" spans="1:14" ht="26.4">
      <c r="A16" s="290" t="s">
        <v>194</v>
      </c>
      <c r="B16" s="291" t="s">
        <v>195</v>
      </c>
      <c r="C16" s="292">
        <f>SUMIF('Purchased Power Model No CDM'!$A$6:$A$137,C14,'Purchased Power Model No CDM'!$C$6:$C$137)</f>
        <v>107118589</v>
      </c>
      <c r="D16" s="292">
        <f>SUMIF('Purchased Power Model No CDM'!$A$6:$A$137,D14,'Purchased Power Model No CDM'!$C$6:$C$137)</f>
        <v>110214244.34999999</v>
      </c>
      <c r="E16" s="292">
        <f>SUMIF('Purchased Power Model No CDM'!$A$6:$A$137,E14,'Purchased Power Model No CDM'!$C$6:$C$137)</f>
        <v>108677810.90000001</v>
      </c>
      <c r="F16" s="292">
        <f>SUMIF('Purchased Power Model No CDM'!$A$6:$A$137,F14,'Purchased Power Model No CDM'!$C$6:$C$137)</f>
        <v>108412539.53</v>
      </c>
      <c r="G16" s="292">
        <f>SUMIF('Purchased Power Model No CDM'!$A$6:$A$137,G14,'Purchased Power Model No CDM'!$C$6:$C$137)</f>
        <v>109194031.74000002</v>
      </c>
      <c r="H16" s="520">
        <f>IF(SUM(C16:G16)=0,0,AVERAGE(C16:G16))</f>
        <v>108723443.104</v>
      </c>
      <c r="I16" s="1088">
        <f>AVERAGE(E16:G16)</f>
        <v>108761460.72333334</v>
      </c>
      <c r="J16" s="292">
        <f>SUMIF('Purchased Power Model No CDM'!$A$6:$A$125,J14,'Purchased Power Model No CDM'!$C$6:$C$125)</f>
        <v>0</v>
      </c>
      <c r="K16" s="292">
        <f>SUMIF('Purchased Power Model No CDM'!$A$6:$A$125,K14,'Purchased Power Model No CDM'!$C$6:$C$125)</f>
        <v>117969322</v>
      </c>
      <c r="L16" s="292">
        <f>SUMIF('Purchased Power Model No CDM'!$A$6:$A$125,L14,'Purchased Power Model No CDM'!$C$6:$C$125)</f>
        <v>115215976</v>
      </c>
      <c r="M16" s="292">
        <f>SUMIF('Purchased Power Model No CDM'!$A$6:$A$125,M14,'Purchased Power Model No CDM'!$C$6:$C$125)</f>
        <v>116534650</v>
      </c>
      <c r="N16" s="292">
        <f>SUMIF('Purchased Power Model No CDM'!$A$6:$A$125,N14,'Purchased Power Model No CDM'!$C$6:$C$125)</f>
        <v>115878630</v>
      </c>
    </row>
    <row r="17" spans="1:14" ht="26.4">
      <c r="A17" s="290" t="s">
        <v>196</v>
      </c>
      <c r="B17" s="291" t="s">
        <v>197</v>
      </c>
      <c r="C17" s="519">
        <f>C16/1.037+C28</f>
        <v>103364424.27193829</v>
      </c>
      <c r="D17" s="519">
        <f>D16/1.037+D28</f>
        <v>106353162.11668274</v>
      </c>
      <c r="E17" s="519">
        <f>E16/1.037+E28</f>
        <v>104872739.75512055</v>
      </c>
      <c r="F17" s="519">
        <f>F16/1.037+F28</f>
        <v>104615616.7266731</v>
      </c>
      <c r="G17" s="519">
        <f>G16/1.037+G28</f>
        <v>105366945.76519772</v>
      </c>
      <c r="H17" s="520">
        <f>IF(SUM(C17:G17)=0,0,AVERAGE(C17:G17))</f>
        <v>104914577.7271225</v>
      </c>
      <c r="I17" s="1088">
        <f t="shared" ref="I17:I28" si="0">AVERAGE(E17:G17)</f>
        <v>104951767.41566379</v>
      </c>
      <c r="J17" s="519">
        <f>J16/1.037+J28</f>
        <v>0</v>
      </c>
      <c r="K17" s="519">
        <f>K16/1.037+K28</f>
        <v>113795106.79267117</v>
      </c>
      <c r="L17" s="519">
        <f>L16/1.037+L28</f>
        <v>111169601.75313404</v>
      </c>
      <c r="M17" s="519">
        <f>M16/1.037+M28</f>
        <v>112437156.66827388</v>
      </c>
      <c r="N17" s="519">
        <f>N16/1.037+N28</f>
        <v>111815204.36065574</v>
      </c>
    </row>
    <row r="18" spans="1:14" ht="39.6">
      <c r="A18" s="290" t="s">
        <v>177</v>
      </c>
      <c r="B18" s="291" t="s">
        <v>198</v>
      </c>
      <c r="C18" s="294"/>
      <c r="D18" s="294"/>
      <c r="E18" s="294"/>
      <c r="F18" s="294"/>
      <c r="G18" s="294"/>
      <c r="H18" s="295">
        <f>IF(SUM(C18:G18)=0,0,AVERAGE(C18:G18))</f>
        <v>0</v>
      </c>
      <c r="I18" s="1088"/>
      <c r="J18" s="294"/>
      <c r="K18" s="294"/>
      <c r="L18" s="294"/>
      <c r="M18" s="294"/>
      <c r="N18" s="294"/>
    </row>
    <row r="19" spans="1:14" ht="26.4">
      <c r="A19" s="290" t="s">
        <v>199</v>
      </c>
      <c r="B19" s="291" t="s">
        <v>200</v>
      </c>
      <c r="C19" s="293">
        <f t="shared" ref="C19:H19" si="1">C17-C18</f>
        <v>103364424.27193829</v>
      </c>
      <c r="D19" s="293">
        <f t="shared" si="1"/>
        <v>106353162.11668274</v>
      </c>
      <c r="E19" s="293">
        <f t="shared" si="1"/>
        <v>104872739.75512055</v>
      </c>
      <c r="F19" s="293">
        <f t="shared" si="1"/>
        <v>104615616.7266731</v>
      </c>
      <c r="G19" s="293">
        <f t="shared" si="1"/>
        <v>105366945.76519772</v>
      </c>
      <c r="H19" s="296">
        <f t="shared" si="1"/>
        <v>104914577.7271225</v>
      </c>
      <c r="I19" s="1088">
        <f t="shared" si="0"/>
        <v>104951767.41566379</v>
      </c>
      <c r="J19" s="293">
        <f t="shared" ref="J19:N19" si="2">J17-J18</f>
        <v>0</v>
      </c>
      <c r="K19" s="293">
        <f t="shared" si="2"/>
        <v>113795106.79267117</v>
      </c>
      <c r="L19" s="293">
        <f t="shared" si="2"/>
        <v>111169601.75313404</v>
      </c>
      <c r="M19" s="293">
        <f t="shared" si="2"/>
        <v>112437156.66827388</v>
      </c>
      <c r="N19" s="293">
        <f t="shared" si="2"/>
        <v>111815204.36065574</v>
      </c>
    </row>
    <row r="20" spans="1:14" ht="14.25" customHeight="1">
      <c r="A20" s="290" t="s">
        <v>201</v>
      </c>
      <c r="B20" s="291" t="s">
        <v>202</v>
      </c>
      <c r="C20" s="292">
        <f t="array" ref="C20:G20">TRANSPOSE('Rate Class Energy Model '!D9:D13)</f>
        <v>98838309.294999987</v>
      </c>
      <c r="D20" s="292">
        <v>101848630.358208</v>
      </c>
      <c r="E20" s="292">
        <v>100219092</v>
      </c>
      <c r="F20" s="292">
        <v>99512150</v>
      </c>
      <c r="G20" s="292">
        <v>100472426</v>
      </c>
      <c r="H20" s="296">
        <f>IF(SUM(C20:G20)=0,0,AVERAGE(C20:G20))</f>
        <v>100178121.5306416</v>
      </c>
      <c r="I20" s="1088">
        <f t="shared" si="0"/>
        <v>100067889.33333333</v>
      </c>
      <c r="J20" s="292">
        <v>107839547</v>
      </c>
      <c r="K20" s="292">
        <v>108810680</v>
      </c>
      <c r="L20" s="292">
        <v>106397501</v>
      </c>
      <c r="M20" s="292">
        <v>107193012</v>
      </c>
      <c r="N20" s="292">
        <v>107593001</v>
      </c>
    </row>
    <row r="21" spans="1:14" ht="39.6">
      <c r="A21" s="290" t="s">
        <v>178</v>
      </c>
      <c r="B21" s="291" t="s">
        <v>203</v>
      </c>
      <c r="C21" s="297"/>
      <c r="D21" s="294"/>
      <c r="E21" s="294"/>
      <c r="F21" s="294"/>
      <c r="G21" s="294"/>
      <c r="H21" s="295">
        <f>IF(SUM(C21:G21)=0,0,AVERAGE(C21:G21))</f>
        <v>0</v>
      </c>
      <c r="I21" s="1088"/>
      <c r="J21" s="297"/>
      <c r="K21" s="294"/>
      <c r="L21" s="294"/>
      <c r="M21" s="294"/>
      <c r="N21" s="294"/>
    </row>
    <row r="22" spans="1:14" ht="26.4">
      <c r="A22" s="290" t="s">
        <v>27</v>
      </c>
      <c r="B22" s="291" t="s">
        <v>204</v>
      </c>
      <c r="C22" s="293">
        <f t="shared" ref="C22:H22" si="3">C20-C21</f>
        <v>98838309.294999987</v>
      </c>
      <c r="D22" s="293">
        <f t="shared" si="3"/>
        <v>101848630.358208</v>
      </c>
      <c r="E22" s="293">
        <f t="shared" si="3"/>
        <v>100219092</v>
      </c>
      <c r="F22" s="293">
        <f t="shared" si="3"/>
        <v>99512150</v>
      </c>
      <c r="G22" s="293">
        <f t="shared" si="3"/>
        <v>100472426</v>
      </c>
      <c r="H22" s="296">
        <f t="shared" si="3"/>
        <v>100178121.5306416</v>
      </c>
      <c r="I22" s="1088">
        <f t="shared" si="0"/>
        <v>100067889.33333333</v>
      </c>
      <c r="J22" s="293">
        <f t="shared" ref="J22:N22" si="4">J20-J21</f>
        <v>107839547</v>
      </c>
      <c r="K22" s="293">
        <f t="shared" si="4"/>
        <v>108810680</v>
      </c>
      <c r="L22" s="293">
        <f t="shared" si="4"/>
        <v>106397501</v>
      </c>
      <c r="M22" s="293">
        <f t="shared" si="4"/>
        <v>107193012</v>
      </c>
      <c r="N22" s="293">
        <f t="shared" si="4"/>
        <v>107593001</v>
      </c>
    </row>
    <row r="23" spans="1:14" ht="26.4">
      <c r="A23" s="290" t="s">
        <v>205</v>
      </c>
      <c r="B23" s="291" t="s">
        <v>206</v>
      </c>
      <c r="C23" s="298">
        <f t="shared" ref="C23:I23" si="5">IF(C22=0,"",C19/C22)</f>
        <v>1.0457931242371754</v>
      </c>
      <c r="D23" s="298">
        <f t="shared" si="5"/>
        <v>1.0442277106980429</v>
      </c>
      <c r="E23" s="298">
        <f t="shared" si="5"/>
        <v>1.0464347427446314</v>
      </c>
      <c r="F23" s="298">
        <f t="shared" si="5"/>
        <v>1.0512848604584777</v>
      </c>
      <c r="G23" s="298">
        <f t="shared" si="5"/>
        <v>1.0487150550659314</v>
      </c>
      <c r="H23" s="299">
        <f t="shared" si="5"/>
        <v>1.0472803454897301</v>
      </c>
      <c r="I23" s="299">
        <f t="shared" si="5"/>
        <v>1.0488056469949307</v>
      </c>
      <c r="J23" s="298">
        <f t="shared" ref="J23:N23" si="6">IF(J22=0,"",J19/J22)</f>
        <v>0</v>
      </c>
      <c r="K23" s="298">
        <f t="shared" si="6"/>
        <v>1.0458082496375463</v>
      </c>
      <c r="L23" s="298">
        <f t="shared" si="6"/>
        <v>1.0448516244111226</v>
      </c>
      <c r="M23" s="298">
        <f t="shared" si="6"/>
        <v>1.0489224490517524</v>
      </c>
      <c r="N23" s="298">
        <f t="shared" si="6"/>
        <v>1.0392423607615122</v>
      </c>
    </row>
    <row r="24" spans="1:14" ht="13.5" customHeight="1">
      <c r="A24" s="300"/>
      <c r="B24" s="1864" t="s">
        <v>207</v>
      </c>
      <c r="C24" s="1865"/>
      <c r="D24" s="1865"/>
      <c r="E24" s="1865"/>
      <c r="F24" s="1865"/>
      <c r="G24" s="1865"/>
      <c r="H24" s="1866"/>
      <c r="I24" s="1088"/>
    </row>
    <row r="25" spans="1:14">
      <c r="A25" s="290" t="s">
        <v>208</v>
      </c>
      <c r="B25" s="291" t="s">
        <v>209</v>
      </c>
      <c r="C25" s="1063">
        <f>C16/C17</f>
        <v>1.0363196985278511</v>
      </c>
      <c r="D25" s="1063">
        <f t="shared" ref="D25:G25" si="7">D16/D17</f>
        <v>1.0363043482344338</v>
      </c>
      <c r="E25" s="1063">
        <f t="shared" si="7"/>
        <v>1.0362827475830645</v>
      </c>
      <c r="F25" s="1063">
        <f t="shared" si="7"/>
        <v>1.0362940345058334</v>
      </c>
      <c r="G25" s="1063">
        <f t="shared" si="7"/>
        <v>1.0363215043105707</v>
      </c>
      <c r="H25" s="1089">
        <f>IF(SUM(C25:G25)=0,0,AVERAGE(C25:G25))</f>
        <v>1.0363044666323507</v>
      </c>
      <c r="I25" s="1089">
        <f>IF(SUM(D25:H25)=0,0,AVERAGE(D25:H25))</f>
        <v>1.0363014202532506</v>
      </c>
      <c r="J25" s="1063" t="e">
        <f>J16/J17</f>
        <v>#DIV/0!</v>
      </c>
      <c r="K25" s="1063">
        <f t="shared" ref="K25:N25" si="8">K16/K17</f>
        <v>1.0366818514871121</v>
      </c>
      <c r="L25" s="1063">
        <f t="shared" si="8"/>
        <v>1.0363982076309983</v>
      </c>
      <c r="M25" s="1063">
        <f t="shared" si="8"/>
        <v>1.036442520009778</v>
      </c>
      <c r="N25" s="1063">
        <f t="shared" si="8"/>
        <v>1.0363405465524871</v>
      </c>
    </row>
    <row r="26" spans="1:14">
      <c r="A26" s="300"/>
      <c r="B26" s="1864" t="s">
        <v>210</v>
      </c>
      <c r="C26" s="1865"/>
      <c r="D26" s="1865"/>
      <c r="E26" s="1865"/>
      <c r="F26" s="1865"/>
      <c r="G26" s="1865"/>
      <c r="H26" s="1866"/>
      <c r="I26" s="1088"/>
    </row>
    <row r="27" spans="1:14" ht="13.8" thickBot="1">
      <c r="A27" s="301" t="s">
        <v>211</v>
      </c>
      <c r="B27" s="302" t="s">
        <v>212</v>
      </c>
      <c r="C27" s="303">
        <f t="shared" ref="C27:G27" si="9">IF(C23="","",C23*C25)</f>
        <v>1.0837760152319691</v>
      </c>
      <c r="D27" s="303">
        <f t="shared" si="9"/>
        <v>1.0821377171432702</v>
      </c>
      <c r="E27" s="303">
        <f t="shared" si="9"/>
        <v>1.084402270377784</v>
      </c>
      <c r="F27" s="303">
        <f t="shared" si="9"/>
        <v>1.0894402294594179</v>
      </c>
      <c r="G27" s="303">
        <f t="shared" si="9"/>
        <v>1.086805963459069</v>
      </c>
      <c r="H27" s="914">
        <f>IF(H23="","",H23*H25)</f>
        <v>1.0853012998472786</v>
      </c>
      <c r="I27" s="1727">
        <f>IF(I23="","",I23*I25)</f>
        <v>1.0868787815504761</v>
      </c>
      <c r="J27" s="303" t="e">
        <f t="shared" ref="J27:N27" si="10">IF(J23="","",J23*J25)</f>
        <v>#DIV/0!</v>
      </c>
      <c r="K27" s="303">
        <f t="shared" si="10"/>
        <v>1.0841704325347474</v>
      </c>
      <c r="L27" s="303">
        <f t="shared" si="10"/>
        <v>1.0828823507800245</v>
      </c>
      <c r="M27" s="303">
        <f t="shared" si="10"/>
        <v>1.0871478263900263</v>
      </c>
      <c r="N27" s="303">
        <f t="shared" si="10"/>
        <v>1.0770089961520826</v>
      </c>
    </row>
    <row r="28" spans="1:14">
      <c r="A28" s="912"/>
      <c r="B28" s="1454" t="s">
        <v>416</v>
      </c>
      <c r="C28" s="292">
        <f>SUMIF('Purchased Power Model No CDM'!$A$6:$A$137,C14,'Purchased Power Model No CDM'!$D$6:$D$137)</f>
        <v>67810</v>
      </c>
      <c r="D28" s="292">
        <f>SUMIF('Purchased Power Model No CDM'!$A$6:$A$137,D14,'Purchased Power Model No CDM'!$D$6:$D$137)</f>
        <v>71345</v>
      </c>
      <c r="E28" s="292">
        <f>SUMIF('Purchased Power Model No CDM'!$A$6:$A$137,E14,'Purchased Power Model No CDM'!$D$6:$D$137)</f>
        <v>72536.380000000019</v>
      </c>
      <c r="F28" s="292">
        <f>SUMIF('Purchased Power Model No CDM'!$A$6:$A$137,F14,'Purchased Power Model No CDM'!$D$6:$D$137)</f>
        <v>71219.88</v>
      </c>
      <c r="G28" s="292">
        <f>SUMIF('Purchased Power Model No CDM'!$A$6:$A$137,G14,'Purchased Power Model No CDM'!$D$6:$D$137)</f>
        <v>68940.23</v>
      </c>
      <c r="H28" s="1452">
        <f>AVERAGE(C28:G28)</f>
        <v>70370.297999999995</v>
      </c>
      <c r="I28" s="1088">
        <f t="shared" si="0"/>
        <v>70898.83</v>
      </c>
      <c r="J28" s="292">
        <f>SUMIF('Purchased Power Model No CDM'!$A$6:$A$125,J14,'Purchased Power Model No CDM'!$D$6:$D$125)</f>
        <v>0</v>
      </c>
      <c r="K28" s="292">
        <f>SUMIF('Purchased Power Model No CDM'!$A$6:$A$125,K14,'Purchased Power Model No CDM'!$D$6:$D$125)</f>
        <v>34912</v>
      </c>
      <c r="L28" s="292">
        <f>SUMIF('Purchased Power Model No CDM'!$A$6:$A$125,L14,'Purchased Power Model No CDM'!$D$6:$D$125)</f>
        <v>64514</v>
      </c>
      <c r="M28" s="292">
        <f>SUMIF('Purchased Power Model No CDM'!$A$6:$A$125,M14,'Purchased Power Model No CDM'!$D$6:$D$125)</f>
        <v>60445</v>
      </c>
      <c r="N28" s="292">
        <f>SUMIF('Purchased Power Model No CDM'!$A$6:$A$125,N14,'Purchased Power Model No CDM'!$D$6:$D$125)</f>
        <v>71106</v>
      </c>
    </row>
    <row r="29" spans="1:14">
      <c r="A29" s="912"/>
      <c r="B29" s="913"/>
      <c r="C29" s="1453">
        <v>1.0837760152319691</v>
      </c>
      <c r="D29" s="1453">
        <v>1.0821377171432702</v>
      </c>
      <c r="E29" s="1453">
        <v>1.084402270377784</v>
      </c>
      <c r="F29" s="1453">
        <v>1.0894402294594179</v>
      </c>
      <c r="G29" s="1453">
        <v>1.086805963459069</v>
      </c>
      <c r="H29" s="1453">
        <v>1.0853012998472786</v>
      </c>
    </row>
    <row r="31" spans="1:14">
      <c r="A31" s="304" t="s">
        <v>213</v>
      </c>
      <c r="E31" s="308"/>
      <c r="F31" s="308"/>
      <c r="G31" s="308"/>
    </row>
    <row r="32" spans="1:14" ht="7.5" customHeight="1"/>
    <row r="34" spans="1:8">
      <c r="A34" s="305" t="s">
        <v>194</v>
      </c>
      <c r="B34" s="1849" t="s">
        <v>214</v>
      </c>
      <c r="C34" s="1849"/>
      <c r="D34" s="1849"/>
      <c r="E34" s="1849"/>
      <c r="F34" s="1849"/>
      <c r="G34" s="1849"/>
      <c r="H34" s="1849"/>
    </row>
    <row r="35" spans="1:8">
      <c r="A35" s="306"/>
      <c r="B35" s="1849"/>
      <c r="C35" s="1849"/>
      <c r="D35" s="1849"/>
      <c r="E35" s="1849"/>
      <c r="F35" s="1849"/>
      <c r="G35" s="1849"/>
      <c r="H35" s="1849"/>
    </row>
    <row r="36" spans="1:8">
      <c r="A36" s="306"/>
      <c r="B36" s="1849"/>
      <c r="C36" s="1849"/>
      <c r="D36" s="1849"/>
      <c r="E36" s="1849"/>
      <c r="F36" s="1849"/>
      <c r="G36" s="1849"/>
      <c r="H36" s="1849"/>
    </row>
    <row r="37" spans="1:8" ht="7.5" customHeight="1">
      <c r="A37" s="306"/>
      <c r="B37" s="307"/>
      <c r="C37" s="307"/>
      <c r="D37" s="307"/>
      <c r="E37" s="307"/>
      <c r="F37" s="307"/>
      <c r="G37" s="307"/>
      <c r="H37" s="307"/>
    </row>
    <row r="38" spans="1:8">
      <c r="A38" s="306"/>
      <c r="B38" s="1849" t="s">
        <v>215</v>
      </c>
      <c r="C38" s="1849"/>
      <c r="D38" s="1849"/>
      <c r="E38" s="1849"/>
      <c r="F38" s="1849"/>
      <c r="G38" s="1849"/>
      <c r="H38" s="1849"/>
    </row>
    <row r="39" spans="1:8">
      <c r="A39" s="306"/>
      <c r="B39" s="1849"/>
      <c r="C39" s="1849"/>
      <c r="D39" s="1849"/>
      <c r="E39" s="1849"/>
      <c r="F39" s="1849"/>
      <c r="G39" s="1849"/>
      <c r="H39" s="1849"/>
    </row>
    <row r="40" spans="1:8">
      <c r="A40" s="306"/>
      <c r="B40" s="1849"/>
      <c r="C40" s="1849"/>
      <c r="D40" s="1849"/>
      <c r="E40" s="1849"/>
      <c r="F40" s="1849"/>
      <c r="G40" s="1849"/>
      <c r="H40" s="1849"/>
    </row>
    <row r="41" spans="1:8">
      <c r="A41" s="306"/>
      <c r="B41" s="1849"/>
      <c r="C41" s="1849"/>
      <c r="D41" s="1849"/>
      <c r="E41" s="1849"/>
      <c r="F41" s="1849"/>
      <c r="G41" s="1849"/>
      <c r="H41" s="1849"/>
    </row>
    <row r="42" spans="1:8" ht="7.5" customHeight="1">
      <c r="A42" s="306"/>
      <c r="B42" s="307"/>
      <c r="C42" s="307"/>
      <c r="D42" s="307"/>
      <c r="E42" s="307"/>
      <c r="F42" s="307"/>
      <c r="G42" s="307"/>
      <c r="H42" s="307"/>
    </row>
    <row r="43" spans="1:8">
      <c r="A43" s="306"/>
      <c r="B43" s="307" t="s">
        <v>216</v>
      </c>
      <c r="C43" s="307"/>
      <c r="D43" s="307"/>
      <c r="E43" s="307"/>
      <c r="F43" s="307"/>
      <c r="G43" s="307"/>
      <c r="H43" s="307"/>
    </row>
    <row r="44" spans="1:8" ht="7.5" customHeight="1">
      <c r="A44" s="306"/>
      <c r="B44" s="307"/>
      <c r="C44" s="307"/>
      <c r="D44" s="307"/>
      <c r="E44" s="307"/>
      <c r="F44" s="307"/>
      <c r="G44" s="307"/>
      <c r="H44" s="307"/>
    </row>
    <row r="45" spans="1:8">
      <c r="A45" s="305" t="s">
        <v>196</v>
      </c>
      <c r="B45" s="1849" t="s">
        <v>217</v>
      </c>
      <c r="C45" s="1849"/>
      <c r="D45" s="1849"/>
      <c r="E45" s="1849"/>
      <c r="F45" s="1849"/>
      <c r="G45" s="1849"/>
      <c r="H45" s="1849"/>
    </row>
    <row r="46" spans="1:8">
      <c r="A46" s="306"/>
      <c r="B46" s="1849"/>
      <c r="C46" s="1849"/>
      <c r="D46" s="1849"/>
      <c r="E46" s="1849"/>
      <c r="F46" s="1849"/>
      <c r="G46" s="1849"/>
      <c r="H46" s="1849"/>
    </row>
    <row r="47" spans="1:8">
      <c r="A47" s="306"/>
      <c r="B47" s="1849"/>
      <c r="C47" s="1849"/>
      <c r="D47" s="1849"/>
      <c r="E47" s="1849"/>
      <c r="F47" s="1849"/>
      <c r="G47" s="1849"/>
      <c r="H47" s="1849"/>
    </row>
    <row r="48" spans="1:8" ht="7.5" customHeight="1">
      <c r="A48" s="306"/>
      <c r="B48" s="307"/>
      <c r="C48" s="307"/>
      <c r="D48" s="307"/>
      <c r="E48" s="307"/>
      <c r="F48" s="307"/>
      <c r="G48" s="307"/>
      <c r="H48" s="307"/>
    </row>
    <row r="49" spans="1:8" ht="12.75" customHeight="1">
      <c r="A49" s="306"/>
      <c r="B49" s="1849" t="s">
        <v>218</v>
      </c>
      <c r="C49" s="1849"/>
      <c r="D49" s="1849"/>
      <c r="E49" s="1849"/>
      <c r="F49" s="1849"/>
      <c r="G49" s="1849"/>
      <c r="H49" s="1849"/>
    </row>
    <row r="50" spans="1:8">
      <c r="A50" s="306"/>
      <c r="B50" s="1849"/>
      <c r="C50" s="1849"/>
      <c r="D50" s="1849"/>
      <c r="E50" s="1849"/>
      <c r="F50" s="1849"/>
      <c r="G50" s="1849"/>
      <c r="H50" s="1849"/>
    </row>
    <row r="51" spans="1:8">
      <c r="A51" s="306"/>
      <c r="B51" s="1849"/>
      <c r="C51" s="1849"/>
      <c r="D51" s="1849"/>
      <c r="E51" s="1849"/>
      <c r="F51" s="1849"/>
      <c r="G51" s="1849"/>
      <c r="H51" s="1849"/>
    </row>
    <row r="52" spans="1:8">
      <c r="A52" s="306"/>
      <c r="B52" s="1849"/>
      <c r="C52" s="1849"/>
      <c r="D52" s="1849"/>
      <c r="E52" s="1849"/>
      <c r="F52" s="1849"/>
      <c r="G52" s="1849"/>
      <c r="H52" s="1849"/>
    </row>
    <row r="53" spans="1:8" ht="7.5" customHeight="1">
      <c r="A53" s="306"/>
      <c r="B53" s="307"/>
      <c r="C53" s="307"/>
      <c r="D53" s="307"/>
      <c r="E53" s="307"/>
      <c r="F53" s="307"/>
      <c r="G53" s="307"/>
      <c r="H53" s="307"/>
    </row>
    <row r="54" spans="1:8">
      <c r="A54" s="306"/>
      <c r="B54" s="1867" t="s">
        <v>216</v>
      </c>
      <c r="C54" s="1867"/>
      <c r="D54" s="1867"/>
      <c r="E54" s="1867"/>
      <c r="F54" s="1867"/>
      <c r="G54" s="1867"/>
      <c r="H54" s="1867"/>
    </row>
    <row r="55" spans="1:8" ht="7.5" customHeight="1">
      <c r="A55" s="306"/>
      <c r="B55" s="307"/>
      <c r="C55" s="307"/>
      <c r="D55" s="307"/>
      <c r="E55" s="307"/>
      <c r="F55" s="307"/>
      <c r="G55" s="307"/>
      <c r="H55" s="307"/>
    </row>
    <row r="56" spans="1:8">
      <c r="A56" s="306"/>
      <c r="B56" s="1869" t="s">
        <v>219</v>
      </c>
      <c r="C56" s="1869"/>
      <c r="D56" s="1869"/>
      <c r="E56" s="1869"/>
      <c r="F56" s="1869"/>
      <c r="G56" s="1869"/>
      <c r="H56" s="1869"/>
    </row>
    <row r="57" spans="1:8">
      <c r="A57" s="306"/>
      <c r="B57" s="1869"/>
      <c r="C57" s="1869"/>
      <c r="D57" s="1869"/>
      <c r="E57" s="1869"/>
      <c r="F57" s="1869"/>
      <c r="G57" s="1869"/>
      <c r="H57" s="1869"/>
    </row>
    <row r="58" spans="1:8" ht="7.5" customHeight="1">
      <c r="A58" s="306"/>
      <c r="B58" s="307"/>
      <c r="C58" s="307"/>
      <c r="D58" s="307"/>
      <c r="E58" s="307"/>
      <c r="F58" s="307"/>
      <c r="G58" s="307"/>
      <c r="H58" s="307"/>
    </row>
    <row r="59" spans="1:8">
      <c r="A59" s="305" t="s">
        <v>177</v>
      </c>
      <c r="B59" s="1849" t="s">
        <v>220</v>
      </c>
      <c r="C59" s="1849"/>
      <c r="D59" s="1849"/>
      <c r="E59" s="1849"/>
      <c r="F59" s="1849"/>
      <c r="G59" s="1849"/>
      <c r="H59" s="1849"/>
    </row>
    <row r="60" spans="1:8">
      <c r="A60" s="306"/>
      <c r="B60" s="1849"/>
      <c r="C60" s="1849"/>
      <c r="D60" s="1849"/>
      <c r="E60" s="1849"/>
      <c r="F60" s="1849"/>
      <c r="G60" s="1849"/>
      <c r="H60" s="1849"/>
    </row>
    <row r="61" spans="1:8" ht="7.5" customHeight="1">
      <c r="A61" s="306"/>
      <c r="B61" s="307"/>
      <c r="C61" s="307"/>
      <c r="D61" s="307"/>
      <c r="E61" s="307"/>
      <c r="F61" s="307"/>
      <c r="G61" s="307"/>
      <c r="H61" s="307"/>
    </row>
    <row r="62" spans="1:8">
      <c r="A62" s="305" t="s">
        <v>201</v>
      </c>
      <c r="B62" s="1849" t="s">
        <v>221</v>
      </c>
      <c r="C62" s="1849"/>
      <c r="D62" s="1849"/>
      <c r="E62" s="1849"/>
      <c r="F62" s="1849"/>
      <c r="G62" s="1849"/>
      <c r="H62" s="1849"/>
    </row>
    <row r="63" spans="1:8">
      <c r="A63" s="306"/>
      <c r="B63" s="1849"/>
      <c r="C63" s="1849"/>
      <c r="D63" s="1849"/>
      <c r="E63" s="1849"/>
      <c r="F63" s="1849"/>
      <c r="G63" s="1849"/>
      <c r="H63" s="1849"/>
    </row>
    <row r="64" spans="1:8">
      <c r="A64" s="306"/>
      <c r="B64" s="307"/>
      <c r="C64" s="307"/>
      <c r="D64" s="307"/>
      <c r="E64" s="307"/>
      <c r="F64" s="307"/>
      <c r="G64" s="307"/>
      <c r="H64" s="307"/>
    </row>
    <row r="65" spans="1:8">
      <c r="A65" s="305" t="s">
        <v>222</v>
      </c>
      <c r="B65" s="1867" t="s">
        <v>223</v>
      </c>
      <c r="C65" s="1867"/>
      <c r="D65" s="1867"/>
      <c r="E65" s="1867"/>
      <c r="F65" s="1867"/>
      <c r="G65" s="1867"/>
      <c r="H65" s="1867"/>
    </row>
    <row r="66" spans="1:8">
      <c r="A66" s="306"/>
      <c r="B66" s="307"/>
      <c r="C66" s="307"/>
      <c r="D66" s="307"/>
      <c r="E66" s="307"/>
      <c r="F66" s="307"/>
      <c r="G66" s="307"/>
      <c r="H66" s="307"/>
    </row>
    <row r="67" spans="1:8">
      <c r="A67" s="305" t="s">
        <v>208</v>
      </c>
      <c r="B67" s="1867" t="s">
        <v>224</v>
      </c>
      <c r="C67" s="1867"/>
      <c r="D67" s="1867"/>
      <c r="E67" s="1867"/>
      <c r="F67" s="1867"/>
      <c r="G67" s="1867"/>
      <c r="H67" s="1867"/>
    </row>
    <row r="68" spans="1:8">
      <c r="A68" s="307"/>
      <c r="B68" s="307"/>
      <c r="C68" s="307"/>
      <c r="D68" s="307"/>
      <c r="E68" s="307"/>
      <c r="F68" s="307"/>
      <c r="G68" s="307"/>
      <c r="H68" s="307"/>
    </row>
    <row r="69" spans="1:8">
      <c r="A69" s="307"/>
      <c r="B69" s="1849" t="s">
        <v>225</v>
      </c>
      <c r="C69" s="1849"/>
      <c r="D69" s="1849"/>
      <c r="E69" s="1849"/>
      <c r="F69" s="1849"/>
      <c r="G69" s="1849"/>
      <c r="H69" s="307"/>
    </row>
    <row r="70" spans="1:8">
      <c r="A70" s="307"/>
      <c r="B70" s="1849"/>
      <c r="C70" s="1849"/>
      <c r="D70" s="1849"/>
      <c r="E70" s="1849"/>
      <c r="F70" s="1849"/>
      <c r="G70" s="1849"/>
      <c r="H70" s="307"/>
    </row>
    <row r="71" spans="1:8">
      <c r="A71" s="307"/>
      <c r="B71" s="1849"/>
      <c r="C71" s="1849"/>
      <c r="D71" s="1849"/>
      <c r="E71" s="1849"/>
      <c r="F71" s="1849"/>
      <c r="G71" s="1849"/>
      <c r="H71" s="307"/>
    </row>
    <row r="72" spans="1:8">
      <c r="A72" s="307"/>
      <c r="B72" s="307"/>
      <c r="C72" s="307"/>
      <c r="D72" s="307"/>
      <c r="E72" s="307"/>
      <c r="F72" s="307"/>
      <c r="G72" s="307"/>
      <c r="H72" s="307"/>
    </row>
    <row r="73" spans="1:8">
      <c r="B73" s="1867" t="s">
        <v>226</v>
      </c>
      <c r="C73" s="1868"/>
      <c r="D73" s="1868"/>
      <c r="E73" s="1868"/>
      <c r="F73" s="1868"/>
      <c r="G73" s="1868"/>
      <c r="H73" s="1868"/>
    </row>
    <row r="74" spans="1:8">
      <c r="B74" s="283" t="s">
        <v>227</v>
      </c>
    </row>
  </sheetData>
  <mergeCells count="21">
    <mergeCell ref="B67:H67"/>
    <mergeCell ref="B69:G71"/>
    <mergeCell ref="B73:H73"/>
    <mergeCell ref="B49:H52"/>
    <mergeCell ref="B54:H54"/>
    <mergeCell ref="B56:H57"/>
    <mergeCell ref="B59:H60"/>
    <mergeCell ref="B62:H63"/>
    <mergeCell ref="B65:H65"/>
    <mergeCell ref="B45:H47"/>
    <mergeCell ref="A9:H9"/>
    <mergeCell ref="A10:H10"/>
    <mergeCell ref="A11:H11"/>
    <mergeCell ref="A13:B14"/>
    <mergeCell ref="C13:G13"/>
    <mergeCell ref="H13:H14"/>
    <mergeCell ref="B15:H15"/>
    <mergeCell ref="B24:H24"/>
    <mergeCell ref="B26:H26"/>
    <mergeCell ref="B34:H36"/>
    <mergeCell ref="B38:H41"/>
  </mergeCells>
  <dataValidations count="1">
    <dataValidation allowBlank="1" showInputMessage="1" showErrorMessage="1" promptTitle="Date Format" prompt="E.g:  &quot;August 1, 2011&quot;" sqref="H7" xr:uid="{00000000-0002-0000-0C00-000000000000}"/>
  </dataValidations>
  <pageMargins left="0.75" right="0.75" top="1" bottom="1" header="0.5" footer="0.5"/>
  <pageSetup scale="64"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39997558519241921"/>
    <pageSetUpPr fitToPage="1"/>
  </sheetPr>
  <dimension ref="B1:AE156"/>
  <sheetViews>
    <sheetView topLeftCell="A10" zoomScaleNormal="100" workbookViewId="0">
      <selection activeCell="E4" sqref="E4"/>
    </sheetView>
  </sheetViews>
  <sheetFormatPr defaultRowHeight="13.2"/>
  <cols>
    <col min="1" max="1" width="1.33203125" customWidth="1"/>
    <col min="2" max="2" width="32" customWidth="1"/>
    <col min="3" max="3" width="12.33203125" customWidth="1"/>
    <col min="4" max="4" width="13.6640625" customWidth="1"/>
    <col min="5" max="5" width="11.44140625" customWidth="1"/>
    <col min="6" max="6" width="14" customWidth="1"/>
    <col min="7" max="7" width="12.88671875" customWidth="1"/>
    <col min="8" max="8" width="13.6640625" customWidth="1"/>
    <col min="9" max="9" width="10.33203125" customWidth="1"/>
    <col min="10" max="11" width="11.6640625" customWidth="1"/>
    <col min="12" max="13" width="10.33203125" customWidth="1"/>
    <col min="14" max="14" width="10.6640625" customWidth="1"/>
    <col min="15" max="15" width="12.88671875" customWidth="1"/>
    <col min="16" max="16" width="12.44140625" customWidth="1"/>
    <col min="17" max="17" width="19.5546875" customWidth="1"/>
    <col min="18" max="18" width="11.88671875" customWidth="1"/>
    <col min="19" max="19" width="9.5546875" customWidth="1"/>
    <col min="20" max="20" width="21.44140625" customWidth="1"/>
    <col min="21" max="21" width="7.88671875" customWidth="1"/>
    <col min="22" max="22" width="12.6640625" customWidth="1"/>
    <col min="23" max="23" width="12.33203125" customWidth="1"/>
    <col min="24" max="24" width="13" customWidth="1"/>
    <col min="25" max="25" width="10.88671875" customWidth="1"/>
    <col min="26" max="26" width="12.33203125" customWidth="1"/>
  </cols>
  <sheetData>
    <row r="1" spans="2:31">
      <c r="B1" s="1873" t="s">
        <v>602</v>
      </c>
      <c r="C1" s="1873"/>
      <c r="D1" s="1873"/>
      <c r="E1" s="1873"/>
      <c r="I1" s="378"/>
      <c r="J1" s="13"/>
      <c r="K1" s="13"/>
      <c r="L1" s="13"/>
      <c r="M1" s="13"/>
      <c r="N1" s="13"/>
    </row>
    <row r="2" spans="2:31" ht="13.8" thickBot="1">
      <c r="B2" s="1062"/>
      <c r="C2" s="1062"/>
      <c r="D2" s="1062"/>
      <c r="E2" s="1062"/>
      <c r="I2" s="378"/>
      <c r="J2" s="13"/>
      <c r="K2" s="13"/>
      <c r="L2" s="13"/>
      <c r="M2" s="13"/>
      <c r="N2" s="13"/>
    </row>
    <row r="3" spans="2:31" s="1041" customFormat="1" ht="39.6" customHeight="1" thickTop="1">
      <c r="B3" s="1426" t="s">
        <v>603</v>
      </c>
      <c r="C3" s="1427" t="s">
        <v>380</v>
      </c>
      <c r="D3" s="1420" t="s">
        <v>618</v>
      </c>
      <c r="E3" s="1420" t="s">
        <v>510</v>
      </c>
      <c r="F3" s="1428" t="s">
        <v>511</v>
      </c>
      <c r="G3" s="1429" t="s">
        <v>512</v>
      </c>
      <c r="H3" s="1422" t="s">
        <v>521</v>
      </c>
      <c r="I3" s="1429" t="s">
        <v>513</v>
      </c>
      <c r="J3" s="1420" t="s">
        <v>518</v>
      </c>
      <c r="K3" s="1420" t="s">
        <v>438</v>
      </c>
      <c r="L3" s="1430"/>
      <c r="M3" s="1429" t="s">
        <v>619</v>
      </c>
      <c r="N3" s="1420" t="s">
        <v>515</v>
      </c>
      <c r="O3" s="1428" t="s">
        <v>516</v>
      </c>
      <c r="P3" s="1429" t="s">
        <v>517</v>
      </c>
      <c r="Q3" s="1428" t="s">
        <v>620</v>
      </c>
      <c r="R3" s="1429" t="s">
        <v>520</v>
      </c>
      <c r="S3" s="1427" t="s">
        <v>621</v>
      </c>
      <c r="T3" s="1420" t="s">
        <v>622</v>
      </c>
      <c r="U3" s="1428"/>
      <c r="V3" s="1421" t="s">
        <v>624</v>
      </c>
      <c r="W3" s="1421" t="s">
        <v>514</v>
      </c>
      <c r="X3" s="1420" t="s">
        <v>625</v>
      </c>
      <c r="Y3" s="1422" t="s">
        <v>519</v>
      </c>
      <c r="Z3" s="1421" t="s">
        <v>577</v>
      </c>
      <c r="AA3" s="1421" t="s">
        <v>626</v>
      </c>
      <c r="AB3" s="1421" t="s">
        <v>627</v>
      </c>
      <c r="AC3" s="1421" t="s">
        <v>628</v>
      </c>
    </row>
    <row r="4" spans="2:31">
      <c r="B4" s="779" t="s">
        <v>1</v>
      </c>
      <c r="C4" s="631">
        <f>'Rate Class Customer Model'!B13</f>
        <v>5107</v>
      </c>
      <c r="D4" s="631">
        <f>'Rate Class Energy Model '!E12</f>
        <v>43593897</v>
      </c>
      <c r="E4" s="1357">
        <v>43012498</v>
      </c>
      <c r="F4" s="1380">
        <v>581399</v>
      </c>
      <c r="G4" s="1378"/>
      <c r="H4" s="1382">
        <f t="shared" ref="H4:H9" si="0">F4-G4</f>
        <v>581399</v>
      </c>
      <c r="I4" s="1386">
        <f>E4/D4</f>
        <v>0.98666329371746697</v>
      </c>
      <c r="J4" s="1129"/>
      <c r="K4" s="1128">
        <f>H4/D4</f>
        <v>1.3336706282533081E-2</v>
      </c>
      <c r="L4" s="1384">
        <f>SUM(I4:K4)</f>
        <v>1</v>
      </c>
      <c r="M4" s="1372"/>
      <c r="N4" s="1129"/>
      <c r="O4" s="1377"/>
      <c r="P4" s="1378"/>
      <c r="Q4" s="1400"/>
      <c r="R4" s="1378"/>
      <c r="S4" s="1129"/>
      <c r="T4" s="1378"/>
      <c r="U4" s="1400"/>
      <c r="V4" s="1378"/>
      <c r="W4" s="1401"/>
      <c r="X4" s="1129"/>
      <c r="Y4" s="1377"/>
      <c r="Z4" s="1378"/>
      <c r="AA4" s="1401"/>
      <c r="AB4" s="1129"/>
      <c r="AC4" s="1129"/>
    </row>
    <row r="5" spans="2:31">
      <c r="B5" s="779" t="s">
        <v>110</v>
      </c>
      <c r="C5" s="631">
        <f>'Rate Class Customer Model'!C13</f>
        <v>731</v>
      </c>
      <c r="D5" s="631">
        <f>'Rate Class Energy Model '!F12</f>
        <v>18533558</v>
      </c>
      <c r="E5" s="1357">
        <v>15412627</v>
      </c>
      <c r="F5" s="1380">
        <v>3120931</v>
      </c>
      <c r="G5" s="1378"/>
      <c r="H5" s="1382">
        <f t="shared" si="0"/>
        <v>3120931</v>
      </c>
      <c r="I5" s="1386">
        <f t="shared" ref="I5:I9" si="1">E5/D5</f>
        <v>0.83160648376312851</v>
      </c>
      <c r="J5" s="1129"/>
      <c r="K5" s="1128">
        <f t="shared" ref="K5:K9" si="2">H5/D5</f>
        <v>0.16839351623687152</v>
      </c>
      <c r="L5" s="1384">
        <f t="shared" ref="L5:L9" si="3">SUM(I5:K5)</f>
        <v>1</v>
      </c>
      <c r="M5" s="1372"/>
      <c r="N5" s="1129"/>
      <c r="O5" s="1377"/>
      <c r="P5" s="1378"/>
      <c r="Q5" s="1400"/>
      <c r="R5" s="1378"/>
      <c r="S5" s="1129"/>
      <c r="T5" s="1378"/>
      <c r="U5" s="1400"/>
      <c r="V5" s="1378"/>
      <c r="W5" s="1401"/>
      <c r="X5" s="1129"/>
      <c r="Y5" s="1377"/>
      <c r="Z5" s="1378"/>
      <c r="AA5" s="1401"/>
      <c r="AB5" s="1129"/>
      <c r="AC5" s="1129"/>
    </row>
    <row r="6" spans="2:31">
      <c r="B6" s="779" t="s">
        <v>249</v>
      </c>
      <c r="C6" s="631">
        <f>'Rate Class Customer Model'!D13</f>
        <v>61</v>
      </c>
      <c r="D6" s="631">
        <f>'Rate Class Energy Model '!G12</f>
        <v>36107964</v>
      </c>
      <c r="E6" s="1357">
        <v>2672665</v>
      </c>
      <c r="F6" s="1380">
        <v>33435299</v>
      </c>
      <c r="G6" s="1379">
        <v>9193478</v>
      </c>
      <c r="H6" s="1382">
        <f t="shared" si="0"/>
        <v>24241821</v>
      </c>
      <c r="I6" s="1386">
        <f t="shared" si="1"/>
        <v>7.4018712326178238E-2</v>
      </c>
      <c r="J6" s="1134">
        <f>G6/D6</f>
        <v>0.25461081106650046</v>
      </c>
      <c r="K6" s="1128">
        <f t="shared" si="2"/>
        <v>0.6713704766073213</v>
      </c>
      <c r="L6" s="1384">
        <f t="shared" si="3"/>
        <v>1</v>
      </c>
      <c r="M6" s="1373">
        <f>'Rate Class Load Model'!B12</f>
        <v>109147</v>
      </c>
      <c r="N6" s="1357">
        <v>6971.34</v>
      </c>
      <c r="O6" s="1380">
        <v>102175.66</v>
      </c>
      <c r="P6" s="1379">
        <v>29177.199999999997</v>
      </c>
      <c r="Q6" s="1401">
        <f>O6-P6</f>
        <v>72998.460000000006</v>
      </c>
      <c r="R6" s="1399">
        <f>N6/M6</f>
        <v>6.3871109604478365E-2</v>
      </c>
      <c r="S6" s="1134">
        <f>P6/M6</f>
        <v>0.2673202195204632</v>
      </c>
      <c r="T6" s="1135">
        <f>Q6/M6</f>
        <v>0.66880867087505846</v>
      </c>
      <c r="U6" s="1417">
        <f>SUM(R6:T6)</f>
        <v>1</v>
      </c>
      <c r="V6" s="1416">
        <v>19199956</v>
      </c>
      <c r="W6" s="1401">
        <f>D6-V6</f>
        <v>16908008</v>
      </c>
      <c r="X6" s="1131">
        <f>V6/D6</f>
        <v>0.53173743055687106</v>
      </c>
      <c r="Y6" s="1423">
        <f>W6/D6</f>
        <v>0.46826256944312894</v>
      </c>
      <c r="Z6" s="1416">
        <v>58911.599999999991</v>
      </c>
      <c r="AA6" s="1401">
        <f>M6-Z6</f>
        <v>50235.400000000009</v>
      </c>
      <c r="AB6" s="1131">
        <f>Z6/M6</f>
        <v>0.53974548086525509</v>
      </c>
      <c r="AC6" s="1131">
        <f>AA6/M6</f>
        <v>0.46025451913474497</v>
      </c>
    </row>
    <row r="7" spans="2:31">
      <c r="B7" s="779" t="s">
        <v>179</v>
      </c>
      <c r="C7" s="631">
        <f>'Rate Class Customer Model'!E13</f>
        <v>1712</v>
      </c>
      <c r="D7" s="631">
        <f>'Rate Class Energy Model '!H12</f>
        <v>644755</v>
      </c>
      <c r="E7" s="1357">
        <v>81239</v>
      </c>
      <c r="F7" s="1380">
        <v>563516</v>
      </c>
      <c r="G7" s="1378"/>
      <c r="H7" s="1382">
        <f t="shared" si="0"/>
        <v>563516</v>
      </c>
      <c r="I7" s="1386">
        <f t="shared" si="1"/>
        <v>0.12599979837302541</v>
      </c>
      <c r="J7" s="1129"/>
      <c r="K7" s="1128">
        <f t="shared" si="2"/>
        <v>0.87400020162697456</v>
      </c>
      <c r="L7" s="1384">
        <f t="shared" si="3"/>
        <v>1</v>
      </c>
      <c r="M7" s="1373">
        <f>'Rate Class Load Model'!C12</f>
        <v>1743.9</v>
      </c>
      <c r="N7" s="1357">
        <v>219.68</v>
      </c>
      <c r="O7" s="1380">
        <v>1524.2199999999998</v>
      </c>
      <c r="P7" s="1378"/>
      <c r="Q7" s="1401">
        <f t="shared" ref="Q7:Q8" si="4">O7-P7</f>
        <v>1524.2199999999998</v>
      </c>
      <c r="R7" s="1399">
        <f t="shared" ref="R7:R8" si="5">N7/M7</f>
        <v>0.12597052583290327</v>
      </c>
      <c r="S7" s="1134"/>
      <c r="T7" s="1135">
        <f t="shared" ref="T7:T8" si="6">Q7/M7</f>
        <v>0.87402947416709653</v>
      </c>
      <c r="U7" s="1417">
        <f t="shared" ref="U7:U8" si="7">SUM(R7:T7)</f>
        <v>0.99999999999999978</v>
      </c>
      <c r="V7" s="1378"/>
      <c r="W7" s="1401"/>
      <c r="X7" s="1129"/>
      <c r="Y7" s="1377"/>
      <c r="Z7" s="1378"/>
      <c r="AA7" s="1401"/>
      <c r="AB7" s="1129"/>
      <c r="AC7" s="1129"/>
    </row>
    <row r="8" spans="2:31">
      <c r="B8" s="779" t="s">
        <v>159</v>
      </c>
      <c r="C8" s="631">
        <f>'Rate Class Customer Model'!F13</f>
        <v>73</v>
      </c>
      <c r="D8" s="631">
        <f>'Rate Class Energy Model '!I12</f>
        <v>96660</v>
      </c>
      <c r="E8" s="1357">
        <v>92105</v>
      </c>
      <c r="F8" s="1380">
        <v>4555</v>
      </c>
      <c r="G8" s="1378"/>
      <c r="H8" s="1382">
        <f t="shared" si="0"/>
        <v>4555</v>
      </c>
      <c r="I8" s="1386">
        <f t="shared" si="1"/>
        <v>0.95287606041795991</v>
      </c>
      <c r="J8" s="1129"/>
      <c r="K8" s="1128">
        <f t="shared" si="2"/>
        <v>4.7123939582040142E-2</v>
      </c>
      <c r="L8" s="1384">
        <f t="shared" si="3"/>
        <v>1</v>
      </c>
      <c r="M8" s="1373">
        <f>'Rate Class Load Model'!D12</f>
        <v>268.5</v>
      </c>
      <c r="N8" s="1357">
        <v>256.44</v>
      </c>
      <c r="O8" s="1380">
        <v>12.06</v>
      </c>
      <c r="P8" s="1378"/>
      <c r="Q8" s="1401">
        <f t="shared" si="4"/>
        <v>12.06</v>
      </c>
      <c r="R8" s="1399">
        <f t="shared" si="5"/>
        <v>0.95508379888268158</v>
      </c>
      <c r="S8" s="1134"/>
      <c r="T8" s="1135">
        <f t="shared" si="6"/>
        <v>4.4916201117318436E-2</v>
      </c>
      <c r="U8" s="1417">
        <f t="shared" si="7"/>
        <v>1</v>
      </c>
      <c r="V8" s="1378"/>
      <c r="W8" s="1401"/>
      <c r="X8" s="1129"/>
      <c r="Y8" s="1377"/>
      <c r="Z8" s="1378"/>
      <c r="AA8" s="1401"/>
      <c r="AB8" s="1129"/>
      <c r="AC8" s="1129"/>
    </row>
    <row r="9" spans="2:31">
      <c r="B9" s="779" t="s">
        <v>2</v>
      </c>
      <c r="C9" s="631">
        <f>'Rate Class Customer Model'!G13</f>
        <v>57</v>
      </c>
      <c r="D9" s="631">
        <f>'Rate Class Energy Model '!J12</f>
        <v>535316</v>
      </c>
      <c r="E9" s="1357">
        <v>483704</v>
      </c>
      <c r="F9" s="1380">
        <v>51612</v>
      </c>
      <c r="G9" s="1378"/>
      <c r="H9" s="1382">
        <f t="shared" si="0"/>
        <v>51612</v>
      </c>
      <c r="I9" s="1386">
        <f t="shared" si="1"/>
        <v>0.90358591934483556</v>
      </c>
      <c r="J9" s="1129"/>
      <c r="K9" s="1128">
        <f t="shared" si="2"/>
        <v>9.6414080655164422E-2</v>
      </c>
      <c r="L9" s="1384">
        <f t="shared" si="3"/>
        <v>1</v>
      </c>
      <c r="M9" s="1373"/>
      <c r="N9" s="1129"/>
      <c r="O9" s="1382"/>
      <c r="P9" s="1378"/>
      <c r="Q9" s="1400"/>
      <c r="R9" s="1399"/>
      <c r="S9" s="1134"/>
      <c r="T9" s="1378"/>
      <c r="U9" s="1400"/>
      <c r="V9" s="1378"/>
      <c r="W9" s="1401"/>
      <c r="X9" s="1129"/>
      <c r="Y9" s="1377"/>
      <c r="Z9" s="1378"/>
      <c r="AA9" s="1401"/>
      <c r="AB9" s="1129"/>
      <c r="AC9" s="1129"/>
    </row>
    <row r="10" spans="2:31">
      <c r="B10" s="626" t="s">
        <v>65</v>
      </c>
      <c r="C10" s="627">
        <f t="shared" ref="C10:D10" si="8">SUM(C4:C9)</f>
        <v>7741</v>
      </c>
      <c r="D10" s="627">
        <f t="shared" si="8"/>
        <v>99512150</v>
      </c>
      <c r="E10" s="627">
        <f>SUM(E4:E9)</f>
        <v>61754838</v>
      </c>
      <c r="F10" s="1381">
        <f>SUM(F4:F9)</f>
        <v>37757312</v>
      </c>
      <c r="G10" s="1374">
        <f>SUM(G4:G9)</f>
        <v>9193478</v>
      </c>
      <c r="H10" s="1381">
        <f>SUM(H4:H9)</f>
        <v>28563834</v>
      </c>
      <c r="I10" s="1386"/>
      <c r="J10" s="1129"/>
      <c r="K10" s="1129"/>
      <c r="L10" s="1385"/>
      <c r="M10" s="1374">
        <f>SUM(M4:M9)</f>
        <v>111159.4</v>
      </c>
      <c r="N10" s="1130">
        <f>SUM(N4:N9)</f>
        <v>7447.46</v>
      </c>
      <c r="O10" s="1383">
        <f>SUM(O4:O9)</f>
        <v>103711.94</v>
      </c>
      <c r="P10" s="1383">
        <f t="shared" ref="P10:Q10" si="9">SUM(P4:P9)</f>
        <v>29177.199999999997</v>
      </c>
      <c r="Q10" s="1383">
        <f t="shared" si="9"/>
        <v>74534.740000000005</v>
      </c>
      <c r="R10" s="1399"/>
      <c r="S10" s="1134"/>
      <c r="T10" s="1383"/>
      <c r="U10" s="1383"/>
      <c r="V10" s="1378"/>
      <c r="W10" s="1401"/>
      <c r="X10" s="1129"/>
      <c r="Y10" s="1377"/>
      <c r="Z10" s="1378"/>
      <c r="AA10" s="1401"/>
      <c r="AB10" s="1129"/>
      <c r="AC10" s="1129"/>
    </row>
    <row r="11" spans="2:31">
      <c r="C11" s="1455">
        <f>'Rate Class Customer Model'!H13</f>
        <v>7741</v>
      </c>
      <c r="D11" s="1455">
        <f>'Rate Class Energy Model '!D12</f>
        <v>99512150</v>
      </c>
      <c r="J11" s="24"/>
      <c r="M11" s="1455">
        <f>'Rate Class Load Model'!E12</f>
        <v>111159.4</v>
      </c>
      <c r="N11" s="19"/>
      <c r="O11" s="19"/>
      <c r="U11" s="331"/>
      <c r="W11" s="332"/>
    </row>
    <row r="12" spans="2:31">
      <c r="B12" s="1062"/>
      <c r="C12" s="1062"/>
      <c r="D12" s="1062"/>
      <c r="L12" s="1062"/>
      <c r="N12" s="378"/>
      <c r="O12" s="13"/>
      <c r="P12" s="13"/>
      <c r="Q12" s="13"/>
      <c r="R12" s="13"/>
      <c r="S12" s="13"/>
    </row>
    <row r="13" spans="2:31" ht="20.25" customHeight="1" thickBot="1">
      <c r="B13" s="395"/>
      <c r="C13" s="395"/>
      <c r="D13" s="1140" t="s">
        <v>522</v>
      </c>
      <c r="E13" s="1042" t="s">
        <v>525</v>
      </c>
      <c r="L13" s="395"/>
      <c r="N13" s="378"/>
      <c r="O13" s="13"/>
      <c r="P13" s="13"/>
      <c r="Q13" s="13"/>
      <c r="R13" s="13"/>
      <c r="S13" s="13"/>
    </row>
    <row r="14" spans="2:31" ht="40.200000000000003" thickTop="1">
      <c r="B14" s="1136" t="s">
        <v>604</v>
      </c>
      <c r="C14" s="1427" t="s">
        <v>380</v>
      </c>
      <c r="D14" s="778" t="s">
        <v>63</v>
      </c>
      <c r="E14" s="778" t="s">
        <v>510</v>
      </c>
      <c r="F14" s="1375" t="s">
        <v>511</v>
      </c>
      <c r="G14" s="1371" t="s">
        <v>512</v>
      </c>
      <c r="H14" s="1422" t="s">
        <v>521</v>
      </c>
      <c r="I14" s="1414" t="s">
        <v>513</v>
      </c>
      <c r="J14" s="1415" t="s">
        <v>518</v>
      </c>
      <c r="K14" s="1432" t="s">
        <v>438</v>
      </c>
      <c r="L14" s="1430"/>
      <c r="M14" s="1420" t="s">
        <v>623</v>
      </c>
      <c r="N14" s="778" t="s">
        <v>515</v>
      </c>
      <c r="O14" s="1375" t="s">
        <v>516</v>
      </c>
      <c r="P14" s="1371" t="s">
        <v>517</v>
      </c>
      <c r="Q14" s="1375" t="s">
        <v>620</v>
      </c>
      <c r="R14" s="1405" t="s">
        <v>520</v>
      </c>
      <c r="S14" s="1406" t="s">
        <v>621</v>
      </c>
      <c r="T14" s="1407" t="s">
        <v>622</v>
      </c>
      <c r="U14" s="1375"/>
      <c r="V14" s="1421" t="s">
        <v>624</v>
      </c>
      <c r="W14" s="1421" t="s">
        <v>514</v>
      </c>
      <c r="X14" s="1420" t="s">
        <v>625</v>
      </c>
      <c r="Y14" s="1422" t="s">
        <v>519</v>
      </c>
      <c r="Z14" s="1421" t="s">
        <v>577</v>
      </c>
      <c r="AA14" s="1421" t="s">
        <v>626</v>
      </c>
      <c r="AB14" s="1421" t="s">
        <v>627</v>
      </c>
      <c r="AC14" s="1421" t="s">
        <v>628</v>
      </c>
      <c r="AD14" s="961"/>
      <c r="AE14" s="961"/>
    </row>
    <row r="15" spans="2:31">
      <c r="B15" s="779" t="s">
        <v>1</v>
      </c>
      <c r="C15" s="631">
        <f>Summary!M16</f>
        <v>5126</v>
      </c>
      <c r="D15" s="631">
        <f>Summary!M17</f>
        <v>40152604.799600743</v>
      </c>
      <c r="E15" s="1132">
        <f>D15*I4</f>
        <v>39617101.302909844</v>
      </c>
      <c r="F15" s="1389">
        <f t="shared" ref="F15:F20" si="10">D15-E15</f>
        <v>535503.49669089913</v>
      </c>
      <c r="G15" s="1378"/>
      <c r="H15" s="1382">
        <f>F15-G15</f>
        <v>535503.49669089913</v>
      </c>
      <c r="I15" s="1395">
        <f>E15/D15</f>
        <v>0.98666329371746697</v>
      </c>
      <c r="J15" s="1396"/>
      <c r="K15" s="1397">
        <f t="shared" ref="K15:K20" si="11">H15/D15</f>
        <v>1.333670628253298E-2</v>
      </c>
      <c r="L15" s="1393">
        <f>SUM(I15:K15)</f>
        <v>1</v>
      </c>
      <c r="M15" s="632"/>
      <c r="N15" s="632"/>
      <c r="O15" s="1376"/>
      <c r="P15" s="1378"/>
      <c r="Q15" s="1400"/>
      <c r="R15" s="1408"/>
      <c r="S15" s="1409"/>
      <c r="T15" s="1408"/>
      <c r="U15" s="1400"/>
      <c r="V15" s="1129"/>
      <c r="W15" s="1401"/>
      <c r="X15" s="1129"/>
      <c r="Y15" s="1377"/>
      <c r="Z15" s="1378"/>
      <c r="AA15" s="1401"/>
      <c r="AB15" s="1129"/>
      <c r="AC15" s="1129"/>
    </row>
    <row r="16" spans="2:31">
      <c r="B16" s="779" t="s">
        <v>110</v>
      </c>
      <c r="C16" s="631">
        <f>Summary!M20</f>
        <v>728</v>
      </c>
      <c r="D16" s="631">
        <f>Summary!M21</f>
        <v>18422392.908433612</v>
      </c>
      <c r="E16" s="1132">
        <f t="shared" ref="E16:E20" si="12">D16*I5</f>
        <v>15320181.38908527</v>
      </c>
      <c r="F16" s="1389">
        <f t="shared" si="10"/>
        <v>3102211.519348342</v>
      </c>
      <c r="G16" s="1378"/>
      <c r="H16" s="1382">
        <f t="shared" ref="H16:H20" si="13">F16-G16</f>
        <v>3102211.519348342</v>
      </c>
      <c r="I16" s="1395">
        <f t="shared" ref="I16:I20" si="14">E16/D16</f>
        <v>0.83160648376312851</v>
      </c>
      <c r="J16" s="1396"/>
      <c r="K16" s="1397">
        <f t="shared" si="11"/>
        <v>0.16839351623687152</v>
      </c>
      <c r="L16" s="1393">
        <f t="shared" ref="L16:L20" si="15">SUM(I16:K16)</f>
        <v>1</v>
      </c>
      <c r="M16" s="632"/>
      <c r="N16" s="632"/>
      <c r="O16" s="1376"/>
      <c r="P16" s="1378"/>
      <c r="Q16" s="1400"/>
      <c r="R16" s="1408"/>
      <c r="S16" s="1409"/>
      <c r="T16" s="1408"/>
      <c r="U16" s="1400"/>
      <c r="V16" s="1129"/>
      <c r="W16" s="1401"/>
      <c r="X16" s="1129"/>
      <c r="Y16" s="1377"/>
      <c r="Z16" s="1378"/>
      <c r="AA16" s="1401"/>
      <c r="AB16" s="1129"/>
      <c r="AC16" s="1129"/>
    </row>
    <row r="17" spans="2:31">
      <c r="B17" s="779" t="s">
        <v>249</v>
      </c>
      <c r="C17" s="631">
        <f>Summary!M24</f>
        <v>60</v>
      </c>
      <c r="D17" s="631">
        <f>Summary!M25</f>
        <v>35686578.685481668</v>
      </c>
      <c r="E17" s="1132">
        <f t="shared" si="12"/>
        <v>2641474.6016261913</v>
      </c>
      <c r="F17" s="1389">
        <f t="shared" si="10"/>
        <v>33045104.083855476</v>
      </c>
      <c r="G17" s="1387">
        <f>D17*J6</f>
        <v>9086188.7432989758</v>
      </c>
      <c r="H17" s="1382">
        <f t="shared" si="13"/>
        <v>23958915.340556502</v>
      </c>
      <c r="I17" s="1395">
        <f t="shared" si="14"/>
        <v>7.4018712326178238E-2</v>
      </c>
      <c r="J17" s="1398">
        <f>G17/D17</f>
        <v>0.25461081106650046</v>
      </c>
      <c r="K17" s="1397">
        <f t="shared" si="11"/>
        <v>0.6713704766073213</v>
      </c>
      <c r="L17" s="1393">
        <f t="shared" si="15"/>
        <v>1</v>
      </c>
      <c r="M17" s="633">
        <f>Summary!M26</f>
        <v>105773.85165015483</v>
      </c>
      <c r="N17" s="1402">
        <f>M17*R6</f>
        <v>6755.8932720348739</v>
      </c>
      <c r="O17" s="1403">
        <f>M17-N17</f>
        <v>99017.958378119962</v>
      </c>
      <c r="P17" s="1387">
        <f>M17*S6</f>
        <v>28275.489242644297</v>
      </c>
      <c r="Q17" s="1401">
        <f>O17-P17</f>
        <v>70742.469135475665</v>
      </c>
      <c r="R17" s="1410">
        <f>N17/M17</f>
        <v>6.3871109604478365E-2</v>
      </c>
      <c r="S17" s="1411">
        <f>P17/M17</f>
        <v>0.2673202195204632</v>
      </c>
      <c r="T17" s="1412">
        <f>Q17/M17</f>
        <v>0.66880867087505846</v>
      </c>
      <c r="U17" s="1417">
        <f>SUM(R17:T17)</f>
        <v>1</v>
      </c>
      <c r="V17" s="1418">
        <f>D17*X17</f>
        <v>3568657.868548166</v>
      </c>
      <c r="W17" s="1401">
        <f>D17-V17</f>
        <v>32117920.816933502</v>
      </c>
      <c r="X17" s="1424">
        <f>1-Y17</f>
        <v>9.9999999999999978E-2</v>
      </c>
      <c r="Y17" s="1425">
        <v>0.9</v>
      </c>
      <c r="Z17" s="1401">
        <f>M17*AB17</f>
        <v>10577.385165015481</v>
      </c>
      <c r="AA17" s="1401">
        <f>M17-Z17</f>
        <v>95196.466485139346</v>
      </c>
      <c r="AB17" s="1424">
        <f>1-AC17</f>
        <v>9.9999999999999978E-2</v>
      </c>
      <c r="AC17" s="1419">
        <v>0.9</v>
      </c>
      <c r="AD17" s="1332"/>
      <c r="AE17" s="518"/>
    </row>
    <row r="18" spans="2:31">
      <c r="B18" s="779" t="s">
        <v>179</v>
      </c>
      <c r="C18" s="631">
        <f>Summary!M29</f>
        <v>1712</v>
      </c>
      <c r="D18" s="631">
        <f>Summary!M30</f>
        <v>643596</v>
      </c>
      <c r="E18" s="1132">
        <f t="shared" si="12"/>
        <v>81092.966233685656</v>
      </c>
      <c r="F18" s="1389">
        <f t="shared" si="10"/>
        <v>562503.03376631439</v>
      </c>
      <c r="G18" s="1378"/>
      <c r="H18" s="1382">
        <f t="shared" si="13"/>
        <v>562503.03376631439</v>
      </c>
      <c r="I18" s="1395">
        <f t="shared" si="14"/>
        <v>0.12599979837302541</v>
      </c>
      <c r="J18" s="1396"/>
      <c r="K18" s="1397">
        <f t="shared" si="11"/>
        <v>0.87400020162697467</v>
      </c>
      <c r="L18" s="1393">
        <f t="shared" si="15"/>
        <v>1</v>
      </c>
      <c r="M18" s="633">
        <f>Summary!M31</f>
        <v>1745.6</v>
      </c>
      <c r="N18" s="1402">
        <f t="shared" ref="N18:N19" si="16">M18*R7</f>
        <v>219.89414989391594</v>
      </c>
      <c r="O18" s="1403">
        <f t="shared" ref="O18:O19" si="17">M18-N18</f>
        <v>1525.705850106084</v>
      </c>
      <c r="P18" s="1378"/>
      <c r="Q18" s="1401">
        <f t="shared" ref="Q18:Q19" si="18">O18-P18</f>
        <v>1525.705850106084</v>
      </c>
      <c r="R18" s="1410">
        <f t="shared" ref="R18:R19" si="19">N18/M18</f>
        <v>0.12597052583290327</v>
      </c>
      <c r="S18" s="1411"/>
      <c r="T18" s="1412">
        <f t="shared" ref="T18:T19" si="20">Q18/M18</f>
        <v>0.87402947416709675</v>
      </c>
      <c r="U18" s="1417">
        <f t="shared" ref="U18:U19" si="21">SUM(R18:T18)</f>
        <v>1</v>
      </c>
      <c r="V18" s="1129"/>
      <c r="W18" s="1401"/>
      <c r="X18" s="1129"/>
      <c r="Y18" s="1377"/>
      <c r="Z18" s="1378"/>
      <c r="AA18" s="1401"/>
      <c r="AB18" s="1129"/>
      <c r="AC18" s="1129"/>
    </row>
    <row r="19" spans="2:31">
      <c r="B19" s="779" t="s">
        <v>159</v>
      </c>
      <c r="C19" s="631">
        <f>Summary!M34</f>
        <v>69</v>
      </c>
      <c r="D19" s="631">
        <f>Summary!M35</f>
        <v>85699.641303017532</v>
      </c>
      <c r="E19" s="1132">
        <f t="shared" si="12"/>
        <v>81661.136584051623</v>
      </c>
      <c r="F19" s="1389">
        <f t="shared" si="10"/>
        <v>4038.504718965909</v>
      </c>
      <c r="G19" s="1378"/>
      <c r="H19" s="1382">
        <f t="shared" si="13"/>
        <v>4038.504718965909</v>
      </c>
      <c r="I19" s="1395">
        <f t="shared" si="14"/>
        <v>0.95287606041795991</v>
      </c>
      <c r="J19" s="1396"/>
      <c r="K19" s="1397">
        <f t="shared" si="11"/>
        <v>4.7123939582040128E-2</v>
      </c>
      <c r="L19" s="1393">
        <f t="shared" si="15"/>
        <v>1</v>
      </c>
      <c r="M19" s="633">
        <f>Summary!M36</f>
        <v>238.05455917504869</v>
      </c>
      <c r="N19" s="1402">
        <f t="shared" si="16"/>
        <v>227.36205271824764</v>
      </c>
      <c r="O19" s="1403">
        <f t="shared" si="17"/>
        <v>10.692506456801055</v>
      </c>
      <c r="P19" s="1378"/>
      <c r="Q19" s="1401">
        <f t="shared" si="18"/>
        <v>10.692506456801055</v>
      </c>
      <c r="R19" s="1410">
        <f t="shared" si="19"/>
        <v>0.95508379888268158</v>
      </c>
      <c r="S19" s="1411"/>
      <c r="T19" s="1412">
        <f t="shared" si="20"/>
        <v>4.4916201117318373E-2</v>
      </c>
      <c r="U19" s="1417">
        <f t="shared" si="21"/>
        <v>1</v>
      </c>
      <c r="V19" s="1129"/>
      <c r="W19" s="1401"/>
      <c r="X19" s="1129"/>
      <c r="Y19" s="1377"/>
      <c r="Z19" s="1378"/>
      <c r="AA19" s="1401"/>
      <c r="AB19" s="1129"/>
      <c r="AC19" s="1129"/>
    </row>
    <row r="20" spans="2:31">
      <c r="B20" s="779" t="s">
        <v>2</v>
      </c>
      <c r="C20" s="631">
        <f>Summary!M39</f>
        <v>57</v>
      </c>
      <c r="D20" s="631">
        <f>Summary!M40</f>
        <v>557843.31840674079</v>
      </c>
      <c r="E20" s="1132">
        <f t="shared" si="12"/>
        <v>504059.36771292868</v>
      </c>
      <c r="F20" s="1389">
        <f t="shared" si="10"/>
        <v>53783.950693812105</v>
      </c>
      <c r="G20" s="1378"/>
      <c r="H20" s="1382">
        <f t="shared" si="13"/>
        <v>53783.950693812105</v>
      </c>
      <c r="I20" s="1395">
        <f t="shared" si="14"/>
        <v>0.90358591934483556</v>
      </c>
      <c r="J20" s="1396"/>
      <c r="K20" s="1397">
        <f t="shared" si="11"/>
        <v>9.6414080655164477E-2</v>
      </c>
      <c r="L20" s="1393">
        <f t="shared" si="15"/>
        <v>1</v>
      </c>
      <c r="M20" s="633"/>
      <c r="N20" s="1402"/>
      <c r="O20" s="1376"/>
      <c r="P20" s="1378"/>
      <c r="Q20" s="1400"/>
      <c r="R20" s="1410"/>
      <c r="S20" s="1411"/>
      <c r="T20" s="1408"/>
      <c r="U20" s="1400"/>
      <c r="V20" s="1129"/>
      <c r="W20" s="1401"/>
      <c r="X20" s="1129"/>
      <c r="Y20" s="1377"/>
      <c r="Z20" s="1378"/>
      <c r="AA20" s="1401"/>
      <c r="AB20" s="1129"/>
      <c r="AC20" s="1129"/>
    </row>
    <row r="21" spans="2:31">
      <c r="B21" s="626" t="s">
        <v>65</v>
      </c>
      <c r="C21" s="627">
        <f t="shared" ref="C21:H21" si="22">SUM(C15:C20)</f>
        <v>7752</v>
      </c>
      <c r="D21" s="627">
        <f t="shared" si="22"/>
        <v>95548715.353225783</v>
      </c>
      <c r="E21" s="1133">
        <f t="shared" si="22"/>
        <v>58245570.764151968</v>
      </c>
      <c r="F21" s="1390">
        <f t="shared" si="22"/>
        <v>37303144.589073807</v>
      </c>
      <c r="G21" s="1388">
        <f t="shared" si="22"/>
        <v>9086188.7432989758</v>
      </c>
      <c r="H21" s="1381">
        <f t="shared" si="22"/>
        <v>28216955.845774837</v>
      </c>
      <c r="I21" s="1391"/>
      <c r="J21" s="1392"/>
      <c r="K21" s="1392"/>
      <c r="L21" s="1394"/>
      <c r="M21" s="627">
        <f>SUM(M15:M20)</f>
        <v>107757.50620932988</v>
      </c>
      <c r="N21" s="627">
        <f>SUM(N15:N20)</f>
        <v>7203.1494746470371</v>
      </c>
      <c r="O21" s="1404">
        <f>SUM(O15:O20)</f>
        <v>100554.35673468285</v>
      </c>
      <c r="P21" s="1388">
        <f t="shared" ref="P21:Q21" si="23">SUM(P15:P20)</f>
        <v>28275.489242644297</v>
      </c>
      <c r="Q21" s="1383">
        <f t="shared" si="23"/>
        <v>72278.867492038553</v>
      </c>
      <c r="R21" s="1410"/>
      <c r="S21" s="1411"/>
      <c r="T21" s="1413"/>
      <c r="U21" s="1383"/>
      <c r="V21" s="1133"/>
      <c r="W21" s="1401"/>
      <c r="X21" s="1129"/>
      <c r="Y21" s="1377"/>
      <c r="Z21" s="1378"/>
      <c r="AA21" s="1401"/>
      <c r="AB21" s="1129"/>
      <c r="AC21" s="1129"/>
    </row>
    <row r="22" spans="2:31">
      <c r="B22" s="25"/>
      <c r="C22" s="26"/>
      <c r="D22" s="26"/>
      <c r="E22" s="26"/>
      <c r="F22" s="986"/>
      <c r="G22" s="1138"/>
      <c r="H22" s="1139"/>
      <c r="I22" s="986"/>
      <c r="J22" s="986"/>
      <c r="K22" s="986"/>
      <c r="L22" s="327"/>
      <c r="M22" s="327"/>
      <c r="N22" s="327"/>
      <c r="W22" s="332">
        <f>SUM(V17:W17)-D17</f>
        <v>0</v>
      </c>
      <c r="AA22" s="332">
        <f>SUM(Z17:AA17)-M17</f>
        <v>0</v>
      </c>
    </row>
    <row r="23" spans="2:31">
      <c r="B23" s="25"/>
      <c r="C23" s="26"/>
      <c r="D23" s="26"/>
      <c r="E23" s="26"/>
      <c r="F23" s="986"/>
      <c r="G23" s="1138"/>
      <c r="H23" s="1139"/>
      <c r="I23" s="986"/>
      <c r="J23" s="986"/>
      <c r="K23" s="986"/>
      <c r="L23" s="327"/>
      <c r="M23" s="327"/>
      <c r="N23" s="327"/>
    </row>
    <row r="24" spans="2:31" ht="12" customHeight="1">
      <c r="B24" s="1137"/>
      <c r="C24" s="1137" t="s">
        <v>735</v>
      </c>
      <c r="D24" s="1140" t="s">
        <v>526</v>
      </c>
      <c r="E24" s="1137"/>
      <c r="L24" s="378"/>
      <c r="M24" s="13"/>
      <c r="N24" s="13"/>
      <c r="O24" s="13"/>
      <c r="P24" s="13"/>
      <c r="Q24" s="13"/>
    </row>
    <row r="25" spans="2:31" ht="11.4" customHeight="1" thickBot="1">
      <c r="B25" s="1137"/>
      <c r="C25" s="1137"/>
      <c r="D25" s="1042" t="s">
        <v>524</v>
      </c>
      <c r="E25" s="1137"/>
      <c r="L25" s="378"/>
      <c r="M25" s="13"/>
      <c r="N25" s="1457" t="s">
        <v>470</v>
      </c>
      <c r="O25" s="1441" t="s">
        <v>629</v>
      </c>
      <c r="P25" s="1442"/>
      <c r="Q25" s="13"/>
    </row>
    <row r="26" spans="2:31" ht="27" thickTop="1">
      <c r="B26" s="1136" t="s">
        <v>604</v>
      </c>
      <c r="C26" s="778" t="s">
        <v>0</v>
      </c>
      <c r="D26" s="962" t="s">
        <v>523</v>
      </c>
      <c r="E26" s="962" t="s">
        <v>470</v>
      </c>
      <c r="F26" s="1375" t="s">
        <v>629</v>
      </c>
      <c r="G26" s="962" t="s">
        <v>439</v>
      </c>
      <c r="H26" s="1422" t="s">
        <v>521</v>
      </c>
      <c r="I26" s="778" t="s">
        <v>515</v>
      </c>
      <c r="J26" s="1375" t="s">
        <v>516</v>
      </c>
      <c r="K26" s="1421" t="s">
        <v>577</v>
      </c>
      <c r="L26" s="1421" t="s">
        <v>632</v>
      </c>
      <c r="N26" s="1431" t="s">
        <v>635</v>
      </c>
      <c r="O26" s="1431" t="s">
        <v>635</v>
      </c>
      <c r="P26" s="1431" t="s">
        <v>634</v>
      </c>
      <c r="Q26" s="1431" t="s">
        <v>11</v>
      </c>
      <c r="R26" s="13"/>
      <c r="S26" s="13"/>
      <c r="T26" s="13"/>
      <c r="W26" s="961"/>
    </row>
    <row r="27" spans="2:31">
      <c r="B27" s="779" t="s">
        <v>1</v>
      </c>
      <c r="C27" s="1141">
        <f>'Rate Class Energy Model '!C14</f>
        <v>1.0852999999999999</v>
      </c>
      <c r="D27" s="1142">
        <f t="shared" ref="D27:D32" si="24">D15*C27</f>
        <v>43577621.989006683</v>
      </c>
      <c r="E27" s="1142">
        <f>E15*C27</f>
        <v>42996440.044048049</v>
      </c>
      <c r="F27" s="1389">
        <f>D27-E27</f>
        <v>581181.94495863467</v>
      </c>
      <c r="G27" s="1142"/>
      <c r="H27" s="1382">
        <f>F27-G27</f>
        <v>581181.94495863467</v>
      </c>
      <c r="I27" s="632"/>
      <c r="J27" s="1434"/>
      <c r="K27" s="1378"/>
      <c r="L27" s="1401"/>
      <c r="P27" s="378"/>
      <c r="Q27" s="13"/>
      <c r="R27" s="13"/>
      <c r="S27" s="13"/>
      <c r="T27" s="13"/>
    </row>
    <row r="28" spans="2:31">
      <c r="B28" s="779" t="s">
        <v>110</v>
      </c>
      <c r="C28" s="1141">
        <f>C27</f>
        <v>1.0852999999999999</v>
      </c>
      <c r="D28" s="1142">
        <f t="shared" si="24"/>
        <v>19993823.023522999</v>
      </c>
      <c r="E28" s="1142">
        <f>E16*C28</f>
        <v>16626992.861574244</v>
      </c>
      <c r="F28" s="1389">
        <f t="shared" ref="F28:F32" si="25">D28-E28</f>
        <v>3366830.1619487554</v>
      </c>
      <c r="G28" s="1142"/>
      <c r="H28" s="1382">
        <f t="shared" ref="H28:H32" si="26">F28-G28</f>
        <v>3366830.1619487554</v>
      </c>
      <c r="I28" s="632"/>
      <c r="J28" s="1434"/>
      <c r="K28" s="1378"/>
      <c r="L28" s="1401"/>
      <c r="P28" s="378"/>
      <c r="Q28" s="13"/>
      <c r="R28" s="13"/>
      <c r="S28" s="13"/>
      <c r="T28" s="13"/>
    </row>
    <row r="29" spans="2:31">
      <c r="B29" s="779" t="s">
        <v>249</v>
      </c>
      <c r="C29" s="1141">
        <f t="shared" ref="C29:C32" si="27">C28</f>
        <v>1.0852999999999999</v>
      </c>
      <c r="D29" s="1142">
        <f t="shared" si="24"/>
        <v>38730643.84735325</v>
      </c>
      <c r="E29" s="1142">
        <f t="shared" ref="E29:E32" si="28">E17*C29</f>
        <v>2866792.3851449052</v>
      </c>
      <c r="F29" s="1389">
        <f t="shared" si="25"/>
        <v>35863851.462208346</v>
      </c>
      <c r="G29" s="1142">
        <f>G17*C29</f>
        <v>9861240.6431023777</v>
      </c>
      <c r="H29" s="1382">
        <f t="shared" si="26"/>
        <v>26002610.819105968</v>
      </c>
      <c r="I29" s="1402">
        <f>N17</f>
        <v>6755.8932720348739</v>
      </c>
      <c r="J29" s="1435">
        <f>O17</f>
        <v>99017.958378119962</v>
      </c>
      <c r="K29" s="1433">
        <f>Z17</f>
        <v>10577.385165015481</v>
      </c>
      <c r="L29" s="1418">
        <f>AA17</f>
        <v>95196.466485139346</v>
      </c>
      <c r="M29" s="909" t="s">
        <v>64</v>
      </c>
      <c r="N29" s="1439">
        <f>I29</f>
        <v>6755.8932720348739</v>
      </c>
      <c r="O29" s="1443">
        <f>J29-P29</f>
        <v>3821.4918929806154</v>
      </c>
      <c r="P29" s="332">
        <f>L29</f>
        <v>95196.466485139346</v>
      </c>
      <c r="Q29" s="1444">
        <f>SUM(N29:P29)</f>
        <v>105773.85165015483</v>
      </c>
      <c r="R29" s="378"/>
      <c r="S29" s="378"/>
      <c r="T29" s="378"/>
      <c r="U29" s="378"/>
    </row>
    <row r="30" spans="2:31">
      <c r="B30" s="779" t="s">
        <v>179</v>
      </c>
      <c r="C30" s="1141">
        <f t="shared" si="27"/>
        <v>1.0852999999999999</v>
      </c>
      <c r="D30" s="1142">
        <f t="shared" si="24"/>
        <v>698494.73879999993</v>
      </c>
      <c r="E30" s="1142">
        <f t="shared" si="28"/>
        <v>88010.196253419039</v>
      </c>
      <c r="F30" s="1389">
        <f t="shared" si="25"/>
        <v>610484.54254658089</v>
      </c>
      <c r="G30" s="1142"/>
      <c r="H30" s="1382">
        <f t="shared" si="26"/>
        <v>610484.54254658089</v>
      </c>
      <c r="I30" s="1402">
        <f t="shared" ref="I30:I31" si="29">N18</f>
        <v>219.89414989391594</v>
      </c>
      <c r="J30" s="1435">
        <f t="shared" ref="J30:J31" si="30">O18</f>
        <v>1525.705850106084</v>
      </c>
      <c r="K30" s="1378"/>
      <c r="L30" s="1401"/>
      <c r="M30" s="30" t="s">
        <v>636</v>
      </c>
      <c r="N30" s="1450">
        <v>2.4998926663736034</v>
      </c>
      <c r="O30" s="1446">
        <v>2.4998926663736034</v>
      </c>
      <c r="P30" s="1446">
        <v>2.7930620031970541</v>
      </c>
      <c r="Q30" s="1442"/>
      <c r="R30" s="378"/>
      <c r="S30" s="1440"/>
      <c r="T30" s="735"/>
      <c r="U30" s="332"/>
      <c r="V30" s="332"/>
    </row>
    <row r="31" spans="2:31">
      <c r="B31" s="779" t="s">
        <v>159</v>
      </c>
      <c r="C31" s="1141">
        <f t="shared" si="27"/>
        <v>1.0852999999999999</v>
      </c>
      <c r="D31" s="1142">
        <f t="shared" si="24"/>
        <v>93009.820706164915</v>
      </c>
      <c r="E31" s="1142">
        <f t="shared" si="28"/>
        <v>88626.831534671219</v>
      </c>
      <c r="F31" s="1389">
        <f t="shared" si="25"/>
        <v>4382.9891714936966</v>
      </c>
      <c r="G31" s="1142"/>
      <c r="H31" s="1382">
        <f t="shared" si="26"/>
        <v>4382.9891714936966</v>
      </c>
      <c r="I31" s="1402">
        <f t="shared" si="29"/>
        <v>227.36205271824764</v>
      </c>
      <c r="J31" s="1435">
        <f t="shared" si="30"/>
        <v>10.692506456801055</v>
      </c>
      <c r="K31" s="1378"/>
      <c r="L31" s="1401"/>
      <c r="M31" s="30" t="s">
        <v>310</v>
      </c>
      <c r="N31" s="331">
        <f>N29*N30</f>
        <v>16889.00804556275</v>
      </c>
      <c r="O31" s="331">
        <f>O29*O30</f>
        <v>9553.319557868419</v>
      </c>
      <c r="P31" s="331">
        <f t="shared" ref="P31" si="31">P29*P30</f>
        <v>265889.63337826455</v>
      </c>
      <c r="Q31" s="332">
        <f>SUM(N31:P31)</f>
        <v>292331.96098169574</v>
      </c>
      <c r="R31" s="792"/>
    </row>
    <row r="32" spans="2:31" ht="13.8" thickBot="1">
      <c r="B32" s="779" t="s">
        <v>2</v>
      </c>
      <c r="C32" s="1141">
        <f t="shared" si="27"/>
        <v>1.0852999999999999</v>
      </c>
      <c r="D32" s="1142">
        <f t="shared" si="24"/>
        <v>605427.35346683569</v>
      </c>
      <c r="E32" s="1142">
        <f t="shared" si="28"/>
        <v>547055.63177884149</v>
      </c>
      <c r="F32" s="1389">
        <f t="shared" si="25"/>
        <v>58371.721687994199</v>
      </c>
      <c r="G32" s="1142"/>
      <c r="H32" s="1382">
        <f t="shared" si="26"/>
        <v>58371.721687994199</v>
      </c>
      <c r="I32" s="1402"/>
      <c r="J32" s="1435"/>
      <c r="K32" s="1378"/>
      <c r="L32" s="1401"/>
      <c r="P32" s="1445">
        <f>SUM(O31:P31)/(O29+P29)</f>
        <v>2.7817474471075108</v>
      </c>
      <c r="Q32" s="30" t="s">
        <v>633</v>
      </c>
    </row>
    <row r="33" spans="2:23" ht="13.8" thickTop="1">
      <c r="B33" s="626" t="s">
        <v>65</v>
      </c>
      <c r="C33" s="1141"/>
      <c r="D33" s="1143">
        <f>SUM(D27:D32)</f>
        <v>103699020.77285594</v>
      </c>
      <c r="E33" s="1143">
        <f>SUM(E27:E32)</f>
        <v>63213917.950334124</v>
      </c>
      <c r="F33" s="1390">
        <f>SUM(F27:F32)</f>
        <v>40485102.822521798</v>
      </c>
      <c r="G33" s="1143">
        <f>SUM(G27:G32)</f>
        <v>9861240.6431023777</v>
      </c>
      <c r="H33" s="1381">
        <f t="shared" ref="H33" si="32">SUM(H27:H32)</f>
        <v>30623862.179419428</v>
      </c>
      <c r="I33" s="627">
        <f>SUM(I27:I32)</f>
        <v>7203.1494746470371</v>
      </c>
      <c r="J33" s="1381">
        <f>SUM(J27:J32)</f>
        <v>100554.35673468285</v>
      </c>
      <c r="K33" s="1388"/>
      <c r="L33" s="1401"/>
      <c r="P33" s="1447"/>
    </row>
    <row r="34" spans="2:23">
      <c r="B34" s="25"/>
      <c r="C34" s="26"/>
      <c r="D34" s="26"/>
      <c r="G34" s="26"/>
      <c r="H34" s="986">
        <f>SUM(G33:H33,E33)-D33</f>
        <v>0</v>
      </c>
      <c r="I34" s="986"/>
      <c r="J34" s="1436">
        <f>SUM(I33:J33)-M21</f>
        <v>0</v>
      </c>
      <c r="K34" s="986"/>
      <c r="L34" s="1139" t="s">
        <v>630</v>
      </c>
      <c r="M34" s="30" t="s">
        <v>631</v>
      </c>
      <c r="N34" s="1451">
        <v>2.0388257899725679</v>
      </c>
      <c r="O34" s="1448">
        <v>2.0388257899725679</v>
      </c>
      <c r="P34" s="1446">
        <v>2.2723814170461289</v>
      </c>
      <c r="Q34" s="1449"/>
    </row>
    <row r="35" spans="2:23">
      <c r="B35" s="25"/>
      <c r="C35" s="26"/>
      <c r="D35" s="26"/>
      <c r="G35" s="26"/>
      <c r="H35" s="986"/>
      <c r="I35" s="986"/>
      <c r="J35" s="1436"/>
      <c r="K35" s="986"/>
      <c r="L35" s="1139"/>
      <c r="M35" s="30"/>
      <c r="N35" s="1665"/>
      <c r="O35" s="381"/>
      <c r="P35" s="1666"/>
      <c r="Q35" s="327"/>
    </row>
    <row r="36" spans="2:23" ht="12" customHeight="1">
      <c r="B36" s="1477"/>
      <c r="C36" s="1667" t="s">
        <v>734</v>
      </c>
      <c r="D36" s="1667" t="s">
        <v>526</v>
      </c>
      <c r="E36" s="1477"/>
      <c r="L36" s="378"/>
      <c r="M36" s="13"/>
      <c r="N36" s="13"/>
      <c r="O36" s="13"/>
      <c r="P36" s="13"/>
      <c r="Q36" s="13"/>
    </row>
    <row r="37" spans="2:23" ht="11.4" customHeight="1" thickBot="1">
      <c r="B37" s="1477"/>
      <c r="C37" s="1477"/>
      <c r="D37" s="1042" t="s">
        <v>524</v>
      </c>
      <c r="E37" s="1477"/>
      <c r="L37" s="378"/>
      <c r="M37" s="13"/>
      <c r="N37" s="13"/>
      <c r="O37" s="13"/>
      <c r="P37" s="13"/>
      <c r="Q37" s="13"/>
    </row>
    <row r="38" spans="2:23" ht="27" thickTop="1">
      <c r="B38" s="1136" t="s">
        <v>432</v>
      </c>
      <c r="C38" s="778" t="s">
        <v>0</v>
      </c>
      <c r="D38" s="962" t="s">
        <v>523</v>
      </c>
      <c r="E38" s="962" t="s">
        <v>470</v>
      </c>
      <c r="F38" s="1375" t="s">
        <v>629</v>
      </c>
      <c r="G38" s="962" t="s">
        <v>439</v>
      </c>
      <c r="H38" s="1422" t="s">
        <v>521</v>
      </c>
      <c r="I38" s="778" t="s">
        <v>515</v>
      </c>
      <c r="J38" s="1375" t="s">
        <v>516</v>
      </c>
      <c r="K38" s="1421" t="s">
        <v>577</v>
      </c>
      <c r="L38" s="1421" t="s">
        <v>632</v>
      </c>
      <c r="M38" s="1420" t="s">
        <v>623</v>
      </c>
      <c r="N38" s="13"/>
      <c r="O38" s="13"/>
      <c r="P38" s="13"/>
      <c r="Q38" s="13"/>
      <c r="R38" s="13"/>
      <c r="S38" s="13"/>
      <c r="T38" s="13"/>
      <c r="W38" s="961"/>
    </row>
    <row r="39" spans="2:23">
      <c r="B39" s="779" t="s">
        <v>1</v>
      </c>
      <c r="C39" s="1141">
        <f>C27</f>
        <v>1.0852999999999999</v>
      </c>
      <c r="D39" s="1142">
        <f>D48*C39</f>
        <v>47333032.616799995</v>
      </c>
      <c r="E39" s="1142">
        <f t="shared" ref="E39:E44" si="33">D39*I15</f>
        <v>46701765.863328181</v>
      </c>
      <c r="F39" s="1389">
        <f>D39-E39</f>
        <v>631266.7534718141</v>
      </c>
      <c r="G39" s="1142"/>
      <c r="H39" s="1382">
        <f>F39-G39</f>
        <v>631266.7534718141</v>
      </c>
      <c r="I39" s="632"/>
      <c r="J39" s="1434"/>
      <c r="K39" s="1378"/>
      <c r="L39" s="1401"/>
      <c r="M39" s="1671"/>
      <c r="N39" s="13"/>
      <c r="O39" s="13"/>
      <c r="P39" s="13"/>
      <c r="Q39" s="13"/>
      <c r="R39" s="13"/>
      <c r="S39" s="13"/>
      <c r="T39" s="13"/>
    </row>
    <row r="40" spans="2:23">
      <c r="B40" s="779" t="s">
        <v>110</v>
      </c>
      <c r="C40" s="1141">
        <f>C39</f>
        <v>1.0852999999999999</v>
      </c>
      <c r="D40" s="1142">
        <f t="shared" ref="D40:D44" si="34">D49*C40</f>
        <v>19252960.442699999</v>
      </c>
      <c r="E40" s="1142">
        <f t="shared" si="33"/>
        <v>16010886.735784352</v>
      </c>
      <c r="F40" s="1389">
        <f t="shared" ref="F40:F44" si="35">D40-E40</f>
        <v>3242073.7069156468</v>
      </c>
      <c r="G40" s="1142"/>
      <c r="H40" s="1382">
        <f t="shared" ref="H40:H44" si="36">F40-G40</f>
        <v>3242073.7069156468</v>
      </c>
      <c r="I40" s="632"/>
      <c r="J40" s="1434"/>
      <c r="K40" s="1378"/>
      <c r="L40" s="1401"/>
      <c r="M40" s="1671"/>
      <c r="N40" s="13"/>
      <c r="O40" s="13"/>
      <c r="P40" s="13"/>
      <c r="Q40" s="13"/>
      <c r="R40" s="13"/>
      <c r="S40" s="13"/>
      <c r="T40" s="13"/>
    </row>
    <row r="41" spans="2:23">
      <c r="B41" s="779" t="s">
        <v>249</v>
      </c>
      <c r="C41" s="1141">
        <f t="shared" ref="C41:C44" si="37">C40</f>
        <v>1.0852999999999999</v>
      </c>
      <c r="D41" s="1142">
        <f t="shared" si="34"/>
        <v>41059686.050399996</v>
      </c>
      <c r="E41" s="1142">
        <f t="shared" si="33"/>
        <v>3039185.0899677509</v>
      </c>
      <c r="F41" s="1389">
        <f t="shared" si="35"/>
        <v>38020500.960432246</v>
      </c>
      <c r="G41" s="1668">
        <f>D41*J17</f>
        <v>10454239.967428219</v>
      </c>
      <c r="H41" s="1382">
        <f t="shared" si="36"/>
        <v>27566260.993004028</v>
      </c>
      <c r="I41" s="1402">
        <f>R17*M41</f>
        <v>7079.1097232356369</v>
      </c>
      <c r="J41" s="1435">
        <f>M41-I41</f>
        <v>103755.19027676436</v>
      </c>
      <c r="K41" s="1433">
        <f>M41*X17</f>
        <v>11083.429999999998</v>
      </c>
      <c r="L41" s="1418">
        <f>M41-K41</f>
        <v>99750.87000000001</v>
      </c>
      <c r="M41" s="1669">
        <f t="array" ref="M41:M43">TRANSPOSE('Rate Class Load Model'!B13:D13)</f>
        <v>110834.3</v>
      </c>
      <c r="N41" s="13"/>
      <c r="O41" s="13"/>
      <c r="P41" s="13"/>
      <c r="Q41" s="13"/>
      <c r="R41" s="378"/>
      <c r="S41" s="378"/>
      <c r="T41" s="378"/>
      <c r="U41" s="378"/>
    </row>
    <row r="42" spans="2:23">
      <c r="B42" s="779" t="s">
        <v>179</v>
      </c>
      <c r="C42" s="1141">
        <f t="shared" si="37"/>
        <v>1.0852999999999999</v>
      </c>
      <c r="D42" s="1142">
        <f t="shared" si="34"/>
        <v>698494.73879999993</v>
      </c>
      <c r="E42" s="1142">
        <f t="shared" si="33"/>
        <v>88010.196253419039</v>
      </c>
      <c r="F42" s="1389">
        <f t="shared" si="35"/>
        <v>610484.54254658089</v>
      </c>
      <c r="G42" s="1142"/>
      <c r="H42" s="1382">
        <f t="shared" si="36"/>
        <v>610484.54254658089</v>
      </c>
      <c r="I42" s="1402">
        <f>R18*M42</f>
        <v>219.89414989391594</v>
      </c>
      <c r="J42" s="1435">
        <f>M42-I42</f>
        <v>1525.705850106084</v>
      </c>
      <c r="K42" s="1378"/>
      <c r="L42" s="1401"/>
      <c r="M42" s="1669">
        <v>1745.6</v>
      </c>
      <c r="N42" s="13"/>
      <c r="O42" s="13"/>
      <c r="P42" s="13"/>
      <c r="Q42" s="13"/>
      <c r="R42" s="378"/>
      <c r="S42" s="1440"/>
      <c r="T42" s="735"/>
      <c r="U42" s="332"/>
      <c r="V42" s="332"/>
    </row>
    <row r="43" spans="2:23">
      <c r="B43" s="779" t="s">
        <v>159</v>
      </c>
      <c r="C43" s="1141">
        <f t="shared" si="37"/>
        <v>1.0852999999999999</v>
      </c>
      <c r="D43" s="1142">
        <f t="shared" si="34"/>
        <v>96165.177100000001</v>
      </c>
      <c r="E43" s="1142">
        <f t="shared" si="33"/>
        <v>91633.495104443413</v>
      </c>
      <c r="F43" s="1389">
        <f t="shared" si="35"/>
        <v>4531.6819955565879</v>
      </c>
      <c r="G43" s="1142"/>
      <c r="H43" s="1382">
        <f t="shared" si="36"/>
        <v>4531.6819955565879</v>
      </c>
      <c r="I43" s="1402">
        <f>R19*M43</f>
        <v>235.07530602110489</v>
      </c>
      <c r="J43" s="1435">
        <f>M43-I43</f>
        <v>11.055249534450638</v>
      </c>
      <c r="K43" s="1378"/>
      <c r="L43" s="1401"/>
      <c r="M43" s="1669">
        <v>246.13055555555553</v>
      </c>
      <c r="N43" s="13"/>
      <c r="O43" s="13"/>
      <c r="P43" s="13"/>
      <c r="Q43" s="13"/>
      <c r="R43" s="792"/>
    </row>
    <row r="44" spans="2:23">
      <c r="B44" s="779" t="s">
        <v>2</v>
      </c>
      <c r="C44" s="1141">
        <f t="shared" si="37"/>
        <v>1.0852999999999999</v>
      </c>
      <c r="D44" s="1142">
        <f t="shared" si="34"/>
        <v>602384.91200000001</v>
      </c>
      <c r="E44" s="1142">
        <f t="shared" si="33"/>
        <v>544306.52450897789</v>
      </c>
      <c r="F44" s="1389">
        <f t="shared" si="35"/>
        <v>58078.38749102212</v>
      </c>
      <c r="G44" s="1142"/>
      <c r="H44" s="1382">
        <f t="shared" si="36"/>
        <v>58078.38749102212</v>
      </c>
      <c r="I44" s="1402"/>
      <c r="J44" s="1435"/>
      <c r="K44" s="1378"/>
      <c r="L44" s="1401"/>
      <c r="M44" s="1671"/>
      <c r="N44" s="13"/>
      <c r="O44" s="13"/>
      <c r="P44" s="13"/>
      <c r="Q44" s="13"/>
    </row>
    <row r="45" spans="2:23">
      <c r="B45" s="626" t="s">
        <v>65</v>
      </c>
      <c r="C45" s="1141"/>
      <c r="D45" s="1143">
        <f>SUM(D39:D44)</f>
        <v>109042723.93780001</v>
      </c>
      <c r="E45" s="1143">
        <f>SUM(E39:E44)</f>
        <v>66475787.904947124</v>
      </c>
      <c r="F45" s="1390">
        <f>SUM(F39:F44)</f>
        <v>42566936.032852866</v>
      </c>
      <c r="G45" s="1143">
        <f>SUM(G39:G44)</f>
        <v>10454239.967428219</v>
      </c>
      <c r="H45" s="1381">
        <f t="shared" ref="H45" si="38">SUM(H39:H44)</f>
        <v>32112696.065424647</v>
      </c>
      <c r="I45" s="627">
        <f>SUM(I39:I44)</f>
        <v>7534.0791791506572</v>
      </c>
      <c r="J45" s="1381">
        <f>SUM(J39:J44)</f>
        <v>105291.95137640489</v>
      </c>
      <c r="K45" s="1388"/>
      <c r="L45" s="1401"/>
      <c r="M45" s="331">
        <f>SUM(M39:M44)</f>
        <v>112826.03055555557</v>
      </c>
      <c r="N45" s="13"/>
      <c r="O45" s="13"/>
      <c r="P45" s="13"/>
      <c r="Q45" s="13"/>
    </row>
    <row r="46" spans="2:23">
      <c r="B46" s="25"/>
      <c r="C46" s="26"/>
      <c r="D46" s="26"/>
      <c r="G46" s="26"/>
      <c r="H46" s="986">
        <f>SUM(G45:H45,E45)-D45</f>
        <v>0</v>
      </c>
      <c r="I46" s="986"/>
      <c r="J46" s="1436">
        <f>SUM(I45:J45)-M45</f>
        <v>0</v>
      </c>
      <c r="K46" s="986"/>
      <c r="L46" s="1139" t="s">
        <v>630</v>
      </c>
      <c r="M46" s="30"/>
      <c r="N46" s="13"/>
      <c r="O46" s="13"/>
      <c r="P46" s="13"/>
      <c r="Q46" s="13"/>
    </row>
    <row r="47" spans="2:23">
      <c r="B47" s="25"/>
      <c r="C47" s="26" t="s">
        <v>738</v>
      </c>
      <c r="D47" s="26" t="s">
        <v>737</v>
      </c>
      <c r="F47" s="792"/>
      <c r="G47" s="26"/>
      <c r="H47" s="986"/>
      <c r="I47" s="986"/>
      <c r="J47" s="1436"/>
      <c r="K47" s="986"/>
      <c r="L47" s="1139"/>
      <c r="M47" s="30"/>
      <c r="N47" s="13"/>
      <c r="O47" s="13"/>
      <c r="P47" s="13"/>
      <c r="Q47" s="13"/>
    </row>
    <row r="48" spans="2:23">
      <c r="B48" s="779" t="s">
        <v>1</v>
      </c>
      <c r="C48" s="1672">
        <f t="array" ref="C48:C53">TRANSPOSE('Rate Class Customer Model'!B53:G53)</f>
        <v>5112</v>
      </c>
      <c r="D48" s="1669" cm="1">
        <f t="array" ref="D48:D53">TRANSPOSE('Rate Class Energy Model '!E13:J13)</f>
        <v>43612856</v>
      </c>
      <c r="F48" s="792"/>
      <c r="G48" s="26"/>
      <c r="H48" s="986"/>
      <c r="I48" s="986"/>
      <c r="J48" s="1436"/>
      <c r="K48" s="986"/>
      <c r="L48" s="1139"/>
      <c r="N48" s="13"/>
      <c r="O48" s="13"/>
      <c r="P48" s="13"/>
      <c r="Q48" s="13"/>
    </row>
    <row r="49" spans="2:22">
      <c r="B49" s="779" t="s">
        <v>110</v>
      </c>
      <c r="C49" s="1672">
        <v>730.5</v>
      </c>
      <c r="D49" s="1670">
        <v>17739759</v>
      </c>
      <c r="F49" s="792"/>
      <c r="G49" s="26"/>
      <c r="H49" s="986"/>
      <c r="I49" s="986"/>
      <c r="J49" s="1436"/>
      <c r="K49" s="986"/>
      <c r="L49" s="1139"/>
      <c r="N49" s="1665"/>
      <c r="O49" s="381"/>
      <c r="P49" s="1666"/>
      <c r="Q49" s="327"/>
    </row>
    <row r="50" spans="2:22">
      <c r="B50" s="779" t="s">
        <v>249</v>
      </c>
      <c r="C50" s="1672">
        <v>61</v>
      </c>
      <c r="D50" s="1670">
        <v>37832568</v>
      </c>
      <c r="F50" s="792"/>
      <c r="G50" s="26"/>
      <c r="H50" s="986"/>
      <c r="I50" s="986"/>
      <c r="J50" s="1436"/>
      <c r="K50" s="986"/>
      <c r="L50" s="1139"/>
      <c r="N50" s="1665"/>
      <c r="O50" s="381"/>
      <c r="P50" s="1666"/>
      <c r="Q50" s="327"/>
    </row>
    <row r="51" spans="2:22">
      <c r="B51" s="779" t="s">
        <v>179</v>
      </c>
      <c r="C51" s="1672">
        <v>1712</v>
      </c>
      <c r="D51" s="1670">
        <v>643596</v>
      </c>
      <c r="F51" s="792"/>
      <c r="G51" s="26"/>
      <c r="H51" s="986"/>
      <c r="I51" s="986"/>
      <c r="J51" s="1436"/>
      <c r="K51" s="986"/>
      <c r="L51" s="1139"/>
      <c r="N51" s="1665"/>
      <c r="O51" s="381"/>
      <c r="P51" s="1666"/>
      <c r="Q51" s="327"/>
    </row>
    <row r="52" spans="2:22">
      <c r="B52" s="779" t="s">
        <v>159</v>
      </c>
      <c r="C52" s="1672">
        <v>71.5</v>
      </c>
      <c r="D52" s="1670">
        <v>88607</v>
      </c>
      <c r="F52" s="792"/>
      <c r="G52" s="26"/>
      <c r="H52" s="986"/>
      <c r="I52" s="986"/>
      <c r="J52" s="1436"/>
      <c r="K52" s="986"/>
      <c r="L52" s="1139"/>
      <c r="N52" s="1665"/>
      <c r="O52" s="381"/>
      <c r="P52" s="1666"/>
      <c r="Q52" s="327"/>
    </row>
    <row r="53" spans="2:22">
      <c r="B53" s="779" t="s">
        <v>2</v>
      </c>
      <c r="C53" s="1672">
        <v>57</v>
      </c>
      <c r="D53" s="1670">
        <v>555040</v>
      </c>
      <c r="F53" s="792"/>
      <c r="G53" s="26"/>
      <c r="H53" s="986"/>
      <c r="I53" s="986"/>
      <c r="J53" s="1436"/>
      <c r="K53" s="986"/>
      <c r="L53" s="1139"/>
      <c r="N53" s="1665"/>
      <c r="O53" s="381"/>
      <c r="P53" s="1666"/>
      <c r="Q53" s="327"/>
    </row>
    <row r="54" spans="2:22">
      <c r="B54" s="25"/>
      <c r="C54" s="26"/>
      <c r="D54" s="26"/>
      <c r="F54" s="792"/>
      <c r="G54" s="26"/>
      <c r="H54" s="986"/>
      <c r="I54" s="986"/>
      <c r="J54" s="1436"/>
      <c r="K54" s="986"/>
      <c r="L54" s="1139"/>
      <c r="M54" s="30"/>
      <c r="N54" s="1665"/>
      <c r="O54" s="381"/>
      <c r="P54" s="1666"/>
      <c r="Q54" s="327"/>
    </row>
    <row r="55" spans="2:22">
      <c r="B55" s="25"/>
      <c r="C55" s="26"/>
      <c r="D55" s="26">
        <f>SUM(D48:D54)</f>
        <v>100472426</v>
      </c>
      <c r="F55" s="792"/>
      <c r="G55" s="26"/>
      <c r="H55" s="986"/>
      <c r="I55" s="986"/>
      <c r="J55" s="1436"/>
      <c r="K55" s="986"/>
      <c r="L55" s="1139"/>
      <c r="M55" s="30"/>
      <c r="N55" s="1665"/>
      <c r="O55" s="381"/>
      <c r="P55" s="1666"/>
      <c r="Q55" s="327"/>
    </row>
    <row r="56" spans="2:22">
      <c r="B56" s="25"/>
      <c r="C56" s="26"/>
      <c r="D56" s="26"/>
      <c r="G56" s="26"/>
      <c r="H56" s="986"/>
      <c r="I56" s="986"/>
      <c r="J56" s="1436"/>
      <c r="K56" s="986"/>
      <c r="L56" s="1139"/>
      <c r="M56" s="30"/>
      <c r="N56" s="1665"/>
      <c r="O56" s="381"/>
      <c r="P56" s="1666"/>
      <c r="Q56" s="327"/>
    </row>
    <row r="57" spans="2:22">
      <c r="B57" s="25"/>
      <c r="C57" s="26"/>
      <c r="D57" s="26"/>
      <c r="G57" s="26"/>
      <c r="H57" s="986"/>
      <c r="I57" s="986"/>
      <c r="J57" s="1436"/>
      <c r="K57" s="986"/>
      <c r="L57" s="1139"/>
      <c r="M57" s="30"/>
      <c r="N57" s="1665"/>
      <c r="O57" s="381"/>
      <c r="P57" s="1666"/>
      <c r="Q57" s="327"/>
    </row>
    <row r="58" spans="2:22">
      <c r="B58" s="25"/>
      <c r="C58" s="26"/>
      <c r="D58" s="26"/>
      <c r="G58" s="26"/>
      <c r="H58" s="986"/>
      <c r="I58" s="986"/>
      <c r="J58" s="1436"/>
      <c r="K58" s="986"/>
      <c r="L58" s="1139"/>
      <c r="M58" s="30"/>
      <c r="N58" s="1665"/>
      <c r="O58" s="381"/>
      <c r="P58" s="1666"/>
      <c r="Q58" s="327"/>
    </row>
    <row r="59" spans="2:22">
      <c r="B59" s="25"/>
      <c r="C59" s="26"/>
      <c r="D59" s="26"/>
      <c r="G59" s="26"/>
      <c r="H59" s="986"/>
      <c r="I59" s="986"/>
      <c r="J59" s="1436"/>
      <c r="K59" s="986"/>
      <c r="L59" s="1139"/>
      <c r="M59" s="30"/>
      <c r="N59" s="1665"/>
      <c r="O59" s="381"/>
      <c r="P59" s="1666"/>
      <c r="Q59" s="327"/>
    </row>
    <row r="60" spans="2:22">
      <c r="B60" s="25"/>
      <c r="C60" s="26"/>
      <c r="D60" s="26"/>
      <c r="G60" s="26"/>
      <c r="H60" s="986"/>
      <c r="I60" s="986"/>
      <c r="J60" s="1436"/>
      <c r="K60" s="986"/>
      <c r="L60" s="1139"/>
      <c r="M60" s="30"/>
      <c r="N60" s="1665"/>
      <c r="O60" s="381"/>
      <c r="P60" s="1666"/>
      <c r="Q60" s="327"/>
    </row>
    <row r="61" spans="2:22">
      <c r="B61" s="25"/>
      <c r="C61" s="26"/>
      <c r="D61" s="26"/>
      <c r="G61" s="26"/>
      <c r="H61" s="986"/>
      <c r="I61" s="986"/>
      <c r="J61" s="1436"/>
      <c r="K61" s="986"/>
      <c r="L61" s="1139"/>
      <c r="M61" s="30"/>
      <c r="N61" s="1665"/>
      <c r="O61" s="381"/>
      <c r="P61" s="1666"/>
      <c r="Q61" s="327"/>
    </row>
    <row r="62" spans="2:22" ht="13.8" thickBot="1">
      <c r="B62" s="25"/>
      <c r="C62" s="26"/>
      <c r="D62" s="26"/>
      <c r="G62" s="26"/>
      <c r="H62" s="986"/>
      <c r="I62" s="986"/>
      <c r="J62" s="1436"/>
      <c r="K62" s="986"/>
      <c r="L62" s="1139"/>
      <c r="M62" s="30"/>
      <c r="N62" s="1665"/>
      <c r="O62" s="381"/>
      <c r="P62" s="1666"/>
      <c r="Q62" s="327"/>
    </row>
    <row r="63" spans="2:22" ht="13.8" thickTop="1">
      <c r="B63" s="745" t="s">
        <v>66</v>
      </c>
      <c r="C63" s="1874" t="s">
        <v>605</v>
      </c>
      <c r="D63" s="1876" t="s">
        <v>434</v>
      </c>
      <c r="E63" s="1870">
        <v>2021</v>
      </c>
      <c r="F63" s="1871"/>
      <c r="G63" s="1872"/>
      <c r="Q63" s="378"/>
      <c r="R63" s="378"/>
      <c r="S63" s="1440"/>
      <c r="T63" s="1440"/>
      <c r="U63" s="1440"/>
      <c r="V63" s="342"/>
    </row>
    <row r="64" spans="2:22">
      <c r="B64" s="746" t="s">
        <v>67</v>
      </c>
      <c r="C64" s="1875"/>
      <c r="D64" s="1877"/>
      <c r="E64" s="747" t="s">
        <v>375</v>
      </c>
      <c r="F64" s="743" t="s">
        <v>339</v>
      </c>
      <c r="G64" s="744" t="s">
        <v>340</v>
      </c>
      <c r="O64" s="986"/>
      <c r="P64" s="327"/>
      <c r="Q64" s="378"/>
      <c r="R64" s="378"/>
      <c r="S64" s="13"/>
      <c r="T64" s="13"/>
    </row>
    <row r="65" spans="2:29">
      <c r="B65" s="748" t="str">
        <f t="shared" ref="B65:B70" si="39">B15</f>
        <v xml:space="preserve">Residential </v>
      </c>
      <c r="C65" s="631">
        <f t="shared" ref="C65:C70" si="40">E15</f>
        <v>39617101.302909844</v>
      </c>
      <c r="D65" s="1047">
        <f>'Rate Class Energy Model '!C14</f>
        <v>1.0852999999999999</v>
      </c>
      <c r="E65" s="622">
        <f t="shared" ref="E65:E70" si="41">C65*D65</f>
        <v>42996440.044048049</v>
      </c>
      <c r="F65" s="749">
        <f>'Commodity Price'!E17/1000</f>
        <v>0.10364</v>
      </c>
      <c r="G65" s="625">
        <f t="shared" ref="G65:G70" si="42">E65*F65</f>
        <v>4456151.0461651394</v>
      </c>
      <c r="O65" s="1444">
        <f>K29*O30+L29*P30</f>
        <v>292331.96098169568</v>
      </c>
      <c r="P65" s="515"/>
      <c r="Q65" s="739"/>
      <c r="R65" s="1437"/>
    </row>
    <row r="66" spans="2:29">
      <c r="B66" s="748" t="str">
        <f t="shared" si="39"/>
        <v>General Service &lt; 50 kW</v>
      </c>
      <c r="C66" s="631">
        <f t="shared" si="40"/>
        <v>15320181.38908527</v>
      </c>
      <c r="D66" s="632">
        <f>D65</f>
        <v>1.0852999999999999</v>
      </c>
      <c r="E66" s="622">
        <f t="shared" si="41"/>
        <v>16626992.861574244</v>
      </c>
      <c r="F66" s="750">
        <f>F65</f>
        <v>0.10364</v>
      </c>
      <c r="G66" s="625">
        <f t="shared" si="42"/>
        <v>1723221.5401735546</v>
      </c>
      <c r="O66" s="739"/>
      <c r="P66" s="739"/>
      <c r="Q66" s="1438"/>
    </row>
    <row r="67" spans="2:29">
      <c r="B67" s="748" t="str">
        <f t="shared" si="39"/>
        <v>General Service 50 to 4,999 kW</v>
      </c>
      <c r="C67" s="631">
        <f t="shared" si="40"/>
        <v>2641474.6016261913</v>
      </c>
      <c r="D67" s="632">
        <f>D66</f>
        <v>1.0852999999999999</v>
      </c>
      <c r="E67" s="622">
        <f t="shared" si="41"/>
        <v>2866792.3851449052</v>
      </c>
      <c r="F67" s="750">
        <f>F65</f>
        <v>0.10364</v>
      </c>
      <c r="G67" s="625">
        <f t="shared" si="42"/>
        <v>297114.36279641796</v>
      </c>
      <c r="O67" s="739"/>
      <c r="P67" s="739"/>
      <c r="Q67" s="1438"/>
    </row>
    <row r="68" spans="2:29">
      <c r="B68" s="748" t="str">
        <f t="shared" si="39"/>
        <v xml:space="preserve">Street Lights </v>
      </c>
      <c r="C68" s="631">
        <f t="shared" si="40"/>
        <v>81092.966233685656</v>
      </c>
      <c r="D68" s="632">
        <f>D67</f>
        <v>1.0852999999999999</v>
      </c>
      <c r="E68" s="622">
        <f t="shared" si="41"/>
        <v>88010.196253419039</v>
      </c>
      <c r="F68" s="750">
        <f>F65</f>
        <v>0.10364</v>
      </c>
      <c r="G68" s="625">
        <f t="shared" si="42"/>
        <v>9121.3767397043484</v>
      </c>
      <c r="Q68" s="789"/>
      <c r="R68" s="789"/>
    </row>
    <row r="69" spans="2:29">
      <c r="B69" s="748" t="str">
        <f t="shared" si="39"/>
        <v>Sentinel Lights</v>
      </c>
      <c r="C69" s="631">
        <f t="shared" si="40"/>
        <v>81661.136584051623</v>
      </c>
      <c r="D69" s="632">
        <f>D68</f>
        <v>1.0852999999999999</v>
      </c>
      <c r="E69" s="622">
        <f t="shared" si="41"/>
        <v>88626.831534671219</v>
      </c>
      <c r="F69" s="750">
        <f>F65</f>
        <v>0.10364</v>
      </c>
      <c r="G69" s="625">
        <f t="shared" si="42"/>
        <v>9185.2848202533241</v>
      </c>
    </row>
    <row r="70" spans="2:29">
      <c r="B70" s="748" t="str">
        <f t="shared" si="39"/>
        <v xml:space="preserve">Unmetered Loads </v>
      </c>
      <c r="C70" s="631">
        <f t="shared" si="40"/>
        <v>504059.36771292868</v>
      </c>
      <c r="D70" s="632">
        <f>D69</f>
        <v>1.0852999999999999</v>
      </c>
      <c r="E70" s="622">
        <f t="shared" si="41"/>
        <v>547055.63177884149</v>
      </c>
      <c r="F70" s="750">
        <f>F65</f>
        <v>0.10364</v>
      </c>
      <c r="G70" s="625">
        <f t="shared" si="42"/>
        <v>56696.845677559133</v>
      </c>
      <c r="O70" s="30" t="s">
        <v>261</v>
      </c>
    </row>
    <row r="71" spans="2:29">
      <c r="B71" s="626" t="s">
        <v>65</v>
      </c>
      <c r="C71" s="627">
        <f>SUM(C65:C70)</f>
        <v>58245570.764151968</v>
      </c>
      <c r="D71" s="628"/>
      <c r="E71" s="627">
        <f>SUM(E65:E70)</f>
        <v>63213917.950334124</v>
      </c>
      <c r="F71" s="751"/>
      <c r="G71" s="752">
        <f>SUM(G65:G70)</f>
        <v>6551490.4563726289</v>
      </c>
      <c r="P71" s="312" t="s">
        <v>269</v>
      </c>
    </row>
    <row r="72" spans="2:29" ht="13.8" thickBot="1">
      <c r="B72" s="25"/>
      <c r="C72" s="26"/>
      <c r="D72" s="27"/>
      <c r="E72" s="26"/>
      <c r="F72" s="28"/>
      <c r="G72" s="29"/>
      <c r="O72" s="335"/>
      <c r="P72" s="336"/>
      <c r="Q72" s="336"/>
      <c r="R72" s="336"/>
      <c r="S72" s="336"/>
      <c r="T72" s="336"/>
      <c r="U72" s="336"/>
      <c r="V72" s="336"/>
      <c r="W72" s="336"/>
      <c r="X72" s="336"/>
      <c r="Y72" s="337"/>
      <c r="AB72">
        <v>860861.64296006202</v>
      </c>
      <c r="AC72">
        <f>AB72*Z74</f>
        <v>0</v>
      </c>
    </row>
    <row r="73" spans="2:29" ht="13.8" thickTop="1">
      <c r="B73" s="745" t="s">
        <v>68</v>
      </c>
      <c r="C73" s="1874" t="str">
        <f>C63</f>
        <v>2022 Forecasted Metered kWh</v>
      </c>
      <c r="D73" s="1876" t="str">
        <f>D63</f>
        <v>2021 Loss Factor</v>
      </c>
      <c r="E73" s="1870">
        <f>E63</f>
        <v>2021</v>
      </c>
      <c r="F73" s="1871"/>
      <c r="G73" s="1872"/>
      <c r="H73" s="30"/>
      <c r="I73" s="972" t="s">
        <v>439</v>
      </c>
      <c r="J73" s="336"/>
      <c r="K73" s="336"/>
      <c r="L73" s="336"/>
      <c r="O73" s="20" t="s">
        <v>263</v>
      </c>
      <c r="P73" s="327"/>
      <c r="Q73" s="327"/>
      <c r="R73" s="327"/>
      <c r="S73" s="327"/>
      <c r="T73" s="327"/>
      <c r="U73" s="327"/>
      <c r="V73" s="327"/>
      <c r="W73" s="327"/>
      <c r="X73" s="327"/>
      <c r="Y73" s="379"/>
    </row>
    <row r="74" spans="2:29">
      <c r="B74" s="746" t="s">
        <v>69</v>
      </c>
      <c r="C74" s="1875"/>
      <c r="D74" s="1877"/>
      <c r="E74" s="747" t="s">
        <v>375</v>
      </c>
      <c r="F74" s="743" t="s">
        <v>339</v>
      </c>
      <c r="G74" s="744" t="s">
        <v>340</v>
      </c>
      <c r="I74" s="967" t="s">
        <v>375</v>
      </c>
      <c r="J74" s="393" t="s">
        <v>444</v>
      </c>
      <c r="K74" s="970" t="s">
        <v>445</v>
      </c>
      <c r="L74" s="970" t="s">
        <v>443</v>
      </c>
      <c r="O74" s="20"/>
      <c r="P74" s="327"/>
      <c r="Q74" s="327"/>
      <c r="R74" s="393" t="s">
        <v>270</v>
      </c>
      <c r="S74" s="327"/>
      <c r="T74" s="327"/>
      <c r="U74" s="327"/>
      <c r="V74" s="327"/>
      <c r="W74" s="327"/>
      <c r="X74" s="327"/>
      <c r="Y74" s="379"/>
      <c r="Z74" s="333"/>
    </row>
    <row r="75" spans="2:29">
      <c r="B75" s="753" t="str">
        <f t="shared" ref="B75:B76" si="43">B65</f>
        <v xml:space="preserve">Residential </v>
      </c>
      <c r="C75" s="631">
        <f t="shared" ref="C75:C80" si="44">F15</f>
        <v>535503.49669089913</v>
      </c>
      <c r="D75" s="632">
        <f t="shared" ref="D75:D77" si="45">D65</f>
        <v>1.0852999999999999</v>
      </c>
      <c r="E75" s="631">
        <f t="shared" ref="E75:E80" si="46">C75*D75</f>
        <v>581181.94495863281</v>
      </c>
      <c r="F75" s="749">
        <f>'Commodity Price'!F17/1000</f>
        <v>0.10279000000000001</v>
      </c>
      <c r="G75" s="754">
        <f>E75*F75</f>
        <v>59739.692122297871</v>
      </c>
      <c r="I75" s="967"/>
      <c r="J75" s="327"/>
      <c r="K75" s="327"/>
      <c r="L75" s="327"/>
      <c r="M75" s="337"/>
      <c r="O75" s="20" t="s">
        <v>254</v>
      </c>
      <c r="P75" s="327"/>
      <c r="Q75" s="327" t="s">
        <v>255</v>
      </c>
      <c r="R75" s="327" t="s">
        <v>232</v>
      </c>
      <c r="S75" s="327"/>
      <c r="T75" s="327" t="s">
        <v>233</v>
      </c>
      <c r="U75" s="327"/>
      <c r="V75" s="327"/>
      <c r="W75" s="327"/>
      <c r="X75" s="327"/>
      <c r="Y75" s="379"/>
      <c r="Z75" s="333"/>
    </row>
    <row r="76" spans="2:29">
      <c r="B76" s="753" t="str">
        <f t="shared" si="43"/>
        <v>General Service &lt; 50 kW</v>
      </c>
      <c r="C76" s="631">
        <f t="shared" si="44"/>
        <v>3102211.519348342</v>
      </c>
      <c r="D76" s="632">
        <f t="shared" si="45"/>
        <v>1.0852999999999999</v>
      </c>
      <c r="E76" s="631">
        <f t="shared" si="46"/>
        <v>3366830.1619487554</v>
      </c>
      <c r="F76" s="750">
        <f>F75</f>
        <v>0.10279000000000001</v>
      </c>
      <c r="G76" s="754">
        <f t="shared" ref="G76:G80" si="47">E76*F76</f>
        <v>346076.4723467126</v>
      </c>
      <c r="I76" s="967"/>
      <c r="J76" s="327"/>
      <c r="K76" s="327"/>
      <c r="L76" s="327"/>
      <c r="M76" s="973" t="s">
        <v>5</v>
      </c>
      <c r="O76" s="20"/>
      <c r="P76" s="327"/>
      <c r="Q76" s="327"/>
      <c r="R76" s="327"/>
      <c r="S76" s="327"/>
      <c r="T76" s="327"/>
      <c r="U76" s="327"/>
      <c r="V76" s="327"/>
      <c r="W76" s="327"/>
      <c r="X76" s="327" t="s">
        <v>268</v>
      </c>
      <c r="Y76" s="379"/>
      <c r="Z76" s="333"/>
    </row>
    <row r="77" spans="2:29">
      <c r="B77" s="968" t="s">
        <v>442</v>
      </c>
      <c r="C77" s="631">
        <f t="shared" si="44"/>
        <v>33045104.083855476</v>
      </c>
      <c r="D77" s="632">
        <f t="shared" si="45"/>
        <v>1.0852999999999999</v>
      </c>
      <c r="E77" s="631">
        <f t="shared" si="46"/>
        <v>35863851.462208346</v>
      </c>
      <c r="F77" s="750">
        <f>F75</f>
        <v>0.10279000000000001</v>
      </c>
      <c r="G77" s="754">
        <f t="shared" si="47"/>
        <v>3686445.2918003961</v>
      </c>
      <c r="H77" s="331"/>
      <c r="I77" s="974"/>
      <c r="J77" s="975"/>
      <c r="K77" s="327"/>
      <c r="L77" s="327"/>
      <c r="M77" s="379"/>
      <c r="O77" s="20" t="s">
        <v>256</v>
      </c>
      <c r="P77" s="327"/>
      <c r="Q77" s="327" t="s">
        <v>63</v>
      </c>
      <c r="R77" s="380">
        <v>7.7368368365435874E-3</v>
      </c>
      <c r="S77" s="738">
        <v>7.4867353041797912E-3</v>
      </c>
      <c r="T77" s="380">
        <v>6.6745326589538675E-3</v>
      </c>
      <c r="U77" s="327"/>
      <c r="V77" s="327"/>
      <c r="W77" s="381">
        <f>'[25]9. RTSR Rates to Forecast'!J39</f>
        <v>7.7368368365435874E-3</v>
      </c>
      <c r="X77" s="382">
        <f>R77-W77</f>
        <v>0</v>
      </c>
      <c r="Y77" s="383" t="e">
        <f>T77-#REF!</f>
        <v>#REF!</v>
      </c>
      <c r="Z77" s="333"/>
    </row>
    <row r="78" spans="2:29">
      <c r="B78" s="753" t="str">
        <f>B68</f>
        <v xml:space="preserve">Street Lights </v>
      </c>
      <c r="C78" s="631">
        <f t="shared" si="44"/>
        <v>562503.03376631439</v>
      </c>
      <c r="D78" s="632">
        <f>D68</f>
        <v>1.0852999999999999</v>
      </c>
      <c r="E78" s="631">
        <f t="shared" si="46"/>
        <v>610484.54254658101</v>
      </c>
      <c r="F78" s="750">
        <f>F75</f>
        <v>0.10279000000000001</v>
      </c>
      <c r="G78" s="754">
        <f t="shared" si="47"/>
        <v>62751.706128363068</v>
      </c>
      <c r="M78" s="379"/>
      <c r="O78" s="20" t="s">
        <v>257</v>
      </c>
      <c r="P78" s="327"/>
      <c r="Q78" s="327" t="s">
        <v>63</v>
      </c>
      <c r="R78" s="380">
        <v>7.736836809709712E-3</v>
      </c>
      <c r="S78" s="738">
        <v>6.8476239429030887E-3</v>
      </c>
      <c r="T78" s="380">
        <v>6.6745323855041247E-3</v>
      </c>
      <c r="U78" s="327"/>
      <c r="V78" s="327"/>
      <c r="W78" s="381">
        <f>'[25]9. RTSR Rates to Forecast'!J40</f>
        <v>7.736836809709712E-3</v>
      </c>
      <c r="X78" s="382">
        <f t="shared" ref="X78:X83" si="48">R78-W78</f>
        <v>0</v>
      </c>
      <c r="Y78" s="383" t="e">
        <f>T78-#REF!</f>
        <v>#REF!</v>
      </c>
      <c r="Z78" s="333"/>
    </row>
    <row r="79" spans="2:29">
      <c r="B79" s="753" t="str">
        <f>B69</f>
        <v>Sentinel Lights</v>
      </c>
      <c r="C79" s="631">
        <f t="shared" si="44"/>
        <v>4038.504718965909</v>
      </c>
      <c r="D79" s="632">
        <f>D69</f>
        <v>1.0852999999999999</v>
      </c>
      <c r="E79" s="631">
        <f t="shared" si="46"/>
        <v>4382.9891714937012</v>
      </c>
      <c r="F79" s="750">
        <f>F75</f>
        <v>0.10279000000000001</v>
      </c>
      <c r="G79" s="754">
        <f t="shared" si="47"/>
        <v>450.5274569378376</v>
      </c>
      <c r="M79" s="379"/>
      <c r="O79" s="20" t="s">
        <v>249</v>
      </c>
      <c r="P79" s="327"/>
      <c r="Q79" s="327" t="s">
        <v>64</v>
      </c>
      <c r="R79" s="380">
        <v>2.4216298897614097</v>
      </c>
      <c r="S79" s="738">
        <v>2.8584720632500615</v>
      </c>
      <c r="T79" s="380">
        <v>1.4416990307865478</v>
      </c>
      <c r="U79" s="327"/>
      <c r="V79" s="327"/>
      <c r="W79" s="381">
        <f>'[25]9. RTSR Rates to Forecast'!J41</f>
        <v>2.4216298897614097</v>
      </c>
      <c r="X79" s="382">
        <f t="shared" si="48"/>
        <v>0</v>
      </c>
      <c r="Y79" s="383" t="e">
        <f>T79-#REF!</f>
        <v>#REF!</v>
      </c>
      <c r="Z79" s="333"/>
    </row>
    <row r="80" spans="2:29">
      <c r="B80" s="753" t="str">
        <f>B70</f>
        <v xml:space="preserve">Unmetered Loads </v>
      </c>
      <c r="C80" s="631">
        <f t="shared" si="44"/>
        <v>53783.950693812105</v>
      </c>
      <c r="D80" s="632">
        <f>D70</f>
        <v>1.0852999999999999</v>
      </c>
      <c r="E80" s="631">
        <f t="shared" si="46"/>
        <v>58371.721687994272</v>
      </c>
      <c r="F80" s="750">
        <f>F75</f>
        <v>0.10279000000000001</v>
      </c>
      <c r="G80" s="754">
        <f t="shared" si="47"/>
        <v>6000.0292723089315</v>
      </c>
      <c r="O80" s="20" t="s">
        <v>250</v>
      </c>
      <c r="P80" s="327"/>
      <c r="Q80" s="327" t="s">
        <v>64</v>
      </c>
      <c r="R80" s="380">
        <v>2.7078926404982528</v>
      </c>
      <c r="S80" s="738">
        <v>3.1936400753094629</v>
      </c>
      <c r="T80" s="380">
        <v>1.6085625309221667</v>
      </c>
      <c r="U80" s="327"/>
      <c r="V80" s="327"/>
      <c r="W80" s="381">
        <f>'[25]9. RTSR Rates to Forecast'!J42</f>
        <v>2.7078926404982528</v>
      </c>
      <c r="X80" s="382">
        <f t="shared" si="48"/>
        <v>0</v>
      </c>
      <c r="Y80" s="383" t="e">
        <f>T80-#REF!</f>
        <v>#REF!</v>
      </c>
      <c r="Z80" s="333"/>
    </row>
    <row r="81" spans="2:26">
      <c r="B81" s="755" t="s">
        <v>65</v>
      </c>
      <c r="C81" s="756">
        <f>SUM(C75:C80)</f>
        <v>37303144.589073807</v>
      </c>
      <c r="D81" s="757"/>
      <c r="E81" s="756">
        <f>SUM(E75:E80)</f>
        <v>40485102.822521798</v>
      </c>
      <c r="F81" s="758"/>
      <c r="G81" s="752">
        <f>SUM(G75:G80)</f>
        <v>4161463.7191270166</v>
      </c>
      <c r="H81" s="30" t="s">
        <v>247</v>
      </c>
      <c r="O81" s="20" t="s">
        <v>251</v>
      </c>
      <c r="P81" s="327"/>
      <c r="Q81" s="327" t="s">
        <v>63</v>
      </c>
      <c r="R81" s="380">
        <v>7.7368422293920746E-3</v>
      </c>
      <c r="S81" s="738">
        <v>6.8476125536060155E-3</v>
      </c>
      <c r="T81" s="380">
        <v>6.674535599270625E-3</v>
      </c>
      <c r="U81" s="327"/>
      <c r="V81" s="327"/>
      <c r="W81" s="381">
        <f>'[25]9. RTSR Rates to Forecast'!J43</f>
        <v>7.7368422293920746E-3</v>
      </c>
      <c r="X81" s="382">
        <f t="shared" si="48"/>
        <v>0</v>
      </c>
      <c r="Y81" s="383" t="e">
        <f>T81-#REF!</f>
        <v>#REF!</v>
      </c>
      <c r="Z81" s="333"/>
    </row>
    <row r="82" spans="2:26" ht="13.8" thickBot="1">
      <c r="O82" s="20" t="s">
        <v>252</v>
      </c>
      <c r="P82" s="327"/>
      <c r="Q82" s="327" t="s">
        <v>64</v>
      </c>
      <c r="R82" s="380">
        <v>1.8336423904109167</v>
      </c>
      <c r="S82" s="738">
        <v>2.1666887646702979</v>
      </c>
      <c r="T82" s="380">
        <v>1.1413576213306393</v>
      </c>
      <c r="U82" s="327"/>
      <c r="V82" s="327"/>
      <c r="W82" s="381">
        <f>'[25]9. RTSR Rates to Forecast'!J44</f>
        <v>1.8336423904109167</v>
      </c>
      <c r="X82" s="382">
        <f t="shared" si="48"/>
        <v>0</v>
      </c>
      <c r="Y82" s="383" t="e">
        <f>T82-#REF!</f>
        <v>#REF!</v>
      </c>
    </row>
    <row r="83" spans="2:26" ht="13.8" thickTop="1">
      <c r="B83" s="759" t="s">
        <v>70</v>
      </c>
      <c r="C83" s="760"/>
      <c r="D83" s="761" t="s">
        <v>71</v>
      </c>
      <c r="E83" s="1870">
        <f>E73</f>
        <v>2021</v>
      </c>
      <c r="F83" s="1871"/>
      <c r="G83" s="1872"/>
      <c r="O83" s="20" t="s">
        <v>253</v>
      </c>
      <c r="P83" s="327"/>
      <c r="Q83" s="327" t="s">
        <v>64</v>
      </c>
      <c r="R83" s="380">
        <v>1.8258922714716779</v>
      </c>
      <c r="S83" s="738">
        <v>2.1557205987338679</v>
      </c>
      <c r="T83" s="380">
        <v>1.1146464141491461</v>
      </c>
      <c r="U83" s="327"/>
      <c r="V83" s="327"/>
      <c r="W83" s="381">
        <f>'[25]9. RTSR Rates to Forecast'!J45</f>
        <v>1.8258922714716779</v>
      </c>
      <c r="X83" s="382">
        <f t="shared" si="48"/>
        <v>0</v>
      </c>
      <c r="Y83" s="383" t="e">
        <f>T83-#REF!</f>
        <v>#REF!</v>
      </c>
    </row>
    <row r="84" spans="2:26">
      <c r="B84" s="746" t="s">
        <v>69</v>
      </c>
      <c r="C84" s="762"/>
      <c r="D84" s="763" t="s">
        <v>72</v>
      </c>
      <c r="E84" s="742" t="s">
        <v>71</v>
      </c>
      <c r="F84" s="743" t="s">
        <v>339</v>
      </c>
      <c r="G84" s="744" t="s">
        <v>340</v>
      </c>
      <c r="O84" s="20"/>
      <c r="P84" s="327"/>
      <c r="Q84" s="327"/>
      <c r="R84" s="327"/>
      <c r="S84" s="327"/>
      <c r="T84" s="327"/>
      <c r="U84" s="327"/>
      <c r="V84" s="327"/>
      <c r="W84" s="327"/>
      <c r="X84" s="327"/>
      <c r="Y84" s="379"/>
    </row>
    <row r="85" spans="2:26">
      <c r="B85" s="764" t="str">
        <f>B75</f>
        <v xml:space="preserve">Residential </v>
      </c>
      <c r="C85" s="631"/>
      <c r="D85" s="765" t="s">
        <v>63</v>
      </c>
      <c r="E85" s="979">
        <f>'[26]9. RTSR Rates to Forecast'!E17</f>
        <v>44201094.343512006</v>
      </c>
      <c r="F85" s="1053">
        <f>'[26]9. RTSR Rates to Forecast'!J39</f>
        <v>7.4867353041797912E-3</v>
      </c>
      <c r="G85" s="754">
        <f t="shared" ref="G85:G91" si="49">E85*F85</f>
        <v>330921.89350495301</v>
      </c>
      <c r="H85" s="740" t="s">
        <v>269</v>
      </c>
      <c r="O85" s="20"/>
      <c r="P85" s="327"/>
      <c r="Q85" s="327"/>
      <c r="R85" s="327"/>
      <c r="S85" s="327"/>
      <c r="T85" s="327"/>
      <c r="U85" s="327"/>
      <c r="V85" s="327"/>
      <c r="W85" s="327"/>
      <c r="X85" s="327"/>
      <c r="Y85" s="379"/>
    </row>
    <row r="86" spans="2:26">
      <c r="B86" s="764" t="str">
        <f>B76</f>
        <v>General Service &lt; 50 kW</v>
      </c>
      <c r="C86" s="631"/>
      <c r="D86" s="765" t="s">
        <v>63</v>
      </c>
      <c r="E86" s="979">
        <f>'[26]9. RTSR Rates to Forecast'!E18</f>
        <v>22299187.702259403</v>
      </c>
      <c r="F86" s="1053">
        <f>'[26]9. RTSR Rates to Forecast'!J40</f>
        <v>6.8476239429030887E-3</v>
      </c>
      <c r="G86" s="754">
        <f t="shared" si="49"/>
        <v>152696.45161728159</v>
      </c>
      <c r="H86" s="740" t="s">
        <v>365</v>
      </c>
      <c r="O86" s="20"/>
      <c r="P86" s="327"/>
      <c r="Q86" s="327"/>
      <c r="R86" s="327"/>
      <c r="S86" s="327"/>
      <c r="T86" s="327"/>
      <c r="U86" s="327"/>
      <c r="V86" s="327"/>
      <c r="W86" s="327"/>
      <c r="X86" s="327"/>
      <c r="Y86" s="379"/>
    </row>
    <row r="87" spans="2:26">
      <c r="B87" s="980" t="s">
        <v>446</v>
      </c>
      <c r="C87" s="631"/>
      <c r="D87" s="765" t="s">
        <v>64</v>
      </c>
      <c r="E87" s="979">
        <f>'[26]9. RTSR Rates to Forecast'!F19</f>
        <v>115031.54000000001</v>
      </c>
      <c r="F87" s="1053">
        <f>'[26]9. RTSR Rates to Forecast'!J41</f>
        <v>2.8584720632500615</v>
      </c>
      <c r="G87" s="754">
        <f t="shared" si="49"/>
        <v>328814.44348263199</v>
      </c>
      <c r="H87" s="741">
        <f>E87/(E87+E88)</f>
        <v>0.91487694222839822</v>
      </c>
      <c r="I87" t="s">
        <v>249</v>
      </c>
      <c r="O87" s="41" t="s">
        <v>239</v>
      </c>
      <c r="P87" s="327"/>
      <c r="Q87" s="327"/>
      <c r="R87" s="317" t="s">
        <v>238</v>
      </c>
      <c r="S87" s="318"/>
      <c r="T87" s="327"/>
      <c r="U87" s="327"/>
      <c r="V87" s="327"/>
      <c r="W87" s="327"/>
      <c r="X87" s="327"/>
      <c r="Y87" s="379"/>
    </row>
    <row r="88" spans="2:26">
      <c r="B88" s="764" t="s">
        <v>272</v>
      </c>
      <c r="C88" s="631"/>
      <c r="D88" s="765" t="s">
        <v>64</v>
      </c>
      <c r="E88" s="979">
        <f>'[26]9. RTSR Rates to Forecast'!F20</f>
        <v>10702.9</v>
      </c>
      <c r="F88" s="1053">
        <f>'[26]9. RTSR Rates to Forecast'!J42</f>
        <v>3.1936400753094629</v>
      </c>
      <c r="G88" s="754">
        <f t="shared" si="49"/>
        <v>34181.210362029648</v>
      </c>
      <c r="H88" s="741">
        <f>1-H87</f>
        <v>8.5123057771601784E-2</v>
      </c>
      <c r="I88" t="s">
        <v>272</v>
      </c>
      <c r="O88" s="20"/>
      <c r="P88" s="327"/>
      <c r="Q88" s="327"/>
      <c r="R88" s="327" t="s">
        <v>232</v>
      </c>
      <c r="S88" s="327" t="s">
        <v>233</v>
      </c>
      <c r="T88" s="327" t="s">
        <v>236</v>
      </c>
      <c r="U88" s="327" t="s">
        <v>141</v>
      </c>
      <c r="V88" s="327"/>
      <c r="W88" s="327"/>
      <c r="X88" s="327"/>
      <c r="Y88" s="379"/>
    </row>
    <row r="89" spans="2:26">
      <c r="B89" s="764" t="str">
        <f>B78</f>
        <v xml:space="preserve">Street Lights </v>
      </c>
      <c r="C89" s="631"/>
      <c r="D89" s="765" t="s">
        <v>64</v>
      </c>
      <c r="E89" s="979">
        <f>'[26]9. RTSR Rates to Forecast'!F23</f>
        <v>2861.6</v>
      </c>
      <c r="F89" s="1053">
        <f>'[26]9. RTSR Rates to Forecast'!J45</f>
        <v>2.1557205987338679</v>
      </c>
      <c r="G89" s="754">
        <f t="shared" si="49"/>
        <v>6168.8100653368365</v>
      </c>
      <c r="H89" s="739"/>
      <c r="O89" s="20" t="s">
        <v>235</v>
      </c>
      <c r="P89" s="327"/>
      <c r="Q89" s="327" t="s">
        <v>64</v>
      </c>
      <c r="R89" s="380">
        <f>R79</f>
        <v>2.4216298897614097</v>
      </c>
      <c r="S89" s="380">
        <f>T79</f>
        <v>1.4416990307865478</v>
      </c>
      <c r="T89" s="384">
        <f>'2020 COP Forecast'!O37</f>
        <v>0</v>
      </c>
      <c r="U89" s="385" t="e">
        <f>T89/T91</f>
        <v>#DIV/0!</v>
      </c>
      <c r="V89" s="327"/>
      <c r="W89" s="380">
        <v>2.4216298897614097</v>
      </c>
      <c r="X89" s="380">
        <v>1.4416990307865478</v>
      </c>
      <c r="Y89" s="386">
        <v>0.91854305137668912</v>
      </c>
    </row>
    <row r="90" spans="2:26">
      <c r="B90" s="764" t="str">
        <f>B79</f>
        <v>Sentinel Lights</v>
      </c>
      <c r="C90" s="631"/>
      <c r="D90" s="765" t="s">
        <v>64</v>
      </c>
      <c r="E90" s="979">
        <f>'[26]9. RTSR Rates to Forecast'!F22</f>
        <v>302</v>
      </c>
      <c r="F90" s="1053">
        <f>'[26]9. RTSR Rates to Forecast'!J44</f>
        <v>2.1666887646702979</v>
      </c>
      <c r="G90" s="754">
        <f t="shared" si="49"/>
        <v>654.34000693042992</v>
      </c>
      <c r="H90" s="739"/>
      <c r="O90" s="20" t="s">
        <v>234</v>
      </c>
      <c r="P90" s="327"/>
      <c r="Q90" s="327" t="s">
        <v>64</v>
      </c>
      <c r="R90" s="380">
        <f>R80</f>
        <v>2.7078926404982528</v>
      </c>
      <c r="S90" s="380">
        <f>T80</f>
        <v>1.6085625309221667</v>
      </c>
      <c r="T90" s="384" t="str">
        <f>'2020 COP Forecast'!O38</f>
        <v>GS&gt;50 excluding interval metered</v>
      </c>
      <c r="U90" s="385" t="e">
        <f>1-U89</f>
        <v>#DIV/0!</v>
      </c>
      <c r="V90" s="327"/>
      <c r="W90" s="380">
        <v>2.7078926404982528</v>
      </c>
      <c r="X90" s="380">
        <v>1.6085625309221667</v>
      </c>
      <c r="Y90" s="386">
        <v>8.1456948623310876E-2</v>
      </c>
    </row>
    <row r="91" spans="2:26">
      <c r="B91" s="764" t="str">
        <f>B80</f>
        <v xml:space="preserve">Unmetered Loads </v>
      </c>
      <c r="C91" s="631"/>
      <c r="D91" s="765" t="s">
        <v>63</v>
      </c>
      <c r="E91" s="979">
        <f>'[26]9. RTSR Rates to Forecast'!$E$21</f>
        <v>586893.6087000001</v>
      </c>
      <c r="F91" s="1053">
        <f>'[26]9. RTSR Rates to Forecast'!J43</f>
        <v>6.8476125536060155E-3</v>
      </c>
      <c r="G91" s="754">
        <f t="shared" si="49"/>
        <v>4018.8200425652572</v>
      </c>
      <c r="H91" s="739"/>
      <c r="O91" s="387" t="s">
        <v>237</v>
      </c>
      <c r="P91" s="388"/>
      <c r="Q91" s="388"/>
      <c r="R91" s="389" t="e">
        <f>R89*U89+R90*U90</f>
        <v>#DIV/0!</v>
      </c>
      <c r="S91" s="389" t="e">
        <f>S89*U89+S90*U90</f>
        <v>#DIV/0!</v>
      </c>
      <c r="T91" s="390">
        <f>SUM(T89:T90)</f>
        <v>0</v>
      </c>
      <c r="U91" s="391" t="e">
        <f>SUM(U89:U90)</f>
        <v>#DIV/0!</v>
      </c>
      <c r="V91" s="338"/>
      <c r="W91" s="389">
        <v>2.4449479799409484</v>
      </c>
      <c r="X91" s="389">
        <v>1.4552912223442007</v>
      </c>
      <c r="Y91" s="392">
        <v>1</v>
      </c>
    </row>
    <row r="92" spans="2:26">
      <c r="B92" s="755" t="s">
        <v>65</v>
      </c>
      <c r="C92" s="756"/>
      <c r="D92" s="757"/>
      <c r="E92" s="756"/>
      <c r="F92" s="758"/>
      <c r="G92" s="752">
        <f>SUM(G85:G91)</f>
        <v>857455.96908172872</v>
      </c>
    </row>
    <row r="93" spans="2:26" ht="13.8" thickBot="1">
      <c r="B93" s="336"/>
      <c r="C93" s="336"/>
      <c r="D93" s="336"/>
      <c r="E93" s="336"/>
      <c r="F93" s="336"/>
      <c r="G93" s="336"/>
      <c r="J93" s="24"/>
      <c r="L93" s="24"/>
    </row>
    <row r="94" spans="2:26" ht="13.8" thickTop="1">
      <c r="B94" s="759" t="s">
        <v>73</v>
      </c>
      <c r="C94" s="760"/>
      <c r="D94" s="768" t="s">
        <v>71</v>
      </c>
      <c r="E94" s="1870">
        <f>E83</f>
        <v>2021</v>
      </c>
      <c r="F94" s="1871"/>
      <c r="G94" s="1872"/>
    </row>
    <row r="95" spans="2:26">
      <c r="B95" s="746" t="s">
        <v>69</v>
      </c>
      <c r="C95" s="762"/>
      <c r="D95" s="767" t="s">
        <v>72</v>
      </c>
      <c r="E95" s="747" t="s">
        <v>71</v>
      </c>
      <c r="F95" s="743" t="s">
        <v>339</v>
      </c>
      <c r="G95" s="744" t="s">
        <v>340</v>
      </c>
      <c r="K95" s="24"/>
      <c r="M95" s="24"/>
      <c r="N95" s="24"/>
    </row>
    <row r="96" spans="2:26">
      <c r="B96" s="764" t="str">
        <f>B85</f>
        <v xml:space="preserve">Residential </v>
      </c>
      <c r="C96" s="631"/>
      <c r="D96" s="765" t="str">
        <f t="shared" ref="D96:E98" si="50">D85</f>
        <v>kWh</v>
      </c>
      <c r="E96" s="631">
        <f t="shared" si="50"/>
        <v>44201094.343512006</v>
      </c>
      <c r="F96" s="1053">
        <f>'[26]9. RTSR Rates to Forecast'!J50</f>
        <v>5.9886670344349996E-3</v>
      </c>
      <c r="G96" s="754">
        <f t="shared" ref="G96:G102" si="51">E96*F96</f>
        <v>264705.63658094167</v>
      </c>
    </row>
    <row r="97" spans="2:14">
      <c r="B97" s="764" t="str">
        <f>B86</f>
        <v>General Service &lt; 50 kW</v>
      </c>
      <c r="C97" s="631"/>
      <c r="D97" s="765" t="str">
        <f t="shared" si="50"/>
        <v>kWh</v>
      </c>
      <c r="E97" s="631">
        <f t="shared" si="50"/>
        <v>22299187.702259403</v>
      </c>
      <c r="F97" s="1053">
        <f>'[26]9. RTSR Rates to Forecast'!J51</f>
        <v>5.4811524999585073E-3</v>
      </c>
      <c r="G97" s="754">
        <f t="shared" si="51"/>
        <v>122225.24842128313</v>
      </c>
    </row>
    <row r="98" spans="2:14">
      <c r="B98" s="764" t="str">
        <f>B87</f>
        <v xml:space="preserve">General Service 50 to 4,999 kW </v>
      </c>
      <c r="C98" s="631"/>
      <c r="D98" s="765" t="str">
        <f t="shared" si="50"/>
        <v>kW</v>
      </c>
      <c r="E98" s="631">
        <f t="shared" si="50"/>
        <v>115031.54000000001</v>
      </c>
      <c r="F98" s="1053">
        <f>'[26]9. RTSR Rates to Forecast'!J52</f>
        <v>2.194288164269794</v>
      </c>
      <c r="G98" s="754">
        <f t="shared" si="51"/>
        <v>252412.34673972739</v>
      </c>
      <c r="H98" s="1042" t="s">
        <v>463</v>
      </c>
    </row>
    <row r="99" spans="2:14">
      <c r="B99" s="764" t="s">
        <v>272</v>
      </c>
      <c r="C99" s="631"/>
      <c r="D99" s="765" t="s">
        <v>64</v>
      </c>
      <c r="E99" s="631">
        <f>E88</f>
        <v>10702.9</v>
      </c>
      <c r="F99" s="1053">
        <f>'[26]9. RTSR Rates to Forecast'!J53</f>
        <v>2.4458127854957286</v>
      </c>
      <c r="G99" s="754">
        <f t="shared" si="51"/>
        <v>26177.289661882231</v>
      </c>
      <c r="I99" s="396"/>
    </row>
    <row r="100" spans="2:14">
      <c r="B100" s="764" t="str">
        <f>B89</f>
        <v xml:space="preserve">Street Lights </v>
      </c>
      <c r="C100" s="631"/>
      <c r="D100" s="765" t="str">
        <f>D89</f>
        <v>kW</v>
      </c>
      <c r="E100" s="631">
        <f>E89</f>
        <v>2861.6</v>
      </c>
      <c r="F100" s="1053">
        <f>'[26]9. RTSR Rates to Forecast'!J56</f>
        <v>1.6965194077766683</v>
      </c>
      <c r="G100" s="754">
        <f t="shared" si="51"/>
        <v>4854.7599372937138</v>
      </c>
      <c r="I100" s="396"/>
    </row>
    <row r="101" spans="2:14">
      <c r="B101" s="764" t="str">
        <f>B90</f>
        <v>Sentinel Lights</v>
      </c>
      <c r="C101" s="631"/>
      <c r="D101" s="765" t="str">
        <f>D90</f>
        <v>kW</v>
      </c>
      <c r="E101" s="631">
        <f>E90</f>
        <v>302</v>
      </c>
      <c r="F101" s="1053">
        <f>'[26]9. RTSR Rates to Forecast'!J55</f>
        <v>1.7317218319369294</v>
      </c>
      <c r="G101" s="754">
        <f t="shared" si="51"/>
        <v>522.97999324495265</v>
      </c>
      <c r="I101" s="396"/>
      <c r="J101" s="397"/>
      <c r="L101" s="397"/>
    </row>
    <row r="102" spans="2:14">
      <c r="B102" s="764" t="str">
        <f>B91</f>
        <v xml:space="preserve">Unmetered Loads </v>
      </c>
      <c r="C102" s="631"/>
      <c r="D102" s="765" t="str">
        <f>D91</f>
        <v>kWh</v>
      </c>
      <c r="E102" s="631">
        <f>E91</f>
        <v>586893.6087000001</v>
      </c>
      <c r="F102" s="1053">
        <f>'[26]9. RTSR Rates to Forecast'!J54</f>
        <v>5.4811637250149758E-3</v>
      </c>
      <c r="G102" s="754">
        <f t="shared" si="51"/>
        <v>3216.8599584495742</v>
      </c>
    </row>
    <row r="103" spans="2:14">
      <c r="B103" s="755" t="s">
        <v>65</v>
      </c>
      <c r="C103" s="756"/>
      <c r="D103" s="757"/>
      <c r="E103" s="756"/>
      <c r="F103" s="758" t="s">
        <v>247</v>
      </c>
      <c r="G103" s="752">
        <f>SUM(G96:G102)</f>
        <v>674115.12129282276</v>
      </c>
      <c r="K103" s="397"/>
      <c r="M103" s="397"/>
      <c r="N103" s="397"/>
    </row>
    <row r="104" spans="2:14" ht="13.8" thickBot="1"/>
    <row r="105" spans="2:14" ht="13.8" thickTop="1">
      <c r="B105" s="759" t="s">
        <v>74</v>
      </c>
      <c r="C105" s="760"/>
      <c r="D105" s="768" t="s">
        <v>71</v>
      </c>
      <c r="E105" s="1870">
        <v>2021</v>
      </c>
      <c r="F105" s="1871"/>
      <c r="G105" s="1872"/>
    </row>
    <row r="106" spans="2:14">
      <c r="B106" s="746" t="s">
        <v>69</v>
      </c>
      <c r="C106" s="762"/>
      <c r="D106" s="767" t="s">
        <v>72</v>
      </c>
      <c r="E106" s="747" t="s">
        <v>71</v>
      </c>
      <c r="F106" s="743" t="s">
        <v>339</v>
      </c>
      <c r="G106" s="744" t="s">
        <v>340</v>
      </c>
    </row>
    <row r="107" spans="2:14">
      <c r="B107" s="621" t="str">
        <f>B96</f>
        <v xml:space="preserve">Residential </v>
      </c>
      <c r="C107" s="622"/>
      <c r="D107" s="623" t="s">
        <v>63</v>
      </c>
      <c r="E107" s="622">
        <f>E65+E75</f>
        <v>43577621.989006683</v>
      </c>
      <c r="F107" s="624">
        <v>3.3999999999999998E-3</v>
      </c>
      <c r="G107" s="625">
        <f t="shared" ref="G107:G113" si="52">E107*F107</f>
        <v>148163.91476262271</v>
      </c>
    </row>
    <row r="108" spans="2:14">
      <c r="B108" s="621" t="str">
        <f>B97</f>
        <v>General Service &lt; 50 kW</v>
      </c>
      <c r="C108" s="622"/>
      <c r="D108" s="623" t="s">
        <v>63</v>
      </c>
      <c r="E108" s="622">
        <f>E66+E76</f>
        <v>19993823.023522999</v>
      </c>
      <c r="F108" s="766">
        <f>F107</f>
        <v>3.3999999999999998E-3</v>
      </c>
      <c r="G108" s="625">
        <f t="shared" si="52"/>
        <v>67978.998279978186</v>
      </c>
    </row>
    <row r="109" spans="2:14">
      <c r="B109" s="981" t="s">
        <v>442</v>
      </c>
      <c r="C109" s="622"/>
      <c r="D109" s="623" t="s">
        <v>63</v>
      </c>
      <c r="E109" s="622">
        <f>E67+E77</f>
        <v>38730643.84735325</v>
      </c>
      <c r="F109" s="766">
        <f>F108</f>
        <v>3.3999999999999998E-3</v>
      </c>
      <c r="G109" s="625">
        <f t="shared" si="52"/>
        <v>131684.18908100104</v>
      </c>
    </row>
    <row r="110" spans="2:14">
      <c r="B110" s="981" t="s">
        <v>439</v>
      </c>
      <c r="C110" s="622"/>
      <c r="D110" s="623" t="s">
        <v>63</v>
      </c>
      <c r="E110" s="622" t="e">
        <f>#REF!</f>
        <v>#REF!</v>
      </c>
      <c r="F110" s="766"/>
      <c r="G110" s="982">
        <f>140*12</f>
        <v>1680</v>
      </c>
    </row>
    <row r="111" spans="2:14">
      <c r="B111" s="621" t="str">
        <f>B100</f>
        <v xml:space="preserve">Street Lights </v>
      </c>
      <c r="C111" s="622"/>
      <c r="D111" s="623" t="s">
        <v>63</v>
      </c>
      <c r="E111" s="622">
        <f>E68+E78</f>
        <v>698494.73880000005</v>
      </c>
      <c r="F111" s="766">
        <f>F109</f>
        <v>3.3999999999999998E-3</v>
      </c>
      <c r="G111" s="625">
        <f t="shared" si="52"/>
        <v>2374.8821119200002</v>
      </c>
    </row>
    <row r="112" spans="2:14">
      <c r="B112" s="621" t="str">
        <f>B101</f>
        <v>Sentinel Lights</v>
      </c>
      <c r="C112" s="622"/>
      <c r="D112" s="623" t="s">
        <v>63</v>
      </c>
      <c r="E112" s="622">
        <f>E69+E79</f>
        <v>93009.820706164915</v>
      </c>
      <c r="F112" s="766">
        <f>F111</f>
        <v>3.3999999999999998E-3</v>
      </c>
      <c r="G112" s="625">
        <f t="shared" si="52"/>
        <v>316.23339040096067</v>
      </c>
    </row>
    <row r="113" spans="2:7">
      <c r="B113" s="621" t="str">
        <f>B102</f>
        <v xml:space="preserve">Unmetered Loads </v>
      </c>
      <c r="C113" s="622"/>
      <c r="D113" s="623" t="s">
        <v>63</v>
      </c>
      <c r="E113" s="622">
        <f>E70+E80</f>
        <v>605427.3534668358</v>
      </c>
      <c r="F113" s="766">
        <f>F112</f>
        <v>3.3999999999999998E-3</v>
      </c>
      <c r="G113" s="625">
        <f t="shared" si="52"/>
        <v>2058.4530017872416</v>
      </c>
    </row>
    <row r="114" spans="2:7">
      <c r="B114" s="626" t="s">
        <v>65</v>
      </c>
      <c r="C114" s="627"/>
      <c r="D114" s="628"/>
      <c r="E114" s="627" t="e">
        <f>SUM(E107:E113)</f>
        <v>#REF!</v>
      </c>
      <c r="F114" s="629"/>
      <c r="G114" s="630">
        <f>SUM(G107:G113)</f>
        <v>354256.67062771012</v>
      </c>
    </row>
    <row r="115" spans="2:7" ht="13.8" thickBot="1">
      <c r="B115" s="25"/>
      <c r="C115" s="26"/>
      <c r="D115" s="27"/>
      <c r="E115" s="26"/>
      <c r="F115" s="28"/>
      <c r="G115" s="316"/>
    </row>
    <row r="116" spans="2:7" ht="13.8" thickTop="1">
      <c r="B116" s="759" t="s">
        <v>75</v>
      </c>
      <c r="C116" s="760"/>
      <c r="D116" s="768" t="s">
        <v>71</v>
      </c>
      <c r="E116" s="1870">
        <f>E105</f>
        <v>2021</v>
      </c>
      <c r="F116" s="1871"/>
      <c r="G116" s="1872"/>
    </row>
    <row r="117" spans="2:7">
      <c r="B117" s="746" t="s">
        <v>69</v>
      </c>
      <c r="C117" s="762"/>
      <c r="D117" s="767" t="s">
        <v>72</v>
      </c>
      <c r="E117" s="747" t="s">
        <v>71</v>
      </c>
      <c r="F117" s="743" t="s">
        <v>339</v>
      </c>
      <c r="G117" s="744" t="s">
        <v>340</v>
      </c>
    </row>
    <row r="118" spans="2:7">
      <c r="B118" s="621" t="str">
        <f>B107</f>
        <v xml:space="preserve">Residential </v>
      </c>
      <c r="C118" s="622"/>
      <c r="D118" s="623" t="str">
        <f t="shared" ref="D118:E124" si="53">D107</f>
        <v>kWh</v>
      </c>
      <c r="E118" s="622">
        <f t="shared" si="53"/>
        <v>43577621.989006683</v>
      </c>
      <c r="F118" s="624">
        <v>5.0000000000000001E-4</v>
      </c>
      <c r="G118" s="625">
        <f t="shared" ref="G118:G124" si="54">E118*F118</f>
        <v>21788.810994503343</v>
      </c>
    </row>
    <row r="119" spans="2:7">
      <c r="B119" s="621" t="str">
        <f>B108</f>
        <v>General Service &lt; 50 kW</v>
      </c>
      <c r="C119" s="622"/>
      <c r="D119" s="623" t="str">
        <f t="shared" si="53"/>
        <v>kWh</v>
      </c>
      <c r="E119" s="622">
        <f t="shared" si="53"/>
        <v>19993823.023522999</v>
      </c>
      <c r="F119" s="766">
        <f>F118</f>
        <v>5.0000000000000001E-4</v>
      </c>
      <c r="G119" s="625">
        <f t="shared" si="54"/>
        <v>9996.9115117615002</v>
      </c>
    </row>
    <row r="120" spans="2:7">
      <c r="B120" s="621" t="s">
        <v>442</v>
      </c>
      <c r="C120" s="622"/>
      <c r="D120" s="623" t="str">
        <f t="shared" si="53"/>
        <v>kWh</v>
      </c>
      <c r="E120" s="622">
        <f t="shared" si="53"/>
        <v>38730643.84735325</v>
      </c>
      <c r="F120" s="766">
        <f>F119</f>
        <v>5.0000000000000001E-4</v>
      </c>
      <c r="G120" s="625">
        <f t="shared" si="54"/>
        <v>19365.321923676624</v>
      </c>
    </row>
    <row r="121" spans="2:7">
      <c r="B121" s="621" t="s">
        <v>439</v>
      </c>
      <c r="C121" s="622"/>
      <c r="D121" s="623" t="str">
        <f t="shared" si="53"/>
        <v>kWh</v>
      </c>
      <c r="E121" s="622" t="e">
        <f t="shared" si="53"/>
        <v>#REF!</v>
      </c>
      <c r="F121" s="766">
        <f>F120</f>
        <v>5.0000000000000001E-4</v>
      </c>
      <c r="G121" s="625" t="e">
        <f t="shared" ref="G121" si="55">E121*F121</f>
        <v>#REF!</v>
      </c>
    </row>
    <row r="122" spans="2:7">
      <c r="B122" s="621" t="str">
        <f>B111</f>
        <v xml:space="preserve">Street Lights </v>
      </c>
      <c r="C122" s="622"/>
      <c r="D122" s="623" t="str">
        <f t="shared" si="53"/>
        <v>kWh</v>
      </c>
      <c r="E122" s="622">
        <f t="shared" si="53"/>
        <v>698494.73880000005</v>
      </c>
      <c r="F122" s="766">
        <f>F120</f>
        <v>5.0000000000000001E-4</v>
      </c>
      <c r="G122" s="625">
        <f t="shared" si="54"/>
        <v>349.24736940000003</v>
      </c>
    </row>
    <row r="123" spans="2:7">
      <c r="B123" s="621" t="str">
        <f>B112</f>
        <v>Sentinel Lights</v>
      </c>
      <c r="C123" s="622"/>
      <c r="D123" s="623" t="str">
        <f t="shared" si="53"/>
        <v>kWh</v>
      </c>
      <c r="E123" s="622">
        <f t="shared" si="53"/>
        <v>93009.820706164915</v>
      </c>
      <c r="F123" s="766">
        <f>F122</f>
        <v>5.0000000000000001E-4</v>
      </c>
      <c r="G123" s="625">
        <f t="shared" si="54"/>
        <v>46.504910353082458</v>
      </c>
    </row>
    <row r="124" spans="2:7">
      <c r="B124" s="621" t="str">
        <f>B113</f>
        <v xml:space="preserve">Unmetered Loads </v>
      </c>
      <c r="C124" s="622"/>
      <c r="D124" s="623" t="str">
        <f t="shared" si="53"/>
        <v>kWh</v>
      </c>
      <c r="E124" s="622">
        <f t="shared" si="53"/>
        <v>605427.3534668358</v>
      </c>
      <c r="F124" s="766">
        <f>F123</f>
        <v>5.0000000000000001E-4</v>
      </c>
      <c r="G124" s="625">
        <f t="shared" si="54"/>
        <v>302.71367673341791</v>
      </c>
    </row>
    <row r="125" spans="2:7" ht="13.5" customHeight="1">
      <c r="B125" s="626" t="s">
        <v>65</v>
      </c>
      <c r="C125" s="627"/>
      <c r="D125" s="628"/>
      <c r="E125" s="627" t="e">
        <f>SUM(E118:E124)</f>
        <v>#REF!</v>
      </c>
      <c r="F125" s="629"/>
      <c r="G125" s="630" t="e">
        <f>SUM(G118:G124)</f>
        <v>#REF!</v>
      </c>
    </row>
    <row r="126" spans="2:7" ht="13.5" customHeight="1" thickBot="1">
      <c r="B126" s="25"/>
      <c r="C126" s="26"/>
      <c r="D126" s="27"/>
      <c r="E126" s="26"/>
      <c r="F126" s="28"/>
      <c r="G126" s="316"/>
    </row>
    <row r="127" spans="2:7" ht="13.5" customHeight="1" thickTop="1">
      <c r="B127" s="759" t="s">
        <v>229</v>
      </c>
      <c r="C127" s="760"/>
      <c r="D127" s="768" t="s">
        <v>71</v>
      </c>
      <c r="E127" s="1870">
        <f>E116</f>
        <v>2021</v>
      </c>
      <c r="F127" s="1871"/>
      <c r="G127" s="1872"/>
    </row>
    <row r="128" spans="2:7" ht="13.5" customHeight="1">
      <c r="B128" s="746" t="s">
        <v>69</v>
      </c>
      <c r="C128" s="762"/>
      <c r="D128" s="767" t="s">
        <v>72</v>
      </c>
      <c r="E128" s="747" t="s">
        <v>71</v>
      </c>
      <c r="F128" s="743" t="s">
        <v>339</v>
      </c>
      <c r="G128" s="744" t="s">
        <v>340</v>
      </c>
    </row>
    <row r="129" spans="2:9" ht="13.5" customHeight="1">
      <c r="B129" s="621" t="str">
        <f t="shared" ref="B129:B134" si="56">B15</f>
        <v xml:space="preserve">Residential </v>
      </c>
      <c r="C129" s="622"/>
      <c r="D129" s="623" t="str">
        <f>D85</f>
        <v>kWh</v>
      </c>
      <c r="E129" s="622">
        <f>D15</f>
        <v>40152604.799600743</v>
      </c>
      <c r="F129" s="1053">
        <f>'[27]Low Voltage Rates'!E6</f>
        <v>4.6475792588182617E-3</v>
      </c>
      <c r="G129" s="625">
        <f t="shared" ref="G129:G134" si="57">E129*F129</f>
        <v>186612.413254151</v>
      </c>
    </row>
    <row r="130" spans="2:9" ht="13.5" customHeight="1">
      <c r="B130" s="621" t="str">
        <f t="shared" si="56"/>
        <v>General Service &lt; 50 kW</v>
      </c>
      <c r="C130" s="622"/>
      <c r="D130" s="623" t="str">
        <f>D86</f>
        <v>kWh</v>
      </c>
      <c r="E130" s="622">
        <f>D16</f>
        <v>18422392.908433612</v>
      </c>
      <c r="F130" s="1053">
        <f>'[27]Low Voltage Rates'!E7</f>
        <v>4.2537163156258816E-3</v>
      </c>
      <c r="G130" s="625">
        <f t="shared" si="57"/>
        <v>78363.6332874746</v>
      </c>
    </row>
    <row r="131" spans="2:9" ht="13.5" customHeight="1">
      <c r="B131" s="621" t="str">
        <f t="shared" si="56"/>
        <v>General Service 50 to 4,999 kW</v>
      </c>
      <c r="C131" s="622"/>
      <c r="D131" s="623" t="str">
        <f>D87</f>
        <v>kW</v>
      </c>
      <c r="E131" s="622">
        <f>M17</f>
        <v>105773.85165015483</v>
      </c>
      <c r="F131" s="1053">
        <f>'[27]Low Voltage Rates'!E8</f>
        <v>1.7195204383792004</v>
      </c>
      <c r="G131" s="625">
        <f t="shared" si="57"/>
        <v>181880.29975853075</v>
      </c>
      <c r="H131" t="s">
        <v>463</v>
      </c>
    </row>
    <row r="132" spans="2:9" ht="13.5" customHeight="1">
      <c r="B132" s="621" t="str">
        <f t="shared" si="56"/>
        <v xml:space="preserve">Street Lights </v>
      </c>
      <c r="C132" s="622"/>
      <c r="D132" s="623" t="str">
        <f>D89</f>
        <v>kW</v>
      </c>
      <c r="E132" s="622">
        <f>M18</f>
        <v>1745.6</v>
      </c>
      <c r="F132" s="1053">
        <f>'[27]Low Voltage Rates'!E9</f>
        <v>1.3166049083090101</v>
      </c>
      <c r="G132" s="625">
        <f t="shared" si="57"/>
        <v>2298.2655279442079</v>
      </c>
    </row>
    <row r="133" spans="2:9" ht="13.5" customHeight="1">
      <c r="B133" s="621" t="str">
        <f t="shared" si="56"/>
        <v>Sentinel Lights</v>
      </c>
      <c r="C133" s="622"/>
      <c r="D133" s="623" t="str">
        <f>D90</f>
        <v>kW</v>
      </c>
      <c r="E133" s="622">
        <f>M19</f>
        <v>238.05455917504869</v>
      </c>
      <c r="F133" s="1053">
        <f>'[27]Low Voltage Rates'!E10</f>
        <v>1.3439241857787063</v>
      </c>
      <c r="G133" s="625">
        <f t="shared" si="57"/>
        <v>319.92727961023616</v>
      </c>
    </row>
    <row r="134" spans="2:9" ht="13.5" customHeight="1">
      <c r="B134" s="621" t="str">
        <f t="shared" si="56"/>
        <v xml:space="preserve">Unmetered Loads </v>
      </c>
      <c r="C134" s="622"/>
      <c r="D134" s="623" t="str">
        <f>D91</f>
        <v>kWh</v>
      </c>
      <c r="E134" s="622">
        <f>D20</f>
        <v>557843.31840674079</v>
      </c>
      <c r="F134" s="1053">
        <f>'[27]Low Voltage Rates'!E11</f>
        <v>4.2537250269700459E-3</v>
      </c>
      <c r="G134" s="625">
        <f t="shared" si="57"/>
        <v>2372.9120846347732</v>
      </c>
      <c r="H134" s="19"/>
      <c r="I134" s="398" t="s">
        <v>10</v>
      </c>
    </row>
    <row r="135" spans="2:9" ht="13.5" customHeight="1">
      <c r="B135" s="626" t="s">
        <v>65</v>
      </c>
      <c r="C135" s="627"/>
      <c r="D135" s="628"/>
      <c r="E135" s="627"/>
      <c r="F135" s="629"/>
      <c r="G135" s="630">
        <f>SUM(G129:G134)</f>
        <v>451847.45119234559</v>
      </c>
      <c r="H135" s="19">
        <f>'[27]Low Voltage Rates'!$B$12</f>
        <v>486897.97644599993</v>
      </c>
      <c r="I135" s="342">
        <f>G135-H135</f>
        <v>-35050.525253654341</v>
      </c>
    </row>
    <row r="136" spans="2:9" ht="13.8" thickBot="1">
      <c r="B136" s="25"/>
      <c r="C136" s="26"/>
      <c r="D136" s="27"/>
      <c r="E136" s="26"/>
      <c r="F136" s="28"/>
      <c r="G136" s="316"/>
    </row>
    <row r="137" spans="2:9" ht="13.8" thickTop="1">
      <c r="B137" s="759" t="s">
        <v>240</v>
      </c>
      <c r="C137" s="760"/>
      <c r="D137" s="768"/>
      <c r="E137" s="1870">
        <f>E127</f>
        <v>2021</v>
      </c>
      <c r="F137" s="1871"/>
      <c r="G137" s="1872"/>
    </row>
    <row r="138" spans="2:9">
      <c r="B138" s="746" t="s">
        <v>69</v>
      </c>
      <c r="C138" s="762"/>
      <c r="D138" s="767" t="s">
        <v>230</v>
      </c>
      <c r="E138" s="747" t="s">
        <v>71</v>
      </c>
      <c r="F138" s="743" t="s">
        <v>339</v>
      </c>
      <c r="G138" s="744" t="s">
        <v>340</v>
      </c>
    </row>
    <row r="139" spans="2:9" ht="13.8">
      <c r="B139" s="764" t="s">
        <v>1</v>
      </c>
      <c r="C139" s="769"/>
      <c r="D139" s="770"/>
      <c r="E139" s="631">
        <f>'Rate Class Customer Model'!B15</f>
        <v>5126</v>
      </c>
      <c r="F139" s="771">
        <v>0.25</v>
      </c>
      <c r="G139" s="754">
        <f>E139*F139*12</f>
        <v>15378</v>
      </c>
    </row>
    <row r="140" spans="2:9" ht="13.8">
      <c r="B140" s="764" t="s">
        <v>110</v>
      </c>
      <c r="C140" s="769"/>
      <c r="D140" s="772"/>
      <c r="E140" s="631">
        <f>'Rate Class Customer Model'!C15</f>
        <v>728</v>
      </c>
      <c r="F140" s="771">
        <f>F139</f>
        <v>0.25</v>
      </c>
      <c r="G140" s="754">
        <f>E140*F140*12</f>
        <v>2184</v>
      </c>
    </row>
    <row r="141" spans="2:9" ht="13.8">
      <c r="B141" s="755" t="s">
        <v>65</v>
      </c>
      <c r="C141" s="773"/>
      <c r="D141" s="774"/>
      <c r="E141" s="773"/>
      <c r="F141" s="775"/>
      <c r="G141" s="752">
        <f>SUM(G139:G140)</f>
        <v>17562</v>
      </c>
    </row>
    <row r="142" spans="2:9" ht="13.5" customHeight="1">
      <c r="B142" s="25"/>
      <c r="C142" s="26"/>
      <c r="D142" s="27"/>
      <c r="E142" s="26"/>
      <c r="F142" s="28"/>
      <c r="G142" s="316"/>
    </row>
    <row r="143" spans="2:9" ht="13.8" thickBot="1">
      <c r="B143" s="25"/>
      <c r="C143" s="26"/>
      <c r="D143" s="27"/>
      <c r="E143" s="26"/>
      <c r="F143" s="28"/>
      <c r="G143" s="316"/>
    </row>
    <row r="144" spans="2:9" ht="13.8" thickTop="1">
      <c r="B144" s="793" t="s">
        <v>452</v>
      </c>
      <c r="C144" s="796" t="s">
        <v>340</v>
      </c>
    </row>
    <row r="145" spans="2:5">
      <c r="B145" s="794"/>
      <c r="C145" s="631"/>
    </row>
    <row r="146" spans="2:5">
      <c r="B146" s="794" t="s">
        <v>76</v>
      </c>
      <c r="C146" s="754">
        <f>G71+G81</f>
        <v>10712954.175499646</v>
      </c>
    </row>
    <row r="147" spans="2:5">
      <c r="B147" s="794" t="s">
        <v>78</v>
      </c>
      <c r="C147" s="754">
        <f>G92</f>
        <v>857455.96908172872</v>
      </c>
    </row>
    <row r="148" spans="2:5">
      <c r="B148" s="794" t="s">
        <v>79</v>
      </c>
      <c r="C148" s="754">
        <f>G103</f>
        <v>674115.12129282276</v>
      </c>
    </row>
    <row r="149" spans="2:5">
      <c r="B149" s="794" t="s">
        <v>77</v>
      </c>
      <c r="C149" s="754">
        <f>G114</f>
        <v>354256.67062771012</v>
      </c>
    </row>
    <row r="150" spans="2:5">
      <c r="B150" s="794" t="s">
        <v>80</v>
      </c>
      <c r="C150" s="754" t="e">
        <f>G125</f>
        <v>#REF!</v>
      </c>
    </row>
    <row r="151" spans="2:5">
      <c r="B151" s="794" t="s">
        <v>81</v>
      </c>
      <c r="C151" s="754">
        <f>G135</f>
        <v>451847.45119234559</v>
      </c>
    </row>
    <row r="152" spans="2:5">
      <c r="B152" s="795" t="s">
        <v>109</v>
      </c>
      <c r="C152" s="754">
        <f>G141</f>
        <v>17562</v>
      </c>
    </row>
    <row r="153" spans="2:5">
      <c r="B153" s="795"/>
      <c r="C153" s="754"/>
    </row>
    <row r="154" spans="2:5">
      <c r="B154" s="776" t="s">
        <v>376</v>
      </c>
      <c r="C154" s="756" t="e">
        <f>SUM(C146:C152)</f>
        <v>#REF!</v>
      </c>
    </row>
    <row r="155" spans="2:5">
      <c r="C155" s="331">
        <v>15232815.048253603</v>
      </c>
      <c r="D155" s="331"/>
    </row>
    <row r="156" spans="2:5">
      <c r="C156" s="792" t="e">
        <f>C154-C155</f>
        <v>#REF!</v>
      </c>
      <c r="D156" s="813"/>
      <c r="E156" s="792"/>
    </row>
  </sheetData>
  <mergeCells count="13">
    <mergeCell ref="E137:G137"/>
    <mergeCell ref="B1:E1"/>
    <mergeCell ref="C63:C64"/>
    <mergeCell ref="D63:D64"/>
    <mergeCell ref="C73:C74"/>
    <mergeCell ref="D73:D74"/>
    <mergeCell ref="E73:G73"/>
    <mergeCell ref="E63:G63"/>
    <mergeCell ref="E83:G83"/>
    <mergeCell ref="E94:G94"/>
    <mergeCell ref="E105:G105"/>
    <mergeCell ref="E116:G116"/>
    <mergeCell ref="E127:G127"/>
  </mergeCells>
  <pageMargins left="0.7" right="0.7" top="0.75" bottom="0.75" header="0.3" footer="0.3"/>
  <pageSetup scale="23" orientation="portrait" r:id="rId1"/>
  <headerFooter>
    <oddFooter>&amp;Z&amp;F</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F5259-3A0A-4ADD-8443-7B3DDA439575}">
  <sheetPr>
    <tabColor rgb="FFFFC000"/>
  </sheetPr>
  <dimension ref="A1:AA72"/>
  <sheetViews>
    <sheetView topLeftCell="A25" workbookViewId="0">
      <selection activeCell="D43" sqref="D43"/>
    </sheetView>
  </sheetViews>
  <sheetFormatPr defaultColWidth="9.109375" defaultRowHeight="13.2" outlineLevelRow="1"/>
  <cols>
    <col min="1" max="1" width="9.109375" style="1480"/>
    <col min="2" max="2" width="43.109375" style="1480" customWidth="1"/>
    <col min="3" max="3" width="7.109375" style="1480" customWidth="1"/>
    <col min="4" max="4" width="10.109375" style="1480" customWidth="1"/>
    <col min="5" max="5" width="7.5546875" style="1480" customWidth="1"/>
    <col min="6" max="6" width="20.109375" style="1480" customWidth="1"/>
    <col min="7" max="7" width="14.5546875" style="1480" customWidth="1"/>
    <col min="8" max="10" width="17.44140625" style="1480" customWidth="1"/>
    <col min="11" max="11" width="21.109375" style="1480" customWidth="1"/>
    <col min="12" max="12" width="16.5546875" style="1480" customWidth="1"/>
    <col min="13" max="13" width="12.44140625" style="1480" bestFit="1" customWidth="1"/>
    <col min="14" max="14" width="12" style="1480" bestFit="1" customWidth="1"/>
    <col min="15" max="16384" width="9.109375" style="1480"/>
  </cols>
  <sheetData>
    <row r="1" spans="1:27">
      <c r="B1" s="1481"/>
    </row>
    <row r="2" spans="1:27" ht="14.4">
      <c r="A2" s="1482"/>
      <c r="B2" s="1482"/>
      <c r="C2" s="1482"/>
      <c r="D2" s="1482"/>
      <c r="E2" s="1482"/>
      <c r="K2" s="1483" t="s">
        <v>181</v>
      </c>
      <c r="L2" s="1484" t="s">
        <v>665</v>
      </c>
    </row>
    <row r="3" spans="1:27" ht="17.399999999999999">
      <c r="A3" s="1482"/>
      <c r="C3" s="1485"/>
      <c r="D3" s="1485"/>
      <c r="E3" s="1485"/>
      <c r="F3" s="1485"/>
      <c r="G3" s="1485"/>
      <c r="H3" s="1485"/>
      <c r="I3" s="1485"/>
      <c r="J3" s="1485"/>
      <c r="K3" s="1483" t="s">
        <v>184</v>
      </c>
      <c r="L3" s="1486"/>
    </row>
    <row r="4" spans="1:27">
      <c r="B4" s="1879" t="s">
        <v>666</v>
      </c>
      <c r="C4" s="1879"/>
      <c r="D4" s="1879"/>
      <c r="E4" s="1879"/>
      <c r="F4" s="1879"/>
      <c r="G4" s="1879"/>
      <c r="H4" s="1879"/>
      <c r="I4" s="1879"/>
      <c r="K4" s="1483" t="s">
        <v>185</v>
      </c>
      <c r="L4" s="1486"/>
    </row>
    <row r="5" spans="1:27" ht="18" customHeight="1">
      <c r="B5" s="1879"/>
      <c r="C5" s="1879"/>
      <c r="D5" s="1879"/>
      <c r="E5" s="1879"/>
      <c r="F5" s="1879"/>
      <c r="G5" s="1879"/>
      <c r="H5" s="1879"/>
      <c r="I5" s="1879"/>
      <c r="J5" s="1485"/>
      <c r="K5" s="1483" t="s">
        <v>186</v>
      </c>
      <c r="L5" s="1486"/>
    </row>
    <row r="6" spans="1:27" ht="15" customHeight="1">
      <c r="B6" s="1879"/>
      <c r="C6" s="1879"/>
      <c r="D6" s="1879"/>
      <c r="E6" s="1879"/>
      <c r="F6" s="1879"/>
      <c r="G6" s="1879"/>
      <c r="H6" s="1879"/>
      <c r="I6" s="1879"/>
      <c r="J6" s="1485"/>
      <c r="K6" s="1483" t="s">
        <v>187</v>
      </c>
      <c r="L6" s="1484"/>
    </row>
    <row r="7" spans="1:27">
      <c r="B7" s="1487"/>
      <c r="K7" s="1483"/>
      <c r="L7" s="1488"/>
    </row>
    <row r="8" spans="1:27">
      <c r="B8" s="1487"/>
      <c r="K8" s="1483" t="s">
        <v>188</v>
      </c>
      <c r="L8" s="1484"/>
    </row>
    <row r="9" spans="1:27">
      <c r="B9" s="1487"/>
    </row>
    <row r="10" spans="1:27" ht="14.4" thickBot="1">
      <c r="A10" s="1489"/>
      <c r="B10" s="1490"/>
      <c r="C10" s="1491"/>
      <c r="D10" s="1492"/>
      <c r="E10" s="1492"/>
      <c r="F10" s="1492"/>
      <c r="G10" s="1489"/>
      <c r="H10" s="1489"/>
      <c r="I10" s="1489"/>
      <c r="J10" s="1489"/>
      <c r="K10" s="1489"/>
      <c r="L10" s="1492"/>
      <c r="Q10" s="1493"/>
      <c r="R10" s="1493"/>
      <c r="S10" s="1493"/>
      <c r="T10" s="1493"/>
      <c r="U10" s="1493"/>
      <c r="V10" s="1493"/>
      <c r="Y10" s="1494"/>
      <c r="Z10" s="1494"/>
      <c r="AA10" s="1494"/>
    </row>
    <row r="11" spans="1:27" ht="15.6">
      <c r="A11" s="1495"/>
      <c r="B11" s="1496"/>
      <c r="C11" s="1493"/>
      <c r="D11" s="1493"/>
      <c r="E11" s="1493"/>
      <c r="F11" s="1493"/>
      <c r="G11" s="1494"/>
      <c r="H11" s="1493"/>
      <c r="I11" s="1493"/>
      <c r="J11" s="1493"/>
      <c r="K11" s="1493"/>
      <c r="L11" s="1497"/>
      <c r="M11" s="1498"/>
      <c r="N11" s="1496"/>
      <c r="O11" s="1493"/>
      <c r="P11" s="1493"/>
      <c r="Q11" s="1493"/>
      <c r="R11" s="1493"/>
      <c r="S11" s="1493"/>
      <c r="T11" s="1493"/>
      <c r="U11" s="1493"/>
      <c r="V11" s="1493"/>
      <c r="Y11" s="1494"/>
      <c r="Z11" s="1494"/>
      <c r="AA11" s="1494"/>
    </row>
    <row r="12" spans="1:27" ht="15.6">
      <c r="A12" s="1497" t="s">
        <v>667</v>
      </c>
      <c r="B12" s="1498" t="s">
        <v>668</v>
      </c>
      <c r="C12" s="1496"/>
      <c r="D12" s="1493"/>
      <c r="E12" s="1493"/>
      <c r="F12" s="1493"/>
      <c r="G12" s="1494"/>
      <c r="H12" s="1493"/>
      <c r="I12" s="1493"/>
      <c r="J12" s="1493"/>
      <c r="K12" s="1493"/>
      <c r="L12" s="1497"/>
      <c r="M12" s="1498"/>
      <c r="N12" s="1496"/>
      <c r="O12" s="1493"/>
      <c r="P12" s="1493"/>
      <c r="Q12" s="1493"/>
      <c r="R12" s="1493"/>
      <c r="S12" s="1493"/>
      <c r="T12" s="1493"/>
      <c r="U12" s="1493"/>
      <c r="V12" s="1493"/>
      <c r="Y12" s="1494"/>
      <c r="Z12" s="1494"/>
      <c r="AA12" s="1494"/>
    </row>
    <row r="13" spans="1:27" ht="16.2" thickBot="1">
      <c r="A13" s="1495"/>
      <c r="B13" s="1496"/>
      <c r="C13" s="1493"/>
      <c r="D13" s="1493"/>
      <c r="E13" s="1493"/>
      <c r="F13" s="1493"/>
      <c r="G13" s="1494"/>
      <c r="H13" s="1493"/>
      <c r="I13" s="1493"/>
      <c r="J13" s="1493"/>
      <c r="K13" s="1493"/>
      <c r="L13" s="1497"/>
      <c r="M13" s="1498"/>
      <c r="N13" s="1496"/>
      <c r="O13" s="1493"/>
      <c r="P13" s="1493"/>
      <c r="Q13" s="1493"/>
      <c r="R13" s="1493"/>
      <c r="S13" s="1493"/>
      <c r="T13" s="1493"/>
      <c r="U13" s="1493"/>
      <c r="V13" s="1493"/>
      <c r="Y13" s="1494"/>
      <c r="Z13" s="1494"/>
      <c r="AA13" s="1494"/>
    </row>
    <row r="14" spans="1:27" ht="14.4" thickBot="1">
      <c r="A14" s="1494"/>
      <c r="B14" s="1494" t="s">
        <v>669</v>
      </c>
      <c r="C14" s="1494"/>
      <c r="D14" s="1494"/>
      <c r="E14" s="1494"/>
      <c r="F14" s="1494"/>
      <c r="G14" s="1499"/>
      <c r="H14" s="1500"/>
      <c r="J14" s="1501"/>
      <c r="K14" s="1501"/>
      <c r="N14" s="1502"/>
      <c r="O14" s="1502"/>
      <c r="P14" s="1494"/>
    </row>
    <row r="15" spans="1:27" ht="13.8">
      <c r="A15" s="1497"/>
      <c r="B15" s="1503" t="s">
        <v>670</v>
      </c>
      <c r="C15" s="1494" t="s">
        <v>671</v>
      </c>
      <c r="D15" s="1494"/>
      <c r="E15" s="1494"/>
      <c r="F15" s="1494"/>
      <c r="G15" s="1504" t="s">
        <v>672</v>
      </c>
      <c r="H15" s="1505" t="s">
        <v>470</v>
      </c>
      <c r="J15" s="1506"/>
      <c r="K15" s="1506"/>
      <c r="N15" s="1502"/>
      <c r="O15" s="1502"/>
      <c r="P15" s="1494"/>
    </row>
    <row r="16" spans="1:27" ht="14.4" thickBot="1">
      <c r="A16" s="1494"/>
      <c r="B16" s="1507"/>
      <c r="C16" s="1494"/>
      <c r="D16" s="1494"/>
      <c r="E16" s="1494"/>
      <c r="F16" s="1494"/>
      <c r="G16" s="1508"/>
      <c r="H16" s="1509"/>
      <c r="J16" s="1506"/>
      <c r="K16" s="1506"/>
      <c r="N16" s="1502"/>
      <c r="O16" s="1502"/>
      <c r="P16" s="1494"/>
    </row>
    <row r="17" spans="1:16" ht="29.25" customHeight="1">
      <c r="A17" s="1494"/>
      <c r="B17" s="1510" t="s">
        <v>673</v>
      </c>
      <c r="C17" s="1880" t="s">
        <v>471</v>
      </c>
      <c r="D17" s="1881"/>
      <c r="E17" s="1882"/>
      <c r="F17" s="1511"/>
      <c r="G17" s="1512">
        <v>17.61</v>
      </c>
      <c r="H17" s="1513">
        <v>19.25</v>
      </c>
      <c r="J17" s="1514"/>
      <c r="K17" s="1514"/>
      <c r="N17" s="1494"/>
      <c r="O17" s="1494"/>
      <c r="P17" s="1494"/>
    </row>
    <row r="18" spans="1:16" ht="32.25" customHeight="1">
      <c r="A18" s="1494"/>
      <c r="B18" s="1510" t="s">
        <v>674</v>
      </c>
      <c r="C18" s="1880" t="s">
        <v>675</v>
      </c>
      <c r="D18" s="1881"/>
      <c r="E18" s="1882"/>
      <c r="F18" s="1515"/>
      <c r="G18" s="1516">
        <v>85.18</v>
      </c>
      <c r="H18" s="1517">
        <v>85.18</v>
      </c>
      <c r="J18" s="1514"/>
      <c r="K18" s="1514"/>
      <c r="N18" s="1494"/>
      <c r="O18" s="1494"/>
      <c r="P18" s="1494"/>
    </row>
    <row r="19" spans="1:16" ht="13.8">
      <c r="A19" s="1494"/>
      <c r="B19" s="1510" t="s">
        <v>676</v>
      </c>
      <c r="C19" s="1883"/>
      <c r="D19" s="1884"/>
      <c r="E19" s="1885"/>
      <c r="F19" s="1515"/>
      <c r="G19" s="1518"/>
      <c r="H19" s="1517">
        <v>-0.79</v>
      </c>
      <c r="J19" s="1519"/>
      <c r="K19" s="1514"/>
      <c r="N19" s="1494"/>
      <c r="O19" s="1494"/>
      <c r="P19" s="1494"/>
    </row>
    <row r="20" spans="1:16" ht="40.5" customHeight="1">
      <c r="A20" s="1494"/>
      <c r="B20" s="1520" t="s">
        <v>677</v>
      </c>
      <c r="C20" s="1880" t="s">
        <v>678</v>
      </c>
      <c r="D20" s="1881"/>
      <c r="E20" s="1882"/>
      <c r="F20" s="1515"/>
      <c r="G20" s="1521"/>
      <c r="H20" s="1522">
        <f>SUM(H17:H19)</f>
        <v>103.64</v>
      </c>
      <c r="J20" s="1523"/>
      <c r="K20" s="1523"/>
      <c r="N20" s="1494"/>
      <c r="O20" s="1494"/>
      <c r="P20" s="1494"/>
    </row>
    <row r="21" spans="1:16" ht="14.4" thickBot="1">
      <c r="A21" s="1489"/>
      <c r="B21" s="1489"/>
      <c r="C21" s="1489"/>
      <c r="D21" s="1489"/>
      <c r="E21" s="1489"/>
      <c r="F21" s="1489"/>
      <c r="G21" s="1489"/>
      <c r="H21" s="1489"/>
      <c r="I21" s="1489"/>
      <c r="J21" s="1489"/>
      <c r="K21" s="1489"/>
      <c r="L21" s="1489"/>
      <c r="M21" s="1494"/>
      <c r="N21" s="1494"/>
      <c r="O21" s="1494"/>
      <c r="P21" s="1494"/>
    </row>
    <row r="22" spans="1:16" ht="13.8">
      <c r="A22" s="1494"/>
      <c r="B22" s="1494"/>
      <c r="C22" s="1494"/>
      <c r="D22" s="1494"/>
      <c r="E22" s="1494"/>
      <c r="F22" s="1494"/>
      <c r="G22" s="1494"/>
      <c r="H22" s="1494"/>
      <c r="I22" s="1494"/>
      <c r="J22" s="1494"/>
      <c r="K22" s="1494"/>
      <c r="L22" s="1494"/>
      <c r="M22" s="1494"/>
      <c r="N22" s="1494"/>
      <c r="O22" s="1494"/>
      <c r="P22" s="1494"/>
    </row>
    <row r="23" spans="1:16" ht="15.75" customHeight="1" outlineLevel="1">
      <c r="A23" s="1497" t="s">
        <v>679</v>
      </c>
      <c r="B23" s="1498" t="s">
        <v>680</v>
      </c>
      <c r="C23" s="1494"/>
      <c r="D23" s="1494"/>
      <c r="E23" s="1494"/>
      <c r="F23" s="1494"/>
      <c r="G23" s="1494"/>
      <c r="H23" s="1494"/>
      <c r="I23" s="1494"/>
      <c r="J23" s="1494"/>
      <c r="K23" s="1494"/>
      <c r="L23" s="1494"/>
      <c r="M23" s="1494"/>
      <c r="N23" s="1494"/>
      <c r="O23" s="1494"/>
      <c r="P23" s="1494"/>
    </row>
    <row r="24" spans="1:16" ht="15" customHeight="1" outlineLevel="1">
      <c r="A24" s="1494"/>
      <c r="B24" s="1524" t="s">
        <v>681</v>
      </c>
      <c r="C24" s="1494"/>
      <c r="D24" s="1494"/>
      <c r="E24" s="1494"/>
      <c r="F24" s="1494"/>
      <c r="G24" s="1494"/>
      <c r="H24" s="1494"/>
      <c r="I24" s="1494"/>
      <c r="J24" s="1494"/>
      <c r="K24" s="1494"/>
      <c r="L24" s="1494"/>
      <c r="M24" s="1494"/>
      <c r="N24" s="1494"/>
      <c r="O24" s="1494"/>
      <c r="P24" s="1494"/>
    </row>
    <row r="25" spans="1:16" ht="15" customHeight="1" outlineLevel="1">
      <c r="A25" s="1494"/>
      <c r="B25" s="1524"/>
      <c r="C25" s="1494"/>
      <c r="D25" s="1494"/>
      <c r="E25" s="1494"/>
      <c r="F25" s="1494"/>
      <c r="G25" s="1494"/>
      <c r="H25" s="1494"/>
      <c r="I25" s="1494"/>
      <c r="J25" s="1494"/>
      <c r="K25" s="1494"/>
      <c r="L25" s="1494"/>
      <c r="M25" s="1494"/>
      <c r="N25" s="1494"/>
      <c r="O25" s="1494"/>
      <c r="P25" s="1494"/>
    </row>
    <row r="26" spans="1:16" ht="15" customHeight="1" outlineLevel="1">
      <c r="A26" s="1494"/>
      <c r="B26" s="1525" t="s">
        <v>682</v>
      </c>
      <c r="E26" s="1526"/>
      <c r="F26" s="1527"/>
      <c r="G26" s="1878" t="s">
        <v>638</v>
      </c>
      <c r="H26" s="1878"/>
      <c r="I26" s="1878"/>
      <c r="J26" s="1878"/>
      <c r="K26" s="1878"/>
      <c r="L26" s="1878"/>
      <c r="M26" s="1494"/>
      <c r="N26" s="1494"/>
      <c r="O26" s="1494"/>
      <c r="P26" s="1494"/>
    </row>
    <row r="27" spans="1:16" ht="15" customHeight="1" outlineLevel="1">
      <c r="A27" s="1494"/>
      <c r="B27" s="1528" t="s">
        <v>683</v>
      </c>
      <c r="C27" s="1529"/>
      <c r="D27" s="1529" t="s">
        <v>310</v>
      </c>
      <c r="E27" s="1530" t="s">
        <v>684</v>
      </c>
      <c r="F27" s="1531"/>
      <c r="G27" s="1531"/>
      <c r="H27" s="1531"/>
      <c r="I27" s="1531"/>
      <c r="J27" s="1531"/>
      <c r="K27" s="1531"/>
      <c r="L27" s="1531"/>
      <c r="M27" s="1494"/>
      <c r="N27" s="1494"/>
      <c r="O27" s="1494"/>
      <c r="P27" s="1494"/>
    </row>
    <row r="28" spans="1:16" ht="42.75" customHeight="1" outlineLevel="1">
      <c r="A28" s="1494"/>
      <c r="B28" s="1532" t="s">
        <v>685</v>
      </c>
      <c r="C28" s="1533" t="s">
        <v>686</v>
      </c>
      <c r="D28" s="1533" t="s">
        <v>687</v>
      </c>
      <c r="E28" s="1534" t="s">
        <v>687</v>
      </c>
      <c r="F28" s="1535" t="s">
        <v>688</v>
      </c>
      <c r="G28" s="1535"/>
      <c r="H28" s="1535" t="s">
        <v>689</v>
      </c>
      <c r="I28" s="1535" t="s">
        <v>690</v>
      </c>
      <c r="J28" s="1535" t="s">
        <v>691</v>
      </c>
      <c r="K28" s="1535" t="s">
        <v>692</v>
      </c>
      <c r="L28" s="1536" t="s">
        <v>340</v>
      </c>
      <c r="M28" s="1494"/>
      <c r="N28" s="1494"/>
      <c r="O28" s="1494"/>
      <c r="P28" s="1494"/>
    </row>
    <row r="29" spans="1:16" ht="15" customHeight="1" outlineLevel="1">
      <c r="A29" s="1494"/>
      <c r="B29" s="1537" t="s">
        <v>1</v>
      </c>
      <c r="C29" s="1538" t="s">
        <v>63</v>
      </c>
      <c r="D29" s="1538">
        <v>4006</v>
      </c>
      <c r="E29" s="1539">
        <v>4705</v>
      </c>
      <c r="F29" s="1537"/>
      <c r="G29" s="1540"/>
      <c r="H29" s="1541">
        <f>'2022 COP Forecast'!H39</f>
        <v>631266.7534718141</v>
      </c>
      <c r="I29" s="1541">
        <f>'2022 COP Forecast'!E39</f>
        <v>46701765.863328181</v>
      </c>
      <c r="J29" s="1542">
        <f t="shared" ref="J29:J39" si="0">+$G$17/1000</f>
        <v>1.7610000000000001E-2</v>
      </c>
      <c r="K29" s="1542">
        <f t="shared" ref="K29:K39" si="1">+$H$20/1000</f>
        <v>0.10364</v>
      </c>
      <c r="L29" s="1543">
        <f t="shared" ref="L29:L39" si="2">(+F29+H29)*J29+(I29*K29)</f>
        <v>4851287.6216039713</v>
      </c>
      <c r="M29" s="1494"/>
      <c r="N29" s="1494"/>
      <c r="O29" s="1494"/>
      <c r="P29" s="1494"/>
    </row>
    <row r="30" spans="1:16" ht="15" customHeight="1" outlineLevel="1">
      <c r="A30" s="1494"/>
      <c r="B30" s="1537" t="s">
        <v>110</v>
      </c>
      <c r="C30" s="1538" t="s">
        <v>63</v>
      </c>
      <c r="D30" s="1538">
        <v>4010</v>
      </c>
      <c r="E30" s="1539">
        <v>4705</v>
      </c>
      <c r="F30" s="1537"/>
      <c r="G30" s="1540"/>
      <c r="H30" s="1541">
        <f>'2022 COP Forecast'!H40</f>
        <v>3242073.7069156468</v>
      </c>
      <c r="I30" s="1541">
        <f>'2022 COP Forecast'!E40</f>
        <v>16010886.735784352</v>
      </c>
      <c r="J30" s="1542">
        <f t="shared" si="0"/>
        <v>1.7610000000000001E-2</v>
      </c>
      <c r="K30" s="1542">
        <f t="shared" si="1"/>
        <v>0.10364</v>
      </c>
      <c r="L30" s="1543">
        <f t="shared" si="2"/>
        <v>1716461.2192754748</v>
      </c>
      <c r="M30" s="1494"/>
      <c r="N30" s="1494"/>
      <c r="O30" s="1494"/>
      <c r="P30" s="1494"/>
    </row>
    <row r="31" spans="1:16" ht="15" customHeight="1" outlineLevel="1">
      <c r="A31" s="1494"/>
      <c r="B31" s="1537" t="s">
        <v>249</v>
      </c>
      <c r="C31" s="1538" t="s">
        <v>63</v>
      </c>
      <c r="D31" s="1538">
        <v>4015</v>
      </c>
      <c r="E31" s="1539">
        <v>4705</v>
      </c>
      <c r="F31" s="1541">
        <f>'2022 COP Forecast'!G41</f>
        <v>10454239.967428219</v>
      </c>
      <c r="G31" s="1540"/>
      <c r="H31" s="1541">
        <f>'2022 COP Forecast'!H41</f>
        <v>27566260.993004028</v>
      </c>
      <c r="I31" s="1541">
        <f>'2022 COP Forecast'!E41</f>
        <v>3039185.0899677509</v>
      </c>
      <c r="J31" s="1542">
        <f t="shared" si="0"/>
        <v>1.7610000000000001E-2</v>
      </c>
      <c r="K31" s="1542">
        <f t="shared" si="1"/>
        <v>0.10364</v>
      </c>
      <c r="L31" s="1543">
        <f t="shared" si="2"/>
        <v>984522.16463746969</v>
      </c>
      <c r="M31" s="1494"/>
      <c r="N31" s="1494"/>
      <c r="O31" s="1494"/>
      <c r="P31" s="1494"/>
    </row>
    <row r="32" spans="1:16" ht="15" customHeight="1" outlineLevel="1">
      <c r="A32" s="1494"/>
      <c r="B32" s="1537" t="s">
        <v>179</v>
      </c>
      <c r="C32" s="1538" t="s">
        <v>63</v>
      </c>
      <c r="D32" s="1538">
        <v>4025</v>
      </c>
      <c r="E32" s="1539">
        <v>4705</v>
      </c>
      <c r="F32" s="1537"/>
      <c r="G32" s="1540"/>
      <c r="H32" s="1541">
        <f>'2022 COP Forecast'!H42</f>
        <v>610484.54254658089</v>
      </c>
      <c r="I32" s="1541">
        <f>'2022 COP Forecast'!E42</f>
        <v>88010.196253419039</v>
      </c>
      <c r="J32" s="1542">
        <f t="shared" si="0"/>
        <v>1.7610000000000001E-2</v>
      </c>
      <c r="K32" s="1542">
        <f t="shared" si="1"/>
        <v>0.10364</v>
      </c>
      <c r="L32" s="1543">
        <f t="shared" si="2"/>
        <v>19872.00953394964</v>
      </c>
      <c r="M32" s="1494"/>
      <c r="N32" s="1494"/>
      <c r="O32" s="1494"/>
      <c r="P32" s="1494"/>
    </row>
    <row r="33" spans="1:16" ht="15" customHeight="1" outlineLevel="1">
      <c r="A33" s="1494"/>
      <c r="B33" s="1537" t="s">
        <v>159</v>
      </c>
      <c r="C33" s="1538" t="s">
        <v>63</v>
      </c>
      <c r="D33" s="1538">
        <v>4030</v>
      </c>
      <c r="E33" s="1539">
        <v>4705</v>
      </c>
      <c r="F33" s="1537"/>
      <c r="G33" s="1540"/>
      <c r="H33" s="1541">
        <f>'2022 COP Forecast'!H43</f>
        <v>4531.6819955565879</v>
      </c>
      <c r="I33" s="1541">
        <f>'2022 COP Forecast'!E43</f>
        <v>91633.495104443413</v>
      </c>
      <c r="J33" s="1542">
        <f t="shared" si="0"/>
        <v>1.7610000000000001E-2</v>
      </c>
      <c r="K33" s="1542">
        <f t="shared" si="1"/>
        <v>0.10364</v>
      </c>
      <c r="L33" s="1543">
        <f t="shared" si="2"/>
        <v>9576.6983525662672</v>
      </c>
      <c r="M33" s="1494"/>
      <c r="N33" s="1494"/>
      <c r="O33" s="1494"/>
      <c r="P33" s="1494"/>
    </row>
    <row r="34" spans="1:16" ht="15" customHeight="1" outlineLevel="1">
      <c r="A34" s="1494"/>
      <c r="B34" s="1537" t="s">
        <v>2</v>
      </c>
      <c r="C34" s="1538" t="s">
        <v>63</v>
      </c>
      <c r="D34" s="1538">
        <v>4012</v>
      </c>
      <c r="E34" s="1539">
        <v>4705</v>
      </c>
      <c r="F34" s="1537"/>
      <c r="G34" s="1540"/>
      <c r="H34" s="1541">
        <f>'2022 COP Forecast'!H44</f>
        <v>58078.38749102212</v>
      </c>
      <c r="I34" s="1541">
        <f>'2022 COP Forecast'!E44</f>
        <v>544306.52450897789</v>
      </c>
      <c r="J34" s="1542">
        <f t="shared" si="0"/>
        <v>1.7610000000000001E-2</v>
      </c>
      <c r="K34" s="1542">
        <f t="shared" si="1"/>
        <v>0.10364</v>
      </c>
      <c r="L34" s="1543">
        <f t="shared" si="2"/>
        <v>57434.688603827366</v>
      </c>
      <c r="M34" s="1494"/>
      <c r="N34" s="1494"/>
      <c r="O34" s="1494"/>
      <c r="P34" s="1494"/>
    </row>
    <row r="35" spans="1:16" ht="15" customHeight="1" outlineLevel="1">
      <c r="A35" s="1494"/>
      <c r="B35" s="1537"/>
      <c r="C35" s="1538" t="s">
        <v>63</v>
      </c>
      <c r="D35" s="1538">
        <v>4025</v>
      </c>
      <c r="E35" s="1539">
        <v>4705</v>
      </c>
      <c r="F35" s="1537"/>
      <c r="G35" s="1540"/>
      <c r="H35" s="1537"/>
      <c r="I35" s="1537"/>
      <c r="J35" s="1542">
        <f t="shared" si="0"/>
        <v>1.7610000000000001E-2</v>
      </c>
      <c r="K35" s="1542">
        <f t="shared" si="1"/>
        <v>0.10364</v>
      </c>
      <c r="L35" s="1543">
        <f t="shared" si="2"/>
        <v>0</v>
      </c>
      <c r="M35" s="1494"/>
      <c r="N35" s="1494"/>
      <c r="O35" s="1494"/>
      <c r="P35" s="1494"/>
    </row>
    <row r="36" spans="1:16" ht="15" customHeight="1" outlineLevel="1">
      <c r="A36" s="1494"/>
      <c r="B36" s="1537"/>
      <c r="C36" s="1538" t="s">
        <v>63</v>
      </c>
      <c r="D36" s="1538">
        <v>4025</v>
      </c>
      <c r="E36" s="1539">
        <v>4705</v>
      </c>
      <c r="F36" s="1537"/>
      <c r="G36" s="1540"/>
      <c r="H36" s="1537"/>
      <c r="I36" s="1537"/>
      <c r="J36" s="1542">
        <f t="shared" si="0"/>
        <v>1.7610000000000001E-2</v>
      </c>
      <c r="K36" s="1542">
        <f t="shared" si="1"/>
        <v>0.10364</v>
      </c>
      <c r="L36" s="1543">
        <f t="shared" si="2"/>
        <v>0</v>
      </c>
      <c r="M36" s="1494"/>
      <c r="N36" s="1494"/>
      <c r="O36" s="1494"/>
      <c r="P36" s="1494"/>
    </row>
    <row r="37" spans="1:16" ht="15" customHeight="1" outlineLevel="1">
      <c r="A37" s="1494"/>
      <c r="B37" s="1537"/>
      <c r="C37" s="1538" t="s">
        <v>63</v>
      </c>
      <c r="D37" s="1538">
        <v>4025</v>
      </c>
      <c r="E37" s="1539">
        <v>4705</v>
      </c>
      <c r="F37" s="1537"/>
      <c r="G37" s="1540"/>
      <c r="H37" s="1537"/>
      <c r="I37" s="1537"/>
      <c r="J37" s="1542">
        <f t="shared" si="0"/>
        <v>1.7610000000000001E-2</v>
      </c>
      <c r="K37" s="1542">
        <f t="shared" si="1"/>
        <v>0.10364</v>
      </c>
      <c r="L37" s="1543">
        <f t="shared" si="2"/>
        <v>0</v>
      </c>
      <c r="M37" s="1494"/>
      <c r="N37" s="1494"/>
      <c r="O37" s="1494"/>
      <c r="P37" s="1494"/>
    </row>
    <row r="38" spans="1:16" ht="15" customHeight="1" outlineLevel="1">
      <c r="A38" s="1494"/>
      <c r="B38" s="1537"/>
      <c r="C38" s="1538" t="s">
        <v>63</v>
      </c>
      <c r="D38" s="1538">
        <v>4025</v>
      </c>
      <c r="E38" s="1539">
        <v>4705</v>
      </c>
      <c r="F38" s="1537"/>
      <c r="G38" s="1540"/>
      <c r="H38" s="1537"/>
      <c r="I38" s="1537"/>
      <c r="J38" s="1542">
        <f t="shared" si="0"/>
        <v>1.7610000000000001E-2</v>
      </c>
      <c r="K38" s="1542">
        <f t="shared" si="1"/>
        <v>0.10364</v>
      </c>
      <c r="L38" s="1543">
        <f t="shared" si="2"/>
        <v>0</v>
      </c>
      <c r="M38" s="1494"/>
      <c r="N38" s="1494"/>
      <c r="O38" s="1494"/>
      <c r="P38" s="1494"/>
    </row>
    <row r="39" spans="1:16" ht="15" customHeight="1" outlineLevel="1">
      <c r="A39" s="1494"/>
      <c r="B39" s="1537"/>
      <c r="C39" s="1538" t="s">
        <v>63</v>
      </c>
      <c r="D39" s="1538">
        <v>4025</v>
      </c>
      <c r="E39" s="1539">
        <v>4705</v>
      </c>
      <c r="F39" s="1537"/>
      <c r="G39" s="1540"/>
      <c r="H39" s="1537"/>
      <c r="I39" s="1537"/>
      <c r="J39" s="1542">
        <f t="shared" si="0"/>
        <v>1.7610000000000001E-2</v>
      </c>
      <c r="K39" s="1542">
        <f t="shared" si="1"/>
        <v>0.10364</v>
      </c>
      <c r="L39" s="1543">
        <f t="shared" si="2"/>
        <v>0</v>
      </c>
      <c r="M39" s="1494"/>
      <c r="N39" s="1494"/>
      <c r="O39" s="1494"/>
      <c r="P39" s="1494"/>
    </row>
    <row r="40" spans="1:16" ht="15" customHeight="1" outlineLevel="1">
      <c r="A40" s="1494"/>
      <c r="B40" s="1544" t="s">
        <v>65</v>
      </c>
      <c r="C40" s="1545"/>
      <c r="D40" s="1546"/>
      <c r="E40" s="1547"/>
      <c r="F40" s="1548">
        <f>SUM(F29:F39)</f>
        <v>10454239.967428219</v>
      </c>
      <c r="G40" s="1549"/>
      <c r="H40" s="1548">
        <f>SUM(H29:H39)</f>
        <v>32112696.065424647</v>
      </c>
      <c r="I40" s="1550">
        <f>SUM(I29:I39)</f>
        <v>66475787.904947124</v>
      </c>
      <c r="J40" s="1550"/>
      <c r="K40" s="1548"/>
      <c r="L40" s="1551">
        <f>SUM(L29:L39)</f>
        <v>7639154.4020072585</v>
      </c>
      <c r="M40" s="1494"/>
      <c r="N40" s="1494"/>
      <c r="O40" s="1494"/>
      <c r="P40" s="1494"/>
    </row>
    <row r="41" spans="1:16" ht="15" customHeight="1" outlineLevel="1">
      <c r="A41" s="1494"/>
      <c r="B41" s="1524"/>
      <c r="C41" s="1494"/>
      <c r="D41" s="1494"/>
      <c r="E41" s="1494"/>
      <c r="F41" s="1494"/>
      <c r="G41" s="1494"/>
      <c r="H41" s="1494"/>
      <c r="I41" s="1494"/>
      <c r="J41" s="1494"/>
      <c r="K41" s="1494"/>
      <c r="L41" s="1494"/>
      <c r="M41" s="1494"/>
      <c r="N41" s="1494"/>
      <c r="O41" s="1494"/>
      <c r="P41" s="1494"/>
    </row>
    <row r="42" spans="1:16" ht="15" customHeight="1" outlineLevel="1">
      <c r="A42" s="1494"/>
      <c r="B42" s="1507"/>
      <c r="C42" s="1494"/>
      <c r="D42" s="1494"/>
      <c r="E42" s="1494"/>
      <c r="F42" s="1552"/>
      <c r="G42" s="1552"/>
      <c r="H42" s="1494"/>
      <c r="I42" s="1494"/>
      <c r="J42" s="1494"/>
      <c r="K42" s="1494"/>
      <c r="L42" s="1494"/>
      <c r="M42" s="1494"/>
      <c r="N42" s="1494"/>
      <c r="O42" s="1494"/>
      <c r="P42" s="1494"/>
    </row>
    <row r="43" spans="1:16" ht="15.75" customHeight="1" outlineLevel="1">
      <c r="A43" s="1494"/>
      <c r="B43" s="1525" t="s">
        <v>693</v>
      </c>
      <c r="E43" s="1526"/>
      <c r="F43" s="1553"/>
      <c r="G43" s="1878">
        <f>'[17]LDC Info'!E24</f>
        <v>2022</v>
      </c>
      <c r="H43" s="1878"/>
      <c r="I43" s="1878"/>
      <c r="J43" s="1878"/>
      <c r="K43" s="1878"/>
      <c r="L43" s="1878"/>
      <c r="M43" s="1494"/>
      <c r="N43" s="1494"/>
      <c r="O43" s="1494"/>
      <c r="P43" s="1494"/>
    </row>
    <row r="44" spans="1:16" ht="15" customHeight="1" outlineLevel="1">
      <c r="A44" s="1494"/>
      <c r="B44" s="1528" t="s">
        <v>683</v>
      </c>
      <c r="C44" s="1533"/>
      <c r="D44" s="1529" t="s">
        <v>310</v>
      </c>
      <c r="E44" s="1530" t="s">
        <v>684</v>
      </c>
      <c r="F44" s="1554"/>
      <c r="G44" s="1555" t="s">
        <v>694</v>
      </c>
      <c r="H44" s="1540"/>
      <c r="I44" s="1540"/>
      <c r="J44" s="1556"/>
      <c r="K44" s="1557" t="s">
        <v>695</v>
      </c>
      <c r="L44" s="1558" t="s">
        <v>340</v>
      </c>
      <c r="M44" s="1494"/>
      <c r="N44" s="1494"/>
      <c r="O44" s="1494"/>
      <c r="P44" s="1494"/>
    </row>
    <row r="45" spans="1:16" ht="15" customHeight="1" outlineLevel="1">
      <c r="A45" s="1494"/>
      <c r="B45" s="1537" t="s">
        <v>249</v>
      </c>
      <c r="C45" s="1538" t="s">
        <v>63</v>
      </c>
      <c r="D45" s="1538">
        <v>4015</v>
      </c>
      <c r="E45" s="1539">
        <v>4707</v>
      </c>
      <c r="F45" s="1559"/>
      <c r="G45" s="1560">
        <f>F31</f>
        <v>10454239.967428219</v>
      </c>
      <c r="H45" s="1540"/>
      <c r="I45" s="1540"/>
      <c r="J45" s="1561"/>
      <c r="K45" s="1537">
        <v>4.5719999999999997E-2</v>
      </c>
      <c r="L45" s="1562">
        <f>+K45*G45</f>
        <v>477967.85131081811</v>
      </c>
      <c r="M45" s="1494"/>
      <c r="N45" s="1494"/>
      <c r="O45" s="1494"/>
      <c r="P45" s="1494"/>
    </row>
    <row r="46" spans="1:16" ht="15" customHeight="1" outlineLevel="1">
      <c r="A46" s="1494"/>
      <c r="B46" s="1537"/>
      <c r="C46" s="1538"/>
      <c r="D46" s="1538">
        <v>4010</v>
      </c>
      <c r="E46" s="1539">
        <v>4707</v>
      </c>
      <c r="F46" s="1559"/>
      <c r="G46" s="1563"/>
      <c r="H46" s="1540"/>
      <c r="I46" s="1540"/>
      <c r="J46" s="1561"/>
      <c r="K46" s="1537"/>
      <c r="L46" s="1562">
        <f>+K46*G46</f>
        <v>0</v>
      </c>
      <c r="M46" s="1494"/>
      <c r="N46" s="1494"/>
      <c r="O46" s="1494"/>
      <c r="P46" s="1494"/>
    </row>
    <row r="47" spans="1:16" ht="15" customHeight="1" outlineLevel="1">
      <c r="A47" s="1494"/>
      <c r="B47" s="1537"/>
      <c r="C47" s="1538"/>
      <c r="D47" s="1538">
        <v>4010</v>
      </c>
      <c r="E47" s="1539">
        <v>4707</v>
      </c>
      <c r="F47" s="1559"/>
      <c r="G47" s="1563"/>
      <c r="H47" s="1540"/>
      <c r="I47" s="1540"/>
      <c r="J47" s="1561"/>
      <c r="K47" s="1537"/>
      <c r="L47" s="1562">
        <f>+K47*G47</f>
        <v>0</v>
      </c>
      <c r="M47" s="1494"/>
      <c r="N47" s="1494"/>
      <c r="O47" s="1494"/>
      <c r="P47" s="1494"/>
    </row>
    <row r="48" spans="1:16" ht="15" customHeight="1" outlineLevel="1">
      <c r="A48" s="1494"/>
      <c r="B48" s="1537"/>
      <c r="C48" s="1538"/>
      <c r="D48" s="1538">
        <v>4010</v>
      </c>
      <c r="E48" s="1539">
        <v>4707</v>
      </c>
      <c r="F48" s="1559"/>
      <c r="G48" s="1563"/>
      <c r="H48" s="1540"/>
      <c r="I48" s="1540"/>
      <c r="J48" s="1561"/>
      <c r="K48" s="1537"/>
      <c r="L48" s="1562">
        <f>+K48*G48</f>
        <v>0</v>
      </c>
      <c r="M48" s="1494"/>
      <c r="N48" s="1494"/>
      <c r="O48" s="1494"/>
      <c r="P48" s="1494"/>
    </row>
    <row r="49" spans="1:16" ht="15" customHeight="1" outlineLevel="1">
      <c r="A49" s="1494"/>
      <c r="B49" s="1537"/>
      <c r="C49" s="1538"/>
      <c r="D49" s="1538">
        <v>4010</v>
      </c>
      <c r="E49" s="1539">
        <v>4707</v>
      </c>
      <c r="F49" s="1559"/>
      <c r="G49" s="1563"/>
      <c r="H49" s="1540"/>
      <c r="I49" s="1540"/>
      <c r="J49" s="1564"/>
      <c r="K49" s="1537"/>
      <c r="L49" s="1562">
        <f>+K49*G49</f>
        <v>0</v>
      </c>
      <c r="M49" s="1494"/>
      <c r="N49" s="1494"/>
      <c r="O49" s="1494"/>
      <c r="P49" s="1494"/>
    </row>
    <row r="50" spans="1:16" ht="15" customHeight="1" outlineLevel="1">
      <c r="A50" s="1494"/>
      <c r="F50" s="1565">
        <f>+F45+F46</f>
        <v>0</v>
      </c>
      <c r="G50" s="1566">
        <f>SUM(G45:G49)</f>
        <v>10454239.967428219</v>
      </c>
      <c r="H50" s="1540"/>
      <c r="I50" s="1540"/>
      <c r="J50" s="1567"/>
      <c r="K50" s="1568"/>
      <c r="L50" s="1569">
        <f>SUM(L45:L49)</f>
        <v>477967.85131081811</v>
      </c>
      <c r="M50" s="1494"/>
      <c r="N50" s="1494"/>
      <c r="O50" s="1494"/>
      <c r="P50" s="1494"/>
    </row>
    <row r="51" spans="1:16" ht="15" customHeight="1" outlineLevel="1">
      <c r="A51" s="1494"/>
      <c r="B51" s="1494"/>
      <c r="C51" s="1494"/>
      <c r="D51" s="1494"/>
      <c r="E51" s="1494"/>
      <c r="F51" s="1494"/>
      <c r="G51" s="1494"/>
      <c r="H51" s="1494"/>
      <c r="I51" s="1494"/>
      <c r="J51" s="1494"/>
      <c r="K51" s="1494"/>
      <c r="L51" s="1494"/>
      <c r="M51" s="1494"/>
      <c r="N51" s="1494"/>
      <c r="O51" s="1494"/>
      <c r="P51" s="1494"/>
    </row>
    <row r="52" spans="1:16" ht="15.75" customHeight="1" outlineLevel="1">
      <c r="B52" s="1525" t="s">
        <v>696</v>
      </c>
      <c r="E52" s="1526"/>
      <c r="F52" s="1527"/>
      <c r="G52" s="1878">
        <f>G43</f>
        <v>2022</v>
      </c>
      <c r="H52" s="1878"/>
      <c r="I52" s="1878"/>
      <c r="J52" s="1878"/>
      <c r="K52" s="1878"/>
      <c r="L52" s="1878"/>
    </row>
    <row r="53" spans="1:16" ht="15" customHeight="1" outlineLevel="1">
      <c r="A53" s="1570"/>
      <c r="B53" s="1528" t="s">
        <v>683</v>
      </c>
      <c r="C53" s="1529"/>
      <c r="D53" s="1529" t="s">
        <v>310</v>
      </c>
      <c r="E53" s="1530" t="s">
        <v>684</v>
      </c>
      <c r="F53" s="1531"/>
      <c r="G53" s="1531"/>
      <c r="H53" s="1531"/>
      <c r="I53" s="1531"/>
      <c r="J53" s="1531"/>
      <c r="K53" s="1531"/>
      <c r="L53" s="1536" t="s">
        <v>340</v>
      </c>
      <c r="M53" s="1570"/>
      <c r="N53" s="1570"/>
      <c r="O53" s="1570"/>
      <c r="P53" s="1570"/>
    </row>
    <row r="54" spans="1:16" ht="30.75" customHeight="1" outlineLevel="1">
      <c r="B54" s="1532" t="s">
        <v>685</v>
      </c>
      <c r="C54" s="1533" t="s">
        <v>686</v>
      </c>
      <c r="D54" s="1533" t="s">
        <v>687</v>
      </c>
      <c r="E54" s="1534" t="s">
        <v>687</v>
      </c>
      <c r="F54" s="1571"/>
      <c r="G54" s="1571"/>
      <c r="H54" s="1535" t="s">
        <v>697</v>
      </c>
      <c r="I54" s="1572"/>
      <c r="J54" s="1572"/>
      <c r="K54" s="1571" t="s">
        <v>698</v>
      </c>
    </row>
    <row r="55" spans="1:16" ht="15" customHeight="1" outlineLevel="1">
      <c r="B55" s="1573" t="str">
        <f>IF(B29=0,"",B29)</f>
        <v xml:space="preserve">Residential </v>
      </c>
      <c r="C55" s="1538" t="s">
        <v>63</v>
      </c>
      <c r="D55" s="1538">
        <v>4006</v>
      </c>
      <c r="E55" s="1538">
        <v>4707</v>
      </c>
      <c r="F55" s="1574"/>
      <c r="G55" s="1574"/>
      <c r="H55" s="1575">
        <f>+H29</f>
        <v>631266.7534718141</v>
      </c>
      <c r="I55" s="1574"/>
      <c r="J55" s="1574"/>
      <c r="K55" s="1576">
        <f>+$G$18/1000</f>
        <v>8.5180000000000006E-2</v>
      </c>
      <c r="L55" s="1543">
        <f t="shared" ref="L55:L65" si="3">+K55*H55</f>
        <v>53771.302060729126</v>
      </c>
    </row>
    <row r="56" spans="1:16" ht="15" customHeight="1" outlineLevel="1">
      <c r="B56" s="1573" t="str">
        <f t="shared" ref="B56:B65" si="4">IF(B30=0,"",B30)</f>
        <v>General Service &lt; 50 kW</v>
      </c>
      <c r="C56" s="1538" t="s">
        <v>63</v>
      </c>
      <c r="D56" s="1538">
        <v>4010</v>
      </c>
      <c r="E56" s="1538">
        <v>4707</v>
      </c>
      <c r="F56" s="1574"/>
      <c r="G56" s="1574"/>
      <c r="H56" s="1575">
        <f t="shared" ref="H56:H63" si="5">+H30</f>
        <v>3242073.7069156468</v>
      </c>
      <c r="I56" s="1574"/>
      <c r="J56" s="1574"/>
      <c r="K56" s="1576">
        <f>+$G$18/1000</f>
        <v>8.5180000000000006E-2</v>
      </c>
      <c r="L56" s="1543">
        <f t="shared" si="3"/>
        <v>276159.83835507481</v>
      </c>
    </row>
    <row r="57" spans="1:16" ht="15" customHeight="1" outlineLevel="1">
      <c r="B57" s="1573" t="str">
        <f t="shared" si="4"/>
        <v>General Service 50 to 4,999 kW</v>
      </c>
      <c r="C57" s="1538" t="s">
        <v>63</v>
      </c>
      <c r="D57" s="1538">
        <v>4015</v>
      </c>
      <c r="E57" s="1538">
        <v>4707</v>
      </c>
      <c r="F57" s="1574"/>
      <c r="G57" s="1574"/>
      <c r="H57" s="1575">
        <f>+H31</f>
        <v>27566260.993004028</v>
      </c>
      <c r="I57" s="1574"/>
      <c r="J57" s="1574"/>
      <c r="K57" s="1576">
        <f>+$G$18/1000</f>
        <v>8.5180000000000006E-2</v>
      </c>
      <c r="L57" s="1543">
        <f>+K57*H57</f>
        <v>2348094.1113840831</v>
      </c>
    </row>
    <row r="58" spans="1:16" ht="15" customHeight="1" outlineLevel="1">
      <c r="B58" s="1573" t="str">
        <f>IF(B32=0,"",B32)</f>
        <v xml:space="preserve">Street Lights </v>
      </c>
      <c r="C58" s="1538" t="s">
        <v>63</v>
      </c>
      <c r="D58" s="1538">
        <v>4025</v>
      </c>
      <c r="E58" s="1538">
        <v>4707</v>
      </c>
      <c r="F58" s="1574"/>
      <c r="G58" s="1574"/>
      <c r="H58" s="1575">
        <f t="shared" si="5"/>
        <v>610484.54254658089</v>
      </c>
      <c r="I58" s="1574"/>
      <c r="J58" s="1574"/>
      <c r="K58" s="1576">
        <f t="shared" ref="K58:K65" si="6">+$G$18/1000</f>
        <v>8.5180000000000006E-2</v>
      </c>
      <c r="L58" s="1543">
        <f t="shared" si="3"/>
        <v>52001.073334117762</v>
      </c>
    </row>
    <row r="59" spans="1:16" ht="15" customHeight="1" outlineLevel="1">
      <c r="B59" s="1573" t="str">
        <f t="shared" si="4"/>
        <v>Sentinel Lights</v>
      </c>
      <c r="C59" s="1538" t="s">
        <v>63</v>
      </c>
      <c r="D59" s="1538">
        <v>4030</v>
      </c>
      <c r="E59" s="1538">
        <v>4707</v>
      </c>
      <c r="F59" s="1574"/>
      <c r="G59" s="1574"/>
      <c r="H59" s="1575">
        <f>+H33</f>
        <v>4531.6819955565879</v>
      </c>
      <c r="I59" s="1574"/>
      <c r="J59" s="1574"/>
      <c r="K59" s="1576">
        <f>+$G$18/1000</f>
        <v>8.5180000000000006E-2</v>
      </c>
      <c r="L59" s="1543">
        <f t="shared" si="3"/>
        <v>386.00867238151017</v>
      </c>
    </row>
    <row r="60" spans="1:16" ht="15" customHeight="1" outlineLevel="1">
      <c r="B60" s="1573" t="str">
        <f t="shared" si="4"/>
        <v xml:space="preserve">Unmetered Loads </v>
      </c>
      <c r="C60" s="1538" t="s">
        <v>63</v>
      </c>
      <c r="D60" s="1538">
        <v>4012</v>
      </c>
      <c r="E60" s="1538">
        <v>4707</v>
      </c>
      <c r="F60" s="1574"/>
      <c r="G60" s="1574"/>
      <c r="H60" s="1575">
        <f t="shared" si="5"/>
        <v>58078.38749102212</v>
      </c>
      <c r="I60" s="1574"/>
      <c r="J60" s="1574"/>
      <c r="K60" s="1576">
        <f t="shared" si="6"/>
        <v>8.5180000000000006E-2</v>
      </c>
      <c r="L60" s="1543">
        <f t="shared" si="3"/>
        <v>4947.1170464852648</v>
      </c>
    </row>
    <row r="61" spans="1:16" ht="15" customHeight="1" outlineLevel="1">
      <c r="B61" s="1573" t="str">
        <f t="shared" si="4"/>
        <v/>
      </c>
      <c r="C61" s="1538" t="s">
        <v>63</v>
      </c>
      <c r="D61" s="1538">
        <v>4025</v>
      </c>
      <c r="E61" s="1538">
        <v>4707</v>
      </c>
      <c r="F61" s="1574"/>
      <c r="G61" s="1574"/>
      <c r="H61" s="1575">
        <f t="shared" si="5"/>
        <v>0</v>
      </c>
      <c r="I61" s="1574"/>
      <c r="J61" s="1574"/>
      <c r="K61" s="1576">
        <f t="shared" si="6"/>
        <v>8.5180000000000006E-2</v>
      </c>
      <c r="L61" s="1543">
        <f t="shared" si="3"/>
        <v>0</v>
      </c>
    </row>
    <row r="62" spans="1:16" ht="15" customHeight="1" outlineLevel="1">
      <c r="B62" s="1573" t="str">
        <f>IF(B36=0,"",B36)</f>
        <v/>
      </c>
      <c r="C62" s="1538" t="s">
        <v>63</v>
      </c>
      <c r="D62" s="1538">
        <v>4025</v>
      </c>
      <c r="E62" s="1538">
        <v>4707</v>
      </c>
      <c r="F62" s="1574"/>
      <c r="G62" s="1574"/>
      <c r="H62" s="1575">
        <f>+H36</f>
        <v>0</v>
      </c>
      <c r="I62" s="1574"/>
      <c r="J62" s="1574"/>
      <c r="K62" s="1576">
        <f t="shared" si="6"/>
        <v>8.5180000000000006E-2</v>
      </c>
      <c r="L62" s="1543">
        <f t="shared" si="3"/>
        <v>0</v>
      </c>
    </row>
    <row r="63" spans="1:16" ht="15" customHeight="1" outlineLevel="1">
      <c r="B63" s="1573" t="str">
        <f t="shared" si="4"/>
        <v/>
      </c>
      <c r="C63" s="1538" t="s">
        <v>63</v>
      </c>
      <c r="D63" s="1538">
        <v>4025</v>
      </c>
      <c r="E63" s="1538">
        <v>4707</v>
      </c>
      <c r="F63" s="1574"/>
      <c r="G63" s="1574"/>
      <c r="H63" s="1575">
        <f t="shared" si="5"/>
        <v>0</v>
      </c>
      <c r="I63" s="1574"/>
      <c r="J63" s="1574"/>
      <c r="K63" s="1576">
        <f t="shared" si="6"/>
        <v>8.5180000000000006E-2</v>
      </c>
      <c r="L63" s="1543">
        <f t="shared" si="3"/>
        <v>0</v>
      </c>
    </row>
    <row r="64" spans="1:16" ht="15" customHeight="1" outlineLevel="1">
      <c r="B64" s="1573" t="str">
        <f t="shared" si="4"/>
        <v/>
      </c>
      <c r="C64" s="1538" t="s">
        <v>63</v>
      </c>
      <c r="D64" s="1538">
        <v>4025</v>
      </c>
      <c r="E64" s="1538">
        <v>4707</v>
      </c>
      <c r="F64" s="1574"/>
      <c r="G64" s="1574"/>
      <c r="H64" s="1575">
        <f>+H38</f>
        <v>0</v>
      </c>
      <c r="I64" s="1574"/>
      <c r="J64" s="1574"/>
      <c r="K64" s="1576">
        <f t="shared" si="6"/>
        <v>8.5180000000000006E-2</v>
      </c>
      <c r="L64" s="1543">
        <f>+K64*H64</f>
        <v>0</v>
      </c>
    </row>
    <row r="65" spans="1:16" ht="15" customHeight="1" outlineLevel="1">
      <c r="B65" s="1573" t="str">
        <f t="shared" si="4"/>
        <v/>
      </c>
      <c r="C65" s="1538" t="s">
        <v>63</v>
      </c>
      <c r="D65" s="1538">
        <v>4025</v>
      </c>
      <c r="E65" s="1538">
        <v>4707</v>
      </c>
      <c r="F65" s="1574"/>
      <c r="G65" s="1574"/>
      <c r="H65" s="1575">
        <f>+H39</f>
        <v>0</v>
      </c>
      <c r="I65" s="1574"/>
      <c r="J65" s="1574"/>
      <c r="K65" s="1576">
        <f t="shared" si="6"/>
        <v>8.5180000000000006E-2</v>
      </c>
      <c r="L65" s="1543">
        <f t="shared" si="3"/>
        <v>0</v>
      </c>
    </row>
    <row r="66" spans="1:16" ht="15" customHeight="1" outlineLevel="1">
      <c r="B66" s="1573" t="s">
        <v>699</v>
      </c>
      <c r="C66" s="1533"/>
      <c r="D66" s="1533"/>
      <c r="E66" s="1534"/>
      <c r="F66" s="1577"/>
      <c r="G66" s="1577"/>
      <c r="H66" s="1578">
        <f>SUM(H55:H65)</f>
        <v>32112696.065424647</v>
      </c>
      <c r="I66" s="1577"/>
      <c r="J66" s="1577"/>
      <c r="K66" s="1579"/>
      <c r="L66" s="1551"/>
      <c r="P66" s="1580"/>
    </row>
    <row r="67" spans="1:16" ht="15" customHeight="1" outlineLevel="1">
      <c r="B67" s="1528" t="s">
        <v>65</v>
      </c>
      <c r="C67" s="1581"/>
      <c r="D67" s="1529"/>
      <c r="E67" s="1530"/>
      <c r="F67" s="1582"/>
      <c r="G67" s="1582"/>
      <c r="H67" s="1582"/>
      <c r="I67" s="1582"/>
      <c r="J67" s="1582"/>
      <c r="K67" s="1548"/>
      <c r="L67" s="1583">
        <f>SUM(L55:L65)</f>
        <v>2735359.4508528714</v>
      </c>
    </row>
    <row r="68" spans="1:16" ht="15" customHeight="1" outlineLevel="1">
      <c r="B68" s="1570"/>
      <c r="C68" s="1584"/>
      <c r="D68" s="1585"/>
      <c r="E68" s="1585"/>
      <c r="F68" s="1586"/>
      <c r="G68" s="1586"/>
      <c r="H68" s="1586"/>
      <c r="I68" s="1586"/>
      <c r="J68" s="1586"/>
      <c r="K68" s="1586"/>
      <c r="L68" s="1487"/>
    </row>
    <row r="69" spans="1:16" ht="15" customHeight="1" outlineLevel="1">
      <c r="L69" s="1587"/>
    </row>
    <row r="70" spans="1:16" ht="14.4">
      <c r="A70" s="1588" t="s">
        <v>700</v>
      </c>
      <c r="F70" s="1589"/>
      <c r="G70" s="1589"/>
      <c r="H70" s="1589"/>
      <c r="I70" s="1589"/>
      <c r="J70" s="1589"/>
      <c r="K70" s="1589"/>
    </row>
    <row r="71" spans="1:16" ht="14.4">
      <c r="A71" s="1588" t="s">
        <v>701</v>
      </c>
      <c r="G71" s="1590"/>
      <c r="H71" s="1590"/>
      <c r="I71" s="1590"/>
      <c r="J71" s="1590"/>
      <c r="K71" s="1590"/>
    </row>
    <row r="72" spans="1:16">
      <c r="A72" s="1480" t="s">
        <v>702</v>
      </c>
    </row>
  </sheetData>
  <mergeCells count="8">
    <mergeCell ref="G43:L43"/>
    <mergeCell ref="G52:L52"/>
    <mergeCell ref="B4:I6"/>
    <mergeCell ref="C17:E17"/>
    <mergeCell ref="C18:E18"/>
    <mergeCell ref="C19:E19"/>
    <mergeCell ref="C20:E20"/>
    <mergeCell ref="G26:L26"/>
  </mergeCells>
  <conditionalFormatting sqref="B1">
    <cfRule type="expression" dxfId="0" priority="1" stopIfTrue="1">
      <formula>LEFT($C1,6)="Macros"</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2C9AC-421C-490F-9DC7-517C4E3037F0}">
  <sheetPr>
    <tabColor rgb="FFFFC000"/>
  </sheetPr>
  <dimension ref="A1:S180"/>
  <sheetViews>
    <sheetView topLeftCell="A163" workbookViewId="0">
      <selection activeCell="E184" sqref="E184"/>
    </sheetView>
  </sheetViews>
  <sheetFormatPr defaultColWidth="9.109375" defaultRowHeight="13.2"/>
  <cols>
    <col min="1" max="1" width="37" style="1480" customWidth="1"/>
    <col min="2" max="2" width="8" style="1480" bestFit="1" customWidth="1"/>
    <col min="3" max="3" width="1.5546875" style="1480" customWidth="1"/>
    <col min="4" max="4" width="23.109375" style="1480" bestFit="1" customWidth="1"/>
    <col min="5" max="5" width="15.109375" style="1480" bestFit="1" customWidth="1"/>
    <col min="6" max="6" width="12.109375" style="1480" customWidth="1"/>
    <col min="7" max="7" width="2.109375" style="1480" customWidth="1"/>
    <col min="8" max="8" width="19.109375" style="1480" customWidth="1"/>
    <col min="9" max="9" width="12.6640625" style="1480" customWidth="1"/>
    <col min="10" max="10" width="13.109375" style="1480" customWidth="1"/>
    <col min="11" max="11" width="16.109375" style="1480" bestFit="1" customWidth="1"/>
    <col min="12" max="12" width="12" style="1480" bestFit="1" customWidth="1"/>
    <col min="13" max="14" width="9.109375" style="1480"/>
    <col min="15" max="15" width="12.6640625" style="1480" bestFit="1" customWidth="1"/>
    <col min="16" max="16" width="10.33203125" style="1480" bestFit="1" customWidth="1"/>
    <col min="17" max="17" width="9.109375" style="1480"/>
    <col min="18" max="18" width="10.88671875" style="1480" customWidth="1"/>
    <col min="19" max="16384" width="9.109375" style="1480"/>
  </cols>
  <sheetData>
    <row r="1" spans="1:19" ht="14.4">
      <c r="A1" s="1886" t="s">
        <v>703</v>
      </c>
      <c r="B1" s="1886"/>
      <c r="C1" s="1886"/>
      <c r="D1" s="1886"/>
      <c r="E1" s="1886"/>
      <c r="F1" s="1886"/>
      <c r="G1" s="1886"/>
      <c r="H1" s="1886"/>
      <c r="I1" s="1886"/>
      <c r="J1" s="1886"/>
    </row>
    <row r="2" spans="1:19" ht="14.4">
      <c r="A2" s="1591"/>
      <c r="B2" s="1591"/>
      <c r="C2" s="1591"/>
      <c r="D2" s="1591"/>
      <c r="E2" s="1591"/>
      <c r="F2" s="1591"/>
      <c r="G2" s="1591"/>
      <c r="H2" s="1591"/>
      <c r="I2" s="1591"/>
      <c r="J2" s="1483" t="s">
        <v>181</v>
      </c>
      <c r="K2" s="1484" t="s">
        <v>665</v>
      </c>
    </row>
    <row r="3" spans="1:19" ht="14.4">
      <c r="A3" s="1591"/>
      <c r="B3" s="1591"/>
      <c r="C3" s="1591"/>
      <c r="D3" s="1591"/>
      <c r="E3" s="1591"/>
      <c r="F3" s="1591"/>
      <c r="G3" s="1591"/>
      <c r="H3" s="1591"/>
      <c r="I3" s="1591"/>
      <c r="J3" s="1483" t="s">
        <v>184</v>
      </c>
      <c r="K3" s="1484"/>
    </row>
    <row r="4" spans="1:19" ht="14.4">
      <c r="A4" s="1591"/>
      <c r="B4" s="1591"/>
      <c r="C4" s="1591"/>
      <c r="D4" s="1591"/>
      <c r="E4" s="1591"/>
      <c r="F4" s="1591"/>
      <c r="G4" s="1591"/>
      <c r="H4" s="1591"/>
      <c r="I4" s="1591"/>
      <c r="J4" s="1483" t="s">
        <v>185</v>
      </c>
      <c r="K4" s="1484"/>
    </row>
    <row r="5" spans="1:19" ht="14.4">
      <c r="A5" s="1591"/>
      <c r="B5" s="1591"/>
      <c r="C5" s="1591"/>
      <c r="D5" s="1591"/>
      <c r="E5" s="1591"/>
      <c r="F5" s="1591"/>
      <c r="G5" s="1591"/>
      <c r="H5" s="1591"/>
      <c r="I5" s="1591"/>
      <c r="J5" s="1483" t="s">
        <v>186</v>
      </c>
      <c r="K5" s="1484"/>
    </row>
    <row r="6" spans="1:19" ht="14.4">
      <c r="A6" s="1591"/>
      <c r="B6" s="1591"/>
      <c r="C6" s="1591"/>
      <c r="D6" s="1591"/>
      <c r="E6" s="1591"/>
      <c r="F6" s="1591"/>
      <c r="G6" s="1591"/>
      <c r="H6" s="1591"/>
      <c r="I6" s="1591"/>
      <c r="J6" s="1483" t="s">
        <v>187</v>
      </c>
      <c r="K6" s="1484"/>
    </row>
    <row r="7" spans="1:19">
      <c r="A7" s="1480" t="s">
        <v>704</v>
      </c>
      <c r="J7" s="1483"/>
      <c r="K7" s="1488"/>
    </row>
    <row r="8" spans="1:19" ht="14.4">
      <c r="A8" s="1588" t="s">
        <v>705</v>
      </c>
      <c r="J8" s="1483" t="s">
        <v>188</v>
      </c>
      <c r="K8" s="1484"/>
    </row>
    <row r="9" spans="1:19" ht="14.4">
      <c r="A9" s="1588" t="s">
        <v>706</v>
      </c>
      <c r="E9" s="1887"/>
      <c r="F9" s="1887"/>
      <c r="G9" s="1487"/>
      <c r="H9" s="1487"/>
      <c r="I9" s="1887"/>
      <c r="J9" s="1887"/>
    </row>
    <row r="10" spans="1:19" ht="14.4">
      <c r="B10" s="1592"/>
      <c r="C10" s="1593"/>
      <c r="D10" s="1676" t="s">
        <v>638</v>
      </c>
      <c r="E10" s="1888" t="s">
        <v>470</v>
      </c>
      <c r="F10" s="1888"/>
      <c r="G10" s="1595"/>
      <c r="H10" s="1594" t="str">
        <f>D10</f>
        <v>2021 Bridge Year</v>
      </c>
      <c r="I10" s="1888" t="s">
        <v>672</v>
      </c>
      <c r="J10" s="1888"/>
      <c r="K10" s="1596" t="s">
        <v>5</v>
      </c>
      <c r="L10" s="1597"/>
      <c r="M10" s="1597"/>
      <c r="N10" s="1597"/>
      <c r="O10" s="1597"/>
      <c r="P10" s="1597"/>
      <c r="Q10" s="1597" t="s">
        <v>707</v>
      </c>
      <c r="R10" s="1597"/>
      <c r="S10" s="1597"/>
    </row>
    <row r="11" spans="1:19" ht="14.4">
      <c r="A11" s="1598" t="s">
        <v>708</v>
      </c>
      <c r="B11" s="1892" t="s">
        <v>709</v>
      </c>
      <c r="C11" s="1599"/>
      <c r="D11" s="1600" t="s">
        <v>71</v>
      </c>
      <c r="E11" s="1600" t="s">
        <v>339</v>
      </c>
      <c r="F11" s="1536" t="s">
        <v>710</v>
      </c>
      <c r="G11" s="1487"/>
      <c r="H11" s="1600" t="s">
        <v>71</v>
      </c>
      <c r="I11" s="1600" t="s">
        <v>339</v>
      </c>
      <c r="J11" s="1536" t="s">
        <v>710</v>
      </c>
      <c r="K11" s="1601" t="s">
        <v>326</v>
      </c>
      <c r="L11" s="1597"/>
      <c r="M11" s="1597"/>
      <c r="N11" s="1597" t="s">
        <v>711</v>
      </c>
      <c r="O11" s="1597" t="s">
        <v>712</v>
      </c>
      <c r="P11" s="1602" t="s">
        <v>713</v>
      </c>
      <c r="Q11" s="1597"/>
      <c r="R11" s="1597"/>
      <c r="S11" s="1597"/>
    </row>
    <row r="12" spans="1:19" ht="14.4">
      <c r="A12" s="1603" t="s">
        <v>69</v>
      </c>
      <c r="B12" s="1893"/>
      <c r="C12" s="1604"/>
      <c r="D12" s="1605"/>
      <c r="E12" s="1606"/>
      <c r="F12" s="1607"/>
      <c r="H12" s="1605"/>
      <c r="I12" s="1606"/>
      <c r="J12" s="1607"/>
      <c r="K12" s="1889"/>
      <c r="L12" s="1597"/>
      <c r="M12" s="1597"/>
      <c r="N12" s="1597"/>
      <c r="O12" s="1597"/>
      <c r="P12" s="1597"/>
      <c r="Q12" s="1597"/>
      <c r="R12" s="1597"/>
      <c r="S12" s="1597"/>
    </row>
    <row r="13" spans="1:19" ht="14.4">
      <c r="A13" s="1608" t="str">
        <f>IF('[17]App.2-ZA_Com. Exp. Forecast'!B29="","",'[17]App.2-ZA_Com. Exp. Forecast'!B29)</f>
        <v xml:space="preserve">Residential </v>
      </c>
      <c r="B13" s="1609" t="s">
        <v>63</v>
      </c>
      <c r="C13" s="1604"/>
      <c r="D13" s="1605">
        <f>'Bridge RPP Split'!I29</f>
        <v>46701765.863328181</v>
      </c>
      <c r="E13" s="1610"/>
      <c r="F13" s="1611">
        <f>D13*'Bridge RPP Split'!K29</f>
        <v>4840171.0140753323</v>
      </c>
      <c r="H13" s="1605">
        <f>'Bridge RPP Split'!H29</f>
        <v>631266.7534718141</v>
      </c>
      <c r="I13" s="1612"/>
      <c r="J13" s="1607">
        <f>H13*'Bridge RPP Split'!J29</f>
        <v>11116.607528638646</v>
      </c>
      <c r="K13" s="1889"/>
      <c r="L13" s="1597"/>
      <c r="M13" s="1597"/>
      <c r="N13" s="1613">
        <f>F13/F$24</f>
        <v>0.70253798164989678</v>
      </c>
      <c r="O13" s="1614">
        <f>N13*F$164</f>
        <v>-1098621.0931749921</v>
      </c>
      <c r="P13" s="1615">
        <f>F13+J13+O13+F28+J28</f>
        <v>3806437.8304897081</v>
      </c>
      <c r="Q13" s="1616">
        <v>4006</v>
      </c>
      <c r="R13" s="1617">
        <f>-P13</f>
        <v>-3806437.8304897081</v>
      </c>
      <c r="S13" s="1597"/>
    </row>
    <row r="14" spans="1:19" ht="14.4">
      <c r="A14" s="1608" t="str">
        <f>IF('[17]App.2-ZA_Com. Exp. Forecast'!B30="","",'[17]App.2-ZA_Com. Exp. Forecast'!B30)</f>
        <v>General Service &lt; 50 kW</v>
      </c>
      <c r="B14" s="1609" t="s">
        <v>63</v>
      </c>
      <c r="C14" s="1604"/>
      <c r="D14" s="1605">
        <f>'Bridge RPP Split'!I30</f>
        <v>16010886.735784352</v>
      </c>
      <c r="E14" s="1610"/>
      <c r="F14" s="1611">
        <f>D14*'Bridge RPP Split'!K30</f>
        <v>1659368.3012966902</v>
      </c>
      <c r="H14" s="1605">
        <f>'Bridge RPP Split'!H30</f>
        <v>3242073.7069156468</v>
      </c>
      <c r="I14" s="1612"/>
      <c r="J14" s="1607">
        <f>H14*'Bridge RPP Split'!J30</f>
        <v>57092.917978784542</v>
      </c>
      <c r="K14" s="1889"/>
      <c r="L14" s="1597"/>
      <c r="M14" s="1597"/>
      <c r="N14" s="1613">
        <f t="shared" ref="N14:N18" si="0">F14/F$24</f>
        <v>0.24085290660530587</v>
      </c>
      <c r="O14" s="1614">
        <f t="shared" ref="O14:O18" si="1">N14*F$164</f>
        <v>-376643.10038821417</v>
      </c>
      <c r="P14" s="1615">
        <f>F14+J14+O14+F29+J29</f>
        <v>1615977.9572423354</v>
      </c>
      <c r="Q14" s="1616">
        <v>4010</v>
      </c>
      <c r="R14" s="1617">
        <f>-(P14+P18)</f>
        <v>-1665555.3941942924</v>
      </c>
      <c r="S14" s="1597"/>
    </row>
    <row r="15" spans="1:19" ht="14.4">
      <c r="A15" s="1608" t="str">
        <f>IF('[17]App.2-ZA_Com. Exp. Forecast'!B31="","",'[17]App.2-ZA_Com. Exp. Forecast'!B31)</f>
        <v>General Service 50 to 4,999 kW</v>
      </c>
      <c r="B15" s="1609" t="s">
        <v>63</v>
      </c>
      <c r="C15" s="1604"/>
      <c r="D15" s="1605">
        <f>'Bridge RPP Split'!I31</f>
        <v>3039185.0899677509</v>
      </c>
      <c r="E15" s="1610"/>
      <c r="F15" s="1611">
        <f>D15*'Bridge RPP Split'!K31</f>
        <v>314981.14272425772</v>
      </c>
      <c r="H15" s="1605">
        <f>'Bridge RPP Split'!H31+'Bridge RPP Split'!F31</f>
        <v>38020500.960432246</v>
      </c>
      <c r="I15" s="1612"/>
      <c r="J15" s="1607">
        <f>H15*'Bridge RPP Split'!J31</f>
        <v>669541.02191321191</v>
      </c>
      <c r="K15" s="1889"/>
      <c r="L15" s="1597"/>
      <c r="M15" s="1597"/>
      <c r="N15" s="1613">
        <f t="shared" si="0"/>
        <v>4.5718677216935621E-2</v>
      </c>
      <c r="O15" s="1614">
        <f t="shared" si="1"/>
        <v>-71494.359670954887</v>
      </c>
      <c r="P15" s="1615">
        <f>F15+J15+O15+F30+J30+J39</f>
        <v>3739089.767661416</v>
      </c>
      <c r="Q15" s="1616">
        <v>4015</v>
      </c>
      <c r="R15" s="1617">
        <f>-P15</f>
        <v>-3739089.767661416</v>
      </c>
      <c r="S15" s="1597"/>
    </row>
    <row r="16" spans="1:19" ht="14.4">
      <c r="A16" s="1608" t="str">
        <f>IF('[17]App.2-ZA_Com. Exp. Forecast'!B32="","",'[17]App.2-ZA_Com. Exp. Forecast'!B32)</f>
        <v xml:space="preserve">Street Lights </v>
      </c>
      <c r="B16" s="1609" t="s">
        <v>63</v>
      </c>
      <c r="C16" s="1604"/>
      <c r="D16" s="1605">
        <f>'Bridge RPP Split'!I32</f>
        <v>88010.196253419039</v>
      </c>
      <c r="E16" s="1610"/>
      <c r="F16" s="1611">
        <f>D16*'Bridge RPP Split'!K32</f>
        <v>9121.3767397043484</v>
      </c>
      <c r="H16" s="1605">
        <f>'Bridge RPP Split'!H32</f>
        <v>610484.54254658089</v>
      </c>
      <c r="I16" s="1612"/>
      <c r="J16" s="1607">
        <f>H16*'Bridge RPP Split'!J32</f>
        <v>10750.63279424529</v>
      </c>
      <c r="K16" s="1889"/>
      <c r="L16" s="1597"/>
      <c r="M16" s="1597"/>
      <c r="N16" s="1613">
        <f t="shared" si="0"/>
        <v>1.3239436346247401E-3</v>
      </c>
      <c r="O16" s="1614">
        <f t="shared" si="1"/>
        <v>-2070.3683518400107</v>
      </c>
      <c r="P16" s="1615">
        <f t="shared" ref="P16:P17" si="2">F16+J16+O16+F31+J31</f>
        <v>69802.714516227396</v>
      </c>
      <c r="Q16" s="1616">
        <v>4025</v>
      </c>
      <c r="R16" s="1617">
        <f>-P16</f>
        <v>-69802.714516227396</v>
      </c>
      <c r="S16" s="1597"/>
    </row>
    <row r="17" spans="1:19" ht="14.4">
      <c r="A17" s="1608" t="str">
        <f>IF('[17]App.2-ZA_Com. Exp. Forecast'!B33="","",'[17]App.2-ZA_Com. Exp. Forecast'!B33)</f>
        <v>Sentinel Lights</v>
      </c>
      <c r="B17" s="1609" t="s">
        <v>63</v>
      </c>
      <c r="C17" s="1604"/>
      <c r="D17" s="1605">
        <f>'Bridge RPP Split'!I33</f>
        <v>91633.495104443413</v>
      </c>
      <c r="E17" s="1610"/>
      <c r="F17" s="1611">
        <f>D17*'Bridge RPP Split'!K33</f>
        <v>9496.8954326245148</v>
      </c>
      <c r="H17" s="1605">
        <f>'Bridge RPP Split'!H33</f>
        <v>4531.6819955565879</v>
      </c>
      <c r="I17" s="1612"/>
      <c r="J17" s="1607">
        <f>H17*'Bridge RPP Split'!J33</f>
        <v>79.802919941751512</v>
      </c>
      <c r="K17" s="1889"/>
      <c r="L17" s="1597"/>
      <c r="M17" s="1597"/>
      <c r="N17" s="1613">
        <f t="shared" si="0"/>
        <v>1.3784491766456225E-3</v>
      </c>
      <c r="O17" s="1614">
        <f t="shared" si="1"/>
        <v>-2155.6035131026774</v>
      </c>
      <c r="P17" s="1615">
        <f t="shared" si="2"/>
        <v>7807.1035118451</v>
      </c>
      <c r="Q17" s="1616">
        <v>4030</v>
      </c>
      <c r="R17" s="1617">
        <f>-P17</f>
        <v>-7807.1035118451</v>
      </c>
      <c r="S17" s="1597"/>
    </row>
    <row r="18" spans="1:19">
      <c r="A18" s="1608" t="str">
        <f>IF('[17]App.2-ZA_Com. Exp. Forecast'!B34="","",'[17]App.2-ZA_Com. Exp. Forecast'!B34)</f>
        <v xml:space="preserve">Unmetered Loads </v>
      </c>
      <c r="B18" s="1609" t="s">
        <v>63</v>
      </c>
      <c r="C18" s="1604"/>
      <c r="D18" s="1605">
        <f>'Bridge RPP Split'!I34</f>
        <v>544306.52450897789</v>
      </c>
      <c r="E18" s="1610"/>
      <c r="F18" s="1611">
        <f>D18*'Bridge RPP Split'!K34</f>
        <v>56411.928200110466</v>
      </c>
      <c r="H18" s="1605">
        <f>'Bridge RPP Split'!H34</f>
        <v>58078.38749102212</v>
      </c>
      <c r="I18" s="1612"/>
      <c r="J18" s="1607">
        <f>H18*'Bridge RPP Split'!J34</f>
        <v>1022.7604037168995</v>
      </c>
      <c r="K18" s="1889"/>
      <c r="L18" s="1597"/>
      <c r="M18" s="1597"/>
      <c r="N18" s="1613">
        <f t="shared" si="0"/>
        <v>8.1880417165912309E-3</v>
      </c>
      <c r="O18" s="1614">
        <f t="shared" si="1"/>
        <v>-12804.368698355654</v>
      </c>
      <c r="P18" s="1615">
        <f>F18+J18+O18+F33+J33</f>
        <v>49577.436951956974</v>
      </c>
      <c r="Q18" s="1597">
        <v>4012</v>
      </c>
      <c r="R18" s="1597"/>
      <c r="S18" s="1597"/>
    </row>
    <row r="19" spans="1:19">
      <c r="A19" s="1608"/>
      <c r="B19" s="1609"/>
      <c r="C19" s="1604"/>
      <c r="D19" s="1605"/>
      <c r="E19" s="1610"/>
      <c r="F19" s="1611">
        <f>D19*'[17]App.2-ZA_Com. Exp. Forecast'!K35</f>
        <v>0</v>
      </c>
      <c r="H19" s="1605"/>
      <c r="I19" s="1612"/>
      <c r="J19" s="1607">
        <f>H19*'[17]App.2-ZA_Com. Exp. Forecast'!J35</f>
        <v>0</v>
      </c>
      <c r="K19" s="1889"/>
      <c r="L19" s="1597"/>
      <c r="M19" s="1597"/>
      <c r="N19" s="1597"/>
      <c r="O19" s="1597"/>
      <c r="P19" s="1597"/>
      <c r="Q19" s="1597"/>
      <c r="R19" s="1597"/>
      <c r="S19" s="1597"/>
    </row>
    <row r="20" spans="1:19">
      <c r="A20" s="1608"/>
      <c r="B20" s="1609"/>
      <c r="C20" s="1604"/>
      <c r="D20" s="1605"/>
      <c r="E20" s="1610"/>
      <c r="F20" s="1611">
        <f>D20*'[17]App.2-ZA_Com. Exp. Forecast'!K36</f>
        <v>0</v>
      </c>
      <c r="H20" s="1605"/>
      <c r="I20" s="1612"/>
      <c r="J20" s="1607">
        <f>H20*'[17]App.2-ZA_Com. Exp. Forecast'!J36</f>
        <v>0</v>
      </c>
      <c r="K20" s="1889"/>
      <c r="L20" s="1597"/>
      <c r="M20" s="1597"/>
      <c r="N20" s="1597"/>
      <c r="O20" s="1597"/>
      <c r="P20" s="1597"/>
      <c r="Q20" s="1597"/>
      <c r="R20" s="1597"/>
      <c r="S20" s="1597"/>
    </row>
    <row r="21" spans="1:19">
      <c r="A21" s="1608"/>
      <c r="B21" s="1609"/>
      <c r="C21" s="1604"/>
      <c r="D21" s="1605"/>
      <c r="E21" s="1610"/>
      <c r="F21" s="1611">
        <f>D21*'[17]App.2-ZA_Com. Exp. Forecast'!K37</f>
        <v>0</v>
      </c>
      <c r="H21" s="1605"/>
      <c r="I21" s="1612"/>
      <c r="J21" s="1607">
        <f>H21*'[17]App.2-ZA_Com. Exp. Forecast'!J37</f>
        <v>0</v>
      </c>
      <c r="K21" s="1889"/>
    </row>
    <row r="22" spans="1:19">
      <c r="A22" s="1608"/>
      <c r="B22" s="1609"/>
      <c r="C22" s="1618"/>
      <c r="D22" s="1605"/>
      <c r="E22" s="1610"/>
      <c r="F22" s="1611">
        <f>D22*'[17]App.2-ZA_Com. Exp. Forecast'!K38</f>
        <v>0</v>
      </c>
      <c r="H22" s="1605"/>
      <c r="I22" s="1612"/>
      <c r="J22" s="1607">
        <f>H22*'[17]App.2-ZA_Com. Exp. Forecast'!J38</f>
        <v>0</v>
      </c>
      <c r="K22" s="1889"/>
    </row>
    <row r="23" spans="1:19">
      <c r="A23" s="1608"/>
      <c r="B23" s="1619"/>
      <c r="C23" s="1604"/>
      <c r="D23" s="1605"/>
      <c r="E23" s="1610"/>
      <c r="F23" s="1611">
        <f>D23*'[17]App.2-ZA_Com. Exp. Forecast'!K39</f>
        <v>0</v>
      </c>
      <c r="H23" s="1605"/>
      <c r="I23" s="1612"/>
      <c r="J23" s="1607">
        <f>H23*'[17]App.2-ZA_Com. Exp. Forecast'!J39</f>
        <v>0</v>
      </c>
      <c r="K23" s="1889"/>
    </row>
    <row r="24" spans="1:19" ht="15" thickBot="1">
      <c r="A24" s="1603" t="s">
        <v>714</v>
      </c>
      <c r="B24" s="1608"/>
      <c r="C24" s="1604"/>
      <c r="D24" s="1605"/>
      <c r="E24" s="1620"/>
      <c r="F24" s="1611">
        <f>SUM(F13:F23)</f>
        <v>6889550.6584687205</v>
      </c>
      <c r="G24" s="1608"/>
      <c r="H24" s="1605"/>
      <c r="I24" s="1621"/>
      <c r="J24" s="1622">
        <f>SUM(J13:J23)</f>
        <v>749603.74353853904</v>
      </c>
      <c r="K24" s="1623">
        <f>F24+J24</f>
        <v>7639154.4020072594</v>
      </c>
      <c r="L24" s="1624">
        <f>K24-'Bridge RPP Split'!L40</f>
        <v>0</v>
      </c>
      <c r="M24" s="1597" t="s">
        <v>715</v>
      </c>
      <c r="N24" s="1625">
        <f>SUM(N13:N23)</f>
        <v>0.99999999999999989</v>
      </c>
      <c r="O24" s="1626">
        <f>SUM(O13:O23)</f>
        <v>-1563788.8937974598</v>
      </c>
      <c r="P24" s="1627">
        <f>SUM(P13:P23)</f>
        <v>9288692.8103734907</v>
      </c>
      <c r="R24" s="1627">
        <f t="shared" ref="R24" si="3">SUM(R13:R23)</f>
        <v>-9288692.8103734888</v>
      </c>
    </row>
    <row r="25" spans="1:19" ht="7.5" customHeight="1" thickTop="1">
      <c r="D25" s="1628"/>
      <c r="I25" s="1890"/>
      <c r="J25" s="1891"/>
      <c r="L25" s="1597"/>
      <c r="M25" s="1597"/>
      <c r="N25" s="1597"/>
      <c r="O25" s="1629"/>
      <c r="P25" s="1630"/>
      <c r="R25" s="1597"/>
    </row>
    <row r="26" spans="1:19" ht="14.4">
      <c r="A26" s="1598" t="s">
        <v>716</v>
      </c>
      <c r="B26" s="1892" t="s">
        <v>709</v>
      </c>
      <c r="C26" s="1599"/>
      <c r="D26" s="1894" t="s">
        <v>71</v>
      </c>
      <c r="E26" s="1895" t="s">
        <v>339</v>
      </c>
      <c r="F26" s="1896" t="s">
        <v>710</v>
      </c>
      <c r="G26" s="1487"/>
      <c r="H26" s="1898" t="s">
        <v>71</v>
      </c>
      <c r="I26" s="1895" t="s">
        <v>339</v>
      </c>
      <c r="J26" s="1896" t="s">
        <v>710</v>
      </c>
      <c r="K26" s="1900" t="s">
        <v>5</v>
      </c>
      <c r="L26" s="1597"/>
      <c r="M26" s="1597"/>
      <c r="N26" s="1597"/>
      <c r="O26" s="1631">
        <f>F164</f>
        <v>-1563788.8937974598</v>
      </c>
      <c r="P26" s="1632">
        <f>E171+E172+E178</f>
        <v>9288692.8103734907</v>
      </c>
      <c r="Q26" s="1597"/>
      <c r="R26" s="1597"/>
    </row>
    <row r="27" spans="1:19" ht="14.4">
      <c r="A27" s="1603" t="s">
        <v>717</v>
      </c>
      <c r="B27" s="1893"/>
      <c r="C27" s="1599"/>
      <c r="D27" s="1890"/>
      <c r="E27" s="1891"/>
      <c r="F27" s="1897"/>
      <c r="G27" s="1487"/>
      <c r="H27" s="1899"/>
      <c r="I27" s="1891"/>
      <c r="J27" s="1897"/>
      <c r="K27" s="1901"/>
    </row>
    <row r="28" spans="1:19">
      <c r="A28" s="1608" t="str">
        <f>IF(A13="","",A13 &amp; " - Class B")</f>
        <v>Residential  - Class B</v>
      </c>
      <c r="B28" s="1633" t="s">
        <v>63</v>
      </c>
      <c r="C28" s="1604"/>
      <c r="D28" s="1540"/>
      <c r="E28" s="1540"/>
      <c r="F28" s="1634">
        <f>D28*E28</f>
        <v>0</v>
      </c>
      <c r="H28" s="1635"/>
      <c r="I28" s="1540"/>
      <c r="J28" s="1607">
        <f>'Bridge RPP Split'!L55</f>
        <v>53771.302060729126</v>
      </c>
      <c r="K28" s="1889"/>
    </row>
    <row r="29" spans="1:19">
      <c r="A29" s="1608" t="str">
        <f t="shared" ref="A29:A38" si="4">IF(A14="","",A14 &amp; " - Class B")</f>
        <v>General Service &lt; 50 kW - Class B</v>
      </c>
      <c r="B29" s="1633" t="s">
        <v>63</v>
      </c>
      <c r="C29" s="1604"/>
      <c r="D29" s="1540"/>
      <c r="E29" s="1540"/>
      <c r="F29" s="1634">
        <f t="shared" ref="F29:F43" si="5">D29*E29</f>
        <v>0</v>
      </c>
      <c r="H29" s="1635"/>
      <c r="I29" s="1540"/>
      <c r="J29" s="1607">
        <f>'Bridge RPP Split'!L56</f>
        <v>276159.83835507481</v>
      </c>
      <c r="K29" s="1889"/>
    </row>
    <row r="30" spans="1:19">
      <c r="A30" s="1608" t="str">
        <f t="shared" si="4"/>
        <v>General Service 50 to 4,999 kW - Class B</v>
      </c>
      <c r="B30" s="1633" t="s">
        <v>63</v>
      </c>
      <c r="C30" s="1604"/>
      <c r="D30" s="1540"/>
      <c r="E30" s="1540"/>
      <c r="F30" s="1634">
        <f t="shared" si="5"/>
        <v>0</v>
      </c>
      <c r="H30" s="1635"/>
      <c r="I30" s="1540"/>
      <c r="J30" s="1607">
        <f>'Bridge RPP Split'!L57</f>
        <v>2348094.1113840831</v>
      </c>
      <c r="K30" s="1889"/>
    </row>
    <row r="31" spans="1:19">
      <c r="A31" s="1608" t="str">
        <f t="shared" si="4"/>
        <v>Street Lights  - Class B</v>
      </c>
      <c r="B31" s="1633" t="s">
        <v>63</v>
      </c>
      <c r="C31" s="1604"/>
      <c r="D31" s="1540"/>
      <c r="E31" s="1540"/>
      <c r="F31" s="1634">
        <f t="shared" si="5"/>
        <v>0</v>
      </c>
      <c r="H31" s="1635"/>
      <c r="I31" s="1540"/>
      <c r="J31" s="1607">
        <f>'Bridge RPP Split'!L58</f>
        <v>52001.073334117762</v>
      </c>
      <c r="K31" s="1889"/>
    </row>
    <row r="32" spans="1:19">
      <c r="A32" s="1608" t="str">
        <f t="shared" si="4"/>
        <v>Sentinel Lights - Class B</v>
      </c>
      <c r="B32" s="1633" t="s">
        <v>63</v>
      </c>
      <c r="C32" s="1604"/>
      <c r="D32" s="1540"/>
      <c r="E32" s="1540"/>
      <c r="F32" s="1634">
        <f t="shared" si="5"/>
        <v>0</v>
      </c>
      <c r="H32" s="1635"/>
      <c r="I32" s="1540"/>
      <c r="J32" s="1607">
        <f>'Bridge RPP Split'!L59</f>
        <v>386.00867238151017</v>
      </c>
      <c r="K32" s="1889"/>
    </row>
    <row r="33" spans="1:12">
      <c r="A33" s="1608" t="str">
        <f t="shared" si="4"/>
        <v>Unmetered Loads  - Class B</v>
      </c>
      <c r="B33" s="1633" t="s">
        <v>63</v>
      </c>
      <c r="C33" s="1604"/>
      <c r="D33" s="1540"/>
      <c r="E33" s="1540"/>
      <c r="F33" s="1634">
        <f t="shared" si="5"/>
        <v>0</v>
      </c>
      <c r="H33" s="1635"/>
      <c r="I33" s="1540"/>
      <c r="J33" s="1607">
        <f>'Bridge RPP Split'!L60</f>
        <v>4947.1170464852648</v>
      </c>
      <c r="K33" s="1889"/>
    </row>
    <row r="34" spans="1:12">
      <c r="A34" s="1608" t="str">
        <f t="shared" si="4"/>
        <v/>
      </c>
      <c r="B34" s="1633"/>
      <c r="C34" s="1604"/>
      <c r="D34" s="1540"/>
      <c r="E34" s="1540"/>
      <c r="F34" s="1634">
        <f t="shared" si="5"/>
        <v>0</v>
      </c>
      <c r="H34" s="1635"/>
      <c r="I34" s="1540"/>
      <c r="J34" s="1607">
        <f>'[17]App.2-ZA_Com. Exp. Forecast'!L61</f>
        <v>0</v>
      </c>
      <c r="K34" s="1889"/>
    </row>
    <row r="35" spans="1:12">
      <c r="A35" s="1608" t="str">
        <f t="shared" si="4"/>
        <v/>
      </c>
      <c r="B35" s="1633"/>
      <c r="C35" s="1604"/>
      <c r="D35" s="1540"/>
      <c r="E35" s="1540"/>
      <c r="F35" s="1634">
        <f t="shared" si="5"/>
        <v>0</v>
      </c>
      <c r="H35" s="1635"/>
      <c r="I35" s="1540"/>
      <c r="J35" s="1607">
        <f>'[17]App.2-ZA_Com. Exp. Forecast'!L62</f>
        <v>0</v>
      </c>
      <c r="K35" s="1889"/>
    </row>
    <row r="36" spans="1:12">
      <c r="A36" s="1608" t="str">
        <f t="shared" si="4"/>
        <v/>
      </c>
      <c r="B36" s="1633"/>
      <c r="C36" s="1604"/>
      <c r="D36" s="1540"/>
      <c r="E36" s="1540"/>
      <c r="F36" s="1634">
        <f t="shared" si="5"/>
        <v>0</v>
      </c>
      <c r="H36" s="1635"/>
      <c r="I36" s="1540"/>
      <c r="J36" s="1607">
        <f>'[17]App.2-ZA_Com. Exp. Forecast'!L63</f>
        <v>0</v>
      </c>
      <c r="K36" s="1889"/>
    </row>
    <row r="37" spans="1:12">
      <c r="A37" s="1608" t="str">
        <f t="shared" si="4"/>
        <v/>
      </c>
      <c r="B37" s="1633"/>
      <c r="C37" s="1604"/>
      <c r="D37" s="1540"/>
      <c r="E37" s="1540"/>
      <c r="F37" s="1634">
        <f t="shared" si="5"/>
        <v>0</v>
      </c>
      <c r="H37" s="1635"/>
      <c r="I37" s="1540"/>
      <c r="J37" s="1607">
        <f>'[17]App.2-ZA_Com. Exp. Forecast'!L64</f>
        <v>0</v>
      </c>
      <c r="K37" s="1889"/>
    </row>
    <row r="38" spans="1:12">
      <c r="A38" s="1608" t="str">
        <f t="shared" si="4"/>
        <v/>
      </c>
      <c r="B38" s="1633"/>
      <c r="C38" s="1604"/>
      <c r="D38" s="1540"/>
      <c r="E38" s="1540"/>
      <c r="F38" s="1634">
        <f t="shared" si="5"/>
        <v>0</v>
      </c>
      <c r="H38" s="1635"/>
      <c r="I38" s="1540"/>
      <c r="J38" s="1607">
        <f>'[17]App.2-ZA_Com. Exp. Forecast'!L65</f>
        <v>0</v>
      </c>
      <c r="K38" s="1889"/>
    </row>
    <row r="39" spans="1:12">
      <c r="A39" s="1608" t="str">
        <f>IF('[17]App.2-ZA_Com. Exp. Forecast'!B45="","",'[17]App.2-ZA_Com. Exp. Forecast'!B45 &amp; " - Class A")</f>
        <v>General Service 50 to 4,999 kW - Class A</v>
      </c>
      <c r="B39" s="1633" t="s">
        <v>63</v>
      </c>
      <c r="C39" s="1604"/>
      <c r="D39" s="1540"/>
      <c r="E39" s="1540"/>
      <c r="F39" s="1634">
        <f t="shared" si="5"/>
        <v>0</v>
      </c>
      <c r="H39" s="1635"/>
      <c r="I39" s="1540"/>
      <c r="J39" s="1607">
        <f>'Bridge RPP Split'!L45</f>
        <v>477967.85131081811</v>
      </c>
      <c r="K39" s="1889"/>
    </row>
    <row r="40" spans="1:12">
      <c r="A40" s="1608" t="str">
        <f>IF('[17]App.2-ZA_Com. Exp. Forecast'!B46="","",'[17]App.2-ZA_Com. Exp. Forecast'!B46 &amp; " - Class A")</f>
        <v/>
      </c>
      <c r="B40" s="1633"/>
      <c r="C40" s="1604"/>
      <c r="D40" s="1540"/>
      <c r="E40" s="1540"/>
      <c r="F40" s="1634">
        <f t="shared" si="5"/>
        <v>0</v>
      </c>
      <c r="H40" s="1635"/>
      <c r="I40" s="1540"/>
      <c r="J40" s="1607">
        <f>'[17]App.2-ZA_Com. Exp. Forecast'!L46</f>
        <v>0</v>
      </c>
      <c r="K40" s="1889"/>
    </row>
    <row r="41" spans="1:12">
      <c r="A41" s="1608" t="str">
        <f>IF('[17]App.2-ZA_Com. Exp. Forecast'!B47="","",'[17]App.2-ZA_Com. Exp. Forecast'!B47 &amp; " - Class A")</f>
        <v/>
      </c>
      <c r="B41" s="1633"/>
      <c r="C41" s="1604"/>
      <c r="D41" s="1540"/>
      <c r="E41" s="1540"/>
      <c r="F41" s="1634">
        <f t="shared" si="5"/>
        <v>0</v>
      </c>
      <c r="H41" s="1635"/>
      <c r="I41" s="1540"/>
      <c r="J41" s="1607">
        <f>'[17]App.2-ZA_Com. Exp. Forecast'!L47</f>
        <v>0</v>
      </c>
      <c r="K41" s="1889"/>
      <c r="L41" s="1487"/>
    </row>
    <row r="42" spans="1:12">
      <c r="A42" s="1608" t="str">
        <f>IF('[17]App.2-ZA_Com. Exp. Forecast'!B48="","",'[17]App.2-ZA_Com. Exp. Forecast'!B48 &amp; " - Class A")</f>
        <v/>
      </c>
      <c r="B42" s="1633"/>
      <c r="C42" s="1604"/>
      <c r="D42" s="1540"/>
      <c r="E42" s="1540"/>
      <c r="F42" s="1634">
        <f t="shared" si="5"/>
        <v>0</v>
      </c>
      <c r="H42" s="1635"/>
      <c r="I42" s="1540"/>
      <c r="J42" s="1607">
        <f>'[17]App.2-ZA_Com. Exp. Forecast'!L48</f>
        <v>0</v>
      </c>
      <c r="K42" s="1889"/>
    </row>
    <row r="43" spans="1:12">
      <c r="A43" s="1608" t="str">
        <f>IF('[17]App.2-ZA_Com. Exp. Forecast'!B49="","",'[17]App.2-ZA_Com. Exp. Forecast'!B49 &amp; " - Class A")</f>
        <v/>
      </c>
      <c r="B43" s="1633"/>
      <c r="C43" s="1604"/>
      <c r="D43" s="1540"/>
      <c r="E43" s="1540"/>
      <c r="F43" s="1634">
        <f t="shared" si="5"/>
        <v>0</v>
      </c>
      <c r="H43" s="1635"/>
      <c r="I43" s="1540"/>
      <c r="J43" s="1607">
        <f>'[17]App.2-ZA_Com. Exp. Forecast'!L49</f>
        <v>0</v>
      </c>
      <c r="K43" s="1889"/>
    </row>
    <row r="44" spans="1:12" ht="14.4">
      <c r="A44" s="1603" t="s">
        <v>714</v>
      </c>
      <c r="B44" s="1636"/>
      <c r="C44" s="1604"/>
      <c r="D44" s="1621"/>
      <c r="E44" s="1620"/>
      <c r="F44" s="1608">
        <f>SUM(F28:F43)</f>
        <v>0</v>
      </c>
      <c r="G44" s="1608"/>
      <c r="H44" s="1620"/>
      <c r="I44" s="1620"/>
      <c r="J44" s="1637">
        <f>SUM(J28:J43)</f>
        <v>3213327.3021636894</v>
      </c>
      <c r="K44" s="1623">
        <f>F44+J44</f>
        <v>3213327.3021636894</v>
      </c>
      <c r="L44" s="1638"/>
    </row>
    <row r="45" spans="1:12" ht="8.25" customHeight="1">
      <c r="B45" s="1628"/>
      <c r="D45" s="1628"/>
    </row>
    <row r="46" spans="1:12" ht="14.4">
      <c r="A46" s="1598" t="s">
        <v>70</v>
      </c>
      <c r="B46" s="1891"/>
      <c r="C46" s="1599"/>
      <c r="D46" s="1890" t="s">
        <v>718</v>
      </c>
      <c r="E46" s="1889" t="s">
        <v>339</v>
      </c>
      <c r="F46" s="1896" t="s">
        <v>710</v>
      </c>
      <c r="G46" s="1487"/>
      <c r="H46" s="1898" t="s">
        <v>71</v>
      </c>
      <c r="I46" s="1889" t="s">
        <v>339</v>
      </c>
      <c r="J46" s="1896" t="s">
        <v>710</v>
      </c>
      <c r="K46" s="1894" t="s">
        <v>5</v>
      </c>
    </row>
    <row r="47" spans="1:12" ht="14.4">
      <c r="A47" s="1603" t="s">
        <v>717</v>
      </c>
      <c r="B47" s="1902"/>
      <c r="C47" s="1639"/>
      <c r="D47" s="1903"/>
      <c r="E47" s="1889"/>
      <c r="F47" s="1897"/>
      <c r="G47" s="1487"/>
      <c r="H47" s="1904"/>
      <c r="I47" s="1889"/>
      <c r="J47" s="1897"/>
      <c r="K47" s="1903"/>
    </row>
    <row r="48" spans="1:12">
      <c r="A48" s="1608" t="str">
        <f>IF(A13="","",A13)</f>
        <v xml:space="preserve">Residential </v>
      </c>
      <c r="B48" s="1633" t="s">
        <v>63</v>
      </c>
      <c r="C48" s="1604"/>
      <c r="D48" s="1640">
        <f>D13</f>
        <v>46701765.863328181</v>
      </c>
      <c r="E48" s="1641">
        <f>'[28]8. RTSR Rates to Forecast'!D17</f>
        <v>6.4999999999999997E-3</v>
      </c>
      <c r="F48" s="1642">
        <f>D48*E48</f>
        <v>303561.47811163316</v>
      </c>
      <c r="H48" s="1640">
        <f>H13</f>
        <v>631266.7534718141</v>
      </c>
      <c r="I48" s="1641">
        <f>E48</f>
        <v>6.4999999999999997E-3</v>
      </c>
      <c r="J48" s="1642">
        <f>H48*I48</f>
        <v>4103.2338975667917</v>
      </c>
      <c r="K48" s="1889"/>
    </row>
    <row r="49" spans="1:11">
      <c r="A49" s="1608" t="str">
        <f t="shared" ref="A49:A58" si="6">IF(A14="","",A14)</f>
        <v>General Service &lt; 50 kW</v>
      </c>
      <c r="B49" s="1633" t="s">
        <v>63</v>
      </c>
      <c r="C49" s="1618"/>
      <c r="D49" s="1640">
        <f>D14</f>
        <v>16010886.735784352</v>
      </c>
      <c r="E49" s="1641">
        <f>'[28]8. RTSR Rates to Forecast'!D18</f>
        <v>6.0000000000000001E-3</v>
      </c>
      <c r="F49" s="1642">
        <f t="shared" ref="F49:F58" si="7">D49*E49</f>
        <v>96065.320414706119</v>
      </c>
      <c r="H49" s="1640">
        <f>H14</f>
        <v>3242073.7069156468</v>
      </c>
      <c r="I49" s="1641">
        <f>E49</f>
        <v>6.0000000000000001E-3</v>
      </c>
      <c r="J49" s="1642">
        <f t="shared" ref="J49:J58" si="8">H49*I49</f>
        <v>19452.442241493882</v>
      </c>
      <c r="K49" s="1889"/>
    </row>
    <row r="50" spans="1:11">
      <c r="A50" s="1608" t="str">
        <f>IF(A15="","",A15)</f>
        <v>General Service 50 to 4,999 kW</v>
      </c>
      <c r="B50" s="1633" t="s">
        <v>64</v>
      </c>
      <c r="C50" s="1618"/>
      <c r="D50" s="1640">
        <f>'2022 COP Forecast'!$N$29</f>
        <v>6755.8932720348739</v>
      </c>
      <c r="E50" s="1641">
        <f>'[28]8. RTSR Rates to Forecast'!D19</f>
        <v>2.4830999999999999</v>
      </c>
      <c r="F50" s="1642">
        <f t="shared" si="7"/>
        <v>16775.558583789796</v>
      </c>
      <c r="H50" s="1640">
        <f>'2022 COP Forecast'!$J$29-H55</f>
        <v>3821.4918929806154</v>
      </c>
      <c r="I50" s="1641">
        <f>E50</f>
        <v>2.4830999999999999</v>
      </c>
      <c r="J50" s="1642">
        <f t="shared" si="8"/>
        <v>9489.146519460166</v>
      </c>
      <c r="K50" s="1889"/>
    </row>
    <row r="51" spans="1:11">
      <c r="A51" s="1608" t="str">
        <f t="shared" si="6"/>
        <v xml:space="preserve">Street Lights </v>
      </c>
      <c r="B51" s="1633" t="s">
        <v>64</v>
      </c>
      <c r="C51" s="1618"/>
      <c r="D51" s="1640">
        <f>'2022 COP Forecast'!I30</f>
        <v>219.89414989391594</v>
      </c>
      <c r="E51" s="1641">
        <f>'[28]8. RTSR Rates to Forecast'!$D$23</f>
        <v>1.8726</v>
      </c>
      <c r="F51" s="1642">
        <f t="shared" si="7"/>
        <v>411.77378509134701</v>
      </c>
      <c r="H51" s="1640">
        <f>'2022 COP Forecast'!J30</f>
        <v>1525.705850106084</v>
      </c>
      <c r="I51" s="1641">
        <f>E51</f>
        <v>1.8726</v>
      </c>
      <c r="J51" s="1642">
        <f t="shared" si="8"/>
        <v>2857.0367749086531</v>
      </c>
      <c r="K51" s="1889"/>
    </row>
    <row r="52" spans="1:11">
      <c r="A52" s="1608" t="str">
        <f t="shared" si="6"/>
        <v>Sentinel Lights</v>
      </c>
      <c r="B52" s="1633" t="s">
        <v>64</v>
      </c>
      <c r="C52" s="1618"/>
      <c r="D52" s="1640">
        <f>'2022 COP Forecast'!I31</f>
        <v>227.36205271824764</v>
      </c>
      <c r="E52" s="1641">
        <f>'[28]8. RTSR Rates to Forecast'!$D$22</f>
        <v>1.8821000000000001</v>
      </c>
      <c r="F52" s="1642">
        <f t="shared" si="7"/>
        <v>427.9181194210139</v>
      </c>
      <c r="H52" s="1640">
        <f>'2022 COP Forecast'!J31</f>
        <v>10.692506456801055</v>
      </c>
      <c r="I52" s="1641">
        <f t="shared" ref="I52:I53" si="9">E52</f>
        <v>1.8821000000000001</v>
      </c>
      <c r="J52" s="1642">
        <f t="shared" si="8"/>
        <v>20.124366402345267</v>
      </c>
      <c r="K52" s="1889"/>
    </row>
    <row r="53" spans="1:11">
      <c r="A53" s="1608" t="str">
        <f t="shared" si="6"/>
        <v xml:space="preserve">Unmetered Loads </v>
      </c>
      <c r="B53" s="1633" t="s">
        <v>63</v>
      </c>
      <c r="C53" s="1618"/>
      <c r="D53" s="1640">
        <f>D18</f>
        <v>544306.52450897789</v>
      </c>
      <c r="E53" s="1641">
        <f>'[28]8. RTSR Rates to Forecast'!$D$21</f>
        <v>6.0000000000000001E-3</v>
      </c>
      <c r="F53" s="1642">
        <f t="shared" si="7"/>
        <v>3265.8391470538672</v>
      </c>
      <c r="H53" s="1640">
        <f>H18</f>
        <v>58078.38749102212</v>
      </c>
      <c r="I53" s="1641">
        <f t="shared" si="9"/>
        <v>6.0000000000000001E-3</v>
      </c>
      <c r="J53" s="1642">
        <f t="shared" si="8"/>
        <v>348.47032494613273</v>
      </c>
      <c r="K53" s="1889"/>
    </row>
    <row r="54" spans="1:11">
      <c r="A54" s="1608" t="str">
        <f t="shared" si="6"/>
        <v/>
      </c>
      <c r="B54" s="1633"/>
      <c r="C54" s="1604"/>
      <c r="D54" s="1640"/>
      <c r="E54" s="1640"/>
      <c r="F54" s="1642">
        <f t="shared" si="7"/>
        <v>0</v>
      </c>
      <c r="H54" s="1640"/>
      <c r="I54" s="1640"/>
      <c r="J54" s="1642">
        <f t="shared" si="8"/>
        <v>0</v>
      </c>
      <c r="K54" s="1889"/>
    </row>
    <row r="55" spans="1:11" ht="14.4">
      <c r="A55" s="1643" t="s">
        <v>719</v>
      </c>
      <c r="B55" s="1644" t="s">
        <v>64</v>
      </c>
      <c r="C55" s="1604"/>
      <c r="D55" s="1640"/>
      <c r="E55" s="1640"/>
      <c r="F55" s="1642">
        <f t="shared" si="7"/>
        <v>0</v>
      </c>
      <c r="H55" s="1640">
        <f>'2022 COP Forecast'!$L$29</f>
        <v>95196.466485139346</v>
      </c>
      <c r="I55" s="1641">
        <f>'[28]8. RTSR Rates to Forecast'!$D$20</f>
        <v>2.7743000000000002</v>
      </c>
      <c r="J55" s="1642">
        <f t="shared" si="8"/>
        <v>264103.55696972209</v>
      </c>
      <c r="K55" s="1889"/>
    </row>
    <row r="56" spans="1:11">
      <c r="A56" s="1608" t="str">
        <f t="shared" si="6"/>
        <v/>
      </c>
      <c r="B56" s="1633"/>
      <c r="C56" s="1604"/>
      <c r="D56" s="1640"/>
      <c r="E56" s="1640"/>
      <c r="F56" s="1642">
        <f t="shared" si="7"/>
        <v>0</v>
      </c>
      <c r="H56" s="1640"/>
      <c r="I56" s="1640"/>
      <c r="J56" s="1642">
        <f t="shared" si="8"/>
        <v>0</v>
      </c>
      <c r="K56" s="1889"/>
    </row>
    <row r="57" spans="1:11">
      <c r="A57" s="1608" t="str">
        <f t="shared" si="6"/>
        <v/>
      </c>
      <c r="B57" s="1633"/>
      <c r="C57" s="1604"/>
      <c r="D57" s="1640"/>
      <c r="E57" s="1640"/>
      <c r="F57" s="1642">
        <f t="shared" si="7"/>
        <v>0</v>
      </c>
      <c r="H57" s="1640"/>
      <c r="I57" s="1640"/>
      <c r="J57" s="1642">
        <f t="shared" si="8"/>
        <v>0</v>
      </c>
      <c r="K57" s="1889"/>
    </row>
    <row r="58" spans="1:11">
      <c r="A58" s="1608" t="str">
        <f t="shared" si="6"/>
        <v/>
      </c>
      <c r="B58" s="1633"/>
      <c r="C58" s="1604"/>
      <c r="D58" s="1640"/>
      <c r="E58" s="1640"/>
      <c r="F58" s="1642">
        <f t="shared" si="7"/>
        <v>0</v>
      </c>
      <c r="H58" s="1640"/>
      <c r="I58" s="1640"/>
      <c r="J58" s="1642">
        <f t="shared" si="8"/>
        <v>0</v>
      </c>
      <c r="K58" s="1889"/>
    </row>
    <row r="59" spans="1:11" ht="14.4">
      <c r="A59" s="1603" t="s">
        <v>714</v>
      </c>
      <c r="B59" s="1636"/>
      <c r="C59" s="1604"/>
      <c r="D59" s="1637"/>
      <c r="E59" s="1608"/>
      <c r="F59" s="1637">
        <f>SUM(F48:F58)</f>
        <v>420507.88816169533</v>
      </c>
      <c r="G59" s="1608"/>
      <c r="H59" s="1605"/>
      <c r="I59" s="1608"/>
      <c r="J59" s="1637">
        <f>SUM(J48:J58)</f>
        <v>300374.01109450008</v>
      </c>
      <c r="K59" s="1642">
        <f>F59+J59</f>
        <v>720881.89925619541</v>
      </c>
    </row>
    <row r="60" spans="1:11" ht="5.25" customHeight="1"/>
    <row r="61" spans="1:11" ht="14.4">
      <c r="A61" s="1598" t="s">
        <v>73</v>
      </c>
      <c r="B61" s="1895"/>
      <c r="C61" s="1599"/>
      <c r="D61" s="1894" t="s">
        <v>71</v>
      </c>
      <c r="E61" s="1889" t="s">
        <v>339</v>
      </c>
      <c r="F61" s="1896" t="s">
        <v>710</v>
      </c>
      <c r="G61" s="1487"/>
      <c r="H61" s="1898" t="s">
        <v>71</v>
      </c>
      <c r="I61" s="1889" t="s">
        <v>339</v>
      </c>
      <c r="J61" s="1896" t="s">
        <v>710</v>
      </c>
      <c r="K61" s="1894" t="s">
        <v>5</v>
      </c>
    </row>
    <row r="62" spans="1:11" ht="14.4">
      <c r="A62" s="1603" t="s">
        <v>717</v>
      </c>
      <c r="B62" s="1902"/>
      <c r="C62" s="1639"/>
      <c r="D62" s="1903"/>
      <c r="E62" s="1889"/>
      <c r="F62" s="1897"/>
      <c r="G62" s="1487"/>
      <c r="H62" s="1904"/>
      <c r="I62" s="1889"/>
      <c r="J62" s="1897"/>
      <c r="K62" s="1903"/>
    </row>
    <row r="63" spans="1:11">
      <c r="A63" s="1608" t="str">
        <f>IF(A48="","",A48)</f>
        <v xml:space="preserve">Residential </v>
      </c>
      <c r="B63" s="1633" t="s">
        <v>63</v>
      </c>
      <c r="C63" s="1604"/>
      <c r="D63" s="1640">
        <f>D48</f>
        <v>46701765.863328181</v>
      </c>
      <c r="E63" s="1641">
        <f>'[28]8. RTSR Rates to Forecast'!D28</f>
        <v>5.7999999999999996E-3</v>
      </c>
      <c r="F63" s="1642">
        <f>D63*E63</f>
        <v>270870.24200730346</v>
      </c>
      <c r="H63" s="1640">
        <f>H48</f>
        <v>631266.7534718141</v>
      </c>
      <c r="I63" s="1641">
        <f>E63</f>
        <v>5.7999999999999996E-3</v>
      </c>
      <c r="J63" s="1642">
        <f>H63*I63</f>
        <v>3661.3471701365215</v>
      </c>
      <c r="K63" s="1889"/>
    </row>
    <row r="64" spans="1:11">
      <c r="A64" s="1608" t="str">
        <f t="shared" ref="A64:A73" si="10">IF(A49="","",A49)</f>
        <v>General Service &lt; 50 kW</v>
      </c>
      <c r="B64" s="1633" t="s">
        <v>63</v>
      </c>
      <c r="C64" s="1604"/>
      <c r="D64" s="1640">
        <f t="shared" ref="D64:D68" si="11">D49</f>
        <v>16010886.735784352</v>
      </c>
      <c r="E64" s="1641">
        <f>'[28]8. RTSR Rates to Forecast'!D29</f>
        <v>5.3E-3</v>
      </c>
      <c r="F64" s="1642">
        <f>D64*E64</f>
        <v>84857.699699657067</v>
      </c>
      <c r="H64" s="1640">
        <f t="shared" ref="H64:H68" si="12">H49</f>
        <v>3242073.7069156468</v>
      </c>
      <c r="I64" s="1641">
        <f>E64</f>
        <v>5.3E-3</v>
      </c>
      <c r="J64" s="1642">
        <f t="shared" ref="J64:J73" si="13">H64*I64</f>
        <v>17182.990646652928</v>
      </c>
      <c r="K64" s="1889"/>
    </row>
    <row r="65" spans="1:11">
      <c r="A65" s="1608" t="str">
        <f t="shared" si="10"/>
        <v>General Service 50 to 4,999 kW</v>
      </c>
      <c r="B65" s="1633" t="s">
        <v>64</v>
      </c>
      <c r="C65" s="1604"/>
      <c r="D65" s="1640">
        <f t="shared" si="11"/>
        <v>6755.8932720348739</v>
      </c>
      <c r="E65" s="1641">
        <f>'[28]8. RTSR Rates to Forecast'!D30</f>
        <v>2.13</v>
      </c>
      <c r="F65" s="1642">
        <f t="shared" ref="F65:F71" si="14">D65*E65</f>
        <v>14390.052669434281</v>
      </c>
      <c r="H65" s="1640">
        <f t="shared" si="12"/>
        <v>3821.4918929806154</v>
      </c>
      <c r="I65" s="1641">
        <f>E65</f>
        <v>2.13</v>
      </c>
      <c r="J65" s="1642">
        <f t="shared" si="13"/>
        <v>8139.7777320487103</v>
      </c>
      <c r="K65" s="1889"/>
    </row>
    <row r="66" spans="1:11">
      <c r="A66" s="1608" t="str">
        <f t="shared" si="10"/>
        <v xml:space="preserve">Street Lights </v>
      </c>
      <c r="B66" s="1633" t="s">
        <v>64</v>
      </c>
      <c r="C66" s="1604"/>
      <c r="D66" s="1640">
        <f t="shared" si="11"/>
        <v>219.89414989391594</v>
      </c>
      <c r="E66" s="1641">
        <f>'[28]8. RTSR Rates to Forecast'!$D$34</f>
        <v>1.6469</v>
      </c>
      <c r="F66" s="1642">
        <f t="shared" si="14"/>
        <v>362.14367546029018</v>
      </c>
      <c r="H66" s="1640">
        <f t="shared" si="12"/>
        <v>1525.705850106084</v>
      </c>
      <c r="I66" s="1641">
        <f>E66</f>
        <v>1.6469</v>
      </c>
      <c r="J66" s="1642">
        <f t="shared" si="13"/>
        <v>2512.6849645397097</v>
      </c>
      <c r="K66" s="1889"/>
    </row>
    <row r="67" spans="1:11">
      <c r="A67" s="1608" t="str">
        <f t="shared" si="10"/>
        <v>Sentinel Lights</v>
      </c>
      <c r="B67" s="1633" t="s">
        <v>64</v>
      </c>
      <c r="C67" s="1604"/>
      <c r="D67" s="1640">
        <f t="shared" si="11"/>
        <v>227.36205271824764</v>
      </c>
      <c r="E67" s="1641">
        <f>'[28]8. RTSR Rates to Forecast'!$D$33</f>
        <v>1.6809000000000001</v>
      </c>
      <c r="F67" s="1642">
        <f t="shared" si="14"/>
        <v>382.17287441410247</v>
      </c>
      <c r="H67" s="1640">
        <f t="shared" si="12"/>
        <v>10.692506456801055</v>
      </c>
      <c r="I67" s="1641">
        <f t="shared" ref="I67:I68" si="15">E67</f>
        <v>1.6809000000000001</v>
      </c>
      <c r="J67" s="1642">
        <f t="shared" si="13"/>
        <v>17.973034103236895</v>
      </c>
      <c r="K67" s="1889"/>
    </row>
    <row r="68" spans="1:11">
      <c r="A68" s="1608" t="str">
        <f t="shared" si="10"/>
        <v xml:space="preserve">Unmetered Loads </v>
      </c>
      <c r="B68" s="1633" t="s">
        <v>63</v>
      </c>
      <c r="C68" s="1620"/>
      <c r="D68" s="1640">
        <f t="shared" si="11"/>
        <v>544306.52450897789</v>
      </c>
      <c r="E68" s="1641">
        <f>'[28]8. RTSR Rates to Forecast'!$D$32</f>
        <v>5.3E-3</v>
      </c>
      <c r="F68" s="1642">
        <f t="shared" si="14"/>
        <v>2884.8245798975827</v>
      </c>
      <c r="H68" s="1640">
        <f t="shared" si="12"/>
        <v>58078.38749102212</v>
      </c>
      <c r="I68" s="1641">
        <f t="shared" si="15"/>
        <v>5.3E-3</v>
      </c>
      <c r="J68" s="1642">
        <f t="shared" si="13"/>
        <v>307.81545370241724</v>
      </c>
      <c r="K68" s="1889"/>
    </row>
    <row r="69" spans="1:11">
      <c r="A69" s="1608" t="str">
        <f t="shared" si="10"/>
        <v/>
      </c>
      <c r="B69" s="1633"/>
      <c r="C69" s="1645"/>
      <c r="D69" s="1640"/>
      <c r="E69" s="1640"/>
      <c r="F69" s="1642">
        <f t="shared" si="14"/>
        <v>0</v>
      </c>
      <c r="H69" s="1640"/>
      <c r="I69" s="1640"/>
      <c r="J69" s="1642">
        <f t="shared" si="13"/>
        <v>0</v>
      </c>
      <c r="K69" s="1889"/>
    </row>
    <row r="70" spans="1:11">
      <c r="A70" s="1608" t="str">
        <f t="shared" si="10"/>
        <v>General Service 50 to 4,999 kW-Interval</v>
      </c>
      <c r="B70" s="1633" t="s">
        <v>64</v>
      </c>
      <c r="C70" s="1645"/>
      <c r="D70" s="1640"/>
      <c r="E70" s="1640"/>
      <c r="F70" s="1642">
        <f t="shared" si="14"/>
        <v>0</v>
      </c>
      <c r="H70" s="1640">
        <f>H55</f>
        <v>95196.466485139346</v>
      </c>
      <c r="I70" s="1641">
        <f>'[28]8. RTSR Rates to Forecast'!$D$31</f>
        <v>2.3740000000000001</v>
      </c>
      <c r="J70" s="1642">
        <f t="shared" si="13"/>
        <v>225996.41143572083</v>
      </c>
      <c r="K70" s="1889"/>
    </row>
    <row r="71" spans="1:11">
      <c r="A71" s="1608" t="str">
        <f t="shared" si="10"/>
        <v/>
      </c>
      <c r="B71" s="1633"/>
      <c r="C71" s="1645"/>
      <c r="D71" s="1640"/>
      <c r="E71" s="1640"/>
      <c r="F71" s="1642">
        <f t="shared" si="14"/>
        <v>0</v>
      </c>
      <c r="H71" s="1640"/>
      <c r="I71" s="1640"/>
      <c r="J71" s="1642">
        <f t="shared" si="13"/>
        <v>0</v>
      </c>
      <c r="K71" s="1889"/>
    </row>
    <row r="72" spans="1:11">
      <c r="A72" s="1608" t="str">
        <f t="shared" si="10"/>
        <v/>
      </c>
      <c r="B72" s="1633"/>
      <c r="C72" s="1645"/>
      <c r="D72" s="1640"/>
      <c r="E72" s="1640"/>
      <c r="F72" s="1642">
        <f>D72*E72</f>
        <v>0</v>
      </c>
      <c r="H72" s="1640"/>
      <c r="I72" s="1640"/>
      <c r="J72" s="1642">
        <f t="shared" si="13"/>
        <v>0</v>
      </c>
      <c r="K72" s="1889"/>
    </row>
    <row r="73" spans="1:11">
      <c r="A73" s="1608" t="str">
        <f t="shared" si="10"/>
        <v/>
      </c>
      <c r="B73" s="1633"/>
      <c r="C73" s="1645"/>
      <c r="D73" s="1640"/>
      <c r="E73" s="1640"/>
      <c r="F73" s="1642">
        <f t="shared" ref="F73" si="16">D73*E73</f>
        <v>0</v>
      </c>
      <c r="H73" s="1640"/>
      <c r="I73" s="1640"/>
      <c r="J73" s="1642">
        <f t="shared" si="13"/>
        <v>0</v>
      </c>
      <c r="K73" s="1889"/>
    </row>
    <row r="74" spans="1:11" ht="14.4">
      <c r="A74" s="1603" t="s">
        <v>714</v>
      </c>
      <c r="B74" s="1636"/>
      <c r="C74" s="1646"/>
      <c r="D74" s="1637"/>
      <c r="E74" s="1608"/>
      <c r="F74" s="1637">
        <f>SUM(F63:F73)</f>
        <v>373747.13550616684</v>
      </c>
      <c r="G74" s="1608"/>
      <c r="H74" s="1608"/>
      <c r="I74" s="1608"/>
      <c r="J74" s="1637">
        <f>SUM(J63:J73)</f>
        <v>257819.00043690435</v>
      </c>
      <c r="K74" s="1642">
        <f>F74+J74</f>
        <v>631566.13594307122</v>
      </c>
    </row>
    <row r="75" spans="1:11" ht="7.5" customHeight="1"/>
    <row r="76" spans="1:11" ht="14.4">
      <c r="A76" s="1598" t="s">
        <v>74</v>
      </c>
      <c r="B76" s="1894"/>
      <c r="C76" s="1647"/>
      <c r="D76" s="1894" t="s">
        <v>718</v>
      </c>
      <c r="E76" s="1889" t="s">
        <v>339</v>
      </c>
      <c r="F76" s="1896" t="s">
        <v>710</v>
      </c>
      <c r="G76" s="1487"/>
      <c r="H76" s="1898" t="s">
        <v>71</v>
      </c>
      <c r="I76" s="1889" t="s">
        <v>339</v>
      </c>
      <c r="J76" s="1889" t="s">
        <v>710</v>
      </c>
      <c r="K76" s="1894" t="s">
        <v>5</v>
      </c>
    </row>
    <row r="77" spans="1:11" ht="14.4">
      <c r="A77" s="1603" t="s">
        <v>717</v>
      </c>
      <c r="B77" s="1903"/>
      <c r="C77" s="1487"/>
      <c r="D77" s="1903"/>
      <c r="E77" s="1889"/>
      <c r="F77" s="1897"/>
      <c r="G77" s="1487"/>
      <c r="H77" s="1904"/>
      <c r="I77" s="1889"/>
      <c r="J77" s="1889"/>
      <c r="K77" s="1903"/>
    </row>
    <row r="78" spans="1:11">
      <c r="A78" s="1608" t="str">
        <f t="shared" ref="A78:A87" si="17">IF(A63="","",A63)</f>
        <v xml:space="preserve">Residential </v>
      </c>
      <c r="B78" s="1633" t="s">
        <v>63</v>
      </c>
      <c r="C78" s="1604"/>
      <c r="D78" s="1640">
        <f>D13</f>
        <v>46701765.863328181</v>
      </c>
      <c r="E78" s="1648">
        <v>3.0000000000000001E-3</v>
      </c>
      <c r="F78" s="1642">
        <f>D78*E78</f>
        <v>140105.29758998455</v>
      </c>
      <c r="H78" s="1640">
        <f>H13</f>
        <v>631266.7534718141</v>
      </c>
      <c r="I78" s="1648">
        <f>E78</f>
        <v>3.0000000000000001E-3</v>
      </c>
      <c r="J78" s="1642">
        <f>H78*I78</f>
        <v>1893.8002604154424</v>
      </c>
      <c r="K78" s="1889"/>
    </row>
    <row r="79" spans="1:11">
      <c r="A79" s="1608" t="str">
        <f t="shared" si="17"/>
        <v>General Service &lt; 50 kW</v>
      </c>
      <c r="B79" s="1633" t="s">
        <v>63</v>
      </c>
      <c r="C79" s="1604"/>
      <c r="D79" s="1640">
        <f t="shared" ref="D79:D83" si="18">D14</f>
        <v>16010886.735784352</v>
      </c>
      <c r="E79" s="1648">
        <v>3.0000000000000001E-3</v>
      </c>
      <c r="F79" s="1642">
        <f t="shared" ref="F79:F86" si="19">D79*E79</f>
        <v>48032.660207353059</v>
      </c>
      <c r="H79" s="1640">
        <f t="shared" ref="H79:H83" si="20">H14</f>
        <v>3242073.7069156468</v>
      </c>
      <c r="I79" s="1648">
        <f t="shared" ref="I79:I83" si="21">E79</f>
        <v>3.0000000000000001E-3</v>
      </c>
      <c r="J79" s="1642">
        <f t="shared" ref="J79:J86" si="22">H79*I79</f>
        <v>9726.2211207469409</v>
      </c>
      <c r="K79" s="1889"/>
    </row>
    <row r="80" spans="1:11">
      <c r="A80" s="1608" t="str">
        <f t="shared" si="17"/>
        <v>General Service 50 to 4,999 kW</v>
      </c>
      <c r="B80" s="1633" t="s">
        <v>63</v>
      </c>
      <c r="C80" s="1604"/>
      <c r="D80" s="1640">
        <f t="shared" si="18"/>
        <v>3039185.0899677509</v>
      </c>
      <c r="E80" s="1648">
        <v>3.0000000000000001E-3</v>
      </c>
      <c r="F80" s="1642">
        <f t="shared" si="19"/>
        <v>9117.5552699032523</v>
      </c>
      <c r="H80" s="1640">
        <f t="shared" si="20"/>
        <v>38020500.960432246</v>
      </c>
      <c r="I80" s="1648">
        <f t="shared" si="21"/>
        <v>3.0000000000000001E-3</v>
      </c>
      <c r="J80" s="1642">
        <f t="shared" si="22"/>
        <v>114061.50288129674</v>
      </c>
      <c r="K80" s="1889"/>
    </row>
    <row r="81" spans="1:11">
      <c r="A81" s="1608" t="str">
        <f t="shared" si="17"/>
        <v xml:space="preserve">Street Lights </v>
      </c>
      <c r="B81" s="1633" t="s">
        <v>63</v>
      </c>
      <c r="C81" s="1604"/>
      <c r="D81" s="1640">
        <f t="shared" si="18"/>
        <v>88010.196253419039</v>
      </c>
      <c r="E81" s="1648">
        <v>3.0000000000000001E-3</v>
      </c>
      <c r="F81" s="1642">
        <f t="shared" si="19"/>
        <v>264.0305887602571</v>
      </c>
      <c r="H81" s="1640">
        <f t="shared" si="20"/>
        <v>610484.54254658089</v>
      </c>
      <c r="I81" s="1648">
        <f t="shared" si="21"/>
        <v>3.0000000000000001E-3</v>
      </c>
      <c r="J81" s="1642">
        <f t="shared" si="22"/>
        <v>1831.4536276397428</v>
      </c>
      <c r="K81" s="1889"/>
    </row>
    <row r="82" spans="1:11">
      <c r="A82" s="1608" t="str">
        <f t="shared" si="17"/>
        <v>Sentinel Lights</v>
      </c>
      <c r="B82" s="1633" t="s">
        <v>63</v>
      </c>
      <c r="C82" s="1604"/>
      <c r="D82" s="1640">
        <f t="shared" si="18"/>
        <v>91633.495104443413</v>
      </c>
      <c r="E82" s="1648">
        <v>3.0000000000000001E-3</v>
      </c>
      <c r="F82" s="1642">
        <f t="shared" si="19"/>
        <v>274.90048531333025</v>
      </c>
      <c r="H82" s="1640">
        <f t="shared" si="20"/>
        <v>4531.6819955565879</v>
      </c>
      <c r="I82" s="1648">
        <f t="shared" si="21"/>
        <v>3.0000000000000001E-3</v>
      </c>
      <c r="J82" s="1642">
        <f t="shared" si="22"/>
        <v>13.595045986669763</v>
      </c>
      <c r="K82" s="1889"/>
    </row>
    <row r="83" spans="1:11">
      <c r="A83" s="1608" t="str">
        <f t="shared" si="17"/>
        <v xml:space="preserve">Unmetered Loads </v>
      </c>
      <c r="B83" s="1633" t="s">
        <v>63</v>
      </c>
      <c r="C83" s="1604"/>
      <c r="D83" s="1640">
        <f t="shared" si="18"/>
        <v>544306.52450897789</v>
      </c>
      <c r="E83" s="1648">
        <v>3.0000000000000001E-3</v>
      </c>
      <c r="F83" s="1642">
        <f t="shared" si="19"/>
        <v>1632.9195735269336</v>
      </c>
      <c r="H83" s="1640">
        <f t="shared" si="20"/>
        <v>58078.38749102212</v>
      </c>
      <c r="I83" s="1648">
        <f t="shared" si="21"/>
        <v>3.0000000000000001E-3</v>
      </c>
      <c r="J83" s="1642">
        <f t="shared" si="22"/>
        <v>174.23516247306637</v>
      </c>
      <c r="K83" s="1889"/>
    </row>
    <row r="84" spans="1:11">
      <c r="A84" s="1608" t="str">
        <f t="shared" si="17"/>
        <v/>
      </c>
      <c r="B84" s="1633"/>
      <c r="C84" s="1604"/>
      <c r="D84" s="1640"/>
      <c r="E84" s="1640"/>
      <c r="F84" s="1642">
        <f t="shared" si="19"/>
        <v>0</v>
      </c>
      <c r="H84" s="1640"/>
      <c r="I84" s="1640"/>
      <c r="J84" s="1642">
        <f t="shared" si="22"/>
        <v>0</v>
      </c>
      <c r="K84" s="1889"/>
    </row>
    <row r="85" spans="1:11">
      <c r="A85" s="1608"/>
      <c r="B85" s="1633"/>
      <c r="C85" s="1604"/>
      <c r="D85" s="1640"/>
      <c r="E85" s="1640"/>
      <c r="F85" s="1642">
        <f t="shared" si="19"/>
        <v>0</v>
      </c>
      <c r="H85" s="1640"/>
      <c r="I85" s="1640"/>
      <c r="J85" s="1642">
        <f t="shared" si="22"/>
        <v>0</v>
      </c>
      <c r="K85" s="1889"/>
    </row>
    <row r="86" spans="1:11">
      <c r="A86" s="1608" t="str">
        <f t="shared" si="17"/>
        <v/>
      </c>
      <c r="B86" s="1633"/>
      <c r="C86" s="1604"/>
      <c r="D86" s="1640"/>
      <c r="E86" s="1640"/>
      <c r="F86" s="1642">
        <f t="shared" si="19"/>
        <v>0</v>
      </c>
      <c r="H86" s="1640"/>
      <c r="I86" s="1640"/>
      <c r="J86" s="1642">
        <f t="shared" si="22"/>
        <v>0</v>
      </c>
      <c r="K86" s="1889"/>
    </row>
    <row r="87" spans="1:11">
      <c r="A87" s="1608" t="str">
        <f t="shared" si="17"/>
        <v/>
      </c>
      <c r="B87" s="1633"/>
      <c r="C87" s="1604"/>
      <c r="D87" s="1640"/>
      <c r="E87" s="1640"/>
      <c r="F87" s="1642">
        <f>D87*E87</f>
        <v>0</v>
      </c>
      <c r="H87" s="1640"/>
      <c r="I87" s="1640"/>
      <c r="J87" s="1642">
        <f>H87*I87</f>
        <v>0</v>
      </c>
      <c r="K87" s="1889"/>
    </row>
    <row r="88" spans="1:11">
      <c r="A88" s="1608" t="str">
        <f>IF(A73="","",A73)</f>
        <v/>
      </c>
      <c r="B88" s="1633"/>
      <c r="C88" s="1604"/>
      <c r="D88" s="1640"/>
      <c r="E88" s="1640"/>
      <c r="F88" s="1642">
        <f t="shared" ref="F88" si="23">D88*E88</f>
        <v>0</v>
      </c>
      <c r="H88" s="1640"/>
      <c r="I88" s="1640"/>
      <c r="J88" s="1642">
        <f t="shared" ref="J88" si="24">H88*I88</f>
        <v>0</v>
      </c>
      <c r="K88" s="1889"/>
    </row>
    <row r="89" spans="1:11" ht="14.4">
      <c r="A89" s="1603" t="s">
        <v>714</v>
      </c>
      <c r="B89" s="1636"/>
      <c r="C89" s="1604"/>
      <c r="D89" s="1637"/>
      <c r="E89" s="1608"/>
      <c r="F89" s="1637">
        <f>SUM(F78:F88)</f>
        <v>199427.36371484137</v>
      </c>
      <c r="G89" s="1608"/>
      <c r="H89" s="1608"/>
      <c r="I89" s="1608"/>
      <c r="J89" s="1637">
        <f>SUM(J78:J88)</f>
        <v>127700.8080985586</v>
      </c>
      <c r="K89" s="1642">
        <f>F89+J89</f>
        <v>327128.1718134</v>
      </c>
    </row>
    <row r="90" spans="1:11" ht="6.75" customHeight="1"/>
    <row r="91" spans="1:11" ht="14.4">
      <c r="A91" s="1598" t="s">
        <v>720</v>
      </c>
      <c r="B91" s="1894"/>
      <c r="C91" s="1647"/>
      <c r="D91" s="1894" t="s">
        <v>718</v>
      </c>
      <c r="E91" s="1889" t="s">
        <v>339</v>
      </c>
      <c r="F91" s="1896" t="s">
        <v>710</v>
      </c>
      <c r="G91" s="1487"/>
      <c r="H91" s="1898" t="s">
        <v>71</v>
      </c>
      <c r="I91" s="1889" t="s">
        <v>339</v>
      </c>
      <c r="J91" s="1889" t="s">
        <v>710</v>
      </c>
      <c r="K91" s="1894" t="s">
        <v>5</v>
      </c>
    </row>
    <row r="92" spans="1:11" ht="14.4">
      <c r="A92" s="1603" t="s">
        <v>717</v>
      </c>
      <c r="B92" s="1903"/>
      <c r="C92" s="1487"/>
      <c r="D92" s="1903"/>
      <c r="E92" s="1889"/>
      <c r="F92" s="1897"/>
      <c r="G92" s="1487"/>
      <c r="H92" s="1904"/>
      <c r="I92" s="1889"/>
      <c r="J92" s="1889"/>
      <c r="K92" s="1903"/>
    </row>
    <row r="93" spans="1:11">
      <c r="A93" s="1608" t="str">
        <f t="shared" ref="A93:A102" si="25">IF(A78="","",A78)</f>
        <v xml:space="preserve">Residential </v>
      </c>
      <c r="B93" s="1633"/>
      <c r="C93" s="1604"/>
      <c r="D93" s="1640"/>
      <c r="E93" s="1640"/>
      <c r="F93" s="1642">
        <f>D93*E93</f>
        <v>0</v>
      </c>
      <c r="H93" s="1640"/>
      <c r="I93" s="1640"/>
      <c r="J93" s="1642">
        <f>H93*I93</f>
        <v>0</v>
      </c>
      <c r="K93" s="1889"/>
    </row>
    <row r="94" spans="1:11">
      <c r="A94" s="1608" t="str">
        <f t="shared" si="25"/>
        <v>General Service &lt; 50 kW</v>
      </c>
      <c r="B94" s="1633"/>
      <c r="C94" s="1604"/>
      <c r="D94" s="1640"/>
      <c r="E94" s="1640"/>
      <c r="F94" s="1642">
        <f t="shared" ref="F94:F103" si="26">D94*E94</f>
        <v>0</v>
      </c>
      <c r="H94" s="1640"/>
      <c r="I94" s="1640"/>
      <c r="J94" s="1642">
        <f t="shared" ref="J94:J103" si="27">H94*I94</f>
        <v>0</v>
      </c>
      <c r="K94" s="1889"/>
    </row>
    <row r="95" spans="1:11">
      <c r="A95" s="1608" t="str">
        <f t="shared" si="25"/>
        <v>General Service 50 to 4,999 kW</v>
      </c>
      <c r="B95" s="1633" t="s">
        <v>63</v>
      </c>
      <c r="C95" s="1604"/>
      <c r="D95" s="1640"/>
      <c r="E95" s="1640"/>
      <c r="F95" s="1642">
        <f t="shared" si="26"/>
        <v>0</v>
      </c>
      <c r="H95" s="1640">
        <f>'Bridge RPP Split'!G45</f>
        <v>10454239.967428219</v>
      </c>
      <c r="I95" s="1641">
        <v>1.7552997449444741E-4</v>
      </c>
      <c r="J95" s="1642">
        <f t="shared" si="27"/>
        <v>1835.032474841508</v>
      </c>
      <c r="K95" s="1889"/>
    </row>
    <row r="96" spans="1:11">
      <c r="A96" s="1608" t="str">
        <f t="shared" si="25"/>
        <v xml:space="preserve">Street Lights </v>
      </c>
      <c r="B96" s="1633"/>
      <c r="C96" s="1604"/>
      <c r="D96" s="1640"/>
      <c r="E96" s="1640"/>
      <c r="F96" s="1642">
        <f t="shared" si="26"/>
        <v>0</v>
      </c>
      <c r="H96" s="1640"/>
      <c r="I96" s="1640"/>
      <c r="J96" s="1642">
        <f t="shared" si="27"/>
        <v>0</v>
      </c>
      <c r="K96" s="1889"/>
    </row>
    <row r="97" spans="1:11">
      <c r="A97" s="1608" t="str">
        <f t="shared" si="25"/>
        <v>Sentinel Lights</v>
      </c>
      <c r="B97" s="1633"/>
      <c r="C97" s="1604"/>
      <c r="D97" s="1640"/>
      <c r="E97" s="1640"/>
      <c r="F97" s="1642">
        <f t="shared" si="26"/>
        <v>0</v>
      </c>
      <c r="H97" s="1640"/>
      <c r="I97" s="1640"/>
      <c r="J97" s="1642">
        <f t="shared" si="27"/>
        <v>0</v>
      </c>
      <c r="K97" s="1889"/>
    </row>
    <row r="98" spans="1:11">
      <c r="A98" s="1608" t="str">
        <f t="shared" si="25"/>
        <v xml:space="preserve">Unmetered Loads </v>
      </c>
      <c r="B98" s="1633"/>
      <c r="C98" s="1604"/>
      <c r="D98" s="1640"/>
      <c r="E98" s="1640"/>
      <c r="F98" s="1642">
        <f t="shared" si="26"/>
        <v>0</v>
      </c>
      <c r="H98" s="1640"/>
      <c r="I98" s="1640"/>
      <c r="J98" s="1642">
        <f t="shared" si="27"/>
        <v>0</v>
      </c>
      <c r="K98" s="1889"/>
    </row>
    <row r="99" spans="1:11">
      <c r="A99" s="1608" t="str">
        <f t="shared" si="25"/>
        <v/>
      </c>
      <c r="B99" s="1633"/>
      <c r="C99" s="1604"/>
      <c r="D99" s="1640"/>
      <c r="E99" s="1640"/>
      <c r="F99" s="1642">
        <f t="shared" si="26"/>
        <v>0</v>
      </c>
      <c r="H99" s="1640"/>
      <c r="I99" s="1640"/>
      <c r="J99" s="1642">
        <f t="shared" si="27"/>
        <v>0</v>
      </c>
      <c r="K99" s="1889"/>
    </row>
    <row r="100" spans="1:11">
      <c r="A100" s="1608"/>
      <c r="B100" s="1633"/>
      <c r="C100" s="1604"/>
      <c r="D100" s="1640"/>
      <c r="E100" s="1640"/>
      <c r="F100" s="1642">
        <f t="shared" si="26"/>
        <v>0</v>
      </c>
      <c r="H100" s="1640"/>
      <c r="I100" s="1640"/>
      <c r="J100" s="1642">
        <f t="shared" si="27"/>
        <v>0</v>
      </c>
      <c r="K100" s="1889"/>
    </row>
    <row r="101" spans="1:11">
      <c r="A101" s="1608" t="str">
        <f t="shared" si="25"/>
        <v/>
      </c>
      <c r="B101" s="1633"/>
      <c r="C101" s="1604"/>
      <c r="D101" s="1640"/>
      <c r="E101" s="1640"/>
      <c r="F101" s="1642">
        <f t="shared" si="26"/>
        <v>0</v>
      </c>
      <c r="H101" s="1640"/>
      <c r="I101" s="1640"/>
      <c r="J101" s="1642">
        <f t="shared" si="27"/>
        <v>0</v>
      </c>
      <c r="K101" s="1889"/>
    </row>
    <row r="102" spans="1:11">
      <c r="A102" s="1608" t="str">
        <f t="shared" si="25"/>
        <v/>
      </c>
      <c r="B102" s="1633"/>
      <c r="C102" s="1604"/>
      <c r="D102" s="1640"/>
      <c r="E102" s="1640"/>
      <c r="F102" s="1642">
        <f t="shared" si="26"/>
        <v>0</v>
      </c>
      <c r="H102" s="1640"/>
      <c r="I102" s="1640"/>
      <c r="J102" s="1642">
        <f t="shared" si="27"/>
        <v>0</v>
      </c>
      <c r="K102" s="1889"/>
    </row>
    <row r="103" spans="1:11">
      <c r="A103" s="1608" t="str">
        <f>IF(A88="","",A88)</f>
        <v/>
      </c>
      <c r="B103" s="1633"/>
      <c r="C103" s="1604"/>
      <c r="D103" s="1640"/>
      <c r="E103" s="1640"/>
      <c r="F103" s="1642">
        <f t="shared" si="26"/>
        <v>0</v>
      </c>
      <c r="H103" s="1640"/>
      <c r="I103" s="1640"/>
      <c r="J103" s="1642">
        <f t="shared" si="27"/>
        <v>0</v>
      </c>
      <c r="K103" s="1889"/>
    </row>
    <row r="104" spans="1:11" ht="14.4">
      <c r="A104" s="1603" t="s">
        <v>714</v>
      </c>
      <c r="B104" s="1636"/>
      <c r="C104" s="1604"/>
      <c r="D104" s="1637"/>
      <c r="E104" s="1608"/>
      <c r="F104" s="1637">
        <f>SUM(F93:F103)</f>
        <v>0</v>
      </c>
      <c r="G104" s="1608"/>
      <c r="H104" s="1608"/>
      <c r="I104" s="1608"/>
      <c r="J104" s="1637">
        <f>SUM(J93:J103)</f>
        <v>1835.032474841508</v>
      </c>
      <c r="K104" s="1642">
        <f>F104+J104</f>
        <v>1835.032474841508</v>
      </c>
    </row>
    <row r="105" spans="1:11" ht="6.75" customHeight="1">
      <c r="A105" s="1603"/>
      <c r="B105" s="1649"/>
      <c r="C105" s="1604"/>
      <c r="D105" s="1650"/>
      <c r="E105" s="1646"/>
      <c r="F105" s="1637"/>
      <c r="H105" s="1606"/>
      <c r="I105" s="1646"/>
      <c r="J105" s="1637"/>
      <c r="K105" s="1651"/>
    </row>
    <row r="106" spans="1:11" ht="14.4">
      <c r="A106" s="1598" t="s">
        <v>721</v>
      </c>
      <c r="B106" s="1894"/>
      <c r="C106" s="1647"/>
      <c r="D106" s="1894" t="s">
        <v>718</v>
      </c>
      <c r="E106" s="1889" t="s">
        <v>339</v>
      </c>
      <c r="F106" s="1896" t="s">
        <v>710</v>
      </c>
      <c r="G106" s="1487"/>
      <c r="H106" s="1898" t="s">
        <v>71</v>
      </c>
      <c r="I106" s="1889" t="s">
        <v>339</v>
      </c>
      <c r="J106" s="1889" t="s">
        <v>710</v>
      </c>
      <c r="K106" s="1894" t="s">
        <v>5</v>
      </c>
    </row>
    <row r="107" spans="1:11" ht="14.4">
      <c r="A107" s="1603" t="s">
        <v>717</v>
      </c>
      <c r="B107" s="1903"/>
      <c r="C107" s="1487"/>
      <c r="D107" s="1903"/>
      <c r="E107" s="1889"/>
      <c r="F107" s="1897"/>
      <c r="G107" s="1487"/>
      <c r="H107" s="1904"/>
      <c r="I107" s="1889"/>
      <c r="J107" s="1889"/>
      <c r="K107" s="1903"/>
    </row>
    <row r="108" spans="1:11">
      <c r="A108" s="1608" t="str">
        <f t="shared" ref="A108:A117" si="28">IF(A93="","",A93)</f>
        <v xml:space="preserve">Residential </v>
      </c>
      <c r="B108" s="1633" t="s">
        <v>63</v>
      </c>
      <c r="C108" s="1604"/>
      <c r="D108" s="1640">
        <f>'Bridge RPP Split'!I29</f>
        <v>46701765.863328181</v>
      </c>
      <c r="E108" s="1641">
        <v>4.0000000000000002E-4</v>
      </c>
      <c r="F108" s="1642">
        <f>D108*E108</f>
        <v>18680.706345331273</v>
      </c>
      <c r="H108" s="1640">
        <f>'Bridge RPP Split'!H29</f>
        <v>631266.7534718141</v>
      </c>
      <c r="I108" s="1641">
        <f>E108</f>
        <v>4.0000000000000002E-4</v>
      </c>
      <c r="J108" s="1642">
        <f>H108*I108</f>
        <v>252.50670138872565</v>
      </c>
      <c r="K108" s="1889"/>
    </row>
    <row r="109" spans="1:11">
      <c r="A109" s="1608" t="str">
        <f t="shared" si="28"/>
        <v>General Service &lt; 50 kW</v>
      </c>
      <c r="B109" s="1633" t="s">
        <v>63</v>
      </c>
      <c r="C109" s="1604"/>
      <c r="D109" s="1640">
        <f>'Bridge RPP Split'!I30</f>
        <v>16010886.735784352</v>
      </c>
      <c r="E109" s="1641">
        <v>4.0000000000000002E-4</v>
      </c>
      <c r="F109" s="1642">
        <f t="shared" ref="F109:F118" si="29">D109*E109</f>
        <v>6404.3546943137408</v>
      </c>
      <c r="H109" s="1640">
        <f>'Bridge RPP Split'!H30</f>
        <v>3242073.7069156468</v>
      </c>
      <c r="I109" s="1641">
        <f t="shared" ref="I109:I113" si="30">E109</f>
        <v>4.0000000000000002E-4</v>
      </c>
      <c r="J109" s="1642">
        <f t="shared" ref="J109:J116" si="31">H109*I109</f>
        <v>1296.8294827662587</v>
      </c>
      <c r="K109" s="1889"/>
    </row>
    <row r="110" spans="1:11">
      <c r="A110" s="1608" t="str">
        <f t="shared" si="28"/>
        <v>General Service 50 to 4,999 kW</v>
      </c>
      <c r="B110" s="1633" t="s">
        <v>63</v>
      </c>
      <c r="C110" s="1604"/>
      <c r="D110" s="1640">
        <f>'Bridge RPP Split'!I31</f>
        <v>3039185.0899677509</v>
      </c>
      <c r="E110" s="1641">
        <v>4.0000000000000002E-4</v>
      </c>
      <c r="F110" s="1642">
        <f t="shared" si="29"/>
        <v>1215.6740359871005</v>
      </c>
      <c r="H110" s="1640">
        <f>'Bridge RPP Split'!H31</f>
        <v>27566260.993004028</v>
      </c>
      <c r="I110" s="1641">
        <f t="shared" si="30"/>
        <v>4.0000000000000002E-4</v>
      </c>
      <c r="J110" s="1642">
        <f t="shared" si="31"/>
        <v>11026.504397201612</v>
      </c>
      <c r="K110" s="1889"/>
    </row>
    <row r="111" spans="1:11">
      <c r="A111" s="1608" t="str">
        <f t="shared" si="28"/>
        <v xml:space="preserve">Street Lights </v>
      </c>
      <c r="B111" s="1633" t="s">
        <v>63</v>
      </c>
      <c r="C111" s="1604"/>
      <c r="D111" s="1640">
        <f>'Bridge RPP Split'!I32</f>
        <v>88010.196253419039</v>
      </c>
      <c r="E111" s="1641">
        <v>4.0000000000000002E-4</v>
      </c>
      <c r="F111" s="1642">
        <f t="shared" si="29"/>
        <v>35.204078501367619</v>
      </c>
      <c r="H111" s="1640">
        <f>'Bridge RPP Split'!H32</f>
        <v>610484.54254658089</v>
      </c>
      <c r="I111" s="1641">
        <f t="shared" si="30"/>
        <v>4.0000000000000002E-4</v>
      </c>
      <c r="J111" s="1642">
        <f t="shared" si="31"/>
        <v>244.19381701863236</v>
      </c>
      <c r="K111" s="1889"/>
    </row>
    <row r="112" spans="1:11">
      <c r="A112" s="1608" t="str">
        <f t="shared" si="28"/>
        <v>Sentinel Lights</v>
      </c>
      <c r="B112" s="1633" t="s">
        <v>63</v>
      </c>
      <c r="C112" s="1604"/>
      <c r="D112" s="1640">
        <f>'Bridge RPP Split'!I33</f>
        <v>91633.495104443413</v>
      </c>
      <c r="E112" s="1641">
        <v>4.0000000000000002E-4</v>
      </c>
      <c r="F112" s="1642">
        <f t="shared" si="29"/>
        <v>36.653398041777365</v>
      </c>
      <c r="H112" s="1640">
        <f>'Bridge RPP Split'!H33</f>
        <v>4531.6819955565879</v>
      </c>
      <c r="I112" s="1641">
        <f t="shared" si="30"/>
        <v>4.0000000000000002E-4</v>
      </c>
      <c r="J112" s="1642">
        <f t="shared" si="31"/>
        <v>1.8126727982226352</v>
      </c>
      <c r="K112" s="1889"/>
    </row>
    <row r="113" spans="1:11">
      <c r="A113" s="1608" t="str">
        <f t="shared" si="28"/>
        <v xml:space="preserve">Unmetered Loads </v>
      </c>
      <c r="B113" s="1633" t="s">
        <v>63</v>
      </c>
      <c r="C113" s="1604"/>
      <c r="D113" s="1640">
        <f>'Bridge RPP Split'!I34</f>
        <v>544306.52450897789</v>
      </c>
      <c r="E113" s="1641">
        <v>4.0000000000000002E-4</v>
      </c>
      <c r="F113" s="1642">
        <f t="shared" si="29"/>
        <v>217.72260980359115</v>
      </c>
      <c r="H113" s="1640">
        <f>'Bridge RPP Split'!H34</f>
        <v>58078.38749102212</v>
      </c>
      <c r="I113" s="1641">
        <f t="shared" si="30"/>
        <v>4.0000000000000002E-4</v>
      </c>
      <c r="J113" s="1642">
        <f t="shared" si="31"/>
        <v>23.23135499640885</v>
      </c>
      <c r="K113" s="1889"/>
    </row>
    <row r="114" spans="1:11">
      <c r="A114" s="1608" t="str">
        <f t="shared" si="28"/>
        <v/>
      </c>
      <c r="B114" s="1633"/>
      <c r="C114" s="1604"/>
      <c r="D114" s="1640"/>
      <c r="E114" s="1640"/>
      <c r="F114" s="1642">
        <f t="shared" si="29"/>
        <v>0</v>
      </c>
      <c r="H114" s="1640"/>
      <c r="I114" s="1640"/>
      <c r="J114" s="1642">
        <f t="shared" si="31"/>
        <v>0</v>
      </c>
      <c r="K114" s="1889"/>
    </row>
    <row r="115" spans="1:11">
      <c r="A115" s="1608" t="str">
        <f t="shared" si="28"/>
        <v/>
      </c>
      <c r="B115" s="1633"/>
      <c r="C115" s="1604"/>
      <c r="D115" s="1640"/>
      <c r="E115" s="1640"/>
      <c r="F115" s="1642">
        <f t="shared" si="29"/>
        <v>0</v>
      </c>
      <c r="H115" s="1640"/>
      <c r="I115" s="1640"/>
      <c r="J115" s="1642">
        <f t="shared" si="31"/>
        <v>0</v>
      </c>
      <c r="K115" s="1889"/>
    </row>
    <row r="116" spans="1:11">
      <c r="A116" s="1608" t="str">
        <f t="shared" si="28"/>
        <v/>
      </c>
      <c r="B116" s="1633"/>
      <c r="C116" s="1604"/>
      <c r="D116" s="1640"/>
      <c r="E116" s="1640"/>
      <c r="F116" s="1642">
        <f t="shared" si="29"/>
        <v>0</v>
      </c>
      <c r="H116" s="1640"/>
      <c r="I116" s="1640"/>
      <c r="J116" s="1642">
        <f t="shared" si="31"/>
        <v>0</v>
      </c>
      <c r="K116" s="1889"/>
    </row>
    <row r="117" spans="1:11">
      <c r="A117" s="1608" t="str">
        <f t="shared" si="28"/>
        <v/>
      </c>
      <c r="B117" s="1633"/>
      <c r="C117" s="1604"/>
      <c r="D117" s="1640"/>
      <c r="E117" s="1640"/>
      <c r="F117" s="1642">
        <f>D117*E117</f>
        <v>0</v>
      </c>
      <c r="H117" s="1640"/>
      <c r="I117" s="1640"/>
      <c r="J117" s="1642">
        <f>H117*I117</f>
        <v>0</v>
      </c>
      <c r="K117" s="1889"/>
    </row>
    <row r="118" spans="1:11">
      <c r="A118" s="1608" t="str">
        <f>IF(A103="","",A103)</f>
        <v/>
      </c>
      <c r="B118" s="1633"/>
      <c r="C118" s="1604"/>
      <c r="D118" s="1640"/>
      <c r="E118" s="1640"/>
      <c r="F118" s="1642">
        <f t="shared" si="29"/>
        <v>0</v>
      </c>
      <c r="H118" s="1640"/>
      <c r="I118" s="1640"/>
      <c r="J118" s="1642">
        <f t="shared" ref="J118" si="32">H118*I118</f>
        <v>0</v>
      </c>
      <c r="K118" s="1889"/>
    </row>
    <row r="119" spans="1:11" ht="14.4">
      <c r="A119" s="1603" t="s">
        <v>714</v>
      </c>
      <c r="B119" s="1636"/>
      <c r="C119" s="1604"/>
      <c r="D119" s="1637"/>
      <c r="E119" s="1608"/>
      <c r="F119" s="1637">
        <f>SUM(F108:F118)</f>
        <v>26590.315161978848</v>
      </c>
      <c r="G119" s="1608"/>
      <c r="H119" s="1608"/>
      <c r="I119" s="1608"/>
      <c r="J119" s="1637">
        <f>SUM(J108:J118)</f>
        <v>12845.078426169863</v>
      </c>
      <c r="K119" s="1642">
        <f>F119+J119</f>
        <v>39435.393588148712</v>
      </c>
    </row>
    <row r="120" spans="1:11" ht="6.75" customHeight="1">
      <c r="A120" s="1603"/>
      <c r="B120" s="1649"/>
      <c r="C120" s="1604"/>
      <c r="D120" s="1650"/>
      <c r="E120" s="1646"/>
      <c r="F120" s="1637"/>
      <c r="H120" s="1606"/>
      <c r="I120" s="1646"/>
      <c r="J120" s="1637"/>
      <c r="K120" s="1651"/>
    </row>
    <row r="121" spans="1:11" ht="15" customHeight="1">
      <c r="A121" s="1598" t="s">
        <v>722</v>
      </c>
      <c r="B121" s="1894"/>
      <c r="C121" s="1599"/>
      <c r="D121" s="1896" t="s">
        <v>718</v>
      </c>
      <c r="E121" s="1895" t="s">
        <v>339</v>
      </c>
      <c r="F121" s="1889" t="s">
        <v>710</v>
      </c>
      <c r="G121" s="1487"/>
      <c r="H121" s="1898" t="s">
        <v>71</v>
      </c>
      <c r="I121" s="1895" t="s">
        <v>339</v>
      </c>
      <c r="J121" s="1889" t="s">
        <v>710</v>
      </c>
      <c r="K121" s="1894" t="s">
        <v>5</v>
      </c>
    </row>
    <row r="122" spans="1:11" ht="14.4">
      <c r="A122" s="1603" t="s">
        <v>717</v>
      </c>
      <c r="B122" s="1903"/>
      <c r="C122" s="1599"/>
      <c r="D122" s="1897"/>
      <c r="E122" s="1902"/>
      <c r="F122" s="1889"/>
      <c r="G122" s="1487"/>
      <c r="H122" s="1904"/>
      <c r="I122" s="1902"/>
      <c r="J122" s="1889"/>
      <c r="K122" s="1903"/>
    </row>
    <row r="123" spans="1:11">
      <c r="A123" s="1608" t="str">
        <f t="shared" ref="A123:A132" si="33">IF(A108="","",A108)</f>
        <v xml:space="preserve">Residential </v>
      </c>
      <c r="B123" s="1633" t="s">
        <v>63</v>
      </c>
      <c r="C123" s="1604"/>
      <c r="D123" s="1640">
        <f>D13</f>
        <v>46701765.863328181</v>
      </c>
      <c r="E123" s="1641">
        <v>5.0000000000000001E-4</v>
      </c>
      <c r="F123" s="1642">
        <f>D123*E123</f>
        <v>23350.882931664091</v>
      </c>
      <c r="H123" s="1640">
        <f>H13</f>
        <v>631266.7534718141</v>
      </c>
      <c r="I123" s="1641">
        <f>E123</f>
        <v>5.0000000000000001E-4</v>
      </c>
      <c r="J123" s="1642">
        <f>H123*I123</f>
        <v>315.63337673590706</v>
      </c>
      <c r="K123" s="1889"/>
    </row>
    <row r="124" spans="1:11">
      <c r="A124" s="1608" t="str">
        <f t="shared" si="33"/>
        <v>General Service &lt; 50 kW</v>
      </c>
      <c r="B124" s="1633" t="s">
        <v>63</v>
      </c>
      <c r="C124" s="1604"/>
      <c r="D124" s="1640">
        <f t="shared" ref="D124:D128" si="34">D14</f>
        <v>16010886.735784352</v>
      </c>
      <c r="E124" s="1641">
        <v>5.0000000000000001E-4</v>
      </c>
      <c r="F124" s="1642">
        <f t="shared" ref="F124:F132" si="35">D124*E124</f>
        <v>8005.443367892176</v>
      </c>
      <c r="H124" s="1640">
        <f t="shared" ref="H124:H128" si="36">H14</f>
        <v>3242073.7069156468</v>
      </c>
      <c r="I124" s="1641">
        <f t="shared" ref="I124:I128" si="37">E124</f>
        <v>5.0000000000000001E-4</v>
      </c>
      <c r="J124" s="1642">
        <f t="shared" ref="J124:J131" si="38">H124*I124</f>
        <v>1621.0368534578233</v>
      </c>
      <c r="K124" s="1889"/>
    </row>
    <row r="125" spans="1:11">
      <c r="A125" s="1608" t="str">
        <f t="shared" si="33"/>
        <v>General Service 50 to 4,999 kW</v>
      </c>
      <c r="B125" s="1633" t="s">
        <v>63</v>
      </c>
      <c r="C125" s="1604"/>
      <c r="D125" s="1640">
        <f t="shared" si="34"/>
        <v>3039185.0899677509</v>
      </c>
      <c r="E125" s="1641">
        <v>5.0000000000000001E-4</v>
      </c>
      <c r="F125" s="1642">
        <f t="shared" si="35"/>
        <v>1519.5925449838755</v>
      </c>
      <c r="H125" s="1640">
        <f t="shared" si="36"/>
        <v>38020500.960432246</v>
      </c>
      <c r="I125" s="1641">
        <f t="shared" si="37"/>
        <v>5.0000000000000001E-4</v>
      </c>
      <c r="J125" s="1642">
        <f t="shared" si="38"/>
        <v>19010.250480216124</v>
      </c>
      <c r="K125" s="1889"/>
    </row>
    <row r="126" spans="1:11">
      <c r="A126" s="1608" t="str">
        <f t="shared" si="33"/>
        <v xml:space="preserve">Street Lights </v>
      </c>
      <c r="B126" s="1633" t="s">
        <v>63</v>
      </c>
      <c r="C126" s="1604"/>
      <c r="D126" s="1640">
        <f t="shared" si="34"/>
        <v>88010.196253419039</v>
      </c>
      <c r="E126" s="1641">
        <v>5.0000000000000001E-4</v>
      </c>
      <c r="F126" s="1642">
        <f t="shared" si="35"/>
        <v>44.00509812670952</v>
      </c>
      <c r="H126" s="1640">
        <f t="shared" si="36"/>
        <v>610484.54254658089</v>
      </c>
      <c r="I126" s="1641">
        <f t="shared" si="37"/>
        <v>5.0000000000000001E-4</v>
      </c>
      <c r="J126" s="1642">
        <f t="shared" si="38"/>
        <v>305.24227127329044</v>
      </c>
      <c r="K126" s="1889"/>
    </row>
    <row r="127" spans="1:11">
      <c r="A127" s="1608" t="str">
        <f t="shared" si="33"/>
        <v>Sentinel Lights</v>
      </c>
      <c r="B127" s="1633" t="s">
        <v>63</v>
      </c>
      <c r="C127" s="1604"/>
      <c r="D127" s="1640">
        <f t="shared" si="34"/>
        <v>91633.495104443413</v>
      </c>
      <c r="E127" s="1641">
        <v>5.0000000000000001E-4</v>
      </c>
      <c r="F127" s="1642">
        <f t="shared" si="35"/>
        <v>45.816747552221706</v>
      </c>
      <c r="H127" s="1640">
        <f t="shared" si="36"/>
        <v>4531.6819955565879</v>
      </c>
      <c r="I127" s="1641">
        <f t="shared" si="37"/>
        <v>5.0000000000000001E-4</v>
      </c>
      <c r="J127" s="1642">
        <f t="shared" si="38"/>
        <v>2.2658409977782941</v>
      </c>
      <c r="K127" s="1889"/>
    </row>
    <row r="128" spans="1:11">
      <c r="A128" s="1608" t="str">
        <f t="shared" si="33"/>
        <v xml:space="preserve">Unmetered Loads </v>
      </c>
      <c r="B128" s="1633" t="s">
        <v>63</v>
      </c>
      <c r="C128" s="1604"/>
      <c r="D128" s="1640">
        <f t="shared" si="34"/>
        <v>544306.52450897789</v>
      </c>
      <c r="E128" s="1641">
        <v>5.0000000000000001E-4</v>
      </c>
      <c r="F128" s="1642">
        <f t="shared" si="35"/>
        <v>272.15326225448894</v>
      </c>
      <c r="H128" s="1640">
        <f t="shared" si="36"/>
        <v>58078.38749102212</v>
      </c>
      <c r="I128" s="1641">
        <f t="shared" si="37"/>
        <v>5.0000000000000001E-4</v>
      </c>
      <c r="J128" s="1642">
        <f t="shared" si="38"/>
        <v>29.03919374551106</v>
      </c>
      <c r="K128" s="1889"/>
    </row>
    <row r="129" spans="1:11">
      <c r="A129" s="1608" t="str">
        <f t="shared" si="33"/>
        <v/>
      </c>
      <c r="B129" s="1633"/>
      <c r="C129" s="1604"/>
      <c r="D129" s="1640"/>
      <c r="E129" s="1640"/>
      <c r="F129" s="1642">
        <f t="shared" si="35"/>
        <v>0</v>
      </c>
      <c r="H129" s="1640"/>
      <c r="I129" s="1640"/>
      <c r="J129" s="1642">
        <f t="shared" si="38"/>
        <v>0</v>
      </c>
      <c r="K129" s="1889"/>
    </row>
    <row r="130" spans="1:11">
      <c r="A130" s="1608" t="str">
        <f t="shared" si="33"/>
        <v/>
      </c>
      <c r="B130" s="1633"/>
      <c r="C130" s="1604"/>
      <c r="D130" s="1640"/>
      <c r="E130" s="1640"/>
      <c r="F130" s="1642">
        <f t="shared" si="35"/>
        <v>0</v>
      </c>
      <c r="H130" s="1640"/>
      <c r="I130" s="1640"/>
      <c r="J130" s="1642">
        <f t="shared" si="38"/>
        <v>0</v>
      </c>
      <c r="K130" s="1889"/>
    </row>
    <row r="131" spans="1:11">
      <c r="A131" s="1608" t="str">
        <f t="shared" si="33"/>
        <v/>
      </c>
      <c r="B131" s="1633"/>
      <c r="C131" s="1604"/>
      <c r="D131" s="1640"/>
      <c r="E131" s="1640"/>
      <c r="F131" s="1642">
        <f t="shared" si="35"/>
        <v>0</v>
      </c>
      <c r="H131" s="1640"/>
      <c r="I131" s="1640"/>
      <c r="J131" s="1642">
        <f t="shared" si="38"/>
        <v>0</v>
      </c>
      <c r="K131" s="1889"/>
    </row>
    <row r="132" spans="1:11">
      <c r="A132" s="1608" t="str">
        <f t="shared" si="33"/>
        <v/>
      </c>
      <c r="B132" s="1633"/>
      <c r="C132" s="1604"/>
      <c r="D132" s="1640"/>
      <c r="E132" s="1640"/>
      <c r="F132" s="1642">
        <f t="shared" si="35"/>
        <v>0</v>
      </c>
      <c r="H132" s="1640"/>
      <c r="I132" s="1640"/>
      <c r="J132" s="1642">
        <f>H132*I132</f>
        <v>0</v>
      </c>
      <c r="K132" s="1889"/>
    </row>
    <row r="133" spans="1:11">
      <c r="A133" s="1608" t="str">
        <f>IF(A118="","",A118)</f>
        <v/>
      </c>
      <c r="B133" s="1633"/>
      <c r="C133" s="1604"/>
      <c r="D133" s="1640"/>
      <c r="E133" s="1640"/>
      <c r="F133" s="1642">
        <f>D133*E133</f>
        <v>0</v>
      </c>
      <c r="H133" s="1640"/>
      <c r="I133" s="1640"/>
      <c r="J133" s="1642">
        <f t="shared" ref="J133" si="39">H133*I133</f>
        <v>0</v>
      </c>
      <c r="K133" s="1889"/>
    </row>
    <row r="134" spans="1:11" ht="14.4">
      <c r="A134" s="1603" t="s">
        <v>714</v>
      </c>
      <c r="B134" s="1636"/>
      <c r="C134" s="1618"/>
      <c r="D134" s="1637"/>
      <c r="E134" s="1608"/>
      <c r="F134" s="1637">
        <f>SUM(F123:F133)</f>
        <v>33237.893952473569</v>
      </c>
      <c r="G134" s="1608"/>
      <c r="H134" s="1608"/>
      <c r="I134" s="1608"/>
      <c r="J134" s="1637">
        <f>SUM(J123:J133)</f>
        <v>21283.468016426432</v>
      </c>
      <c r="K134" s="1642">
        <f>F134+J134</f>
        <v>54521.361968900004</v>
      </c>
    </row>
    <row r="135" spans="1:11" ht="6.75" customHeight="1"/>
    <row r="136" spans="1:11" ht="15.75" customHeight="1">
      <c r="A136" s="1598" t="s">
        <v>723</v>
      </c>
      <c r="B136" s="1894"/>
      <c r="C136" s="1599"/>
      <c r="D136" s="1896" t="s">
        <v>71</v>
      </c>
      <c r="E136" s="1895" t="s">
        <v>339</v>
      </c>
      <c r="F136" s="1889" t="s">
        <v>710</v>
      </c>
      <c r="G136" s="1487"/>
      <c r="H136" s="1898" t="s">
        <v>71</v>
      </c>
      <c r="I136" s="1895" t="s">
        <v>339</v>
      </c>
      <c r="J136" s="1889" t="s">
        <v>710</v>
      </c>
      <c r="K136" s="1894" t="s">
        <v>5</v>
      </c>
    </row>
    <row r="137" spans="1:11" ht="14.4">
      <c r="A137" s="1603" t="s">
        <v>717</v>
      </c>
      <c r="B137" s="1903"/>
      <c r="C137" s="1599"/>
      <c r="D137" s="1897"/>
      <c r="E137" s="1902"/>
      <c r="F137" s="1889"/>
      <c r="G137" s="1487"/>
      <c r="H137" s="1904"/>
      <c r="I137" s="1902"/>
      <c r="J137" s="1889"/>
      <c r="K137" s="1903"/>
    </row>
    <row r="138" spans="1:11">
      <c r="A138" s="1608" t="str">
        <f t="shared" ref="A138:A145" si="40">IF(A123="","",A123)</f>
        <v xml:space="preserve">Residential </v>
      </c>
      <c r="B138" s="1633" t="s">
        <v>63</v>
      </c>
      <c r="C138" s="1604"/>
      <c r="D138" s="1640">
        <f>'2022 COP Forecast'!E39/'2022 COP Forecast'!C39</f>
        <v>43031204.149385594</v>
      </c>
      <c r="E138" s="1641">
        <v>4.8999999999999998E-3</v>
      </c>
      <c r="F138" s="1642">
        <f>D138*E138</f>
        <v>210852.9003319894</v>
      </c>
      <c r="H138" s="1640">
        <f>'2022 COP Forecast'!F39/'2022 COP Forecast'!C39</f>
        <v>581651.85061440535</v>
      </c>
      <c r="I138" s="1641">
        <f>E138</f>
        <v>4.8999999999999998E-3</v>
      </c>
      <c r="J138" s="1642">
        <f>H138*I138</f>
        <v>2850.0940680105859</v>
      </c>
      <c r="K138" s="1889"/>
    </row>
    <row r="139" spans="1:11">
      <c r="A139" s="1608" t="str">
        <f t="shared" si="40"/>
        <v>General Service &lt; 50 kW</v>
      </c>
      <c r="B139" s="1633" t="s">
        <v>63</v>
      </c>
      <c r="C139" s="1604"/>
      <c r="D139" s="1640">
        <f>'2022 COP Forecast'!E40/'2022 COP Forecast'!C40</f>
        <v>14752498.604795313</v>
      </c>
      <c r="E139" s="1641">
        <v>4.4999999999999997E-3</v>
      </c>
      <c r="F139" s="1642">
        <f t="shared" ref="F139:F148" si="41">D139*E139</f>
        <v>66386.243721578896</v>
      </c>
      <c r="H139" s="1640">
        <f>'2022 COP Forecast'!F40/'2022 COP Forecast'!C40</f>
        <v>2987260.395204687</v>
      </c>
      <c r="I139" s="1641">
        <f t="shared" ref="I139:I143" si="42">E139</f>
        <v>4.4999999999999997E-3</v>
      </c>
      <c r="J139" s="1642">
        <f t="shared" ref="J139:J146" si="43">H139*I139</f>
        <v>13442.67177842109</v>
      </c>
      <c r="K139" s="1889"/>
    </row>
    <row r="140" spans="1:11">
      <c r="A140" s="1608" t="str">
        <f t="shared" si="40"/>
        <v>General Service 50 to 4,999 kW</v>
      </c>
      <c r="B140" s="1633" t="s">
        <v>64</v>
      </c>
      <c r="C140" s="1604"/>
      <c r="D140" s="1640">
        <f>'2022 COP Forecast'!I41</f>
        <v>7079.1097232356369</v>
      </c>
      <c r="E140" s="1641">
        <v>1.6712</v>
      </c>
      <c r="F140" s="1642">
        <f t="shared" si="41"/>
        <v>11830.608169471396</v>
      </c>
      <c r="H140" s="1640">
        <f>'2022 COP Forecast'!J41</f>
        <v>103755.19027676436</v>
      </c>
      <c r="I140" s="1641">
        <f t="shared" si="42"/>
        <v>1.6712</v>
      </c>
      <c r="J140" s="1642">
        <f t="shared" si="43"/>
        <v>173395.67399052859</v>
      </c>
      <c r="K140" s="1889"/>
    </row>
    <row r="141" spans="1:11">
      <c r="A141" s="1608" t="str">
        <f t="shared" si="40"/>
        <v xml:space="preserve">Street Lights </v>
      </c>
      <c r="B141" s="1633" t="s">
        <v>64</v>
      </c>
      <c r="C141" s="1604"/>
      <c r="D141" s="1640">
        <f>'2022 COP Forecast'!I42</f>
        <v>219.89414989391594</v>
      </c>
      <c r="E141" s="1641">
        <v>1.2789999999999999</v>
      </c>
      <c r="F141" s="1642">
        <f t="shared" si="41"/>
        <v>281.24461771431845</v>
      </c>
      <c r="H141" s="1640">
        <f>'2022 COP Forecast'!J42</f>
        <v>1525.705850106084</v>
      </c>
      <c r="I141" s="1641">
        <f t="shared" si="42"/>
        <v>1.2789999999999999</v>
      </c>
      <c r="J141" s="1642">
        <f t="shared" si="43"/>
        <v>1951.3777822856812</v>
      </c>
      <c r="K141" s="1889"/>
    </row>
    <row r="142" spans="1:11">
      <c r="A142" s="1608" t="str">
        <f t="shared" si="40"/>
        <v>Sentinel Lights</v>
      </c>
      <c r="B142" s="1633" t="s">
        <v>64</v>
      </c>
      <c r="C142" s="1604"/>
      <c r="D142" s="1640">
        <f>'2022 COP Forecast'!I43</f>
        <v>235.07530602110489</v>
      </c>
      <c r="E142" s="1641">
        <v>1.3055000000000001</v>
      </c>
      <c r="F142" s="1642">
        <f t="shared" si="41"/>
        <v>306.89081201055245</v>
      </c>
      <c r="H142" s="1640">
        <f>'2022 COP Forecast'!J43</f>
        <v>11.055249534450638</v>
      </c>
      <c r="I142" s="1641">
        <f t="shared" si="42"/>
        <v>1.3055000000000001</v>
      </c>
      <c r="J142" s="1642">
        <f t="shared" si="43"/>
        <v>14.43262826722531</v>
      </c>
      <c r="K142" s="1889"/>
    </row>
    <row r="143" spans="1:11">
      <c r="A143" s="1608" t="str">
        <f t="shared" si="40"/>
        <v xml:space="preserve">Unmetered Loads </v>
      </c>
      <c r="B143" s="1633" t="s">
        <v>63</v>
      </c>
      <c r="C143" s="1604"/>
      <c r="D143" s="1640">
        <f>'2022 COP Forecast'!E44/'2022 COP Forecast'!C44</f>
        <v>501526.32867315761</v>
      </c>
      <c r="E143" s="1641">
        <v>4.4999999999999997E-3</v>
      </c>
      <c r="F143" s="1642">
        <f t="shared" si="41"/>
        <v>2256.8684790292091</v>
      </c>
      <c r="H143" s="1640">
        <f>'2022 COP Forecast'!F44/'2022 COP Forecast'!C44</f>
        <v>53513.671326842465</v>
      </c>
      <c r="I143" s="1641">
        <f t="shared" si="42"/>
        <v>4.4999999999999997E-3</v>
      </c>
      <c r="J143" s="1642">
        <f t="shared" si="43"/>
        <v>240.81152097079107</v>
      </c>
      <c r="K143" s="1889"/>
    </row>
    <row r="144" spans="1:11">
      <c r="A144" s="1608" t="str">
        <f t="shared" si="40"/>
        <v/>
      </c>
      <c r="B144" s="1652"/>
      <c r="C144" s="1653"/>
      <c r="D144" s="1640"/>
      <c r="E144" s="1640"/>
      <c r="F144" s="1642">
        <f t="shared" si="41"/>
        <v>0</v>
      </c>
      <c r="H144" s="1640"/>
      <c r="I144" s="1640"/>
      <c r="J144" s="1642">
        <f t="shared" si="43"/>
        <v>0</v>
      </c>
      <c r="K144" s="1889"/>
    </row>
    <row r="145" spans="1:12">
      <c r="A145" s="1608" t="str">
        <f t="shared" si="40"/>
        <v/>
      </c>
      <c r="B145" s="1652"/>
      <c r="C145" s="1653"/>
      <c r="D145" s="1640"/>
      <c r="E145" s="1640"/>
      <c r="F145" s="1642">
        <f t="shared" si="41"/>
        <v>0</v>
      </c>
      <c r="H145" s="1640"/>
      <c r="I145" s="1640"/>
      <c r="J145" s="1642">
        <f t="shared" si="43"/>
        <v>0</v>
      </c>
      <c r="K145" s="1889"/>
    </row>
    <row r="146" spans="1:12">
      <c r="A146" s="1608" t="str">
        <f>IF(A131="","",A131)</f>
        <v/>
      </c>
      <c r="B146" s="1652"/>
      <c r="C146" s="1653"/>
      <c r="D146" s="1640"/>
      <c r="E146" s="1640"/>
      <c r="F146" s="1642">
        <f t="shared" si="41"/>
        <v>0</v>
      </c>
      <c r="H146" s="1640"/>
      <c r="I146" s="1640"/>
      <c r="J146" s="1642">
        <f t="shared" si="43"/>
        <v>0</v>
      </c>
      <c r="K146" s="1889"/>
    </row>
    <row r="147" spans="1:12" ht="14.25" customHeight="1">
      <c r="A147" s="1608" t="str">
        <f>IF(A132="","",A132)</f>
        <v/>
      </c>
      <c r="B147" s="1652"/>
      <c r="C147" s="1604"/>
      <c r="D147" s="1640"/>
      <c r="E147" s="1640"/>
      <c r="F147" s="1642">
        <f>D147*E147</f>
        <v>0</v>
      </c>
      <c r="H147" s="1640"/>
      <c r="I147" s="1640"/>
      <c r="J147" s="1642">
        <f>H147*I147</f>
        <v>0</v>
      </c>
      <c r="K147" s="1889"/>
    </row>
    <row r="148" spans="1:12">
      <c r="A148" s="1608" t="str">
        <f>IF(A133="","",A133)</f>
        <v/>
      </c>
      <c r="B148" s="1633"/>
      <c r="C148" s="1604"/>
      <c r="D148" s="1640"/>
      <c r="E148" s="1640"/>
      <c r="F148" s="1642">
        <f t="shared" si="41"/>
        <v>0</v>
      </c>
      <c r="H148" s="1640"/>
      <c r="I148" s="1640"/>
      <c r="J148" s="1642">
        <f t="shared" ref="J148" si="44">H148*I148</f>
        <v>0</v>
      </c>
      <c r="K148" s="1889"/>
    </row>
    <row r="149" spans="1:12" ht="14.4">
      <c r="A149" s="1603" t="s">
        <v>714</v>
      </c>
      <c r="B149" s="1636"/>
      <c r="C149" s="1604"/>
      <c r="D149" s="1634"/>
      <c r="E149" s="1608"/>
      <c r="F149" s="1642">
        <f>SUM(F138:F148)</f>
        <v>291914.75613179378</v>
      </c>
      <c r="G149" s="1608"/>
      <c r="H149" s="1608"/>
      <c r="I149" s="1608"/>
      <c r="J149" s="1642">
        <f>SUM(J138:J148)</f>
        <v>191895.06176848398</v>
      </c>
      <c r="K149" s="1622">
        <f>F149+J149</f>
        <v>483809.81790027779</v>
      </c>
    </row>
    <row r="151" spans="1:12" ht="14.4">
      <c r="A151" s="1598" t="s">
        <v>724</v>
      </c>
      <c r="B151" s="1895"/>
      <c r="C151" s="1599"/>
      <c r="D151" s="1896" t="s">
        <v>230</v>
      </c>
      <c r="E151" s="1895" t="s">
        <v>339</v>
      </c>
      <c r="F151" s="1889" t="s">
        <v>710</v>
      </c>
      <c r="G151" s="1487"/>
      <c r="H151" s="1894" t="s">
        <v>230</v>
      </c>
      <c r="I151" s="1895" t="s">
        <v>339</v>
      </c>
      <c r="J151" s="1889" t="s">
        <v>710</v>
      </c>
      <c r="K151" s="1896" t="s">
        <v>5</v>
      </c>
    </row>
    <row r="152" spans="1:12" ht="14.4">
      <c r="A152" s="1603" t="s">
        <v>717</v>
      </c>
      <c r="B152" s="1902"/>
      <c r="C152" s="1599"/>
      <c r="D152" s="1897"/>
      <c r="E152" s="1902"/>
      <c r="F152" s="1889"/>
      <c r="G152" s="1487"/>
      <c r="H152" s="1903"/>
      <c r="I152" s="1902"/>
      <c r="J152" s="1889"/>
      <c r="K152" s="1887"/>
      <c r="L152" s="1618"/>
    </row>
    <row r="153" spans="1:12">
      <c r="A153" s="1609" t="str">
        <f>A138</f>
        <v xml:space="preserve">Residential </v>
      </c>
      <c r="B153" s="1636"/>
      <c r="C153" s="1604"/>
      <c r="D153" s="1640">
        <f>'2022 COP Forecast'!C48-H153</f>
        <v>5042</v>
      </c>
      <c r="E153" s="1654">
        <v>0.56999999999999995</v>
      </c>
      <c r="F153" s="1642">
        <f>D153*E153*12</f>
        <v>34487.279999999999</v>
      </c>
      <c r="H153" s="1640">
        <v>70</v>
      </c>
      <c r="I153" s="1654">
        <f>E153</f>
        <v>0.56999999999999995</v>
      </c>
      <c r="J153" s="1642">
        <f>H153*I153*12</f>
        <v>478.79999999999995</v>
      </c>
      <c r="K153" s="1887"/>
      <c r="L153" s="1618"/>
    </row>
    <row r="154" spans="1:12">
      <c r="A154" s="1619" t="str">
        <f>A139</f>
        <v>General Service &lt; 50 kW</v>
      </c>
      <c r="B154" s="1636"/>
      <c r="C154" s="1604"/>
      <c r="D154" s="1640">
        <f>'2022 COP Forecast'!C49-H154</f>
        <v>665.5</v>
      </c>
      <c r="E154" s="1654">
        <v>0.56999999999999995</v>
      </c>
      <c r="F154" s="1642">
        <f t="shared" ref="F154:F160" si="45">D154*E154*12</f>
        <v>4552.0199999999995</v>
      </c>
      <c r="H154" s="1640">
        <v>65</v>
      </c>
      <c r="I154" s="1654">
        <f>E154</f>
        <v>0.56999999999999995</v>
      </c>
      <c r="J154" s="1642">
        <f t="shared" ref="J154:J159" si="46">H154*I154*12</f>
        <v>444.59999999999997</v>
      </c>
      <c r="K154" s="1887"/>
      <c r="L154" s="1618"/>
    </row>
    <row r="155" spans="1:12">
      <c r="A155" s="1619"/>
      <c r="B155" s="1636"/>
      <c r="C155" s="1604"/>
      <c r="D155" s="1640"/>
      <c r="E155" s="1640"/>
      <c r="F155" s="1642">
        <f t="shared" si="45"/>
        <v>0</v>
      </c>
      <c r="H155" s="1640"/>
      <c r="I155" s="1640"/>
      <c r="J155" s="1642">
        <f t="shared" si="46"/>
        <v>0</v>
      </c>
      <c r="K155" s="1887"/>
      <c r="L155" s="1618"/>
    </row>
    <row r="156" spans="1:12">
      <c r="A156" s="1619"/>
      <c r="B156" s="1636"/>
      <c r="C156" s="1604"/>
      <c r="D156" s="1640"/>
      <c r="E156" s="1640"/>
      <c r="F156" s="1642">
        <f t="shared" si="45"/>
        <v>0</v>
      </c>
      <c r="H156" s="1640"/>
      <c r="I156" s="1640"/>
      <c r="J156" s="1642">
        <f t="shared" si="46"/>
        <v>0</v>
      </c>
      <c r="K156" s="1887"/>
      <c r="L156" s="1618"/>
    </row>
    <row r="157" spans="1:12">
      <c r="A157" s="1619"/>
      <c r="B157" s="1636"/>
      <c r="C157" s="1604"/>
      <c r="D157" s="1640"/>
      <c r="E157" s="1640"/>
      <c r="F157" s="1642">
        <f t="shared" si="45"/>
        <v>0</v>
      </c>
      <c r="H157" s="1640"/>
      <c r="I157" s="1640"/>
      <c r="J157" s="1642">
        <f t="shared" si="46"/>
        <v>0</v>
      </c>
      <c r="K157" s="1887"/>
      <c r="L157" s="1618"/>
    </row>
    <row r="158" spans="1:12">
      <c r="A158" s="1619"/>
      <c r="B158" s="1636"/>
      <c r="C158" s="1604"/>
      <c r="D158" s="1640"/>
      <c r="E158" s="1640"/>
      <c r="F158" s="1642">
        <f t="shared" si="45"/>
        <v>0</v>
      </c>
      <c r="H158" s="1640"/>
      <c r="I158" s="1640"/>
      <c r="J158" s="1642">
        <f t="shared" si="46"/>
        <v>0</v>
      </c>
      <c r="K158" s="1887"/>
      <c r="L158" s="1618"/>
    </row>
    <row r="159" spans="1:12">
      <c r="A159" s="1619"/>
      <c r="B159" s="1636"/>
      <c r="C159" s="1604"/>
      <c r="D159" s="1640"/>
      <c r="E159" s="1640"/>
      <c r="F159" s="1642">
        <f t="shared" si="45"/>
        <v>0</v>
      </c>
      <c r="H159" s="1640"/>
      <c r="I159" s="1640"/>
      <c r="J159" s="1642">
        <f t="shared" si="46"/>
        <v>0</v>
      </c>
      <c r="K159" s="1887"/>
      <c r="L159" s="1618"/>
    </row>
    <row r="160" spans="1:12">
      <c r="A160" s="1619"/>
      <c r="B160" s="1636"/>
      <c r="C160" s="1604"/>
      <c r="D160" s="1640"/>
      <c r="E160" s="1640"/>
      <c r="F160" s="1642">
        <f t="shared" si="45"/>
        <v>0</v>
      </c>
      <c r="H160" s="1640"/>
      <c r="I160" s="1640"/>
      <c r="J160" s="1642">
        <f>H160*I160*12</f>
        <v>0</v>
      </c>
      <c r="K160" s="1655"/>
      <c r="L160" s="1618"/>
    </row>
    <row r="161" spans="1:11" ht="14.4">
      <c r="A161" s="1603" t="s">
        <v>714</v>
      </c>
      <c r="B161" s="1636"/>
      <c r="C161" s="1604"/>
      <c r="D161" s="1608"/>
      <c r="E161" s="1608"/>
      <c r="F161" s="1642">
        <f>SUM(F153:F160)</f>
        <v>39039.299999999996</v>
      </c>
      <c r="G161" s="1608"/>
      <c r="H161" s="1608"/>
      <c r="I161" s="1608"/>
      <c r="J161" s="1642">
        <f>SUM(J153:J160)</f>
        <v>923.39999999999986</v>
      </c>
      <c r="K161" s="1642">
        <f>F161+J161</f>
        <v>39962.699999999997</v>
      </c>
    </row>
    <row r="162" spans="1:11">
      <c r="A162" s="1608"/>
      <c r="B162" s="1608"/>
      <c r="C162" s="1604"/>
      <c r="D162" s="1608"/>
      <c r="E162" s="1608"/>
      <c r="F162" s="1608"/>
      <c r="G162" s="1608"/>
      <c r="H162" s="1608"/>
      <c r="I162" s="1608"/>
      <c r="J162" s="1608"/>
    </row>
    <row r="163" spans="1:11" ht="14.4">
      <c r="A163" s="1603" t="s">
        <v>725</v>
      </c>
      <c r="B163" s="1608"/>
      <c r="C163" s="1604"/>
      <c r="D163" s="1608"/>
      <c r="E163" s="1608"/>
      <c r="F163" s="1642">
        <f>SUM(F24+F59+F74+F89+F134+F149+F161+F119)</f>
        <v>8274015.3110976703</v>
      </c>
      <c r="G163" s="1608"/>
      <c r="H163" s="1608"/>
      <c r="I163" s="1608"/>
      <c r="J163" s="1642">
        <f>J24+J44+J59+J74+J89+J104+J119+J134+J149+J161</f>
        <v>4877606.9060181137</v>
      </c>
      <c r="K163" s="1622">
        <f>+F163+J163</f>
        <v>13151622.217115784</v>
      </c>
    </row>
    <row r="164" spans="1:11" ht="15" thickBot="1">
      <c r="A164" s="1603" t="s">
        <v>726</v>
      </c>
      <c r="B164" s="1633">
        <v>0.189</v>
      </c>
      <c r="C164" s="1604"/>
      <c r="D164" s="1640"/>
      <c r="E164" s="1640"/>
      <c r="F164" s="1656">
        <f>-F163*B164</f>
        <v>-1563788.8937974598</v>
      </c>
      <c r="G164" s="1608"/>
      <c r="H164" s="1640"/>
      <c r="I164" s="1640"/>
      <c r="J164" s="1608">
        <v>0</v>
      </c>
      <c r="K164" s="1622">
        <f>+F164+J164</f>
        <v>-1563788.8937974598</v>
      </c>
    </row>
    <row r="165" spans="1:11" ht="15" thickBot="1">
      <c r="A165" s="1603" t="s">
        <v>65</v>
      </c>
      <c r="B165" s="1657"/>
      <c r="C165" s="1658"/>
      <c r="D165" s="1603"/>
      <c r="E165" s="1603"/>
      <c r="F165" s="1659">
        <f>+F163+F164</f>
        <v>6710226.4173002103</v>
      </c>
      <c r="G165" s="1603"/>
      <c r="H165" s="1603"/>
      <c r="I165" s="1603"/>
      <c r="J165" s="1659">
        <f>+J163+J164</f>
        <v>4877606.9060181137</v>
      </c>
      <c r="K165" s="1659">
        <f>+K163+K164</f>
        <v>11587833.323318325</v>
      </c>
    </row>
    <row r="166" spans="1:11" ht="15" thickTop="1">
      <c r="A166" s="1658"/>
      <c r="B166" s="1660"/>
      <c r="C166" s="1595"/>
      <c r="D166" s="1595"/>
      <c r="E166" s="1595"/>
      <c r="F166" s="1661"/>
      <c r="G166" s="1595"/>
      <c r="H166" s="1595"/>
      <c r="I166" s="1595"/>
      <c r="J166" s="1661"/>
      <c r="K166" s="1661"/>
    </row>
    <row r="167" spans="1:11" ht="14.4">
      <c r="A167" s="1662" t="s">
        <v>727</v>
      </c>
    </row>
    <row r="168" spans="1:11" ht="14.4">
      <c r="A168" s="1662" t="s">
        <v>728</v>
      </c>
    </row>
    <row r="169" spans="1:11" ht="14.4">
      <c r="A169" s="1595"/>
    </row>
    <row r="170" spans="1:11">
      <c r="D170" s="1905" t="str">
        <f>D10 &amp; " - Cop"</f>
        <v>2021 Bridge Year - Cop</v>
      </c>
      <c r="E170" s="1905"/>
      <c r="H170" s="1675" t="s">
        <v>637</v>
      </c>
      <c r="I170" s="1480" t="s">
        <v>142</v>
      </c>
    </row>
    <row r="171" spans="1:11">
      <c r="D171" s="1608" t="s">
        <v>729</v>
      </c>
      <c r="E171" s="1663">
        <f>K24</f>
        <v>7639154.4020072594</v>
      </c>
      <c r="H171" s="308">
        <v>7458707.6394714369</v>
      </c>
      <c r="I171" s="1638">
        <f t="shared" ref="I171:I179" si="47">E171-H171</f>
        <v>180446.76253582258</v>
      </c>
    </row>
    <row r="172" spans="1:11">
      <c r="D172" s="1608" t="s">
        <v>730</v>
      </c>
      <c r="E172" s="1623">
        <f>K44</f>
        <v>3213327.3021636894</v>
      </c>
      <c r="H172" s="308">
        <v>2872637.5146770142</v>
      </c>
      <c r="I172" s="1638">
        <f t="shared" si="47"/>
        <v>340689.7874866752</v>
      </c>
    </row>
    <row r="173" spans="1:11">
      <c r="D173" s="1608" t="s">
        <v>77</v>
      </c>
      <c r="E173" s="1623">
        <f>(K89+K104+K119+K134)</f>
        <v>422919.95984529023</v>
      </c>
      <c r="H173" s="308">
        <v>401611.75779619243</v>
      </c>
      <c r="I173" s="1638">
        <f t="shared" si="47"/>
        <v>21308.202049097803</v>
      </c>
    </row>
    <row r="174" spans="1:11">
      <c r="D174" s="1608" t="s">
        <v>78</v>
      </c>
      <c r="E174" s="1623">
        <f>K59</f>
        <v>720881.89925619541</v>
      </c>
      <c r="H174" s="308">
        <v>702956.42922221846</v>
      </c>
      <c r="I174" s="1638">
        <f t="shared" si="47"/>
        <v>17925.470033976948</v>
      </c>
    </row>
    <row r="175" spans="1:11">
      <c r="D175" s="1608" t="s">
        <v>79</v>
      </c>
      <c r="E175" s="1623">
        <f>K74</f>
        <v>631566.13594307122</v>
      </c>
      <c r="H175" s="308">
        <v>585857.25813444017</v>
      </c>
      <c r="I175" s="1638">
        <f t="shared" si="47"/>
        <v>45708.877808631049</v>
      </c>
    </row>
    <row r="176" spans="1:11">
      <c r="D176" s="1608" t="s">
        <v>731</v>
      </c>
      <c r="E176" s="1623">
        <f>K149</f>
        <v>483809.81790027779</v>
      </c>
      <c r="H176" s="308">
        <v>626451.05788234167</v>
      </c>
      <c r="I176" s="1638">
        <f t="shared" si="47"/>
        <v>-142641.23998206388</v>
      </c>
    </row>
    <row r="177" spans="4:9">
      <c r="D177" s="1608" t="s">
        <v>732</v>
      </c>
      <c r="E177" s="1623">
        <f>K161</f>
        <v>39962.699999999997</v>
      </c>
      <c r="H177" s="308">
        <v>40055.040000000001</v>
      </c>
      <c r="I177" s="1638">
        <f t="shared" si="47"/>
        <v>-92.340000000003783</v>
      </c>
    </row>
    <row r="178" spans="4:9">
      <c r="D178" s="1608" t="s">
        <v>733</v>
      </c>
      <c r="E178" s="1623">
        <f>+K164</f>
        <v>-1563788.8937974598</v>
      </c>
      <c r="H178" s="1677">
        <v>-1556632.3463560874</v>
      </c>
      <c r="I178" s="1674">
        <f t="shared" si="47"/>
        <v>-7156.5474413724151</v>
      </c>
    </row>
    <row r="179" spans="4:9" ht="14.4">
      <c r="D179" s="1603" t="s">
        <v>65</v>
      </c>
      <c r="E179" s="1664">
        <f>SUM(E171:E178)</f>
        <v>11587833.323318325</v>
      </c>
      <c r="F179" s="1673">
        <v>11143258.436783656</v>
      </c>
      <c r="H179" s="1638">
        <f>SUM(H171:H178)</f>
        <v>11131644.350827556</v>
      </c>
      <c r="I179" s="1674">
        <f t="shared" si="47"/>
        <v>456188.97249076888</v>
      </c>
    </row>
    <row r="180" spans="4:9">
      <c r="E180" s="1590">
        <f>+E179-K165</f>
        <v>0</v>
      </c>
      <c r="H180" s="1638"/>
    </row>
  </sheetData>
  <mergeCells count="90">
    <mergeCell ref="K153:K159"/>
    <mergeCell ref="D170:E170"/>
    <mergeCell ref="K138:K148"/>
    <mergeCell ref="B151:B152"/>
    <mergeCell ref="D151:D152"/>
    <mergeCell ref="E151:E152"/>
    <mergeCell ref="F151:F152"/>
    <mergeCell ref="H151:H152"/>
    <mergeCell ref="I151:I152"/>
    <mergeCell ref="J151:J152"/>
    <mergeCell ref="K151:K152"/>
    <mergeCell ref="K123:K133"/>
    <mergeCell ref="B136:B137"/>
    <mergeCell ref="D136:D137"/>
    <mergeCell ref="E136:E137"/>
    <mergeCell ref="F136:F137"/>
    <mergeCell ref="H136:H137"/>
    <mergeCell ref="I136:I137"/>
    <mergeCell ref="J136:J137"/>
    <mergeCell ref="K136:K137"/>
    <mergeCell ref="K108:K118"/>
    <mergeCell ref="B121:B122"/>
    <mergeCell ref="D121:D122"/>
    <mergeCell ref="E121:E122"/>
    <mergeCell ref="F121:F122"/>
    <mergeCell ref="H121:H122"/>
    <mergeCell ref="I121:I122"/>
    <mergeCell ref="J121:J122"/>
    <mergeCell ref="K121:K122"/>
    <mergeCell ref="K93:K103"/>
    <mergeCell ref="B106:B107"/>
    <mergeCell ref="D106:D107"/>
    <mergeCell ref="E106:E107"/>
    <mergeCell ref="F106:F107"/>
    <mergeCell ref="H106:H107"/>
    <mergeCell ref="I106:I107"/>
    <mergeCell ref="J106:J107"/>
    <mergeCell ref="K106:K107"/>
    <mergeCell ref="K78:K88"/>
    <mergeCell ref="B91:B92"/>
    <mergeCell ref="D91:D92"/>
    <mergeCell ref="E91:E92"/>
    <mergeCell ref="F91:F92"/>
    <mergeCell ref="H91:H92"/>
    <mergeCell ref="I91:I92"/>
    <mergeCell ref="J91:J92"/>
    <mergeCell ref="K91:K92"/>
    <mergeCell ref="K63:K73"/>
    <mergeCell ref="B76:B77"/>
    <mergeCell ref="D76:D77"/>
    <mergeCell ref="E76:E77"/>
    <mergeCell ref="F76:F77"/>
    <mergeCell ref="H76:H77"/>
    <mergeCell ref="I76:I77"/>
    <mergeCell ref="J76:J77"/>
    <mergeCell ref="K76:K77"/>
    <mergeCell ref="K48:K58"/>
    <mergeCell ref="B61:B62"/>
    <mergeCell ref="D61:D62"/>
    <mergeCell ref="E61:E62"/>
    <mergeCell ref="F61:F62"/>
    <mergeCell ref="H61:H62"/>
    <mergeCell ref="I61:I62"/>
    <mergeCell ref="J61:J62"/>
    <mergeCell ref="K61:K62"/>
    <mergeCell ref="K28:K43"/>
    <mergeCell ref="B46:B47"/>
    <mergeCell ref="D46:D47"/>
    <mergeCell ref="E46:E47"/>
    <mergeCell ref="F46:F47"/>
    <mergeCell ref="H46:H47"/>
    <mergeCell ref="I46:I47"/>
    <mergeCell ref="J46:J47"/>
    <mergeCell ref="K46:K47"/>
    <mergeCell ref="K12:K23"/>
    <mergeCell ref="I25:J25"/>
    <mergeCell ref="B26:B27"/>
    <mergeCell ref="D26:D27"/>
    <mergeCell ref="E26:E27"/>
    <mergeCell ref="F26:F27"/>
    <mergeCell ref="H26:H27"/>
    <mergeCell ref="I26:I27"/>
    <mergeCell ref="J26:J27"/>
    <mergeCell ref="K26:K27"/>
    <mergeCell ref="B11:B12"/>
    <mergeCell ref="A1:J1"/>
    <mergeCell ref="E9:F9"/>
    <mergeCell ref="I9:J9"/>
    <mergeCell ref="E10:F10"/>
    <mergeCell ref="I10:J10"/>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000"/>
  </sheetPr>
  <dimension ref="A1:G39"/>
  <sheetViews>
    <sheetView workbookViewId="0">
      <selection activeCell="F19" sqref="F19"/>
    </sheetView>
  </sheetViews>
  <sheetFormatPr defaultColWidth="9.109375" defaultRowHeight="13.2"/>
  <cols>
    <col min="1" max="1" width="4.109375" style="30" customWidth="1"/>
    <col min="2" max="2" width="52.6640625" style="30" customWidth="1"/>
    <col min="3" max="3" width="8.109375" style="30" customWidth="1"/>
    <col min="4" max="4" width="10.6640625" style="30" customWidth="1"/>
    <col min="5" max="5" width="14.6640625" style="30" customWidth="1"/>
    <col min="6" max="6" width="17.6640625" style="30" customWidth="1"/>
    <col min="7" max="7" width="14.109375" style="30" customWidth="1"/>
    <col min="8" max="16384" width="9.109375" style="30"/>
  </cols>
  <sheetData>
    <row r="1" spans="1:7">
      <c r="B1" s="6" t="s">
        <v>379</v>
      </c>
    </row>
    <row r="2" spans="1:7">
      <c r="B2" s="6"/>
    </row>
    <row r="3" spans="1:7">
      <c r="B3" s="815" t="s">
        <v>378</v>
      </c>
    </row>
    <row r="4" spans="1:7">
      <c r="B4" s="817" t="s">
        <v>612</v>
      </c>
    </row>
    <row r="5" spans="1:7">
      <c r="B5" s="815" t="s">
        <v>377</v>
      </c>
    </row>
    <row r="6" spans="1:7">
      <c r="B6" s="816" t="s">
        <v>611</v>
      </c>
    </row>
    <row r="7" spans="1:7" ht="14.4" thickBot="1">
      <c r="B7" s="814"/>
    </row>
    <row r="8" spans="1:7" ht="32.4" customHeight="1" thickTop="1">
      <c r="A8" s="797"/>
      <c r="B8" s="798" t="s">
        <v>736</v>
      </c>
      <c r="C8" s="799"/>
      <c r="D8" s="799"/>
      <c r="E8" s="1368" t="s">
        <v>470</v>
      </c>
      <c r="F8" s="1368" t="s">
        <v>616</v>
      </c>
      <c r="G8" s="1368" t="s">
        <v>617</v>
      </c>
    </row>
    <row r="9" spans="1:7" ht="17.100000000000001" customHeight="1">
      <c r="A9" s="800"/>
      <c r="B9" s="801" t="s">
        <v>609</v>
      </c>
      <c r="C9" s="393"/>
      <c r="D9" s="1364" t="s">
        <v>610</v>
      </c>
      <c r="F9" s="393"/>
      <c r="G9" s="1369"/>
    </row>
    <row r="10" spans="1:7" ht="17.100000000000001" customHeight="1">
      <c r="A10" s="803"/>
      <c r="B10" s="804" t="s">
        <v>374</v>
      </c>
      <c r="C10" s="804"/>
      <c r="D10" s="1365">
        <v>17.61</v>
      </c>
      <c r="E10" s="1365"/>
      <c r="F10" s="1365">
        <f>D10</f>
        <v>17.61</v>
      </c>
      <c r="G10" s="1365">
        <f>D10</f>
        <v>17.61</v>
      </c>
    </row>
    <row r="11" spans="1:7" ht="17.100000000000001" customHeight="1">
      <c r="A11" s="800" t="s">
        <v>471</v>
      </c>
      <c r="C11" s="393"/>
      <c r="D11" s="1366"/>
      <c r="F11" s="393"/>
      <c r="G11" s="1369"/>
    </row>
    <row r="12" spans="1:7" ht="17.100000000000001" customHeight="1">
      <c r="A12" s="800"/>
      <c r="B12" s="393" t="s">
        <v>435</v>
      </c>
      <c r="C12" s="393"/>
      <c r="D12" s="1366">
        <v>19.25</v>
      </c>
      <c r="E12" s="811">
        <f>D12</f>
        <v>19.25</v>
      </c>
      <c r="F12" s="393"/>
      <c r="G12" s="1369"/>
    </row>
    <row r="13" spans="1:7" ht="17.100000000000001" customHeight="1">
      <c r="A13" s="800"/>
      <c r="B13" s="393" t="s">
        <v>613</v>
      </c>
      <c r="C13" s="807" t="s">
        <v>370</v>
      </c>
      <c r="D13" s="1366">
        <v>85.18</v>
      </c>
      <c r="E13" s="811">
        <f t="shared" ref="E13:E15" si="0">D13</f>
        <v>85.18</v>
      </c>
      <c r="F13" s="1366">
        <f>D13</f>
        <v>85.18</v>
      </c>
      <c r="G13" s="393">
        <v>4.5719999999999997E-2</v>
      </c>
    </row>
    <row r="14" spans="1:7" ht="17.100000000000001" customHeight="1">
      <c r="A14" s="800"/>
      <c r="B14" s="393" t="s">
        <v>614</v>
      </c>
      <c r="C14" s="807" t="s">
        <v>370</v>
      </c>
      <c r="D14" s="1366">
        <v>-1.79</v>
      </c>
      <c r="E14" s="811">
        <f t="shared" si="0"/>
        <v>-1.79</v>
      </c>
      <c r="F14" s="393"/>
      <c r="G14" s="393"/>
    </row>
    <row r="15" spans="1:7" ht="17.100000000000001" customHeight="1">
      <c r="A15" s="800"/>
      <c r="B15" s="393" t="s">
        <v>615</v>
      </c>
      <c r="C15" s="807" t="s">
        <v>370</v>
      </c>
      <c r="D15" s="1366">
        <v>1</v>
      </c>
      <c r="E15" s="811">
        <f t="shared" si="0"/>
        <v>1</v>
      </c>
      <c r="F15" s="393"/>
      <c r="G15" s="1369"/>
    </row>
    <row r="16" spans="1:7" ht="17.100000000000001" customHeight="1">
      <c r="A16" s="800"/>
      <c r="B16" s="393"/>
      <c r="C16" s="807"/>
      <c r="D16" s="1366"/>
      <c r="F16" s="393"/>
      <c r="G16" s="393"/>
    </row>
    <row r="17" spans="1:7" ht="17.100000000000001" customHeight="1" thickBot="1">
      <c r="A17" s="808" t="s">
        <v>373</v>
      </c>
      <c r="B17" s="809"/>
      <c r="C17" s="810" t="s">
        <v>372</v>
      </c>
      <c r="D17" s="1370">
        <f>SUM(D12:D16)</f>
        <v>103.64</v>
      </c>
      <c r="E17" s="1367">
        <f>SUM(D12:D16)</f>
        <v>103.64</v>
      </c>
      <c r="F17" s="1456">
        <f>SUM(F10:F16)</f>
        <v>102.79</v>
      </c>
      <c r="G17" s="1456">
        <f>SUM(G10:G16)</f>
        <v>17.655719999999999</v>
      </c>
    </row>
    <row r="18" spans="1:7" ht="17.100000000000001" customHeight="1" thickTop="1">
      <c r="A18" s="800"/>
      <c r="B18" s="393"/>
      <c r="C18" s="393"/>
      <c r="D18" s="802">
        <v>103.64</v>
      </c>
    </row>
    <row r="19" spans="1:7" ht="17.100000000000001" customHeight="1">
      <c r="A19" s="800"/>
      <c r="C19" s="393"/>
      <c r="D19" s="802"/>
    </row>
    <row r="20" spans="1:7" ht="17.100000000000001" customHeight="1">
      <c r="A20" s="800"/>
      <c r="B20" s="801" t="str">
        <f>B9</f>
        <v xml:space="preserve">for the period from May 1, 2021 through April 30, 2022 </v>
      </c>
      <c r="C20" s="393"/>
      <c r="D20" s="802"/>
    </row>
    <row r="21" spans="1:7" ht="17.100000000000001" customHeight="1">
      <c r="A21" s="803"/>
      <c r="B21" s="804" t="s">
        <v>374</v>
      </c>
      <c r="C21" s="804"/>
      <c r="D21" s="805">
        <f t="shared" ref="D21" si="1">D10</f>
        <v>17.61</v>
      </c>
    </row>
    <row r="22" spans="1:7" ht="17.100000000000001" customHeight="1">
      <c r="A22" s="800" t="s">
        <v>368</v>
      </c>
      <c r="B22" s="393"/>
      <c r="C22" s="393"/>
      <c r="D22" s="806"/>
    </row>
    <row r="23" spans="1:7" ht="17.100000000000001" customHeight="1">
      <c r="A23" s="800"/>
      <c r="B23" s="393" t="s">
        <v>435</v>
      </c>
      <c r="C23" s="393"/>
      <c r="D23" s="806"/>
    </row>
    <row r="24" spans="1:7" ht="17.100000000000001" customHeight="1">
      <c r="A24" s="800"/>
      <c r="B24" s="393" t="s">
        <v>369</v>
      </c>
      <c r="C24" s="807" t="s">
        <v>370</v>
      </c>
      <c r="D24" s="806">
        <f>D13</f>
        <v>85.18</v>
      </c>
    </row>
    <row r="25" spans="1:7" ht="17.100000000000001" customHeight="1">
      <c r="A25" s="800"/>
      <c r="B25" s="393"/>
      <c r="C25" s="807"/>
      <c r="D25" s="806"/>
    </row>
    <row r="26" spans="1:7" ht="17.100000000000001" customHeight="1">
      <c r="A26" s="800"/>
      <c r="B26" s="393" t="s">
        <v>371</v>
      </c>
      <c r="C26" s="807"/>
      <c r="D26" s="806"/>
    </row>
    <row r="27" spans="1:7" ht="17.100000000000001" customHeight="1">
      <c r="A27" s="800"/>
      <c r="B27" s="393"/>
      <c r="C27" s="807"/>
      <c r="D27" s="806"/>
    </row>
    <row r="28" spans="1:7" ht="17.100000000000001" customHeight="1" thickBot="1">
      <c r="A28" s="808" t="s">
        <v>373</v>
      </c>
      <c r="B28" s="809"/>
      <c r="C28" s="810" t="s">
        <v>372</v>
      </c>
    </row>
    <row r="29" spans="1:7" ht="17.100000000000001" customHeight="1" thickTop="1">
      <c r="A29" s="800"/>
      <c r="B29" s="393"/>
      <c r="C29" s="807"/>
      <c r="D29" s="806"/>
    </row>
    <row r="30" spans="1:7" ht="17.100000000000001" customHeight="1">
      <c r="A30" s="800"/>
      <c r="B30" s="812" t="s">
        <v>436</v>
      </c>
      <c r="C30" s="393"/>
      <c r="D30" s="802"/>
    </row>
    <row r="31" spans="1:7" ht="17.100000000000001" customHeight="1">
      <c r="A31" s="800"/>
      <c r="B31" s="801" t="str">
        <f>B20</f>
        <v xml:space="preserve">for the period from May 1, 2021 through April 30, 2022 </v>
      </c>
      <c r="C31" s="393"/>
      <c r="D31" s="802"/>
    </row>
    <row r="32" spans="1:7" ht="17.100000000000001" customHeight="1">
      <c r="A32" s="803"/>
      <c r="B32" s="804" t="s">
        <v>374</v>
      </c>
      <c r="C32" s="804"/>
      <c r="D32" s="805">
        <f t="shared" ref="D32" si="2">D21</f>
        <v>17.61</v>
      </c>
    </row>
    <row r="33" spans="1:4" ht="17.100000000000001" customHeight="1">
      <c r="A33" s="800" t="s">
        <v>368</v>
      </c>
      <c r="B33" s="393"/>
      <c r="C33" s="393"/>
      <c r="D33" s="806"/>
    </row>
    <row r="34" spans="1:4" ht="17.100000000000001" customHeight="1">
      <c r="A34" s="800"/>
      <c r="B34" s="393" t="s">
        <v>435</v>
      </c>
      <c r="C34" s="393"/>
      <c r="D34" s="806"/>
    </row>
    <row r="35" spans="1:4" ht="17.100000000000001" customHeight="1">
      <c r="A35" s="800"/>
      <c r="B35" s="393" t="s">
        <v>369</v>
      </c>
      <c r="C35" s="807" t="s">
        <v>370</v>
      </c>
      <c r="D35" s="806"/>
    </row>
    <row r="36" spans="1:4" ht="17.100000000000001" customHeight="1">
      <c r="A36" s="800"/>
      <c r="B36" s="393" t="s">
        <v>371</v>
      </c>
      <c r="C36" s="807"/>
      <c r="D36" s="806"/>
    </row>
    <row r="37" spans="1:4" ht="17.100000000000001" customHeight="1">
      <c r="A37" s="800"/>
      <c r="B37" s="393"/>
      <c r="C37" s="807"/>
      <c r="D37" s="806"/>
    </row>
    <row r="38" spans="1:4" ht="17.100000000000001" customHeight="1" thickBot="1">
      <c r="A38" s="808" t="s">
        <v>373</v>
      </c>
      <c r="B38" s="809"/>
      <c r="C38" s="810" t="s">
        <v>372</v>
      </c>
    </row>
    <row r="39" spans="1:4" ht="17.100000000000001" customHeight="1" thickTop="1">
      <c r="A39" s="393"/>
      <c r="B39" s="393"/>
      <c r="C39" s="393"/>
      <c r="D39" s="393"/>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04"/>
  <sheetViews>
    <sheetView workbookViewId="0">
      <selection activeCell="H45" sqref="H45"/>
    </sheetView>
  </sheetViews>
  <sheetFormatPr defaultRowHeight="13.2"/>
  <cols>
    <col min="1" max="1" width="18" style="1067" customWidth="1"/>
    <col min="2" max="2" width="13.33203125" style="331" bestFit="1" customWidth="1"/>
    <col min="3" max="3" width="18.109375" style="1065" customWidth="1"/>
    <col min="4" max="5" width="11.109375" style="1065" customWidth="1"/>
  </cols>
  <sheetData>
    <row r="1" spans="1:5" ht="14.4">
      <c r="A1" s="1064" t="s">
        <v>472</v>
      </c>
      <c r="B1" s="1906" t="s">
        <v>499</v>
      </c>
      <c r="C1" s="1907"/>
      <c r="D1" s="1907"/>
      <c r="E1" s="541"/>
    </row>
    <row r="2" spans="1:5" ht="14.4">
      <c r="A2" s="1064" t="s">
        <v>473</v>
      </c>
      <c r="D2" s="1066" t="s">
        <v>429</v>
      </c>
      <c r="E2" s="1066"/>
    </row>
    <row r="3" spans="1:5">
      <c r="A3" s="1067" t="s">
        <v>474</v>
      </c>
      <c r="B3" s="1068" t="s">
        <v>475</v>
      </c>
      <c r="C3" s="1069" t="s">
        <v>326</v>
      </c>
      <c r="D3" s="1069" t="s">
        <v>339</v>
      </c>
      <c r="E3" s="1069" t="s">
        <v>476</v>
      </c>
    </row>
    <row r="5" spans="1:5">
      <c r="A5" s="1067" t="s">
        <v>477</v>
      </c>
    </row>
    <row r="6" spans="1:5">
      <c r="A6" s="1067" t="s">
        <v>478</v>
      </c>
      <c r="B6" s="331">
        <v>7254533</v>
      </c>
      <c r="C6" s="1065">
        <v>799017.87</v>
      </c>
    </row>
    <row r="7" spans="1:5">
      <c r="A7" s="1067" t="s">
        <v>479</v>
      </c>
      <c r="B7" s="331">
        <v>-6116509</v>
      </c>
      <c r="C7" s="1065">
        <v>-673083.46</v>
      </c>
      <c r="E7" s="515">
        <f>-B7/B6</f>
        <v>0.84312925449508602</v>
      </c>
    </row>
    <row r="9" spans="1:5">
      <c r="A9" s="1067" t="s">
        <v>480</v>
      </c>
      <c r="B9" s="1071">
        <f>SUM(B6:B8)</f>
        <v>1138024</v>
      </c>
      <c r="C9" s="1071">
        <f>SUM(C6:C8)</f>
        <v>125934.41000000003</v>
      </c>
      <c r="D9" s="1070">
        <f>C9/B9</f>
        <v>0.1106605923952395</v>
      </c>
      <c r="E9" s="515">
        <f>1-E7</f>
        <v>0.15687074550491398</v>
      </c>
    </row>
    <row r="10" spans="1:5">
      <c r="D10" s="1072"/>
      <c r="E10" s="1072"/>
    </row>
    <row r="11" spans="1:5">
      <c r="D11" s="1066" t="s">
        <v>429</v>
      </c>
      <c r="E11" s="1066"/>
    </row>
    <row r="12" spans="1:5">
      <c r="A12" s="1067" t="s">
        <v>481</v>
      </c>
      <c r="B12" s="1068" t="s">
        <v>475</v>
      </c>
      <c r="C12" s="1069" t="s">
        <v>326</v>
      </c>
      <c r="D12" s="1069" t="s">
        <v>339</v>
      </c>
      <c r="E12" s="1069" t="s">
        <v>476</v>
      </c>
    </row>
    <row r="14" spans="1:5">
      <c r="A14" s="1067" t="s">
        <v>477</v>
      </c>
    </row>
    <row r="15" spans="1:5">
      <c r="A15" s="1067" t="s">
        <v>478</v>
      </c>
      <c r="B15" s="331">
        <v>10018519</v>
      </c>
      <c r="C15" s="1065">
        <v>1102453.0900000001</v>
      </c>
    </row>
    <row r="16" spans="1:5">
      <c r="A16" s="1073" t="s">
        <v>482</v>
      </c>
      <c r="B16" s="331">
        <v>0</v>
      </c>
      <c r="C16" s="1065">
        <v>0</v>
      </c>
    </row>
    <row r="17" spans="1:5">
      <c r="A17" s="1067" t="s">
        <v>479</v>
      </c>
      <c r="B17" s="331">
        <v>-1222479</v>
      </c>
      <c r="C17" s="1065">
        <v>-136926.97000000003</v>
      </c>
      <c r="E17" s="515">
        <f>-B17/(B15+B16)</f>
        <v>0.12202192759229183</v>
      </c>
    </row>
    <row r="19" spans="1:5">
      <c r="A19" s="1067" t="s">
        <v>480</v>
      </c>
      <c r="B19" s="1071">
        <f>SUM(B15:B18)</f>
        <v>8796040</v>
      </c>
      <c r="C19" s="1071">
        <f>SUM(C15:C18)</f>
        <v>965526.12000000011</v>
      </c>
      <c r="D19" s="1070">
        <f>C19/B19</f>
        <v>0.10976827299557529</v>
      </c>
      <c r="E19" s="515">
        <f>1-E17</f>
        <v>0.8779780724077082</v>
      </c>
    </row>
    <row r="21" spans="1:5">
      <c r="D21" s="1066" t="s">
        <v>429</v>
      </c>
      <c r="E21" s="1066"/>
    </row>
    <row r="22" spans="1:5">
      <c r="A22" s="1067" t="s">
        <v>256</v>
      </c>
      <c r="B22" s="1068" t="s">
        <v>475</v>
      </c>
      <c r="C22" s="1069" t="s">
        <v>326</v>
      </c>
      <c r="D22" s="1069" t="s">
        <v>339</v>
      </c>
      <c r="E22" s="1074"/>
    </row>
    <row r="24" spans="1:5">
      <c r="A24" s="1067" t="s">
        <v>477</v>
      </c>
    </row>
    <row r="25" spans="1:5">
      <c r="A25" s="1067" t="s">
        <v>478</v>
      </c>
      <c r="B25" s="331">
        <v>16266169</v>
      </c>
      <c r="C25" s="1065">
        <v>1796175.3</v>
      </c>
    </row>
    <row r="26" spans="1:5">
      <c r="A26" s="1067" t="s">
        <v>479</v>
      </c>
      <c r="B26" s="331">
        <v>-16021634</v>
      </c>
      <c r="C26" s="1065">
        <v>-1769216.3499999999</v>
      </c>
      <c r="E26" s="515">
        <f>-B26/B25</f>
        <v>0.98496665072150669</v>
      </c>
    </row>
    <row r="28" spans="1:5">
      <c r="A28" s="1067" t="s">
        <v>480</v>
      </c>
      <c r="B28" s="1071">
        <f>SUM(B25:B27)</f>
        <v>244535</v>
      </c>
      <c r="C28" s="1071">
        <f>SUM(C25:C27)</f>
        <v>26958.950000000186</v>
      </c>
      <c r="D28" s="1070">
        <f>C28/B28</f>
        <v>0.11024577258879173</v>
      </c>
      <c r="E28" s="515">
        <f>1-E26</f>
        <v>1.5033349278493313E-2</v>
      </c>
    </row>
    <row r="30" spans="1:5">
      <c r="D30" s="1066" t="s">
        <v>429</v>
      </c>
      <c r="E30" s="1066"/>
    </row>
    <row r="31" spans="1:5">
      <c r="A31" s="1067" t="s">
        <v>483</v>
      </c>
      <c r="B31" s="1068" t="s">
        <v>475</v>
      </c>
      <c r="C31" s="1069" t="s">
        <v>326</v>
      </c>
      <c r="D31" s="1069" t="s">
        <v>339</v>
      </c>
      <c r="E31" s="1074"/>
    </row>
    <row r="33" spans="1:5">
      <c r="A33" s="1067" t="s">
        <v>477</v>
      </c>
    </row>
    <row r="34" spans="1:5">
      <c r="A34" s="1067" t="s">
        <v>478</v>
      </c>
      <c r="B34" s="331">
        <v>191884</v>
      </c>
      <c r="C34" s="1065">
        <v>21494.41</v>
      </c>
    </row>
    <row r="35" spans="1:5">
      <c r="A35" s="1067" t="s">
        <v>479</v>
      </c>
      <c r="B35" s="331">
        <v>-173271</v>
      </c>
      <c r="C35" s="1065">
        <v>-19407.61</v>
      </c>
      <c r="E35" s="515">
        <f>-B35/B34</f>
        <v>0.90299868670655192</v>
      </c>
    </row>
    <row r="37" spans="1:5">
      <c r="A37" s="1067" t="s">
        <v>480</v>
      </c>
      <c r="B37" s="1071">
        <f>SUM(B34:B36)</f>
        <v>18613</v>
      </c>
      <c r="C37" s="1071">
        <f>SUM(C34:C36)</f>
        <v>2086.7999999999993</v>
      </c>
      <c r="D37" s="1070">
        <f>C37/B37</f>
        <v>0.11211518830924619</v>
      </c>
      <c r="E37" s="515">
        <f>1-E35</f>
        <v>9.7001313293448077E-2</v>
      </c>
    </row>
    <row r="39" spans="1:5">
      <c r="D39" s="1066" t="s">
        <v>429</v>
      </c>
      <c r="E39" s="1066"/>
    </row>
    <row r="40" spans="1:5">
      <c r="A40" s="1067" t="s">
        <v>484</v>
      </c>
      <c r="B40" s="1068" t="s">
        <v>475</v>
      </c>
      <c r="C40" s="1069" t="s">
        <v>326</v>
      </c>
      <c r="D40" s="1069" t="s">
        <v>339</v>
      </c>
      <c r="E40" s="1074"/>
    </row>
    <row r="42" spans="1:5">
      <c r="A42" s="1067" t="s">
        <v>477</v>
      </c>
    </row>
    <row r="43" spans="1:5">
      <c r="A43" s="1067" t="s">
        <v>478</v>
      </c>
      <c r="B43" s="331">
        <v>35092</v>
      </c>
      <c r="C43" s="1065">
        <v>3932.44</v>
      </c>
    </row>
    <row r="44" spans="1:5">
      <c r="A44" s="1067" t="s">
        <v>479</v>
      </c>
      <c r="B44" s="331">
        <v>-33911</v>
      </c>
      <c r="C44" s="1065">
        <v>-3794.2299999999996</v>
      </c>
      <c r="E44" s="515">
        <f>-B44/B43</f>
        <v>0.96634560583608797</v>
      </c>
    </row>
    <row r="46" spans="1:5">
      <c r="A46" s="1067" t="s">
        <v>480</v>
      </c>
      <c r="B46" s="1071">
        <f>SUM(B43:B45)</f>
        <v>1181</v>
      </c>
      <c r="C46" s="1071">
        <f>SUM(C43:C45)</f>
        <v>138.21000000000049</v>
      </c>
      <c r="D46" s="1070">
        <f>C46/B46</f>
        <v>0.11702794242167697</v>
      </c>
      <c r="E46" s="515">
        <f>1-E44</f>
        <v>3.3654394163912027E-2</v>
      </c>
    </row>
    <row r="47" spans="1:5">
      <c r="B47" s="985"/>
      <c r="C47" s="1075"/>
      <c r="D47" s="1070"/>
      <c r="E47" s="1070"/>
    </row>
    <row r="48" spans="1:5">
      <c r="D48" s="1066" t="s">
        <v>429</v>
      </c>
      <c r="E48" s="1066"/>
    </row>
    <row r="49" spans="1:5">
      <c r="A49" s="1067" t="s">
        <v>485</v>
      </c>
      <c r="B49" s="1068" t="s">
        <v>475</v>
      </c>
      <c r="C49" s="1069" t="s">
        <v>326</v>
      </c>
      <c r="D49" s="1069" t="s">
        <v>339</v>
      </c>
      <c r="E49" s="1074"/>
    </row>
    <row r="51" spans="1:5">
      <c r="A51" s="1067" t="s">
        <v>477</v>
      </c>
    </row>
    <row r="52" spans="1:5">
      <c r="A52" s="1067" t="s">
        <v>478</v>
      </c>
      <c r="B52" s="331">
        <v>248263</v>
      </c>
      <c r="C52" s="1065">
        <v>27277.759999999998</v>
      </c>
    </row>
    <row r="53" spans="1:5">
      <c r="A53" s="1067" t="s">
        <v>479</v>
      </c>
      <c r="B53" s="331">
        <v>-30980</v>
      </c>
      <c r="C53" s="1065">
        <v>-3403.83</v>
      </c>
      <c r="E53" s="515">
        <f>-B53/B52</f>
        <v>0.124787020216464</v>
      </c>
    </row>
    <row r="55" spans="1:5">
      <c r="A55" s="1067" t="s">
        <v>480</v>
      </c>
      <c r="B55" s="1071">
        <f>SUM(B52:B54)</f>
        <v>217283</v>
      </c>
      <c r="C55" s="1071">
        <f>SUM(C52:C54)</f>
        <v>23873.93</v>
      </c>
      <c r="D55" s="1070">
        <f>C55/B55</f>
        <v>0.10987481763414533</v>
      </c>
      <c r="E55" s="515">
        <f>1-E53</f>
        <v>0.87521297978353596</v>
      </c>
    </row>
    <row r="58" spans="1:5">
      <c r="D58" s="1066" t="s">
        <v>429</v>
      </c>
      <c r="E58" s="1066"/>
    </row>
    <row r="59" spans="1:5">
      <c r="A59" s="1067" t="s">
        <v>5</v>
      </c>
      <c r="B59" s="1068" t="s">
        <v>475</v>
      </c>
      <c r="C59" s="1069" t="s">
        <v>326</v>
      </c>
      <c r="D59" s="1069" t="s">
        <v>339</v>
      </c>
      <c r="E59" s="1074"/>
    </row>
    <row r="61" spans="1:5">
      <c r="A61" s="1067" t="s">
        <v>477</v>
      </c>
    </row>
    <row r="62" spans="1:5">
      <c r="A62" s="1067" t="s">
        <v>486</v>
      </c>
      <c r="B62" s="331">
        <f>+B6+B15+B25+B34+B43+B52</f>
        <v>34014460</v>
      </c>
      <c r="C62" s="331">
        <f t="shared" ref="C62" si="0">+C6+C15+C25+C34+C43+C52</f>
        <v>3750350.8699999996</v>
      </c>
    </row>
    <row r="63" spans="1:5">
      <c r="A63" s="1067" t="s">
        <v>482</v>
      </c>
      <c r="B63" s="331">
        <f>B16</f>
        <v>0</v>
      </c>
      <c r="C63" s="331">
        <f>C16</f>
        <v>0</v>
      </c>
    </row>
    <row r="64" spans="1:5">
      <c r="A64" s="1067" t="s">
        <v>479</v>
      </c>
      <c r="B64" s="331">
        <f>+B7+B17+B26+B35+B44+B53</f>
        <v>-23598784</v>
      </c>
      <c r="C64" s="1076">
        <f>+C7+C17+C26+C35+C44+C53</f>
        <v>-2605832.4499999997</v>
      </c>
      <c r="E64" s="333">
        <f>-B64/(B62+B63)</f>
        <v>0.69378681889996197</v>
      </c>
    </row>
    <row r="65" spans="1:5">
      <c r="E65" s="1084"/>
    </row>
    <row r="66" spans="1:5" ht="14.4">
      <c r="A66" s="1067" t="s">
        <v>480</v>
      </c>
      <c r="B66" s="1071">
        <f>SUM(B62:B65)</f>
        <v>10415676</v>
      </c>
      <c r="C66" s="1077">
        <f>SUM(C62:C65)</f>
        <v>1144518.42</v>
      </c>
      <c r="D66" s="1070">
        <f>C66/B66</f>
        <v>0.10988421874873987</v>
      </c>
      <c r="E66" s="1085">
        <f>1-E64</f>
        <v>0.30621318110003803</v>
      </c>
    </row>
    <row r="67" spans="1:5">
      <c r="B67" s="1065"/>
      <c r="E67" s="515">
        <f>1+B64/B62</f>
        <v>0.30621318110003803</v>
      </c>
    </row>
    <row r="68" spans="1:5">
      <c r="B68" s="1065"/>
    </row>
    <row r="69" spans="1:5">
      <c r="B69" s="1065"/>
      <c r="C69" s="1065" t="e">
        <f>SUM(#REF!)</f>
        <v>#REF!</v>
      </c>
    </row>
    <row r="70" spans="1:5">
      <c r="A70" s="1065" t="s">
        <v>487</v>
      </c>
      <c r="B70" s="1074" t="s">
        <v>488</v>
      </c>
      <c r="C70" s="1074" t="s">
        <v>489</v>
      </c>
    </row>
    <row r="71" spans="1:5" ht="14.4">
      <c r="A71" s="1078" t="s">
        <v>490</v>
      </c>
      <c r="B71" s="1078" t="s">
        <v>430</v>
      </c>
      <c r="C71" s="1078" t="s">
        <v>430</v>
      </c>
    </row>
    <row r="72" spans="1:5">
      <c r="A72" s="967"/>
      <c r="B72" s="327"/>
      <c r="C72" s="1075"/>
    </row>
    <row r="73" spans="1:5">
      <c r="A73" s="967" t="s">
        <v>474</v>
      </c>
      <c r="B73" s="339">
        <f>B9</f>
        <v>1138024</v>
      </c>
      <c r="C73" s="339">
        <f>C9</f>
        <v>125934.41000000003</v>
      </c>
      <c r="D73" s="1070">
        <f>C73/B73</f>
        <v>0.1106605923952395</v>
      </c>
    </row>
    <row r="74" spans="1:5">
      <c r="A74" s="967" t="s">
        <v>256</v>
      </c>
      <c r="B74" s="339">
        <f>B28</f>
        <v>244535</v>
      </c>
      <c r="C74" s="339">
        <f>C28</f>
        <v>26958.950000000186</v>
      </c>
      <c r="D74" s="1070">
        <f t="shared" ref="D74:D78" si="1">C74/B74</f>
        <v>0.11024577258879173</v>
      </c>
    </row>
    <row r="75" spans="1:5">
      <c r="A75" s="967" t="s">
        <v>481</v>
      </c>
      <c r="B75" s="339">
        <f>B19</f>
        <v>8796040</v>
      </c>
      <c r="C75" s="339">
        <f>C19</f>
        <v>965526.12000000011</v>
      </c>
      <c r="D75" s="1070">
        <f t="shared" si="1"/>
        <v>0.10976827299557529</v>
      </c>
    </row>
    <row r="76" spans="1:5">
      <c r="A76" s="967" t="s">
        <v>491</v>
      </c>
      <c r="B76" s="339">
        <f>B37</f>
        <v>18613</v>
      </c>
      <c r="C76" s="339">
        <f>C37</f>
        <v>2086.7999999999993</v>
      </c>
      <c r="D76" s="1070">
        <f t="shared" si="1"/>
        <v>0.11211518830924619</v>
      </c>
    </row>
    <row r="77" spans="1:5">
      <c r="A77" s="967" t="s">
        <v>159</v>
      </c>
      <c r="B77" s="339">
        <f>B46</f>
        <v>1181</v>
      </c>
      <c r="C77" s="339">
        <f>C46</f>
        <v>138.21000000000049</v>
      </c>
      <c r="D77" s="1070">
        <f t="shared" si="1"/>
        <v>0.11702794242167697</v>
      </c>
    </row>
    <row r="78" spans="1:5">
      <c r="A78" s="967" t="s">
        <v>492</v>
      </c>
      <c r="B78" s="339">
        <f>B55</f>
        <v>217283</v>
      </c>
      <c r="C78" s="339">
        <f>C55</f>
        <v>23873.93</v>
      </c>
      <c r="D78" s="1070">
        <f t="shared" si="1"/>
        <v>0.10987481763414533</v>
      </c>
    </row>
    <row r="79" spans="1:5" ht="14.4">
      <c r="A79" s="967"/>
      <c r="B79" s="1079"/>
      <c r="C79" s="1080"/>
    </row>
    <row r="80" spans="1:5" ht="13.8" thickBot="1">
      <c r="A80" s="967"/>
      <c r="B80" s="1081">
        <f>SUM(B73:B79)</f>
        <v>10415676</v>
      </c>
      <c r="C80" s="1082">
        <f t="shared" ref="C80" si="2">SUM(C73:C79)</f>
        <v>1144518.4200000004</v>
      </c>
    </row>
    <row r="81" spans="1:5" ht="13.8" thickTop="1">
      <c r="B81" s="331">
        <f>B80-B66</f>
        <v>0</v>
      </c>
      <c r="C81" s="331">
        <f>C80-C66</f>
        <v>0</v>
      </c>
    </row>
    <row r="82" spans="1:5">
      <c r="B82" s="1065"/>
    </row>
    <row r="83" spans="1:5">
      <c r="A83" s="1065" t="s">
        <v>487</v>
      </c>
      <c r="B83" s="1074" t="s">
        <v>488</v>
      </c>
      <c r="C83" s="1074" t="s">
        <v>489</v>
      </c>
      <c r="E83" s="331"/>
    </row>
    <row r="84" spans="1:5" ht="14.4">
      <c r="A84" s="1078" t="s">
        <v>493</v>
      </c>
      <c r="B84" s="1078" t="s">
        <v>430</v>
      </c>
      <c r="C84" s="1078" t="s">
        <v>430</v>
      </c>
    </row>
    <row r="85" spans="1:5">
      <c r="A85" s="967"/>
      <c r="B85" s="327"/>
      <c r="C85" s="1075"/>
    </row>
    <row r="86" spans="1:5">
      <c r="A86" s="967" t="s">
        <v>474</v>
      </c>
      <c r="B86" s="339">
        <f>B73-'[29]Billed GA Sales'!B90</f>
        <v>835456</v>
      </c>
      <c r="C86" s="339">
        <f>C73-'[29]Billed GA Sales'!C90</f>
        <v>99907.300000000047</v>
      </c>
    </row>
    <row r="87" spans="1:5">
      <c r="A87" s="967" t="s">
        <v>256</v>
      </c>
      <c r="B87" s="339">
        <f>B74-'[29]Billed GA Sales'!B91</f>
        <v>168140</v>
      </c>
      <c r="C87" s="339">
        <f>C74-'[29]Billed GA Sales'!C91</f>
        <v>20301.520000000193</v>
      </c>
    </row>
    <row r="88" spans="1:5">
      <c r="A88" s="967" t="s">
        <v>481</v>
      </c>
      <c r="B88" s="339">
        <f>B75-'[29]Billed GA Sales'!B92</f>
        <v>6394095</v>
      </c>
      <c r="C88" s="339">
        <f>C75-'[29]Billed GA Sales'!C92</f>
        <v>759084.45000000007</v>
      </c>
    </row>
    <row r="89" spans="1:5">
      <c r="A89" s="967" t="s">
        <v>491</v>
      </c>
      <c r="B89" s="339">
        <f>B76-'[29]Billed GA Sales'!B93</f>
        <v>13960</v>
      </c>
      <c r="C89" s="339">
        <f>C76-'[29]Billed GA Sales'!C93</f>
        <v>1688.0899999999992</v>
      </c>
    </row>
    <row r="90" spans="1:5">
      <c r="A90" s="967" t="s">
        <v>159</v>
      </c>
      <c r="B90" s="339">
        <f>B77-'[29]Billed GA Sales'!B94</f>
        <v>943</v>
      </c>
      <c r="C90" s="339">
        <f>C77-'[29]Billed GA Sales'!C94</f>
        <v>117.79000000000053</v>
      </c>
    </row>
    <row r="91" spans="1:5">
      <c r="A91" s="967" t="s">
        <v>492</v>
      </c>
      <c r="B91" s="339">
        <f>B78-'[29]Billed GA Sales'!B95</f>
        <v>152322</v>
      </c>
      <c r="C91" s="339">
        <f>C78-'[29]Billed GA Sales'!C95</f>
        <v>18307.400000000001</v>
      </c>
    </row>
    <row r="92" spans="1:5" ht="14.4">
      <c r="A92" s="967"/>
      <c r="B92" s="1079"/>
      <c r="C92" s="1080"/>
    </row>
    <row r="93" spans="1:5" ht="13.8" thickBot="1">
      <c r="A93" s="967"/>
      <c r="B93" s="1081">
        <f>SUM(B86:B92)</f>
        <v>7564916</v>
      </c>
      <c r="C93" s="1082">
        <f t="shared" ref="C93" si="3">SUM(C86:C92)</f>
        <v>899406.55000000028</v>
      </c>
    </row>
    <row r="94" spans="1:5" ht="13.8" thickTop="1">
      <c r="B94" s="331">
        <f>B66-'[29]Billed GA Sales'!B66</f>
        <v>7564916</v>
      </c>
      <c r="C94" s="1076">
        <f>C66-'[29]Billed GA Sales'!C66</f>
        <v>899406.54999999993</v>
      </c>
    </row>
    <row r="97" spans="1:3">
      <c r="A97" s="1067" t="s">
        <v>494</v>
      </c>
      <c r="C97" s="1065">
        <f>-C87</f>
        <v>-20301.520000000193</v>
      </c>
    </row>
    <row r="98" spans="1:3">
      <c r="A98" s="1067" t="s">
        <v>495</v>
      </c>
      <c r="C98" s="1065">
        <f>-C86-C89</f>
        <v>-101595.39000000004</v>
      </c>
    </row>
    <row r="99" spans="1:3">
      <c r="A99" s="1067" t="s">
        <v>496</v>
      </c>
      <c r="C99" s="1065">
        <f>-C88</f>
        <v>-759084.45000000007</v>
      </c>
    </row>
    <row r="100" spans="1:3">
      <c r="A100" s="1067" t="s">
        <v>497</v>
      </c>
      <c r="C100" s="1065">
        <f>-C91</f>
        <v>-18307.400000000001</v>
      </c>
    </row>
    <row r="101" spans="1:3">
      <c r="A101" s="1067" t="s">
        <v>498</v>
      </c>
      <c r="C101" s="1065">
        <f>-C90</f>
        <v>-117.79000000000053</v>
      </c>
    </row>
    <row r="103" spans="1:3" ht="13.8" thickBot="1">
      <c r="C103" s="1083">
        <f>SUM(C97:C102)</f>
        <v>-899406.5500000004</v>
      </c>
    </row>
    <row r="104" spans="1:3" ht="13.8" thickTop="1">
      <c r="C104" s="1065">
        <f>C103+C93</f>
        <v>0</v>
      </c>
    </row>
  </sheetData>
  <mergeCells count="1">
    <mergeCell ref="B1:D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1:AD107"/>
  <sheetViews>
    <sheetView topLeftCell="A16" zoomScale="110" zoomScaleNormal="110" workbookViewId="0">
      <selection activeCell="I19" sqref="I19"/>
    </sheetView>
  </sheetViews>
  <sheetFormatPr defaultRowHeight="13.2"/>
  <cols>
    <col min="1" max="1" width="1.33203125" customWidth="1"/>
    <col min="2" max="2" width="33.109375" customWidth="1"/>
    <col min="3" max="3" width="17.109375" customWidth="1"/>
    <col min="4" max="4" width="10.44140625" customWidth="1"/>
    <col min="5" max="5" width="18.44140625" customWidth="1"/>
    <col min="6" max="6" width="11.88671875" customWidth="1"/>
    <col min="7" max="7" width="13.5546875" customWidth="1"/>
    <col min="8" max="8" width="12.5546875" customWidth="1"/>
    <col min="9" max="9" width="12.33203125" customWidth="1"/>
    <col min="10" max="10" width="13" bestFit="1" customWidth="1"/>
    <col min="11" max="13" width="9" bestFit="1" customWidth="1"/>
    <col min="14" max="14" width="9" customWidth="1"/>
    <col min="15" max="15" width="8.109375" customWidth="1"/>
    <col min="16" max="16" width="8.5546875" customWidth="1"/>
    <col min="19" max="19" width="9.5546875" customWidth="1"/>
    <col min="20" max="20" width="2.5546875" customWidth="1"/>
    <col min="21" max="21" width="7.88671875" customWidth="1"/>
    <col min="22" max="22" width="8.5546875" customWidth="1"/>
    <col min="23" max="23" width="9.33203125" customWidth="1"/>
    <col min="24" max="24" width="8.5546875" customWidth="1"/>
  </cols>
  <sheetData>
    <row r="1" spans="2:14">
      <c r="B1" s="1873" t="s">
        <v>455</v>
      </c>
      <c r="C1" s="1873"/>
      <c r="D1" s="1873"/>
      <c r="E1" s="1873"/>
      <c r="I1" s="378"/>
      <c r="J1" s="13"/>
      <c r="K1" s="13"/>
      <c r="L1" s="13"/>
      <c r="M1" s="13"/>
      <c r="N1" s="13"/>
    </row>
    <row r="2" spans="2:14" ht="13.8" thickBot="1">
      <c r="B2" s="1015"/>
      <c r="C2" s="1015"/>
      <c r="D2" s="1015"/>
      <c r="E2" s="1015"/>
      <c r="I2" s="378"/>
      <c r="J2" s="13"/>
      <c r="K2" s="13"/>
      <c r="L2" s="13"/>
      <c r="M2" s="13"/>
      <c r="N2" s="13"/>
    </row>
    <row r="3" spans="2:14" ht="13.8" thickTop="1">
      <c r="B3" s="777" t="s">
        <v>454</v>
      </c>
      <c r="C3" s="778" t="s">
        <v>63</v>
      </c>
      <c r="D3" s="778" t="s">
        <v>64</v>
      </c>
      <c r="E3" s="962" t="s">
        <v>380</v>
      </c>
      <c r="F3" s="778" t="s">
        <v>437</v>
      </c>
      <c r="G3" s="778" t="s">
        <v>438</v>
      </c>
      <c r="H3" s="963" t="s">
        <v>440</v>
      </c>
      <c r="I3" s="963" t="s">
        <v>441</v>
      </c>
      <c r="K3" s="961"/>
      <c r="L3" s="961"/>
      <c r="M3" s="961"/>
      <c r="N3" s="961"/>
    </row>
    <row r="4" spans="2:14">
      <c r="B4" s="779" t="s">
        <v>1</v>
      </c>
      <c r="C4" s="631">
        <f>Summary!L17</f>
        <v>43612856</v>
      </c>
      <c r="D4" s="632"/>
      <c r="E4" s="631">
        <f>Summary!L16</f>
        <v>5117</v>
      </c>
      <c r="F4" s="960">
        <v>0.97798766664607661</v>
      </c>
      <c r="G4" s="518">
        <f>1-F4</f>
        <v>2.2012333353923386E-2</v>
      </c>
    </row>
    <row r="5" spans="2:14">
      <c r="B5" s="779" t="s">
        <v>110</v>
      </c>
      <c r="C5" s="631">
        <f>Summary!L21</f>
        <v>17739759</v>
      </c>
      <c r="D5" s="632"/>
      <c r="E5" s="631">
        <f>Summary!L20</f>
        <v>730</v>
      </c>
      <c r="F5" s="960">
        <v>0.86342436679324241</v>
      </c>
      <c r="G5" s="518">
        <f t="shared" ref="G5:G9" si="0">1-F5</f>
        <v>0.13657563320675759</v>
      </c>
    </row>
    <row r="6" spans="2:14">
      <c r="B6" s="779" t="s">
        <v>249</v>
      </c>
      <c r="C6" s="631">
        <f>Summary!L25</f>
        <v>37832568</v>
      </c>
      <c r="D6" s="633">
        <f>Summary!L26</f>
        <v>110834.3</v>
      </c>
      <c r="E6" s="631">
        <f>Summary!L24</f>
        <v>61</v>
      </c>
      <c r="F6" s="960">
        <v>5.9213423421919716E-2</v>
      </c>
      <c r="G6" s="518">
        <f>1-F6</f>
        <v>0.94078657657808029</v>
      </c>
      <c r="H6" s="964">
        <f>1-I6</f>
        <v>0.76</v>
      </c>
      <c r="I6" s="966">
        <v>0.24</v>
      </c>
      <c r="J6" s="965" t="s">
        <v>433</v>
      </c>
    </row>
    <row r="7" spans="2:14">
      <c r="B7" s="779" t="s">
        <v>179</v>
      </c>
      <c r="C7" s="631">
        <f>Summary!L30</f>
        <v>643596</v>
      </c>
      <c r="D7" s="633">
        <f>Summary!L31</f>
        <v>1745.6</v>
      </c>
      <c r="E7" s="631">
        <f>Summary!L29</f>
        <v>1712</v>
      </c>
      <c r="F7" s="960">
        <v>0.21220633295419528</v>
      </c>
      <c r="G7" s="518">
        <f t="shared" si="0"/>
        <v>0.78779366704580478</v>
      </c>
    </row>
    <row r="8" spans="2:14">
      <c r="B8" s="779" t="s">
        <v>159</v>
      </c>
      <c r="C8" s="631">
        <f>Summary!L35</f>
        <v>88607</v>
      </c>
      <c r="D8" s="633">
        <f>Summary!L36</f>
        <v>246.13055555555553</v>
      </c>
      <c r="E8" s="631">
        <f>Summary!L34</f>
        <v>70</v>
      </c>
      <c r="F8" s="960">
        <v>0.97286475498198166</v>
      </c>
      <c r="G8" s="518">
        <f t="shared" si="0"/>
        <v>2.7135245018018339E-2</v>
      </c>
    </row>
    <row r="9" spans="2:14">
      <c r="B9" s="779" t="s">
        <v>2</v>
      </c>
      <c r="C9" s="631">
        <f>Summary!L40</f>
        <v>555040</v>
      </c>
      <c r="D9" s="633"/>
      <c r="E9" s="631">
        <f>Summary!M39</f>
        <v>57</v>
      </c>
      <c r="F9" s="960">
        <v>0.90471108879193995</v>
      </c>
      <c r="G9" s="518">
        <f t="shared" si="0"/>
        <v>9.5288911208060045E-2</v>
      </c>
    </row>
    <row r="10" spans="2:14">
      <c r="B10" s="626" t="s">
        <v>65</v>
      </c>
      <c r="C10" s="627">
        <f>SUM(C4:C9)</f>
        <v>100472426</v>
      </c>
      <c r="D10" s="627">
        <f>SUM(D4:D9)</f>
        <v>112826.03055555557</v>
      </c>
      <c r="E10" s="627">
        <f>SUM(E4:E9)</f>
        <v>7747</v>
      </c>
      <c r="F10" s="627"/>
    </row>
    <row r="11" spans="2:14">
      <c r="C11" s="19"/>
      <c r="D11" s="19"/>
    </row>
    <row r="12" spans="2:14" ht="13.8" thickBot="1"/>
    <row r="13" spans="2:14" ht="13.8" thickTop="1">
      <c r="B13" s="745" t="s">
        <v>66</v>
      </c>
      <c r="C13" s="1874" t="s">
        <v>456</v>
      </c>
      <c r="D13" s="1876" t="s">
        <v>457</v>
      </c>
      <c r="E13" s="1870">
        <v>2020</v>
      </c>
      <c r="F13" s="1871"/>
      <c r="G13" s="1872"/>
    </row>
    <row r="14" spans="2:14">
      <c r="B14" s="746" t="s">
        <v>67</v>
      </c>
      <c r="C14" s="1875"/>
      <c r="D14" s="1877"/>
      <c r="E14" s="747" t="s">
        <v>375</v>
      </c>
      <c r="F14" s="743" t="s">
        <v>339</v>
      </c>
      <c r="G14" s="744" t="s">
        <v>340</v>
      </c>
    </row>
    <row r="15" spans="2:14">
      <c r="B15" s="748" t="str">
        <f t="shared" ref="B15:B20" si="1">B4</f>
        <v xml:space="preserve">Residential </v>
      </c>
      <c r="C15" s="631">
        <f t="shared" ref="C15:C20" si="2">C4*F4</f>
        <v>42652835.275211342</v>
      </c>
      <c r="D15" s="1047">
        <f>'Rate Class Energy Model '!C13</f>
        <v>1.0868059634590692</v>
      </c>
      <c r="E15" s="622">
        <f t="shared" ref="E15:E20" si="3">C15*D15</f>
        <v>46355355.735537037</v>
      </c>
      <c r="F15" s="749">
        <f>'Commodity Price'!E17/1000</f>
        <v>0.10364</v>
      </c>
      <c r="G15" s="625">
        <f t="shared" ref="G15:G20" si="4">E15*F15</f>
        <v>4804269.068431058</v>
      </c>
    </row>
    <row r="16" spans="2:14">
      <c r="B16" s="748" t="str">
        <f t="shared" si="1"/>
        <v>General Service &lt; 50 kW</v>
      </c>
      <c r="C16" s="631">
        <f t="shared" si="2"/>
        <v>15316940.181639723</v>
      </c>
      <c r="D16" s="632">
        <f>D15</f>
        <v>1.0868059634590692</v>
      </c>
      <c r="E16" s="622">
        <f t="shared" si="3"/>
        <v>16646541.931351891</v>
      </c>
      <c r="F16" s="750">
        <f>F15</f>
        <v>0.10364</v>
      </c>
      <c r="G16" s="625">
        <f t="shared" si="4"/>
        <v>1725247.6057653099</v>
      </c>
    </row>
    <row r="17" spans="2:30">
      <c r="B17" s="748" t="str">
        <f t="shared" si="1"/>
        <v>General Service 50 to 4,999 kW</v>
      </c>
      <c r="C17" s="631">
        <f t="shared" si="2"/>
        <v>2240195.8681225702</v>
      </c>
      <c r="D17" s="632">
        <f>D16</f>
        <v>1.0868059634590692</v>
      </c>
      <c r="E17" s="622">
        <f t="shared" si="3"/>
        <v>2434658.2287919759</v>
      </c>
      <c r="F17" s="750">
        <f>F15</f>
        <v>0.10364</v>
      </c>
      <c r="G17" s="625">
        <f t="shared" si="4"/>
        <v>252327.97883200037</v>
      </c>
    </row>
    <row r="18" spans="2:30">
      <c r="B18" s="748" t="str">
        <f t="shared" si="1"/>
        <v xml:space="preserve">Street Lights </v>
      </c>
      <c r="C18" s="631">
        <f t="shared" si="2"/>
        <v>136575.14706398826</v>
      </c>
      <c r="D18" s="632">
        <f>D17</f>
        <v>1.0868059634590692</v>
      </c>
      <c r="E18" s="622">
        <f t="shared" si="3"/>
        <v>148430.68428944182</v>
      </c>
      <c r="F18" s="750">
        <f>F15</f>
        <v>0.10364</v>
      </c>
      <c r="G18" s="625">
        <f t="shared" si="4"/>
        <v>15383.356119757749</v>
      </c>
      <c r="O18" s="30" t="s">
        <v>261</v>
      </c>
    </row>
    <row r="19" spans="2:30">
      <c r="B19" s="748" t="str">
        <f t="shared" si="1"/>
        <v>Sentinel Lights</v>
      </c>
      <c r="C19" s="631">
        <f t="shared" si="2"/>
        <v>86202.627344688444</v>
      </c>
      <c r="D19" s="632">
        <f>D18</f>
        <v>1.0868059634590692</v>
      </c>
      <c r="E19" s="622">
        <f t="shared" si="3"/>
        <v>93685.529464047228</v>
      </c>
      <c r="F19" s="750">
        <f>F15</f>
        <v>0.10364</v>
      </c>
      <c r="G19" s="625">
        <f t="shared" si="4"/>
        <v>9709.5682736538547</v>
      </c>
      <c r="P19" s="312" t="s">
        <v>269</v>
      </c>
    </row>
    <row r="20" spans="2:30">
      <c r="B20" s="748" t="str">
        <f t="shared" si="1"/>
        <v xml:space="preserve">Unmetered Loads </v>
      </c>
      <c r="C20" s="631">
        <f t="shared" si="2"/>
        <v>502150.84272307833</v>
      </c>
      <c r="D20" s="632">
        <f>D19</f>
        <v>1.0868059634590692</v>
      </c>
      <c r="E20" s="622">
        <f t="shared" si="3"/>
        <v>545740.53042743867</v>
      </c>
      <c r="F20" s="750">
        <f>F15</f>
        <v>0.10364</v>
      </c>
      <c r="G20" s="625">
        <f t="shared" si="4"/>
        <v>56560.548573499742</v>
      </c>
      <c r="O20" s="335"/>
      <c r="P20" s="336"/>
      <c r="Q20" s="336"/>
      <c r="R20" s="336"/>
      <c r="S20" s="336"/>
      <c r="T20" s="336"/>
      <c r="U20" s="336"/>
      <c r="V20" s="336"/>
      <c r="W20" s="336"/>
      <c r="X20" s="336"/>
      <c r="Y20" s="336"/>
      <c r="Z20" s="337"/>
    </row>
    <row r="21" spans="2:30">
      <c r="B21" s="626" t="s">
        <v>65</v>
      </c>
      <c r="C21" s="627">
        <f>SUM(C15:C20)</f>
        <v>60934899.94210539</v>
      </c>
      <c r="D21" s="628"/>
      <c r="E21" s="627">
        <f>SUM(E15:E20)</f>
        <v>66224412.63986183</v>
      </c>
      <c r="F21" s="751"/>
      <c r="G21" s="752">
        <f>SUM(G15:G20)</f>
        <v>6863498.1259952793</v>
      </c>
      <c r="O21" s="20" t="s">
        <v>263</v>
      </c>
      <c r="P21" s="327"/>
      <c r="Q21" s="327"/>
      <c r="R21" s="327"/>
      <c r="S21" s="327"/>
      <c r="T21" s="327"/>
      <c r="U21" s="327"/>
      <c r="V21" s="327"/>
      <c r="W21" s="327"/>
      <c r="X21" s="327"/>
      <c r="Y21" s="327"/>
      <c r="Z21" s="379"/>
    </row>
    <row r="22" spans="2:30" ht="13.8" thickBot="1">
      <c r="B22" s="25"/>
      <c r="C22" s="26"/>
      <c r="D22" s="27"/>
      <c r="E22" s="26"/>
      <c r="F22" s="28"/>
      <c r="G22" s="29"/>
      <c r="O22" s="20"/>
      <c r="P22" s="327"/>
      <c r="Q22" s="327"/>
      <c r="R22" s="393" t="s">
        <v>270</v>
      </c>
      <c r="S22" s="327"/>
      <c r="T22" s="327"/>
      <c r="U22" s="327"/>
      <c r="V22" s="327"/>
      <c r="W22" s="327"/>
      <c r="X22" s="327"/>
      <c r="Y22" s="327"/>
      <c r="Z22" s="379"/>
      <c r="AA22" s="333"/>
      <c r="AC22">
        <v>860861.64296006202</v>
      </c>
      <c r="AD22">
        <f>AC22*AA22</f>
        <v>0</v>
      </c>
    </row>
    <row r="23" spans="2:30" ht="13.8" thickTop="1">
      <c r="B23" s="745" t="s">
        <v>68</v>
      </c>
      <c r="C23" s="1874" t="str">
        <f>C13</f>
        <v>2020 Forecasted Metered kWh</v>
      </c>
      <c r="D23" s="1876" t="str">
        <f>D13</f>
        <v>2020 Loss Factor</v>
      </c>
      <c r="E23" s="1870">
        <f>E13</f>
        <v>2020</v>
      </c>
      <c r="F23" s="1871"/>
      <c r="G23" s="1872"/>
      <c r="H23" s="30"/>
      <c r="I23" s="972" t="s">
        <v>439</v>
      </c>
      <c r="J23" s="336"/>
      <c r="K23" s="336"/>
      <c r="L23" s="336"/>
      <c r="M23" s="337"/>
      <c r="O23" s="20" t="s">
        <v>254</v>
      </c>
      <c r="P23" s="327"/>
      <c r="Q23" s="327" t="s">
        <v>255</v>
      </c>
      <c r="R23" s="327" t="s">
        <v>232</v>
      </c>
      <c r="S23" s="327"/>
      <c r="T23" s="327" t="s">
        <v>233</v>
      </c>
      <c r="U23" s="327"/>
      <c r="V23" s="327"/>
      <c r="W23" s="327"/>
      <c r="X23" s="327"/>
      <c r="Y23" s="327"/>
      <c r="Z23" s="379"/>
      <c r="AA23" s="333"/>
    </row>
    <row r="24" spans="2:30">
      <c r="B24" s="746" t="s">
        <v>69</v>
      </c>
      <c r="C24" s="1875"/>
      <c r="D24" s="1877"/>
      <c r="E24" s="747" t="s">
        <v>375</v>
      </c>
      <c r="F24" s="743" t="s">
        <v>339</v>
      </c>
      <c r="G24" s="744" t="s">
        <v>340</v>
      </c>
      <c r="I24" s="967" t="s">
        <v>375</v>
      </c>
      <c r="J24" s="393" t="s">
        <v>444</v>
      </c>
      <c r="K24" s="970" t="s">
        <v>445</v>
      </c>
      <c r="L24" s="970" t="s">
        <v>443</v>
      </c>
      <c r="M24" s="973" t="s">
        <v>5</v>
      </c>
      <c r="O24" s="20"/>
      <c r="P24" s="327"/>
      <c r="Q24" s="327"/>
      <c r="R24" s="327"/>
      <c r="S24" s="327"/>
      <c r="T24" s="327"/>
      <c r="U24" s="327"/>
      <c r="V24" s="327"/>
      <c r="W24" s="327"/>
      <c r="X24" s="327" t="s">
        <v>268</v>
      </c>
      <c r="Y24" s="327"/>
      <c r="Z24" s="379"/>
      <c r="AA24" s="333"/>
    </row>
    <row r="25" spans="2:30">
      <c r="B25" s="753" t="str">
        <f t="shared" ref="B25:B26" si="5">B15</f>
        <v xml:space="preserve">Residential </v>
      </c>
      <c r="C25" s="631">
        <f t="shared" ref="C25:C26" si="6">C4-C15</f>
        <v>960020.72478865832</v>
      </c>
      <c r="D25" s="632">
        <f t="shared" ref="D25:D28" si="7">D15</f>
        <v>1.0868059634590692</v>
      </c>
      <c r="E25" s="631">
        <f t="shared" ref="E25:E31" si="8">C25*D25</f>
        <v>1043356.2487446117</v>
      </c>
      <c r="F25" s="749">
        <f>'Commodity Price'!F17/1000</f>
        <v>0.10279000000000001</v>
      </c>
      <c r="G25" s="754">
        <f t="shared" ref="G25:G31" si="9">E25*F25</f>
        <v>107246.58880845865</v>
      </c>
      <c r="I25" s="967"/>
      <c r="J25" s="327"/>
      <c r="K25" s="327"/>
      <c r="L25" s="327"/>
      <c r="M25" s="379"/>
      <c r="O25" s="20" t="s">
        <v>256</v>
      </c>
      <c r="P25" s="327"/>
      <c r="Q25" s="327" t="s">
        <v>63</v>
      </c>
      <c r="R25" s="380">
        <v>7.7368368365435874E-3</v>
      </c>
      <c r="S25" s="738">
        <v>7.4867353041797912E-3</v>
      </c>
      <c r="T25" s="380">
        <v>6.6745326589538675E-3</v>
      </c>
      <c r="U25" s="327"/>
      <c r="V25" s="327"/>
      <c r="W25" s="381">
        <f>'[25]9. RTSR Rates to Forecast'!J39</f>
        <v>7.7368368365435874E-3</v>
      </c>
      <c r="X25" s="382">
        <f>R25-W25</f>
        <v>0</v>
      </c>
      <c r="Y25" s="381">
        <f>'[25]9. RTSR Rates to Forecast'!J50</f>
        <v>6.6745326589538675E-3</v>
      </c>
      <c r="Z25" s="383">
        <f>T25-Y25</f>
        <v>0</v>
      </c>
      <c r="AA25" s="333"/>
    </row>
    <row r="26" spans="2:30">
      <c r="B26" s="753" t="str">
        <f t="shared" si="5"/>
        <v>General Service &lt; 50 kW</v>
      </c>
      <c r="C26" s="631">
        <f t="shared" si="6"/>
        <v>2422818.8183602765</v>
      </c>
      <c r="D26" s="632">
        <f t="shared" si="7"/>
        <v>1.0868059634590692</v>
      </c>
      <c r="E26" s="631">
        <f t="shared" si="8"/>
        <v>2633133.9401748041</v>
      </c>
      <c r="F26" s="750">
        <f>F25</f>
        <v>0.10279000000000001</v>
      </c>
      <c r="G26" s="754">
        <f t="shared" si="9"/>
        <v>270659.8377105681</v>
      </c>
      <c r="I26" s="967"/>
      <c r="J26" s="327"/>
      <c r="K26" s="327"/>
      <c r="L26" s="327"/>
      <c r="M26" s="379"/>
      <c r="O26" s="20" t="s">
        <v>257</v>
      </c>
      <c r="P26" s="327"/>
      <c r="Q26" s="327" t="s">
        <v>63</v>
      </c>
      <c r="R26" s="380">
        <v>7.736836809709712E-3</v>
      </c>
      <c r="S26" s="738">
        <v>6.8476239429030887E-3</v>
      </c>
      <c r="T26" s="380">
        <v>6.6745323855041247E-3</v>
      </c>
      <c r="U26" s="327"/>
      <c r="V26" s="327"/>
      <c r="W26" s="381">
        <f>'[25]9. RTSR Rates to Forecast'!J40</f>
        <v>7.736836809709712E-3</v>
      </c>
      <c r="X26" s="382">
        <f t="shared" ref="X26:X32" si="10">R26-W26</f>
        <v>0</v>
      </c>
      <c r="Y26" s="381">
        <f>'[25]9. RTSR Rates to Forecast'!J51</f>
        <v>6.6745323855041247E-3</v>
      </c>
      <c r="Z26" s="383">
        <f t="shared" ref="Z26:Z32" si="11">T26-Y26</f>
        <v>0</v>
      </c>
      <c r="AA26" s="333"/>
    </row>
    <row r="27" spans="2:30">
      <c r="B27" s="968" t="s">
        <v>442</v>
      </c>
      <c r="C27" s="631">
        <f>(C6-C17)*H6</f>
        <v>27050202.820226848</v>
      </c>
      <c r="D27" s="632">
        <f t="shared" si="7"/>
        <v>1.0868059634590692</v>
      </c>
      <c r="E27" s="631">
        <f t="shared" si="8"/>
        <v>29398321.737799872</v>
      </c>
      <c r="F27" s="750">
        <f>F25</f>
        <v>0.10279000000000001</v>
      </c>
      <c r="G27" s="754">
        <f t="shared" si="9"/>
        <v>3021853.4914284488</v>
      </c>
      <c r="H27" s="331"/>
      <c r="I27" s="974"/>
      <c r="J27" s="975"/>
      <c r="K27" s="327"/>
      <c r="L27" s="327"/>
      <c r="M27" s="379"/>
      <c r="O27" s="20" t="s">
        <v>249</v>
      </c>
      <c r="P27" s="327"/>
      <c r="Q27" s="327" t="s">
        <v>64</v>
      </c>
      <c r="R27" s="380">
        <v>2.4216298897614097</v>
      </c>
      <c r="S27" s="738">
        <v>2.8584720632500615</v>
      </c>
      <c r="T27" s="380">
        <v>1.4416990307865478</v>
      </c>
      <c r="U27" s="327"/>
      <c r="V27" s="327"/>
      <c r="W27" s="381">
        <f>'[25]9. RTSR Rates to Forecast'!J41</f>
        <v>2.4216298897614097</v>
      </c>
      <c r="X27" s="382">
        <f t="shared" si="10"/>
        <v>0</v>
      </c>
      <c r="Y27" s="381">
        <f>'[25]9. RTSR Rates to Forecast'!J52</f>
        <v>1.4416990307865478</v>
      </c>
      <c r="Z27" s="383">
        <f t="shared" si="11"/>
        <v>0</v>
      </c>
      <c r="AA27" s="333"/>
    </row>
    <row r="28" spans="2:30">
      <c r="B28" s="968" t="s">
        <v>439</v>
      </c>
      <c r="C28" s="969">
        <f>(C6-C17)*I6</f>
        <v>8542169.3116505835</v>
      </c>
      <c r="D28" s="632">
        <f t="shared" si="7"/>
        <v>1.0868059634590692</v>
      </c>
      <c r="E28" s="631">
        <f t="shared" si="8"/>
        <v>9283680.5487789065</v>
      </c>
      <c r="F28" s="750"/>
      <c r="G28" s="971">
        <f>M28</f>
        <v>683485.61446399661</v>
      </c>
      <c r="H28" s="331"/>
      <c r="I28" s="976">
        <f>E28</f>
        <v>9283680.5487789065</v>
      </c>
      <c r="J28" s="996">
        <f>'Commodity Price'!D21/1000</f>
        <v>1.7610000000000001E-2</v>
      </c>
      <c r="K28" s="946">
        <f>I28*J28</f>
        <v>163485.61446399655</v>
      </c>
      <c r="L28" s="978">
        <v>520000</v>
      </c>
      <c r="M28" s="977">
        <f>SUM(K28:L28)</f>
        <v>683485.61446399661</v>
      </c>
      <c r="N28" s="332"/>
      <c r="O28" s="967"/>
      <c r="P28" s="327"/>
      <c r="Q28" s="327"/>
      <c r="R28" s="380"/>
      <c r="S28" s="738"/>
      <c r="T28" s="380"/>
      <c r="U28" s="327"/>
      <c r="V28" s="327"/>
      <c r="W28" s="381"/>
      <c r="X28" s="382"/>
      <c r="Y28" s="381"/>
      <c r="Z28" s="383"/>
      <c r="AA28" s="333"/>
    </row>
    <row r="29" spans="2:30">
      <c r="B29" s="753" t="str">
        <f>B18</f>
        <v xml:space="preserve">Street Lights </v>
      </c>
      <c r="C29" s="631">
        <f>C7-C18</f>
        <v>507020.85293601174</v>
      </c>
      <c r="D29" s="632">
        <f>D18</f>
        <v>1.0868059634590692</v>
      </c>
      <c r="E29" s="631">
        <f t="shared" si="8"/>
        <v>551033.28656896122</v>
      </c>
      <c r="F29" s="750">
        <f>F25</f>
        <v>0.10279000000000001</v>
      </c>
      <c r="G29" s="754">
        <f t="shared" si="9"/>
        <v>56640.711526423525</v>
      </c>
      <c r="O29" s="20" t="s">
        <v>250</v>
      </c>
      <c r="P29" s="327"/>
      <c r="Q29" s="327" t="s">
        <v>64</v>
      </c>
      <c r="R29" s="380">
        <v>2.7078926404982528</v>
      </c>
      <c r="S29" s="738">
        <v>3.1936400753094629</v>
      </c>
      <c r="T29" s="380">
        <v>1.6085625309221667</v>
      </c>
      <c r="U29" s="327"/>
      <c r="V29" s="327"/>
      <c r="W29" s="381">
        <f>'[25]9. RTSR Rates to Forecast'!J42</f>
        <v>2.7078926404982528</v>
      </c>
      <c r="X29" s="382">
        <f t="shared" si="10"/>
        <v>0</v>
      </c>
      <c r="Y29" s="381">
        <f>'[25]9. RTSR Rates to Forecast'!J53</f>
        <v>1.6085625309221667</v>
      </c>
      <c r="Z29" s="383">
        <f t="shared" si="11"/>
        <v>0</v>
      </c>
      <c r="AA29" s="333"/>
    </row>
    <row r="30" spans="2:30">
      <c r="B30" s="753" t="str">
        <f>B19</f>
        <v>Sentinel Lights</v>
      </c>
      <c r="C30" s="631">
        <f>C8-C19</f>
        <v>2404.3726553115557</v>
      </c>
      <c r="D30" s="632">
        <f>D19</f>
        <v>1.0868059634590692</v>
      </c>
      <c r="E30" s="631">
        <f t="shared" si="8"/>
        <v>2613.0865401705159</v>
      </c>
      <c r="F30" s="750">
        <f>F25</f>
        <v>0.10279000000000001</v>
      </c>
      <c r="G30" s="754">
        <f t="shared" si="9"/>
        <v>268.59916546412734</v>
      </c>
      <c r="O30" s="20" t="s">
        <v>251</v>
      </c>
      <c r="P30" s="327"/>
      <c r="Q30" s="327" t="s">
        <v>63</v>
      </c>
      <c r="R30" s="380">
        <v>7.7368422293920746E-3</v>
      </c>
      <c r="S30" s="738">
        <v>6.8476125536060155E-3</v>
      </c>
      <c r="T30" s="380">
        <v>6.674535599270625E-3</v>
      </c>
      <c r="U30" s="327"/>
      <c r="V30" s="327"/>
      <c r="W30" s="381">
        <f>'[25]9. RTSR Rates to Forecast'!J43</f>
        <v>7.7368422293920746E-3</v>
      </c>
      <c r="X30" s="382">
        <f t="shared" si="10"/>
        <v>0</v>
      </c>
      <c r="Y30" s="381">
        <f>'[25]9. RTSR Rates to Forecast'!J54</f>
        <v>6.674535599270625E-3</v>
      </c>
      <c r="Z30" s="383">
        <f t="shared" si="11"/>
        <v>0</v>
      </c>
      <c r="AA30" s="333"/>
    </row>
    <row r="31" spans="2:30">
      <c r="B31" s="753" t="str">
        <f>B20</f>
        <v xml:space="preserve">Unmetered Loads </v>
      </c>
      <c r="C31" s="631">
        <f>C9-C20</f>
        <v>52889.157276921673</v>
      </c>
      <c r="D31" s="632">
        <f>D20</f>
        <v>1.0868059634590692</v>
      </c>
      <c r="E31" s="631">
        <f t="shared" si="8"/>
        <v>57480.251530883099</v>
      </c>
      <c r="F31" s="750">
        <f>F25</f>
        <v>0.10279000000000001</v>
      </c>
      <c r="G31" s="754">
        <f t="shared" si="9"/>
        <v>5908.3950548594739</v>
      </c>
      <c r="O31" s="20" t="s">
        <v>252</v>
      </c>
      <c r="P31" s="327"/>
      <c r="Q31" s="327" t="s">
        <v>64</v>
      </c>
      <c r="R31" s="380">
        <v>1.8336423904109167</v>
      </c>
      <c r="S31" s="738">
        <v>2.1666887646702979</v>
      </c>
      <c r="T31" s="380">
        <v>1.1413576213306393</v>
      </c>
      <c r="U31" s="327"/>
      <c r="V31" s="327"/>
      <c r="W31" s="381">
        <f>'[25]9. RTSR Rates to Forecast'!J44</f>
        <v>1.8336423904109167</v>
      </c>
      <c r="X31" s="382">
        <f t="shared" si="10"/>
        <v>0</v>
      </c>
      <c r="Y31" s="381">
        <f>'[25]9. RTSR Rates to Forecast'!J55</f>
        <v>1.1413576213306393</v>
      </c>
      <c r="Z31" s="383">
        <f t="shared" si="11"/>
        <v>0</v>
      </c>
    </row>
    <row r="32" spans="2:30">
      <c r="B32" s="755" t="s">
        <v>65</v>
      </c>
      <c r="C32" s="756">
        <f>SUM(C25:C31)</f>
        <v>39537526.05789461</v>
      </c>
      <c r="D32" s="757"/>
      <c r="E32" s="756">
        <f>SUM(E25:E31)</f>
        <v>42969619.10013821</v>
      </c>
      <c r="F32" s="758"/>
      <c r="G32" s="752">
        <f>SUM(G25:G31)</f>
        <v>4146063.23815822</v>
      </c>
      <c r="O32" s="20" t="s">
        <v>253</v>
      </c>
      <c r="P32" s="327"/>
      <c r="Q32" s="327" t="s">
        <v>64</v>
      </c>
      <c r="R32" s="380">
        <v>1.8258922714716779</v>
      </c>
      <c r="S32" s="738">
        <v>2.1557205987338679</v>
      </c>
      <c r="T32" s="380">
        <v>1.1146464141491461</v>
      </c>
      <c r="U32" s="327"/>
      <c r="V32" s="327"/>
      <c r="W32" s="381">
        <f>'[25]9. RTSR Rates to Forecast'!J45</f>
        <v>1.8258922714716779</v>
      </c>
      <c r="X32" s="382">
        <f t="shared" si="10"/>
        <v>0</v>
      </c>
      <c r="Y32" s="381">
        <f>'[25]9. RTSR Rates to Forecast'!J56</f>
        <v>1.1146464141491461</v>
      </c>
      <c r="Z32" s="383">
        <f t="shared" si="11"/>
        <v>0</v>
      </c>
    </row>
    <row r="33" spans="2:26" ht="13.8" thickBot="1">
      <c r="O33" s="20"/>
      <c r="P33" s="327"/>
      <c r="Q33" s="327"/>
      <c r="R33" s="327"/>
      <c r="S33" s="327"/>
      <c r="T33" s="327"/>
      <c r="U33" s="327"/>
      <c r="V33" s="327"/>
      <c r="W33" s="327"/>
      <c r="X33" s="327"/>
      <c r="Y33" s="327"/>
      <c r="Z33" s="379"/>
    </row>
    <row r="34" spans="2:26" ht="13.8" thickTop="1">
      <c r="B34" s="759" t="s">
        <v>70</v>
      </c>
      <c r="C34" s="760"/>
      <c r="D34" s="761" t="s">
        <v>71</v>
      </c>
      <c r="E34" s="1870">
        <f>E23</f>
        <v>2020</v>
      </c>
      <c r="F34" s="1871"/>
      <c r="G34" s="1872"/>
      <c r="O34" s="20"/>
      <c r="P34" s="327"/>
      <c r="Q34" s="327"/>
      <c r="R34" s="327"/>
      <c r="S34" s="327"/>
      <c r="T34" s="327"/>
      <c r="U34" s="327"/>
      <c r="V34" s="327"/>
      <c r="W34" s="327"/>
      <c r="X34" s="327"/>
      <c r="Y34" s="327"/>
      <c r="Z34" s="379"/>
    </row>
    <row r="35" spans="2:26">
      <c r="B35" s="746" t="s">
        <v>69</v>
      </c>
      <c r="C35" s="762"/>
      <c r="D35" s="763" t="s">
        <v>72</v>
      </c>
      <c r="E35" s="742" t="s">
        <v>71</v>
      </c>
      <c r="F35" s="743" t="s">
        <v>339</v>
      </c>
      <c r="G35" s="744" t="s">
        <v>340</v>
      </c>
      <c r="O35" s="20"/>
      <c r="P35" s="327"/>
      <c r="Q35" s="327"/>
      <c r="R35" s="327"/>
      <c r="S35" s="327"/>
      <c r="T35" s="327"/>
      <c r="U35" s="327"/>
      <c r="V35" s="327"/>
      <c r="W35" s="327"/>
      <c r="X35" s="327"/>
      <c r="Y35" s="327"/>
      <c r="Z35" s="379"/>
    </row>
    <row r="36" spans="2:26">
      <c r="B36" s="764" t="str">
        <f>B25</f>
        <v xml:space="preserve">Residential </v>
      </c>
      <c r="C36" s="631"/>
      <c r="D36" s="765" t="s">
        <v>63</v>
      </c>
      <c r="E36" s="979">
        <f>'[26]9. RTSR Rates to Forecast'!E17</f>
        <v>44201094.343512006</v>
      </c>
      <c r="F36" s="766">
        <f>'[26]9. RTSR Rates to Forecast'!J39</f>
        <v>7.4867353041797912E-3</v>
      </c>
      <c r="G36" s="754">
        <f t="shared" ref="G36:G42" si="12">E36*F36</f>
        <v>330921.89350495301</v>
      </c>
      <c r="H36" s="740" t="s">
        <v>269</v>
      </c>
      <c r="O36" s="41" t="s">
        <v>239</v>
      </c>
      <c r="P36" s="327"/>
      <c r="Q36" s="327"/>
      <c r="R36" s="317" t="s">
        <v>238</v>
      </c>
      <c r="S36" s="318"/>
      <c r="T36" s="327"/>
      <c r="U36" s="327"/>
      <c r="V36" s="327"/>
      <c r="W36" s="327"/>
      <c r="X36" s="327"/>
      <c r="Y36" s="327"/>
      <c r="Z36" s="379"/>
    </row>
    <row r="37" spans="2:26">
      <c r="B37" s="764" t="str">
        <f>B26</f>
        <v>General Service &lt; 50 kW</v>
      </c>
      <c r="C37" s="631"/>
      <c r="D37" s="765" t="s">
        <v>63</v>
      </c>
      <c r="E37" s="979">
        <f>'[26]9. RTSR Rates to Forecast'!E18</f>
        <v>22299187.702259403</v>
      </c>
      <c r="F37" s="766">
        <f>'[26]9. RTSR Rates to Forecast'!J40</f>
        <v>6.8476239429030887E-3</v>
      </c>
      <c r="G37" s="754">
        <f t="shared" si="12"/>
        <v>152696.45161728159</v>
      </c>
      <c r="H37" s="740" t="s">
        <v>365</v>
      </c>
      <c r="O37" s="20"/>
      <c r="P37" s="327"/>
      <c r="Q37" s="327"/>
      <c r="R37" s="327" t="s">
        <v>232</v>
      </c>
      <c r="S37" s="327" t="s">
        <v>233</v>
      </c>
      <c r="T37" s="327" t="s">
        <v>236</v>
      </c>
      <c r="U37" s="327" t="s">
        <v>141</v>
      </c>
      <c r="V37" s="327"/>
      <c r="W37" s="327"/>
      <c r="X37" s="327"/>
      <c r="Y37" s="327"/>
      <c r="Z37" s="379"/>
    </row>
    <row r="38" spans="2:26">
      <c r="B38" s="980" t="s">
        <v>446</v>
      </c>
      <c r="C38" s="631"/>
      <c r="D38" s="765" t="s">
        <v>64</v>
      </c>
      <c r="E38" s="979">
        <f>'[26]9. RTSR Rates to Forecast'!F19</f>
        <v>115031.54000000001</v>
      </c>
      <c r="F38" s="766">
        <f>'[26]9. RTSR Rates to Forecast'!J41</f>
        <v>2.8584720632500615</v>
      </c>
      <c r="G38" s="754">
        <f t="shared" si="12"/>
        <v>328814.44348263199</v>
      </c>
      <c r="H38" s="741">
        <f>E38/(E38+E39)</f>
        <v>0.91487694222839822</v>
      </c>
      <c r="I38" t="s">
        <v>249</v>
      </c>
      <c r="O38" s="20" t="s">
        <v>235</v>
      </c>
      <c r="P38" s="327"/>
      <c r="Q38" s="327" t="s">
        <v>64</v>
      </c>
      <c r="R38" s="380">
        <f>R27</f>
        <v>2.4216298897614097</v>
      </c>
      <c r="S38" s="380">
        <f>T27</f>
        <v>1.4416990307865478</v>
      </c>
      <c r="T38" s="384">
        <f>'2020 COP Forecast'!O37</f>
        <v>0</v>
      </c>
      <c r="U38" s="385" t="e">
        <f>T38/T40</f>
        <v>#DIV/0!</v>
      </c>
      <c r="V38" s="327"/>
      <c r="W38" s="380">
        <v>2.4216298897614097</v>
      </c>
      <c r="X38" s="380">
        <v>1.4416990307865478</v>
      </c>
      <c r="Y38" s="384">
        <v>121199</v>
      </c>
      <c r="Z38" s="386">
        <v>0.91854305137668912</v>
      </c>
    </row>
    <row r="39" spans="2:26">
      <c r="B39" s="764" t="s">
        <v>272</v>
      </c>
      <c r="C39" s="631"/>
      <c r="D39" s="765" t="s">
        <v>64</v>
      </c>
      <c r="E39" s="979">
        <f>'[26]9. RTSR Rates to Forecast'!F20</f>
        <v>10702.9</v>
      </c>
      <c r="F39" s="766">
        <f>'[26]9. RTSR Rates to Forecast'!J42</f>
        <v>3.1936400753094629</v>
      </c>
      <c r="G39" s="754">
        <f t="shared" si="12"/>
        <v>34181.210362029648</v>
      </c>
      <c r="H39" s="741">
        <f>1-H38</f>
        <v>8.5123057771601784E-2</v>
      </c>
      <c r="I39" t="s">
        <v>272</v>
      </c>
      <c r="O39" s="20" t="s">
        <v>234</v>
      </c>
      <c r="P39" s="327"/>
      <c r="Q39" s="327" t="s">
        <v>64</v>
      </c>
      <c r="R39" s="380">
        <f>R29</f>
        <v>2.7078926404982528</v>
      </c>
      <c r="S39" s="380">
        <f>T29</f>
        <v>1.6085625309221667</v>
      </c>
      <c r="T39" s="384" t="str">
        <f>'2020 COP Forecast'!O38</f>
        <v>GS&gt;50 excluding interval metered</v>
      </c>
      <c r="U39" s="385" t="e">
        <f>1-U38</f>
        <v>#DIV/0!</v>
      </c>
      <c r="V39" s="327"/>
      <c r="W39" s="380">
        <v>2.7078926404982528</v>
      </c>
      <c r="X39" s="380">
        <v>1.6085625309221667</v>
      </c>
      <c r="Y39" s="384">
        <v>10748</v>
      </c>
      <c r="Z39" s="386">
        <v>8.1456948623310876E-2</v>
      </c>
    </row>
    <row r="40" spans="2:26">
      <c r="B40" s="764" t="str">
        <f>B29</f>
        <v xml:space="preserve">Street Lights </v>
      </c>
      <c r="C40" s="631"/>
      <c r="D40" s="765" t="s">
        <v>64</v>
      </c>
      <c r="E40" s="979">
        <f>'[26]9. RTSR Rates to Forecast'!F23</f>
        <v>2861.6</v>
      </c>
      <c r="F40" s="766">
        <f>'[26]9. RTSR Rates to Forecast'!J45</f>
        <v>2.1557205987338679</v>
      </c>
      <c r="G40" s="754">
        <f t="shared" si="12"/>
        <v>6168.8100653368365</v>
      </c>
      <c r="H40" s="739"/>
      <c r="O40" s="387" t="s">
        <v>237</v>
      </c>
      <c r="P40" s="388"/>
      <c r="Q40" s="388"/>
      <c r="R40" s="389" t="e">
        <f>R38*U38+R39*U39</f>
        <v>#DIV/0!</v>
      </c>
      <c r="S40" s="389" t="e">
        <f>S38*U38+S39*U39</f>
        <v>#DIV/0!</v>
      </c>
      <c r="T40" s="390">
        <f>SUM(T38:T39)</f>
        <v>0</v>
      </c>
      <c r="U40" s="391" t="e">
        <f>SUM(U38:U39)</f>
        <v>#DIV/0!</v>
      </c>
      <c r="V40" s="338"/>
      <c r="W40" s="389">
        <v>2.4449479799409484</v>
      </c>
      <c r="X40" s="389">
        <v>1.4552912223442007</v>
      </c>
      <c r="Y40" s="390">
        <v>131947</v>
      </c>
      <c r="Z40" s="392">
        <v>1</v>
      </c>
    </row>
    <row r="41" spans="2:26">
      <c r="B41" s="764" t="str">
        <f>B30</f>
        <v>Sentinel Lights</v>
      </c>
      <c r="C41" s="631"/>
      <c r="D41" s="765" t="s">
        <v>64</v>
      </c>
      <c r="E41" s="979">
        <f>'[26]9. RTSR Rates to Forecast'!F22</f>
        <v>302</v>
      </c>
      <c r="F41" s="766">
        <f>'[26]9. RTSR Rates to Forecast'!J44</f>
        <v>2.1666887646702979</v>
      </c>
      <c r="G41" s="754">
        <f t="shared" si="12"/>
        <v>654.34000693042992</v>
      </c>
      <c r="H41" s="739"/>
    </row>
    <row r="42" spans="2:26">
      <c r="B42" s="764" t="str">
        <f>B31</f>
        <v xml:space="preserve">Unmetered Loads </v>
      </c>
      <c r="C42" s="631"/>
      <c r="D42" s="765" t="s">
        <v>63</v>
      </c>
      <c r="E42" s="979">
        <f>'[26]9. RTSR Rates to Forecast'!$E$21</f>
        <v>586893.6087000001</v>
      </c>
      <c r="F42" s="766">
        <f>'[26]9. RTSR Rates to Forecast'!J43</f>
        <v>6.8476125536060155E-3</v>
      </c>
      <c r="G42" s="754">
        <f t="shared" si="12"/>
        <v>4018.8200425652572</v>
      </c>
      <c r="H42" s="739"/>
    </row>
    <row r="43" spans="2:26">
      <c r="B43" s="755" t="s">
        <v>65</v>
      </c>
      <c r="C43" s="756"/>
      <c r="D43" s="757"/>
      <c r="E43" s="756"/>
      <c r="F43" s="758"/>
      <c r="G43" s="752">
        <f>SUM(G36:G42)</f>
        <v>857455.96908172872</v>
      </c>
    </row>
    <row r="44" spans="2:26" ht="13.8" thickBot="1">
      <c r="B44" s="336"/>
      <c r="C44" s="336"/>
      <c r="D44" s="336"/>
      <c r="E44" s="336"/>
      <c r="F44" s="336"/>
      <c r="G44" s="336"/>
      <c r="J44" s="24"/>
      <c r="K44" s="24"/>
      <c r="L44" s="24"/>
      <c r="M44" s="24"/>
      <c r="N44" s="24"/>
    </row>
    <row r="45" spans="2:26" ht="13.8" thickTop="1">
      <c r="B45" s="759" t="s">
        <v>73</v>
      </c>
      <c r="C45" s="760"/>
      <c r="D45" s="768" t="s">
        <v>71</v>
      </c>
      <c r="E45" s="1870">
        <f>E34</f>
        <v>2020</v>
      </c>
      <c r="F45" s="1871"/>
      <c r="G45" s="1872"/>
    </row>
    <row r="46" spans="2:26">
      <c r="B46" s="746" t="s">
        <v>69</v>
      </c>
      <c r="C46" s="762"/>
      <c r="D46" s="767" t="s">
        <v>72</v>
      </c>
      <c r="E46" s="747" t="s">
        <v>71</v>
      </c>
      <c r="F46" s="743" t="s">
        <v>339</v>
      </c>
      <c r="G46" s="744" t="s">
        <v>340</v>
      </c>
    </row>
    <row r="47" spans="2:26">
      <c r="B47" s="764" t="str">
        <f>B36</f>
        <v xml:space="preserve">Residential </v>
      </c>
      <c r="C47" s="631"/>
      <c r="D47" s="765" t="str">
        <f t="shared" ref="D47:E49" si="13">D36</f>
        <v>kWh</v>
      </c>
      <c r="E47" s="631">
        <f t="shared" si="13"/>
        <v>44201094.343512006</v>
      </c>
      <c r="F47" s="766">
        <f>'[26]9. RTSR Rates to Forecast'!J50</f>
        <v>5.9886670344349996E-3</v>
      </c>
      <c r="G47" s="754">
        <f t="shared" ref="G47:G53" si="14">E47*F47</f>
        <v>264705.63658094167</v>
      </c>
    </row>
    <row r="48" spans="2:26">
      <c r="B48" s="764" t="str">
        <f>B37</f>
        <v>General Service &lt; 50 kW</v>
      </c>
      <c r="C48" s="631"/>
      <c r="D48" s="765" t="str">
        <f t="shared" si="13"/>
        <v>kWh</v>
      </c>
      <c r="E48" s="631">
        <f t="shared" si="13"/>
        <v>22299187.702259403</v>
      </c>
      <c r="F48" s="766">
        <f>'[26]9. RTSR Rates to Forecast'!J51</f>
        <v>5.4811524999585073E-3</v>
      </c>
      <c r="G48" s="754">
        <f t="shared" si="14"/>
        <v>122225.24842128313</v>
      </c>
    </row>
    <row r="49" spans="2:14">
      <c r="B49" s="764" t="str">
        <f>B38</f>
        <v xml:space="preserve">General Service 50 to 4,999 kW </v>
      </c>
      <c r="C49" s="631"/>
      <c r="D49" s="765" t="str">
        <f t="shared" si="13"/>
        <v>kW</v>
      </c>
      <c r="E49" s="631">
        <f t="shared" si="13"/>
        <v>115031.54000000001</v>
      </c>
      <c r="F49" s="766">
        <f>'[26]9. RTSR Rates to Forecast'!J52</f>
        <v>2.194288164269794</v>
      </c>
      <c r="G49" s="754">
        <f t="shared" si="14"/>
        <v>252412.34673972739</v>
      </c>
    </row>
    <row r="50" spans="2:14">
      <c r="B50" s="764" t="s">
        <v>272</v>
      </c>
      <c r="C50" s="631"/>
      <c r="D50" s="765" t="s">
        <v>64</v>
      </c>
      <c r="E50" s="631">
        <f>E39</f>
        <v>10702.9</v>
      </c>
      <c r="F50" s="766">
        <f>'[26]9. RTSR Rates to Forecast'!J53</f>
        <v>2.4458127854957286</v>
      </c>
      <c r="G50" s="754">
        <f t="shared" si="14"/>
        <v>26177.289661882231</v>
      </c>
      <c r="I50" s="396"/>
    </row>
    <row r="51" spans="2:14">
      <c r="B51" s="764" t="str">
        <f>B40</f>
        <v xml:space="preserve">Street Lights </v>
      </c>
      <c r="C51" s="631"/>
      <c r="D51" s="765" t="str">
        <f>D40</f>
        <v>kW</v>
      </c>
      <c r="E51" s="631">
        <f>E40</f>
        <v>2861.6</v>
      </c>
      <c r="F51" s="766">
        <f>'[26]9. RTSR Rates to Forecast'!J56</f>
        <v>1.6965194077766683</v>
      </c>
      <c r="G51" s="754">
        <f t="shared" si="14"/>
        <v>4854.7599372937138</v>
      </c>
      <c r="I51" s="396"/>
    </row>
    <row r="52" spans="2:14">
      <c r="B52" s="764" t="str">
        <f>B41</f>
        <v>Sentinel Lights</v>
      </c>
      <c r="C52" s="631"/>
      <c r="D52" s="765" t="str">
        <f>D41</f>
        <v>kW</v>
      </c>
      <c r="E52" s="631">
        <f>E41</f>
        <v>302</v>
      </c>
      <c r="F52" s="766">
        <f>'[26]9. RTSR Rates to Forecast'!J55</f>
        <v>1.7317218319369294</v>
      </c>
      <c r="G52" s="754">
        <f t="shared" si="14"/>
        <v>522.97999324495265</v>
      </c>
      <c r="I52" s="396"/>
      <c r="J52" s="397"/>
      <c r="K52" s="397"/>
      <c r="L52" s="397"/>
      <c r="M52" s="397"/>
      <c r="N52" s="397"/>
    </row>
    <row r="53" spans="2:14">
      <c r="B53" s="764" t="str">
        <f>B42</f>
        <v xml:space="preserve">Unmetered Loads </v>
      </c>
      <c r="C53" s="631"/>
      <c r="D53" s="765" t="str">
        <f>D42</f>
        <v>kWh</v>
      </c>
      <c r="E53" s="631">
        <f>E42</f>
        <v>586893.6087000001</v>
      </c>
      <c r="F53" s="766">
        <f>'[26]9. RTSR Rates to Forecast'!J54</f>
        <v>5.4811637250149758E-3</v>
      </c>
      <c r="G53" s="754">
        <f t="shared" si="14"/>
        <v>3216.8599584495742</v>
      </c>
    </row>
    <row r="54" spans="2:14">
      <c r="B54" s="755" t="s">
        <v>65</v>
      </c>
      <c r="C54" s="756"/>
      <c r="D54" s="757"/>
      <c r="E54" s="756"/>
      <c r="F54" s="758" t="s">
        <v>247</v>
      </c>
      <c r="G54" s="752">
        <f>SUM(G47:G53)</f>
        <v>674115.12129282276</v>
      </c>
    </row>
    <row r="55" spans="2:14" ht="13.8" thickBot="1"/>
    <row r="56" spans="2:14" ht="13.8" thickTop="1">
      <c r="B56" s="759" t="s">
        <v>74</v>
      </c>
      <c r="C56" s="760"/>
      <c r="D56" s="768" t="s">
        <v>71</v>
      </c>
      <c r="E56" s="1870">
        <f>E45</f>
        <v>2020</v>
      </c>
      <c r="F56" s="1871"/>
      <c r="G56" s="1872"/>
    </row>
    <row r="57" spans="2:14">
      <c r="B57" s="746" t="s">
        <v>69</v>
      </c>
      <c r="C57" s="762"/>
      <c r="D57" s="767" t="s">
        <v>72</v>
      </c>
      <c r="E57" s="747" t="s">
        <v>71</v>
      </c>
      <c r="F57" s="743" t="s">
        <v>339</v>
      </c>
      <c r="G57" s="744" t="s">
        <v>340</v>
      </c>
    </row>
    <row r="58" spans="2:14">
      <c r="B58" s="621" t="str">
        <f>B47</f>
        <v xml:space="preserve">Residential </v>
      </c>
      <c r="C58" s="622"/>
      <c r="D58" s="623" t="s">
        <v>63</v>
      </c>
      <c r="E58" s="622">
        <f>E15+E25</f>
        <v>47398711.984281652</v>
      </c>
      <c r="F58" s="624">
        <v>3.3999999999999998E-3</v>
      </c>
      <c r="G58" s="625">
        <f t="shared" ref="G58:G64" si="15">E58*F58</f>
        <v>161155.6207465576</v>
      </c>
    </row>
    <row r="59" spans="2:14">
      <c r="B59" s="621" t="str">
        <f>B48</f>
        <v>General Service &lt; 50 kW</v>
      </c>
      <c r="C59" s="622"/>
      <c r="D59" s="623" t="s">
        <v>63</v>
      </c>
      <c r="E59" s="622">
        <f>E16+E26</f>
        <v>19279675.871526696</v>
      </c>
      <c r="F59" s="766">
        <f>F58</f>
        <v>3.3999999999999998E-3</v>
      </c>
      <c r="G59" s="625">
        <f t="shared" si="15"/>
        <v>65550.897963190757</v>
      </c>
    </row>
    <row r="60" spans="2:14">
      <c r="B60" s="981" t="s">
        <v>442</v>
      </c>
      <c r="C60" s="622"/>
      <c r="D60" s="623" t="s">
        <v>63</v>
      </c>
      <c r="E60" s="622">
        <f>E17+E27</f>
        <v>31832979.966591846</v>
      </c>
      <c r="F60" s="766">
        <f>F59</f>
        <v>3.3999999999999998E-3</v>
      </c>
      <c r="G60" s="625">
        <f t="shared" si="15"/>
        <v>108232.13188641227</v>
      </c>
    </row>
    <row r="61" spans="2:14">
      <c r="B61" s="981" t="s">
        <v>439</v>
      </c>
      <c r="C61" s="622"/>
      <c r="D61" s="623" t="s">
        <v>63</v>
      </c>
      <c r="E61" s="622">
        <f>E28</f>
        <v>9283680.5487789065</v>
      </c>
      <c r="F61" s="766"/>
      <c r="G61" s="982">
        <f>140*12</f>
        <v>1680</v>
      </c>
    </row>
    <row r="62" spans="2:14">
      <c r="B62" s="621" t="str">
        <f>B51</f>
        <v xml:space="preserve">Street Lights </v>
      </c>
      <c r="C62" s="622"/>
      <c r="D62" s="623" t="s">
        <v>63</v>
      </c>
      <c r="E62" s="622">
        <f>E18+E29</f>
        <v>699463.97085840302</v>
      </c>
      <c r="F62" s="766">
        <f>F60</f>
        <v>3.3999999999999998E-3</v>
      </c>
      <c r="G62" s="625">
        <f t="shared" si="15"/>
        <v>2378.1775009185703</v>
      </c>
    </row>
    <row r="63" spans="2:14">
      <c r="B63" s="621" t="str">
        <f>B52</f>
        <v>Sentinel Lights</v>
      </c>
      <c r="C63" s="622"/>
      <c r="D63" s="623" t="s">
        <v>63</v>
      </c>
      <c r="E63" s="622">
        <f>E19+E30</f>
        <v>96298.616004217736</v>
      </c>
      <c r="F63" s="766">
        <f>F62</f>
        <v>3.3999999999999998E-3</v>
      </c>
      <c r="G63" s="625">
        <f t="shared" si="15"/>
        <v>327.41529441434028</v>
      </c>
    </row>
    <row r="64" spans="2:14">
      <c r="B64" s="621" t="str">
        <f>B53</f>
        <v xml:space="preserve">Unmetered Loads </v>
      </c>
      <c r="C64" s="622"/>
      <c r="D64" s="623" t="s">
        <v>63</v>
      </c>
      <c r="E64" s="622">
        <f>E20+E31</f>
        <v>603220.78195832181</v>
      </c>
      <c r="F64" s="766">
        <f>F63</f>
        <v>3.3999999999999998E-3</v>
      </c>
      <c r="G64" s="625">
        <f t="shared" si="15"/>
        <v>2050.9506586582938</v>
      </c>
    </row>
    <row r="65" spans="2:7">
      <c r="B65" s="626" t="s">
        <v>65</v>
      </c>
      <c r="C65" s="627"/>
      <c r="D65" s="628"/>
      <c r="E65" s="627">
        <f>SUM(E58:E64)</f>
        <v>109194031.74000005</v>
      </c>
      <c r="F65" s="629"/>
      <c r="G65" s="630">
        <f>SUM(G58:G64)</f>
        <v>341375.1940501518</v>
      </c>
    </row>
    <row r="66" spans="2:7" ht="13.8" thickBot="1">
      <c r="B66" s="25"/>
      <c r="C66" s="26"/>
      <c r="D66" s="27"/>
      <c r="E66" s="26"/>
      <c r="F66" s="28"/>
      <c r="G66" s="316"/>
    </row>
    <row r="67" spans="2:7" ht="13.8" thickTop="1">
      <c r="B67" s="759" t="s">
        <v>75</v>
      </c>
      <c r="C67" s="760"/>
      <c r="D67" s="768" t="s">
        <v>71</v>
      </c>
      <c r="E67" s="1870">
        <f>E56</f>
        <v>2020</v>
      </c>
      <c r="F67" s="1871"/>
      <c r="G67" s="1872"/>
    </row>
    <row r="68" spans="2:7">
      <c r="B68" s="746" t="s">
        <v>69</v>
      </c>
      <c r="C68" s="762"/>
      <c r="D68" s="767" t="s">
        <v>72</v>
      </c>
      <c r="E68" s="747" t="s">
        <v>71</v>
      </c>
      <c r="F68" s="743" t="s">
        <v>339</v>
      </c>
      <c r="G68" s="744" t="s">
        <v>340</v>
      </c>
    </row>
    <row r="69" spans="2:7">
      <c r="B69" s="621" t="str">
        <f>B58</f>
        <v xml:space="preserve">Residential </v>
      </c>
      <c r="C69" s="622"/>
      <c r="D69" s="623" t="str">
        <f t="shared" ref="D69:E75" si="16">D58</f>
        <v>kWh</v>
      </c>
      <c r="E69" s="622">
        <f t="shared" si="16"/>
        <v>47398711.984281652</v>
      </c>
      <c r="F69" s="624">
        <v>5.0000000000000001E-4</v>
      </c>
      <c r="G69" s="625">
        <f t="shared" ref="G69:G75" si="17">E69*F69</f>
        <v>23699.355992140827</v>
      </c>
    </row>
    <row r="70" spans="2:7">
      <c r="B70" s="621" t="str">
        <f>B59</f>
        <v>General Service &lt; 50 kW</v>
      </c>
      <c r="C70" s="622"/>
      <c r="D70" s="623" t="str">
        <f t="shared" si="16"/>
        <v>kWh</v>
      </c>
      <c r="E70" s="622">
        <f t="shared" si="16"/>
        <v>19279675.871526696</v>
      </c>
      <c r="F70" s="766">
        <f>F69</f>
        <v>5.0000000000000001E-4</v>
      </c>
      <c r="G70" s="625">
        <f t="shared" si="17"/>
        <v>9639.8379357633476</v>
      </c>
    </row>
    <row r="71" spans="2:7">
      <c r="B71" s="621" t="s">
        <v>442</v>
      </c>
      <c r="C71" s="622"/>
      <c r="D71" s="623" t="str">
        <f t="shared" si="16"/>
        <v>kWh</v>
      </c>
      <c r="E71" s="622">
        <f t="shared" si="16"/>
        <v>31832979.966591846</v>
      </c>
      <c r="F71" s="766">
        <f>F70</f>
        <v>5.0000000000000001E-4</v>
      </c>
      <c r="G71" s="625">
        <f t="shared" si="17"/>
        <v>15916.489983295924</v>
      </c>
    </row>
    <row r="72" spans="2:7">
      <c r="B72" s="621" t="s">
        <v>439</v>
      </c>
      <c r="C72" s="622"/>
      <c r="D72" s="623" t="str">
        <f t="shared" si="16"/>
        <v>kWh</v>
      </c>
      <c r="E72" s="622">
        <f t="shared" si="16"/>
        <v>9283680.5487789065</v>
      </c>
      <c r="F72" s="766">
        <f>F71</f>
        <v>5.0000000000000001E-4</v>
      </c>
      <c r="G72" s="625">
        <f t="shared" si="17"/>
        <v>4641.840274389453</v>
      </c>
    </row>
    <row r="73" spans="2:7">
      <c r="B73" s="621" t="str">
        <f>B62</f>
        <v xml:space="preserve">Street Lights </v>
      </c>
      <c r="C73" s="622"/>
      <c r="D73" s="623" t="str">
        <f t="shared" si="16"/>
        <v>kWh</v>
      </c>
      <c r="E73" s="622">
        <f t="shared" si="16"/>
        <v>699463.97085840302</v>
      </c>
      <c r="F73" s="766">
        <f>F71</f>
        <v>5.0000000000000001E-4</v>
      </c>
      <c r="G73" s="625">
        <f t="shared" si="17"/>
        <v>349.73198542920153</v>
      </c>
    </row>
    <row r="74" spans="2:7">
      <c r="B74" s="621" t="str">
        <f>B63</f>
        <v>Sentinel Lights</v>
      </c>
      <c r="C74" s="622"/>
      <c r="D74" s="623" t="str">
        <f t="shared" si="16"/>
        <v>kWh</v>
      </c>
      <c r="E74" s="622">
        <f t="shared" si="16"/>
        <v>96298.616004217736</v>
      </c>
      <c r="F74" s="766">
        <f>F73</f>
        <v>5.0000000000000001E-4</v>
      </c>
      <c r="G74" s="625">
        <f t="shared" si="17"/>
        <v>48.149308002108867</v>
      </c>
    </row>
    <row r="75" spans="2:7">
      <c r="B75" s="621" t="str">
        <f>B64</f>
        <v xml:space="preserve">Unmetered Loads </v>
      </c>
      <c r="C75" s="622"/>
      <c r="D75" s="623" t="str">
        <f t="shared" si="16"/>
        <v>kWh</v>
      </c>
      <c r="E75" s="622">
        <f t="shared" si="16"/>
        <v>603220.78195832181</v>
      </c>
      <c r="F75" s="766">
        <f>F74</f>
        <v>5.0000000000000001E-4</v>
      </c>
      <c r="G75" s="625">
        <f t="shared" si="17"/>
        <v>301.61039097916091</v>
      </c>
    </row>
    <row r="76" spans="2:7" ht="13.5" customHeight="1">
      <c r="B76" s="626" t="s">
        <v>65</v>
      </c>
      <c r="C76" s="627"/>
      <c r="D76" s="628"/>
      <c r="E76" s="627">
        <f>SUM(E69:E75)</f>
        <v>109194031.74000005</v>
      </c>
      <c r="F76" s="629"/>
      <c r="G76" s="630">
        <f>SUM(G69:G75)</f>
        <v>54597.015870000032</v>
      </c>
    </row>
    <row r="77" spans="2:7" ht="13.5" customHeight="1" thickBot="1">
      <c r="B77" s="25"/>
      <c r="C77" s="26"/>
      <c r="D77" s="27"/>
      <c r="E77" s="26"/>
      <c r="F77" s="28"/>
      <c r="G77" s="316"/>
    </row>
    <row r="78" spans="2:7" ht="13.5" customHeight="1" thickTop="1">
      <c r="B78" s="759" t="s">
        <v>229</v>
      </c>
      <c r="C78" s="760"/>
      <c r="D78" s="768" t="s">
        <v>71</v>
      </c>
      <c r="E78" s="1870">
        <f>E67</f>
        <v>2020</v>
      </c>
      <c r="F78" s="1871"/>
      <c r="G78" s="1872"/>
    </row>
    <row r="79" spans="2:7" ht="13.5" customHeight="1">
      <c r="B79" s="746" t="s">
        <v>69</v>
      </c>
      <c r="C79" s="762"/>
      <c r="D79" s="767" t="s">
        <v>72</v>
      </c>
      <c r="E79" s="747" t="s">
        <v>71</v>
      </c>
      <c r="F79" s="743" t="s">
        <v>339</v>
      </c>
      <c r="G79" s="744" t="s">
        <v>340</v>
      </c>
    </row>
    <row r="80" spans="2:7" ht="13.5" customHeight="1">
      <c r="B80" s="621" t="str">
        <f>B4</f>
        <v xml:space="preserve">Residential </v>
      </c>
      <c r="C80" s="622"/>
      <c r="D80" s="623" t="str">
        <f>D36</f>
        <v>kWh</v>
      </c>
      <c r="E80" s="622">
        <f>C4</f>
        <v>43612856</v>
      </c>
      <c r="F80" s="624">
        <f>'[27]Low Voltage Rates'!E6</f>
        <v>4.6475792588182617E-3</v>
      </c>
      <c r="G80" s="625">
        <f t="shared" ref="G80:G85" si="18">E80*F80</f>
        <v>202694.20496342759</v>
      </c>
    </row>
    <row r="81" spans="2:9" ht="13.5" customHeight="1">
      <c r="B81" s="621" t="str">
        <f t="shared" ref="B81:B85" si="19">B5</f>
        <v>General Service &lt; 50 kW</v>
      </c>
      <c r="C81" s="622"/>
      <c r="D81" s="623" t="str">
        <f>D37</f>
        <v>kWh</v>
      </c>
      <c r="E81" s="622">
        <f>C5</f>
        <v>17739759</v>
      </c>
      <c r="F81" s="624">
        <f>'[27]Low Voltage Rates'!E7</f>
        <v>4.2537163156258816E-3</v>
      </c>
      <c r="G81" s="625">
        <f t="shared" si="18"/>
        <v>75459.902293571067</v>
      </c>
    </row>
    <row r="82" spans="2:9" ht="13.5" customHeight="1">
      <c r="B82" s="621" t="str">
        <f t="shared" si="19"/>
        <v>General Service 50 to 4,999 kW</v>
      </c>
      <c r="C82" s="622"/>
      <c r="D82" s="623" t="str">
        <f>D38</f>
        <v>kW</v>
      </c>
      <c r="E82" s="622">
        <f>D6</f>
        <v>110834.3</v>
      </c>
      <c r="F82" s="624">
        <f>'[27]Low Voltage Rates'!E8</f>
        <v>1.7195204383792004</v>
      </c>
      <c r="G82" s="625">
        <f t="shared" si="18"/>
        <v>190581.84412345182</v>
      </c>
    </row>
    <row r="83" spans="2:9" ht="13.5" customHeight="1">
      <c r="B83" s="621" t="str">
        <f t="shared" si="19"/>
        <v xml:space="preserve">Street Lights </v>
      </c>
      <c r="C83" s="622"/>
      <c r="D83" s="623" t="str">
        <f>D40</f>
        <v>kW</v>
      </c>
      <c r="E83" s="622">
        <f>D7</f>
        <v>1745.6</v>
      </c>
      <c r="F83" s="624">
        <f>'[27]Low Voltage Rates'!E9</f>
        <v>1.3166049083090101</v>
      </c>
      <c r="G83" s="625">
        <f t="shared" si="18"/>
        <v>2298.2655279442079</v>
      </c>
    </row>
    <row r="84" spans="2:9" ht="13.5" customHeight="1">
      <c r="B84" s="621" t="str">
        <f t="shared" si="19"/>
        <v>Sentinel Lights</v>
      </c>
      <c r="C84" s="622"/>
      <c r="D84" s="623" t="str">
        <f>D41</f>
        <v>kW</v>
      </c>
      <c r="E84" s="622">
        <f>D8</f>
        <v>246.13055555555553</v>
      </c>
      <c r="F84" s="624">
        <f>'[27]Low Voltage Rates'!E10</f>
        <v>1.3439241857787063</v>
      </c>
      <c r="G84" s="625">
        <f t="shared" si="18"/>
        <v>330.78080647026059</v>
      </c>
    </row>
    <row r="85" spans="2:9" ht="13.5" customHeight="1">
      <c r="B85" s="621" t="str">
        <f t="shared" si="19"/>
        <v xml:space="preserve">Unmetered Loads </v>
      </c>
      <c r="C85" s="622"/>
      <c r="D85" s="623" t="str">
        <f>D42</f>
        <v>kWh</v>
      </c>
      <c r="E85" s="622">
        <f>C9</f>
        <v>555040</v>
      </c>
      <c r="F85" s="624">
        <f>'[27]Low Voltage Rates'!E11</f>
        <v>4.2537250269700459E-3</v>
      </c>
      <c r="G85" s="625">
        <f t="shared" si="18"/>
        <v>2360.9875389694544</v>
      </c>
      <c r="H85" s="19"/>
      <c r="I85" s="398" t="s">
        <v>10</v>
      </c>
    </row>
    <row r="86" spans="2:9" ht="13.5" customHeight="1">
      <c r="B86" s="626" t="s">
        <v>65</v>
      </c>
      <c r="C86" s="627"/>
      <c r="D86" s="628"/>
      <c r="E86" s="627"/>
      <c r="F86" s="629"/>
      <c r="G86" s="630">
        <f>SUM(G80:G85)</f>
        <v>473725.9852538344</v>
      </c>
      <c r="H86" s="19">
        <f>'[27]Low Voltage Rates'!$B$12</f>
        <v>486897.97644599993</v>
      </c>
      <c r="I86" s="342">
        <f>G86-H86</f>
        <v>-13171.991192165529</v>
      </c>
    </row>
    <row r="87" spans="2:9" ht="13.8" thickBot="1">
      <c r="B87" s="25"/>
      <c r="C87" s="26"/>
      <c r="D87" s="27"/>
      <c r="E87" s="26"/>
      <c r="F87" s="28"/>
      <c r="G87" s="316"/>
    </row>
    <row r="88" spans="2:9" ht="13.8" thickTop="1">
      <c r="B88" s="759" t="s">
        <v>240</v>
      </c>
      <c r="C88" s="760"/>
      <c r="D88" s="768"/>
      <c r="E88" s="1870">
        <f>E78</f>
        <v>2020</v>
      </c>
      <c r="F88" s="1871"/>
      <c r="G88" s="1872"/>
    </row>
    <row r="89" spans="2:9">
      <c r="B89" s="746" t="s">
        <v>69</v>
      </c>
      <c r="C89" s="762"/>
      <c r="D89" s="767" t="s">
        <v>230</v>
      </c>
      <c r="E89" s="747" t="s">
        <v>71</v>
      </c>
      <c r="F89" s="743" t="s">
        <v>339</v>
      </c>
      <c r="G89" s="744" t="s">
        <v>340</v>
      </c>
    </row>
    <row r="90" spans="2:9" ht="13.8">
      <c r="B90" s="764" t="s">
        <v>1</v>
      </c>
      <c r="C90" s="769"/>
      <c r="D90" s="770"/>
      <c r="E90" s="631">
        <f>'Rate Class Customer Model'!B15</f>
        <v>5126</v>
      </c>
      <c r="F90" s="771">
        <v>0.25</v>
      </c>
      <c r="G90" s="754">
        <f>E90*F90*12</f>
        <v>15378</v>
      </c>
    </row>
    <row r="91" spans="2:9" ht="13.8">
      <c r="B91" s="764" t="s">
        <v>110</v>
      </c>
      <c r="C91" s="769"/>
      <c r="D91" s="772"/>
      <c r="E91" s="631">
        <f>'Rate Class Customer Model'!C15</f>
        <v>728</v>
      </c>
      <c r="F91" s="771">
        <f>F90</f>
        <v>0.25</v>
      </c>
      <c r="G91" s="754">
        <f>E91*F91*12</f>
        <v>2184</v>
      </c>
    </row>
    <row r="92" spans="2:9" ht="13.8">
      <c r="B92" s="755" t="s">
        <v>65</v>
      </c>
      <c r="C92" s="773"/>
      <c r="D92" s="774"/>
      <c r="E92" s="773"/>
      <c r="F92" s="775"/>
      <c r="G92" s="752">
        <f>SUM(G90:G91)</f>
        <v>17562</v>
      </c>
    </row>
    <row r="93" spans="2:9" ht="13.5" customHeight="1">
      <c r="B93" s="25"/>
      <c r="C93" s="26"/>
      <c r="D93" s="27"/>
      <c r="E93" s="26"/>
      <c r="F93" s="28"/>
      <c r="G93" s="316"/>
    </row>
    <row r="94" spans="2:9" ht="13.8" thickBot="1">
      <c r="B94" s="25"/>
      <c r="C94" s="26"/>
      <c r="D94" s="27"/>
      <c r="E94" s="26"/>
      <c r="F94" s="28"/>
      <c r="G94" s="316"/>
    </row>
    <row r="95" spans="2:9" ht="13.8" thickTop="1">
      <c r="B95" s="793" t="s">
        <v>458</v>
      </c>
      <c r="C95" s="796" t="s">
        <v>340</v>
      </c>
    </row>
    <row r="96" spans="2:9">
      <c r="B96" s="794"/>
      <c r="C96" s="631"/>
    </row>
    <row r="97" spans="2:5">
      <c r="B97" s="794" t="s">
        <v>76</v>
      </c>
      <c r="C97" s="754">
        <f>G21+G32</f>
        <v>11009561.364153499</v>
      </c>
    </row>
    <row r="98" spans="2:5">
      <c r="B98" s="794" t="s">
        <v>78</v>
      </c>
      <c r="C98" s="754">
        <f>G43</f>
        <v>857455.96908172872</v>
      </c>
    </row>
    <row r="99" spans="2:5">
      <c r="B99" s="794" t="s">
        <v>79</v>
      </c>
      <c r="C99" s="754">
        <f>G54</f>
        <v>674115.12129282276</v>
      </c>
    </row>
    <row r="100" spans="2:5">
      <c r="B100" s="794" t="s">
        <v>77</v>
      </c>
      <c r="C100" s="754">
        <f>G65</f>
        <v>341375.1940501518</v>
      </c>
    </row>
    <row r="101" spans="2:5">
      <c r="B101" s="794" t="s">
        <v>80</v>
      </c>
      <c r="C101" s="754">
        <f>G76</f>
        <v>54597.015870000032</v>
      </c>
    </row>
    <row r="102" spans="2:5">
      <c r="B102" s="794" t="s">
        <v>81</v>
      </c>
      <c r="C102" s="754">
        <f>G86</f>
        <v>473725.9852538344</v>
      </c>
    </row>
    <row r="103" spans="2:5">
      <c r="B103" s="795" t="s">
        <v>109</v>
      </c>
      <c r="C103" s="754">
        <f>G92</f>
        <v>17562</v>
      </c>
    </row>
    <row r="104" spans="2:5">
      <c r="B104" s="795"/>
      <c r="C104" s="754"/>
    </row>
    <row r="105" spans="2:5">
      <c r="B105" s="776" t="s">
        <v>376</v>
      </c>
      <c r="C105" s="756">
        <f>SUM(C97:C103)</f>
        <v>13428392.649702035</v>
      </c>
    </row>
    <row r="106" spans="2:5">
      <c r="C106" s="331">
        <v>15418173.533587409</v>
      </c>
      <c r="D106" s="331"/>
    </row>
    <row r="107" spans="2:5">
      <c r="C107" s="792">
        <f>C105-C106</f>
        <v>-1989780.8838853743</v>
      </c>
      <c r="D107" s="813"/>
      <c r="E107" s="792"/>
    </row>
  </sheetData>
  <mergeCells count="13">
    <mergeCell ref="B1:E1"/>
    <mergeCell ref="C13:C14"/>
    <mergeCell ref="D13:D14"/>
    <mergeCell ref="C23:C24"/>
    <mergeCell ref="D23:D24"/>
    <mergeCell ref="E13:G13"/>
    <mergeCell ref="E23:G23"/>
    <mergeCell ref="E88:G88"/>
    <mergeCell ref="E34:G34"/>
    <mergeCell ref="E45:G45"/>
    <mergeCell ref="E56:G56"/>
    <mergeCell ref="E67:G67"/>
    <mergeCell ref="E78:G78"/>
  </mergeCells>
  <pageMargins left="0.7" right="0.7" top="0.75" bottom="0.75" header="0.3" footer="0.3"/>
  <pageSetup scale="29" orientation="portrait" r:id="rId1"/>
  <headerFooter>
    <oddFooter>&amp;Z&amp;F</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9" tint="0.39997558519241921"/>
  </sheetPr>
  <dimension ref="A1:AH202"/>
  <sheetViews>
    <sheetView topLeftCell="A112" zoomScaleNormal="100" workbookViewId="0">
      <pane xSplit="2" topLeftCell="C1" activePane="topRight" state="frozen"/>
      <selection activeCell="A4" sqref="A4"/>
      <selection pane="topRight" activeCell="H8" sqref="H8"/>
    </sheetView>
  </sheetViews>
  <sheetFormatPr defaultColWidth="9.109375" defaultRowHeight="13.2"/>
  <cols>
    <col min="1" max="1" width="5.109375" style="45" bestFit="1" customWidth="1"/>
    <col min="2" max="2" width="9.6640625" style="42" customWidth="1"/>
    <col min="3" max="3" width="11.5546875" style="43" customWidth="1"/>
    <col min="4" max="4" width="14.44140625" style="42" customWidth="1"/>
    <col min="5" max="7" width="14.44140625" style="42" hidden="1" customWidth="1"/>
    <col min="8" max="8" width="15" style="42" customWidth="1"/>
    <col min="9" max="9" width="3.33203125" style="92" customWidth="1"/>
    <col min="10" max="10" width="13.33203125" style="44" customWidth="1"/>
    <col min="11" max="11" width="11.88671875" style="44" customWidth="1"/>
    <col min="12" max="12" width="11.5546875" style="44" customWidth="1"/>
    <col min="13" max="13" width="17" style="44" customWidth="1"/>
    <col min="14" max="15" width="12.6640625" style="44" customWidth="1"/>
    <col min="16" max="16" width="12.6640625" style="874" customWidth="1"/>
    <col min="17" max="19" width="12.6640625" style="44" customWidth="1"/>
    <col min="20" max="20" width="8.88671875"/>
    <col min="21" max="21" width="15" bestFit="1" customWidth="1"/>
    <col min="22" max="22" width="11.6640625" bestFit="1" customWidth="1"/>
    <col min="23" max="23" width="7.44140625" style="45" customWidth="1"/>
    <col min="24" max="24" width="26.109375" style="45" bestFit="1" customWidth="1"/>
    <col min="25" max="25" width="13.33203125" style="45" customWidth="1"/>
    <col min="26" max="26" width="13.44140625" style="45" customWidth="1"/>
    <col min="27" max="27" width="11.33203125" style="45" customWidth="1"/>
    <col min="28" max="33" width="9.109375" style="45"/>
    <col min="34" max="34" width="15" style="45" bestFit="1" customWidth="1"/>
    <col min="35" max="35" width="9.109375" style="45"/>
    <col min="36" max="36" width="12.33203125" style="45" bestFit="1" customWidth="1"/>
    <col min="37" max="16384" width="9.109375" style="45"/>
  </cols>
  <sheetData>
    <row r="1" spans="1:32">
      <c r="H1" s="842"/>
    </row>
    <row r="2" spans="1:32" ht="22.8">
      <c r="B2" s="47" t="s">
        <v>117</v>
      </c>
      <c r="C2" s="48"/>
      <c r="D2" s="49"/>
      <c r="F2" s="49"/>
      <c r="G2" s="49"/>
      <c r="H2" s="49"/>
      <c r="I2" s="257"/>
      <c r="J2" s="50"/>
      <c r="K2" s="50"/>
      <c r="L2" s="50"/>
      <c r="M2" s="50"/>
      <c r="N2" s="50"/>
      <c r="O2" s="50"/>
      <c r="P2" s="791"/>
      <c r="Q2" s="50"/>
      <c r="R2" s="50"/>
      <c r="S2" s="50"/>
    </row>
    <row r="3" spans="1:32">
      <c r="C3" s="48"/>
      <c r="D3" s="49"/>
      <c r="E3" s="49"/>
      <c r="F3" s="49"/>
      <c r="G3" s="49"/>
      <c r="H3" s="49"/>
      <c r="I3" s="257"/>
      <c r="J3" s="50"/>
      <c r="K3" s="50"/>
      <c r="L3" s="50"/>
      <c r="M3" s="50"/>
      <c r="N3" s="50"/>
      <c r="O3" s="50"/>
      <c r="P3" s="791"/>
      <c r="Q3" s="50"/>
      <c r="R3" s="50"/>
      <c r="S3" s="50"/>
      <c r="W3" s="51"/>
      <c r="Y3" s="45" t="s">
        <v>461</v>
      </c>
    </row>
    <row r="4" spans="1:32" ht="13.5" customHeight="1">
      <c r="C4" s="53"/>
      <c r="D4" s="47"/>
      <c r="E4" s="47"/>
      <c r="F4" s="47"/>
      <c r="G4" s="47"/>
      <c r="H4" s="49"/>
      <c r="I4" s="257"/>
      <c r="J4" s="50"/>
      <c r="K4" s="50"/>
      <c r="L4" s="50"/>
      <c r="M4" s="50"/>
      <c r="N4" s="50"/>
      <c r="O4" s="50"/>
      <c r="P4" s="791"/>
      <c r="Q4" s="50"/>
      <c r="R4" s="50"/>
      <c r="S4" s="50"/>
      <c r="W4" s="51"/>
      <c r="X4" s="45" t="s">
        <v>17</v>
      </c>
      <c r="Y4" s="45">
        <v>0.96568537435937751</v>
      </c>
    </row>
    <row r="5" spans="1:32" s="55" customFormat="1" ht="75" customHeight="1">
      <c r="A5" s="863" t="s">
        <v>124</v>
      </c>
      <c r="B5" s="56" t="s">
        <v>95</v>
      </c>
      <c r="C5" s="319" t="s">
        <v>413</v>
      </c>
      <c r="D5" s="319" t="s">
        <v>119</v>
      </c>
      <c r="E5" s="319" t="s">
        <v>459</v>
      </c>
      <c r="F5" s="319" t="s">
        <v>460</v>
      </c>
      <c r="G5" s="57" t="s">
        <v>120</v>
      </c>
      <c r="H5" s="58" t="s">
        <v>274</v>
      </c>
      <c r="I5" s="258"/>
      <c r="J5" s="319" t="s">
        <v>121</v>
      </c>
      <c r="K5" s="319" t="s">
        <v>122</v>
      </c>
      <c r="L5" s="319" t="s">
        <v>3</v>
      </c>
      <c r="M5" s="319" t="s">
        <v>412</v>
      </c>
      <c r="N5" s="319" t="s">
        <v>422</v>
      </c>
      <c r="O5" s="929" t="s">
        <v>400</v>
      </c>
      <c r="P5" s="1361"/>
      <c r="Q5" s="929" t="s">
        <v>398</v>
      </c>
      <c r="R5" s="929" t="s">
        <v>367</v>
      </c>
      <c r="S5" s="929" t="s">
        <v>366</v>
      </c>
      <c r="W5" s="54"/>
      <c r="X5" t="s">
        <v>13</v>
      </c>
      <c r="Y5"/>
      <c r="Z5"/>
      <c r="AA5"/>
      <c r="AB5"/>
      <c r="AC5"/>
      <c r="AD5"/>
      <c r="AE5"/>
      <c r="AF5"/>
    </row>
    <row r="6" spans="1:32" s="55" customFormat="1" ht="13.8" thickBot="1">
      <c r="A6" s="864">
        <f>YEAR(B6)</f>
        <v>2011</v>
      </c>
      <c r="B6" s="263">
        <v>40574</v>
      </c>
      <c r="C6" s="63">
        <f>'Purchased Power Model No CDM'!C6</f>
        <v>12132585</v>
      </c>
      <c r="D6" s="63">
        <f>'Purchased Power Model No CDM'!D6</f>
        <v>1799</v>
      </c>
      <c r="E6" s="858"/>
      <c r="F6" s="888"/>
      <c r="G6" s="64"/>
      <c r="H6" s="65">
        <f t="shared" ref="H6:H37" si="0">SUM(C6:G6)</f>
        <v>12134384</v>
      </c>
      <c r="I6" s="259"/>
      <c r="J6" s="150">
        <f>'Purchased Power Model No CDM'!J6</f>
        <v>888.7</v>
      </c>
      <c r="K6" s="150">
        <f>'Purchased Power Model No CDM'!K6</f>
        <v>0</v>
      </c>
      <c r="L6" s="1478">
        <f>'Purchased Power Model No CDM'!L6</f>
        <v>31</v>
      </c>
      <c r="M6" s="150">
        <f>'Purchased Power Model No CDM'!M6</f>
        <v>1</v>
      </c>
      <c r="N6" s="322">
        <f>'Purchased Power Model No CDM'!N6</f>
        <v>20</v>
      </c>
      <c r="O6" s="857">
        <f>'Purchased Power Model No CDM'!P6</f>
        <v>0</v>
      </c>
      <c r="P6" s="1362"/>
      <c r="Q6" s="930">
        <v>1</v>
      </c>
      <c r="R6" s="930">
        <v>5819.75</v>
      </c>
      <c r="S6" s="933">
        <v>103.10357031534689</v>
      </c>
      <c r="W6" s="54"/>
      <c r="X6"/>
      <c r="Y6"/>
      <c r="Z6"/>
      <c r="AA6"/>
      <c r="AB6"/>
      <c r="AC6"/>
      <c r="AD6"/>
      <c r="AE6"/>
      <c r="AF6"/>
    </row>
    <row r="7" spans="1:32" s="55" customFormat="1">
      <c r="A7" s="864">
        <f t="shared" ref="A7:A70" si="1">YEAR(B7)</f>
        <v>2011</v>
      </c>
      <c r="B7" s="62">
        <f>EOMONTH(B6,1)</f>
        <v>40602</v>
      </c>
      <c r="C7" s="69">
        <f>'Purchased Power Model No CDM'!C7</f>
        <v>10866454</v>
      </c>
      <c r="D7" s="69">
        <f>'Purchased Power Model No CDM'!D7</f>
        <v>1033</v>
      </c>
      <c r="E7" s="858"/>
      <c r="F7" s="888"/>
      <c r="G7" s="70"/>
      <c r="H7" s="71">
        <f t="shared" si="0"/>
        <v>10867487</v>
      </c>
      <c r="I7" s="259"/>
      <c r="J7" s="150">
        <f>'Purchased Power Model No CDM'!J7</f>
        <v>731.6</v>
      </c>
      <c r="K7" s="857">
        <f>'Purchased Power Model No CDM'!K7</f>
        <v>0</v>
      </c>
      <c r="L7" s="322">
        <f>'Purchased Power Model No CDM'!L7</f>
        <v>28</v>
      </c>
      <c r="M7" s="150">
        <f>'Purchased Power Model No CDM'!M7</f>
        <v>1</v>
      </c>
      <c r="N7" s="322">
        <f>'Purchased Power Model No CDM'!N7</f>
        <v>19</v>
      </c>
      <c r="O7" s="857">
        <f>'Purchased Power Model No CDM'!P7</f>
        <v>0</v>
      </c>
      <c r="P7" s="1362"/>
      <c r="Q7" s="930">
        <v>2</v>
      </c>
      <c r="R7" s="930">
        <v>5821.5</v>
      </c>
      <c r="S7" s="933">
        <v>103.30754336026908</v>
      </c>
      <c r="W7" s="54"/>
      <c r="X7" s="17" t="s">
        <v>14</v>
      </c>
      <c r="Y7" s="17"/>
      <c r="Z7"/>
      <c r="AA7"/>
      <c r="AB7"/>
      <c r="AC7"/>
      <c r="AD7"/>
      <c r="AE7"/>
      <c r="AF7"/>
    </row>
    <row r="8" spans="1:32" s="55" customFormat="1">
      <c r="A8" s="864">
        <f t="shared" si="1"/>
        <v>2011</v>
      </c>
      <c r="B8" s="62">
        <f t="shared" ref="B8:B18" si="2">EOMONTH(B7,1)</f>
        <v>40633</v>
      </c>
      <c r="C8" s="69">
        <f>'Purchased Power Model No CDM'!C8</f>
        <v>11067608</v>
      </c>
      <c r="D8" s="69">
        <f>'Purchased Power Model No CDM'!D8</f>
        <v>2402</v>
      </c>
      <c r="E8" s="858"/>
      <c r="F8" s="888"/>
      <c r="G8" s="73"/>
      <c r="H8" s="71">
        <f t="shared" si="0"/>
        <v>11070010</v>
      </c>
      <c r="I8" s="259"/>
      <c r="J8" s="150">
        <f>'Purchased Power Model No CDM'!J8</f>
        <v>634.59999999999991</v>
      </c>
      <c r="K8" s="857">
        <f>'Purchased Power Model No CDM'!K8</f>
        <v>0</v>
      </c>
      <c r="L8" s="322">
        <f>'Purchased Power Model No CDM'!L8</f>
        <v>31</v>
      </c>
      <c r="M8" s="150">
        <f>'Purchased Power Model No CDM'!M8</f>
        <v>1</v>
      </c>
      <c r="N8" s="322">
        <f>'Purchased Power Model No CDM'!N8</f>
        <v>23</v>
      </c>
      <c r="O8" s="857">
        <f>'Purchased Power Model No CDM'!P8</f>
        <v>0</v>
      </c>
      <c r="P8" s="1362"/>
      <c r="Q8" s="930">
        <v>3</v>
      </c>
      <c r="R8" s="930">
        <v>5823.25</v>
      </c>
      <c r="S8" s="933">
        <v>103.51191993149912</v>
      </c>
      <c r="W8" s="54"/>
      <c r="X8" s="14" t="s">
        <v>15</v>
      </c>
      <c r="Y8" s="14">
        <v>0.97987043714093502</v>
      </c>
      <c r="Z8"/>
      <c r="AA8"/>
      <c r="AB8"/>
      <c r="AC8"/>
      <c r="AD8"/>
      <c r="AE8"/>
      <c r="AF8"/>
    </row>
    <row r="9" spans="1:32" s="55" customFormat="1">
      <c r="A9" s="864">
        <f t="shared" si="1"/>
        <v>2011</v>
      </c>
      <c r="B9" s="62">
        <f t="shared" si="2"/>
        <v>40663</v>
      </c>
      <c r="C9" s="69">
        <f>'Purchased Power Model No CDM'!C9</f>
        <v>9072415</v>
      </c>
      <c r="D9" s="69">
        <f>'Purchased Power Model No CDM'!D9</f>
        <v>2602</v>
      </c>
      <c r="E9" s="858"/>
      <c r="F9" s="888"/>
      <c r="G9" s="73"/>
      <c r="H9" s="71">
        <f t="shared" si="0"/>
        <v>9075017</v>
      </c>
      <c r="I9" s="259"/>
      <c r="J9" s="150">
        <f>'Purchased Power Model No CDM'!J9</f>
        <v>347.40000000000009</v>
      </c>
      <c r="K9" s="857">
        <f>'Purchased Power Model No CDM'!K9</f>
        <v>0</v>
      </c>
      <c r="L9" s="322">
        <f>'Purchased Power Model No CDM'!L9</f>
        <v>30</v>
      </c>
      <c r="M9" s="150">
        <f>'Purchased Power Model No CDM'!M9</f>
        <v>0</v>
      </c>
      <c r="N9" s="322">
        <f>'Purchased Power Model No CDM'!N9</f>
        <v>19</v>
      </c>
      <c r="O9" s="857">
        <f>'Purchased Power Model No CDM'!P9</f>
        <v>0</v>
      </c>
      <c r="P9" s="1362"/>
      <c r="Q9" s="930">
        <v>4</v>
      </c>
      <c r="R9" s="930">
        <v>5825</v>
      </c>
      <c r="S9" s="933">
        <v>103.71670082734583</v>
      </c>
      <c r="W9" s="54"/>
      <c r="X9" s="14" t="s">
        <v>16</v>
      </c>
      <c r="Y9" s="14">
        <v>0.96014607358276716</v>
      </c>
      <c r="Z9"/>
      <c r="AA9"/>
      <c r="AB9"/>
      <c r="AC9"/>
      <c r="AD9"/>
      <c r="AE9"/>
      <c r="AF9"/>
    </row>
    <row r="10" spans="1:32" s="55" customFormat="1">
      <c r="A10" s="864">
        <f t="shared" si="1"/>
        <v>2011</v>
      </c>
      <c r="B10" s="62">
        <f t="shared" si="2"/>
        <v>40694</v>
      </c>
      <c r="C10" s="69">
        <f>'Purchased Power Model No CDM'!C10</f>
        <v>8656277</v>
      </c>
      <c r="D10" s="69">
        <f>'Purchased Power Model No CDM'!D10</f>
        <v>2828</v>
      </c>
      <c r="E10" s="858"/>
      <c r="F10" s="888"/>
      <c r="G10" s="73"/>
      <c r="H10" s="71">
        <f t="shared" si="0"/>
        <v>8659105</v>
      </c>
      <c r="I10" s="259"/>
      <c r="J10" s="150">
        <f>'Purchased Power Model No CDM'!J10</f>
        <v>142.79999999999998</v>
      </c>
      <c r="K10" s="857">
        <f>'Purchased Power Model No CDM'!K10</f>
        <v>16.7</v>
      </c>
      <c r="L10" s="322">
        <f>'Purchased Power Model No CDM'!L10</f>
        <v>31</v>
      </c>
      <c r="M10" s="150">
        <f>'Purchased Power Model No CDM'!M10</f>
        <v>0</v>
      </c>
      <c r="N10" s="322">
        <f>'Purchased Power Model No CDM'!N10</f>
        <v>21</v>
      </c>
      <c r="O10" s="857">
        <f>'Purchased Power Model No CDM'!P10</f>
        <v>0</v>
      </c>
      <c r="P10" s="1362"/>
      <c r="Q10" s="930">
        <v>5</v>
      </c>
      <c r="R10" s="930">
        <v>5826.75</v>
      </c>
      <c r="S10" s="933">
        <v>103.92188684769735</v>
      </c>
      <c r="W10" s="54"/>
      <c r="X10" s="14" t="s">
        <v>17</v>
      </c>
      <c r="Y10" s="14">
        <v>0.95765520318169006</v>
      </c>
      <c r="Z10"/>
      <c r="AA10"/>
      <c r="AB10"/>
      <c r="AC10"/>
      <c r="AD10"/>
      <c r="AE10"/>
      <c r="AF10"/>
    </row>
    <row r="11" spans="1:32" s="55" customFormat="1">
      <c r="A11" s="864">
        <f t="shared" si="1"/>
        <v>2011</v>
      </c>
      <c r="B11" s="62">
        <f t="shared" si="2"/>
        <v>40724</v>
      </c>
      <c r="C11" s="69">
        <f>'Purchased Power Model No CDM'!C11</f>
        <v>8776092</v>
      </c>
      <c r="D11" s="69">
        <f>'Purchased Power Model No CDM'!D11</f>
        <v>3389</v>
      </c>
      <c r="E11" s="858"/>
      <c r="F11" s="888"/>
      <c r="G11" s="73"/>
      <c r="H11" s="71">
        <f t="shared" si="0"/>
        <v>8779481</v>
      </c>
      <c r="I11" s="259"/>
      <c r="J11" s="150">
        <f>'Purchased Power Model No CDM'!J11</f>
        <v>18.5</v>
      </c>
      <c r="K11" s="857">
        <f>'Purchased Power Model No CDM'!K11</f>
        <v>59.1</v>
      </c>
      <c r="L11" s="322">
        <f>'Purchased Power Model No CDM'!L11</f>
        <v>30</v>
      </c>
      <c r="M11" s="150">
        <f>'Purchased Power Model No CDM'!M11</f>
        <v>1</v>
      </c>
      <c r="N11" s="322">
        <f>'Purchased Power Model No CDM'!N11</f>
        <v>22</v>
      </c>
      <c r="O11" s="857">
        <f>'Purchased Power Model No CDM'!P11</f>
        <v>0</v>
      </c>
      <c r="P11" s="1362"/>
      <c r="Q11" s="930">
        <v>6</v>
      </c>
      <c r="R11" s="930">
        <v>5828.5</v>
      </c>
      <c r="S11" s="933">
        <v>104.12747879402426</v>
      </c>
      <c r="W11" s="54"/>
      <c r="X11" s="14" t="s">
        <v>18</v>
      </c>
      <c r="Y11" s="14">
        <v>239469.23672604025</v>
      </c>
      <c r="Z11"/>
      <c r="AA11"/>
      <c r="AB11"/>
      <c r="AC11"/>
      <c r="AD11"/>
      <c r="AE11"/>
      <c r="AF11"/>
    </row>
    <row r="12" spans="1:32" s="55" customFormat="1" ht="13.8" thickBot="1">
      <c r="A12" s="864">
        <f t="shared" si="1"/>
        <v>2011</v>
      </c>
      <c r="B12" s="62">
        <f t="shared" si="2"/>
        <v>40755</v>
      </c>
      <c r="C12" s="69">
        <f>'Purchased Power Model No CDM'!C12</f>
        <v>9998192</v>
      </c>
      <c r="D12" s="69">
        <f>'Purchased Power Model No CDM'!D12</f>
        <v>3782</v>
      </c>
      <c r="E12" s="858"/>
      <c r="F12" s="888"/>
      <c r="G12" s="73"/>
      <c r="H12" s="71">
        <f t="shared" si="0"/>
        <v>10001974</v>
      </c>
      <c r="I12" s="259"/>
      <c r="J12" s="150">
        <f>'Purchased Power Model No CDM'!J12</f>
        <v>0</v>
      </c>
      <c r="K12" s="857">
        <f>'Purchased Power Model No CDM'!K12</f>
        <v>137.5</v>
      </c>
      <c r="L12" s="322">
        <f>'Purchased Power Model No CDM'!L12</f>
        <v>31</v>
      </c>
      <c r="M12" s="150">
        <f>'Purchased Power Model No CDM'!M12</f>
        <v>1</v>
      </c>
      <c r="N12" s="322">
        <f>'Purchased Power Model No CDM'!N12</f>
        <v>20</v>
      </c>
      <c r="O12" s="857">
        <f>'Purchased Power Model No CDM'!P12</f>
        <v>0</v>
      </c>
      <c r="P12" s="1362"/>
      <c r="Q12" s="930">
        <v>7</v>
      </c>
      <c r="R12" s="930">
        <v>5830.25</v>
      </c>
      <c r="S12" s="933">
        <v>104.33347746938271</v>
      </c>
      <c r="W12" s="54"/>
      <c r="X12" s="15" t="s">
        <v>19</v>
      </c>
      <c r="Y12" s="15">
        <v>120</v>
      </c>
      <c r="Z12"/>
      <c r="AA12"/>
      <c r="AB12"/>
      <c r="AC12"/>
      <c r="AD12"/>
      <c r="AE12"/>
      <c r="AF12"/>
    </row>
    <row r="13" spans="1:32" s="55" customFormat="1">
      <c r="A13" s="864">
        <f t="shared" si="1"/>
        <v>2011</v>
      </c>
      <c r="B13" s="62">
        <f t="shared" si="2"/>
        <v>40786</v>
      </c>
      <c r="C13" s="69">
        <f>'Purchased Power Model No CDM'!C13</f>
        <v>9450654</v>
      </c>
      <c r="D13" s="69">
        <f>'Purchased Power Model No CDM'!D13</f>
        <v>3038</v>
      </c>
      <c r="E13" s="858"/>
      <c r="F13" s="888"/>
      <c r="G13" s="73"/>
      <c r="H13" s="71">
        <f t="shared" si="0"/>
        <v>9453692</v>
      </c>
      <c r="I13" s="259"/>
      <c r="J13" s="150">
        <f>'Purchased Power Model No CDM'!J13</f>
        <v>2.3000000000000003</v>
      </c>
      <c r="K13" s="857">
        <f>'Purchased Power Model No CDM'!K13</f>
        <v>82.300000000000011</v>
      </c>
      <c r="L13" s="322">
        <f>'Purchased Power Model No CDM'!L13</f>
        <v>31</v>
      </c>
      <c r="M13" s="150">
        <f>'Purchased Power Model No CDM'!M13</f>
        <v>1</v>
      </c>
      <c r="N13" s="322">
        <f>'Purchased Power Model No CDM'!N13</f>
        <v>22</v>
      </c>
      <c r="O13" s="1358">
        <f>'Purchased Power Model No CDM'!P13</f>
        <v>1</v>
      </c>
      <c r="P13" s="1363"/>
      <c r="Q13" s="930">
        <v>8</v>
      </c>
      <c r="R13" s="930">
        <v>5832</v>
      </c>
      <c r="S13" s="933">
        <v>104.5398836784176</v>
      </c>
      <c r="W13" s="54"/>
      <c r="X13"/>
      <c r="Y13"/>
      <c r="Z13"/>
      <c r="AA13"/>
      <c r="AB13"/>
      <c r="AC13"/>
      <c r="AD13"/>
      <c r="AE13"/>
      <c r="AF13"/>
    </row>
    <row r="14" spans="1:32" s="55" customFormat="1" ht="13.8" thickBot="1">
      <c r="A14" s="864">
        <f t="shared" si="1"/>
        <v>2011</v>
      </c>
      <c r="B14" s="62">
        <f t="shared" si="2"/>
        <v>40816</v>
      </c>
      <c r="C14" s="69">
        <f>'Purchased Power Model No CDM'!C14</f>
        <v>8631923</v>
      </c>
      <c r="D14" s="69">
        <f>'Purchased Power Model No CDM'!D14</f>
        <v>5616</v>
      </c>
      <c r="E14" s="858"/>
      <c r="F14" s="888"/>
      <c r="G14" s="73"/>
      <c r="H14" s="71">
        <f t="shared" si="0"/>
        <v>8637539</v>
      </c>
      <c r="I14" s="259"/>
      <c r="J14" s="150">
        <f>'Purchased Power Model No CDM'!J14</f>
        <v>55.4</v>
      </c>
      <c r="K14" s="857">
        <f>'Purchased Power Model No CDM'!K14</f>
        <v>32.9</v>
      </c>
      <c r="L14" s="322">
        <f>'Purchased Power Model No CDM'!L14</f>
        <v>30</v>
      </c>
      <c r="M14" s="150">
        <f>'Purchased Power Model No CDM'!M14</f>
        <v>1</v>
      </c>
      <c r="N14" s="322">
        <f>'Purchased Power Model No CDM'!N14</f>
        <v>21</v>
      </c>
      <c r="O14" s="857">
        <f>'Purchased Power Model No CDM'!P14</f>
        <v>0</v>
      </c>
      <c r="P14" s="1362"/>
      <c r="Q14" s="930">
        <v>9</v>
      </c>
      <c r="R14" s="930">
        <v>5833.75</v>
      </c>
      <c r="S14" s="933">
        <v>104.74669822736561</v>
      </c>
      <c r="W14" s="54"/>
      <c r="X14" t="s">
        <v>20</v>
      </c>
      <c r="Y14"/>
      <c r="Z14"/>
      <c r="AA14"/>
      <c r="AB14"/>
      <c r="AC14"/>
      <c r="AD14"/>
      <c r="AE14"/>
      <c r="AF14"/>
    </row>
    <row r="15" spans="1:32" s="55" customFormat="1">
      <c r="A15" s="864">
        <f t="shared" si="1"/>
        <v>2011</v>
      </c>
      <c r="B15" s="62">
        <f t="shared" si="2"/>
        <v>40847</v>
      </c>
      <c r="C15" s="69">
        <f>'Purchased Power Model No CDM'!C15</f>
        <v>8921515</v>
      </c>
      <c r="D15" s="69">
        <f>'Purchased Power Model No CDM'!D15</f>
        <v>3860</v>
      </c>
      <c r="E15" s="858"/>
      <c r="F15" s="888"/>
      <c r="G15" s="73"/>
      <c r="H15" s="71">
        <f t="shared" si="0"/>
        <v>8925375</v>
      </c>
      <c r="I15" s="259"/>
      <c r="J15" s="150">
        <f>'Purchased Power Model No CDM'!J15</f>
        <v>259.10000000000002</v>
      </c>
      <c r="K15" s="857">
        <f>'Purchased Power Model No CDM'!K15</f>
        <v>1.4</v>
      </c>
      <c r="L15" s="322">
        <f>'Purchased Power Model No CDM'!L15</f>
        <v>31</v>
      </c>
      <c r="M15" s="150">
        <f>'Purchased Power Model No CDM'!M15</f>
        <v>0</v>
      </c>
      <c r="N15" s="322">
        <f>'Purchased Power Model No CDM'!N15</f>
        <v>20</v>
      </c>
      <c r="O15" s="857">
        <f>'Purchased Power Model No CDM'!P15</f>
        <v>0</v>
      </c>
      <c r="P15" s="1362"/>
      <c r="Q15" s="930">
        <v>10</v>
      </c>
      <c r="R15" s="930">
        <v>5835.5</v>
      </c>
      <c r="S15" s="933">
        <v>104.95392192405851</v>
      </c>
      <c r="W15" s="54"/>
      <c r="X15" s="16"/>
      <c r="Y15" s="16" t="s">
        <v>24</v>
      </c>
      <c r="Z15" s="16" t="s">
        <v>25</v>
      </c>
      <c r="AA15" s="16" t="s">
        <v>26</v>
      </c>
      <c r="AB15" s="16" t="s">
        <v>27</v>
      </c>
      <c r="AC15" s="16" t="s">
        <v>28</v>
      </c>
      <c r="AD15"/>
      <c r="AE15"/>
      <c r="AF15"/>
    </row>
    <row r="16" spans="1:32" s="55" customFormat="1">
      <c r="A16" s="864">
        <f t="shared" si="1"/>
        <v>2011</v>
      </c>
      <c r="B16" s="62">
        <f t="shared" si="2"/>
        <v>40877</v>
      </c>
      <c r="C16" s="69">
        <f>'Purchased Power Model No CDM'!C16</f>
        <v>9478715</v>
      </c>
      <c r="D16" s="69">
        <f>'Purchased Power Model No CDM'!D16</f>
        <v>2771</v>
      </c>
      <c r="E16" s="858"/>
      <c r="F16" s="888"/>
      <c r="G16" s="73"/>
      <c r="H16" s="71">
        <f t="shared" si="0"/>
        <v>9481486</v>
      </c>
      <c r="I16" s="259"/>
      <c r="J16" s="150">
        <f>'Purchased Power Model No CDM'!J16</f>
        <v>392.9</v>
      </c>
      <c r="K16" s="857">
        <f>'Purchased Power Model No CDM'!K16</f>
        <v>0</v>
      </c>
      <c r="L16" s="322">
        <f>'Purchased Power Model No CDM'!L16</f>
        <v>30</v>
      </c>
      <c r="M16" s="150">
        <f>'Purchased Power Model No CDM'!M16</f>
        <v>0</v>
      </c>
      <c r="N16" s="322">
        <f>'Purchased Power Model No CDM'!N16</f>
        <v>22</v>
      </c>
      <c r="O16" s="857">
        <f>'Purchased Power Model No CDM'!P16</f>
        <v>0</v>
      </c>
      <c r="P16" s="1362"/>
      <c r="Q16" s="930">
        <v>11</v>
      </c>
      <c r="R16" s="930">
        <v>5837.25</v>
      </c>
      <c r="S16" s="933">
        <v>105.16155557792617</v>
      </c>
      <c r="W16" s="54"/>
      <c r="X16" s="14" t="s">
        <v>21</v>
      </c>
      <c r="Y16" s="14">
        <v>7</v>
      </c>
      <c r="Z16" s="14">
        <v>154733260935572.97</v>
      </c>
      <c r="AA16" s="14">
        <v>22104751562224.711</v>
      </c>
      <c r="AB16" s="14">
        <v>385.46608975224069</v>
      </c>
      <c r="AC16" s="14">
        <v>2.919100273679317E-75</v>
      </c>
      <c r="AD16"/>
      <c r="AE16"/>
      <c r="AF16"/>
    </row>
    <row r="17" spans="1:32" s="55" customFormat="1">
      <c r="A17" s="916">
        <f t="shared" si="1"/>
        <v>2011</v>
      </c>
      <c r="B17" s="151">
        <f t="shared" si="2"/>
        <v>40908</v>
      </c>
      <c r="C17" s="74">
        <f>'Purchased Power Model No CDM'!C17</f>
        <v>10916892</v>
      </c>
      <c r="D17" s="81">
        <f>'Purchased Power Model No CDM'!D17</f>
        <v>1792</v>
      </c>
      <c r="E17" s="859"/>
      <c r="F17" s="952"/>
      <c r="G17" s="75"/>
      <c r="H17" s="76">
        <f t="shared" si="0"/>
        <v>10918684</v>
      </c>
      <c r="I17" s="260"/>
      <c r="J17" s="104">
        <f>'Purchased Power Model No CDM'!J17</f>
        <v>672.19999999999993</v>
      </c>
      <c r="K17" s="839">
        <f>'Purchased Power Model No CDM'!K17</f>
        <v>0</v>
      </c>
      <c r="L17" s="323">
        <f>'Purchased Power Model No CDM'!L17</f>
        <v>31</v>
      </c>
      <c r="M17" s="104">
        <f>'Purchased Power Model No CDM'!M17</f>
        <v>1</v>
      </c>
      <c r="N17" s="323">
        <f>'Purchased Power Model No CDM'!N17</f>
        <v>20</v>
      </c>
      <c r="O17" s="871">
        <f>'Purchased Power Model No CDM'!P17</f>
        <v>0</v>
      </c>
      <c r="P17" s="1362"/>
      <c r="Q17" s="931">
        <v>12</v>
      </c>
      <c r="R17" s="931">
        <v>5839</v>
      </c>
      <c r="S17" s="934">
        <v>105.36959999999981</v>
      </c>
      <c r="W17" s="54"/>
      <c r="X17" s="14" t="s">
        <v>22</v>
      </c>
      <c r="Y17" s="14">
        <v>112</v>
      </c>
      <c r="Z17" s="14">
        <v>6422697717873.0586</v>
      </c>
      <c r="AA17" s="14">
        <v>57345515338.152306</v>
      </c>
      <c r="AB17" s="14"/>
      <c r="AC17" s="14"/>
      <c r="AD17"/>
      <c r="AE17"/>
      <c r="AF17"/>
    </row>
    <row r="18" spans="1:32" ht="13.8" thickBot="1">
      <c r="A18" s="864">
        <f t="shared" si="1"/>
        <v>2012</v>
      </c>
      <c r="B18" s="62">
        <f t="shared" si="2"/>
        <v>40939</v>
      </c>
      <c r="C18" s="63">
        <f>'Purchased Power Model No CDM'!C18</f>
        <v>11698538</v>
      </c>
      <c r="D18" s="63">
        <f>'Purchased Power Model No CDM'!D18</f>
        <v>1495</v>
      </c>
      <c r="E18" s="858"/>
      <c r="F18" s="888"/>
      <c r="G18" s="64"/>
      <c r="H18" s="65">
        <f t="shared" si="0"/>
        <v>11700033</v>
      </c>
      <c r="I18" s="259"/>
      <c r="J18" s="150">
        <f>'Purchased Power Model No CDM'!J18</f>
        <v>831.00000000000023</v>
      </c>
      <c r="K18" s="857">
        <f>'Purchased Power Model No CDM'!K18</f>
        <v>0</v>
      </c>
      <c r="L18" s="322">
        <f>'Purchased Power Model No CDM'!L18</f>
        <v>31</v>
      </c>
      <c r="M18" s="150">
        <f>'Purchased Power Model No CDM'!M18</f>
        <v>1</v>
      </c>
      <c r="N18" s="322">
        <f>'Purchased Power Model No CDM'!N18</f>
        <v>21</v>
      </c>
      <c r="O18" s="857">
        <f>'Purchased Power Model No CDM'!P18</f>
        <v>0</v>
      </c>
      <c r="P18" s="1362"/>
      <c r="Q18" s="930">
        <v>13</v>
      </c>
      <c r="R18" s="930">
        <v>5840.916666666667</v>
      </c>
      <c r="S18" s="933">
        <v>105.48307584984978</v>
      </c>
      <c r="W18" s="264"/>
      <c r="X18" s="15" t="s">
        <v>5</v>
      </c>
      <c r="Y18" s="15">
        <v>119</v>
      </c>
      <c r="Z18" s="15">
        <v>161155958653446.03</v>
      </c>
      <c r="AA18" s="15"/>
      <c r="AB18" s="15"/>
      <c r="AC18" s="15"/>
      <c r="AD18"/>
      <c r="AE18"/>
      <c r="AF18"/>
    </row>
    <row r="19" spans="1:32" ht="13.8" thickBot="1">
      <c r="A19" s="864">
        <f t="shared" si="1"/>
        <v>2012</v>
      </c>
      <c r="B19" s="62">
        <f>EOMONTH(B18,1)</f>
        <v>40968</v>
      </c>
      <c r="C19" s="69">
        <f>'Purchased Power Model No CDM'!C19</f>
        <v>10394346</v>
      </c>
      <c r="D19" s="69">
        <f>'Purchased Power Model No CDM'!D19</f>
        <v>3678</v>
      </c>
      <c r="E19" s="858"/>
      <c r="F19" s="888"/>
      <c r="G19" s="70"/>
      <c r="H19" s="71">
        <f t="shared" si="0"/>
        <v>10398024</v>
      </c>
      <c r="I19" s="259"/>
      <c r="J19" s="150">
        <f>'Purchased Power Model No CDM'!J19</f>
        <v>671.39999999999986</v>
      </c>
      <c r="K19" s="857">
        <f>'Purchased Power Model No CDM'!K19</f>
        <v>0</v>
      </c>
      <c r="L19" s="322">
        <f>'Purchased Power Model No CDM'!L19</f>
        <v>29</v>
      </c>
      <c r="M19" s="150">
        <f>'Purchased Power Model No CDM'!M19</f>
        <v>1</v>
      </c>
      <c r="N19" s="322">
        <f>'Purchased Power Model No CDM'!N19</f>
        <v>20</v>
      </c>
      <c r="O19" s="857">
        <f>'Purchased Power Model No CDM'!P19</f>
        <v>0</v>
      </c>
      <c r="P19" s="1362"/>
      <c r="Q19" s="930">
        <v>14</v>
      </c>
      <c r="R19" s="930">
        <v>5842.8333333333339</v>
      </c>
      <c r="S19" s="933">
        <v>105.59667390542607</v>
      </c>
      <c r="W19" s="264"/>
      <c r="X19"/>
      <c r="Y19"/>
      <c r="Z19"/>
      <c r="AA19"/>
      <c r="AB19"/>
      <c r="AC19"/>
      <c r="AD19"/>
      <c r="AE19"/>
      <c r="AF19"/>
    </row>
    <row r="20" spans="1:32">
      <c r="A20" s="864">
        <f t="shared" si="1"/>
        <v>2012</v>
      </c>
      <c r="B20" s="62">
        <f t="shared" ref="B20:B83" si="3">EOMONTH(B19,1)</f>
        <v>40999</v>
      </c>
      <c r="C20" s="69">
        <f>'Purchased Power Model No CDM'!C20</f>
        <v>9868346</v>
      </c>
      <c r="D20" s="69">
        <f>'Purchased Power Model No CDM'!D20</f>
        <v>5711</v>
      </c>
      <c r="E20" s="858"/>
      <c r="F20" s="888"/>
      <c r="G20" s="73"/>
      <c r="H20" s="71">
        <f t="shared" si="0"/>
        <v>9874057</v>
      </c>
      <c r="I20" s="259"/>
      <c r="J20" s="150">
        <f>'Purchased Power Model No CDM'!J20</f>
        <v>460.29999999999984</v>
      </c>
      <c r="K20" s="857">
        <f>'Purchased Power Model No CDM'!K20</f>
        <v>0</v>
      </c>
      <c r="L20" s="322">
        <f>'Purchased Power Model No CDM'!L20</f>
        <v>31</v>
      </c>
      <c r="M20" s="150">
        <f>'Purchased Power Model No CDM'!M20</f>
        <v>1</v>
      </c>
      <c r="N20" s="322">
        <f>'Purchased Power Model No CDM'!N20</f>
        <v>22</v>
      </c>
      <c r="O20" s="857">
        <f>'Purchased Power Model No CDM'!P20</f>
        <v>0</v>
      </c>
      <c r="P20" s="1362"/>
      <c r="Q20" s="930">
        <v>15</v>
      </c>
      <c r="R20" s="930">
        <v>5844.7500000000009</v>
      </c>
      <c r="S20" s="933">
        <v>105.71039429833587</v>
      </c>
      <c r="W20" s="264"/>
      <c r="X20" s="16"/>
      <c r="Y20" s="16" t="s">
        <v>29</v>
      </c>
      <c r="Z20" s="16" t="s">
        <v>18</v>
      </c>
      <c r="AA20" s="16" t="s">
        <v>30</v>
      </c>
      <c r="AB20" s="16" t="s">
        <v>31</v>
      </c>
      <c r="AC20" s="16" t="s">
        <v>32</v>
      </c>
      <c r="AD20" s="16" t="s">
        <v>33</v>
      </c>
      <c r="AE20" s="16" t="s">
        <v>115</v>
      </c>
      <c r="AF20" s="16" t="s">
        <v>116</v>
      </c>
    </row>
    <row r="21" spans="1:32">
      <c r="A21" s="864">
        <f t="shared" si="1"/>
        <v>2012</v>
      </c>
      <c r="B21" s="62">
        <f t="shared" si="3"/>
        <v>41029</v>
      </c>
      <c r="C21" s="69">
        <f>'Purchased Power Model No CDM'!C21</f>
        <v>8701738</v>
      </c>
      <c r="D21" s="69">
        <f>'Purchased Power Model No CDM'!D21</f>
        <v>6666</v>
      </c>
      <c r="E21" s="858"/>
      <c r="F21" s="888"/>
      <c r="G21" s="73"/>
      <c r="H21" s="71">
        <f t="shared" si="0"/>
        <v>8708404</v>
      </c>
      <c r="I21" s="259"/>
      <c r="J21" s="150">
        <f>'Purchased Power Model No CDM'!J21</f>
        <v>363.30000000000007</v>
      </c>
      <c r="K21" s="857">
        <f>'Purchased Power Model No CDM'!K21</f>
        <v>3.2</v>
      </c>
      <c r="L21" s="322">
        <f>'Purchased Power Model No CDM'!L21</f>
        <v>30</v>
      </c>
      <c r="M21" s="150">
        <f>'Purchased Power Model No CDM'!M21</f>
        <v>0</v>
      </c>
      <c r="N21" s="322">
        <f>'Purchased Power Model No CDM'!N21</f>
        <v>19</v>
      </c>
      <c r="O21" s="857">
        <f>'Purchased Power Model No CDM'!P21</f>
        <v>0</v>
      </c>
      <c r="P21" s="1362"/>
      <c r="Q21" s="930">
        <v>16</v>
      </c>
      <c r="R21" s="930">
        <v>5846.6666666666679</v>
      </c>
      <c r="S21" s="933">
        <v>105.82423716032812</v>
      </c>
      <c r="W21" s="264"/>
      <c r="X21" s="14" t="s">
        <v>23</v>
      </c>
      <c r="Y21" s="14">
        <v>72408288.702886105</v>
      </c>
      <c r="Z21" s="14">
        <v>5153341.7134038471</v>
      </c>
      <c r="AA21" s="14">
        <v>14.050744687578561</v>
      </c>
      <c r="AB21" s="14">
        <v>1.807315625832799E-26</v>
      </c>
      <c r="AC21" s="14">
        <v>62197602.679521367</v>
      </c>
      <c r="AD21" s="14">
        <v>82618974.726250842</v>
      </c>
      <c r="AE21" s="14">
        <v>62197602.679521367</v>
      </c>
      <c r="AF21" s="14">
        <v>82618974.726250842</v>
      </c>
    </row>
    <row r="22" spans="1:32">
      <c r="A22" s="864">
        <f t="shared" si="1"/>
        <v>2012</v>
      </c>
      <c r="B22" s="62">
        <f t="shared" si="3"/>
        <v>41060</v>
      </c>
      <c r="C22" s="69">
        <f>'Purchased Power Model No CDM'!C22</f>
        <v>8473818</v>
      </c>
      <c r="D22" s="69">
        <f>'Purchased Power Model No CDM'!D22</f>
        <v>8514</v>
      </c>
      <c r="E22" s="858"/>
      <c r="F22" s="888"/>
      <c r="G22" s="73"/>
      <c r="H22" s="71">
        <f t="shared" si="0"/>
        <v>8482332</v>
      </c>
      <c r="I22" s="259"/>
      <c r="J22" s="150">
        <f>'Purchased Power Model No CDM'!J22</f>
        <v>102.4</v>
      </c>
      <c r="K22" s="857">
        <f>'Purchased Power Model No CDM'!K22</f>
        <v>21</v>
      </c>
      <c r="L22" s="322">
        <f>'Purchased Power Model No CDM'!L22</f>
        <v>31</v>
      </c>
      <c r="M22" s="150">
        <f>'Purchased Power Model No CDM'!M22</f>
        <v>0</v>
      </c>
      <c r="N22" s="322">
        <f>'Purchased Power Model No CDM'!N22</f>
        <v>22</v>
      </c>
      <c r="O22" s="857">
        <f>'Purchased Power Model No CDM'!P22</f>
        <v>0</v>
      </c>
      <c r="P22" s="1362"/>
      <c r="Q22" s="930">
        <v>17</v>
      </c>
      <c r="R22" s="930">
        <v>5848.5833333333348</v>
      </c>
      <c r="S22" s="933">
        <v>105.93820262329366</v>
      </c>
      <c r="W22" s="264"/>
      <c r="X22" s="14" t="s">
        <v>121</v>
      </c>
      <c r="Y22" s="14">
        <v>4476.2594660507393</v>
      </c>
      <c r="Z22" s="14">
        <v>110.87858241810662</v>
      </c>
      <c r="AA22" s="14">
        <v>40.370821563820428</v>
      </c>
      <c r="AB22" s="14">
        <v>1.415116821251588E-68</v>
      </c>
      <c r="AC22" s="14">
        <v>4256.5677679740638</v>
      </c>
      <c r="AD22" s="14">
        <v>4695.9511641274148</v>
      </c>
      <c r="AE22" s="14">
        <v>4256.5677679740638</v>
      </c>
      <c r="AF22" s="14">
        <v>4695.9511641274148</v>
      </c>
    </row>
    <row r="23" spans="1:32">
      <c r="A23" s="864">
        <f t="shared" si="1"/>
        <v>2012</v>
      </c>
      <c r="B23" s="62">
        <f t="shared" si="3"/>
        <v>41090</v>
      </c>
      <c r="C23" s="69">
        <f>'Purchased Power Model No CDM'!C23</f>
        <v>9028518</v>
      </c>
      <c r="D23" s="69">
        <f>'Purchased Power Model No CDM'!D23</f>
        <v>8372</v>
      </c>
      <c r="E23" s="858"/>
      <c r="F23" s="888"/>
      <c r="G23" s="73"/>
      <c r="H23" s="71">
        <f t="shared" si="0"/>
        <v>9036890</v>
      </c>
      <c r="I23" s="259"/>
      <c r="J23" s="150">
        <f>'Purchased Power Model No CDM'!J23</f>
        <v>31.4</v>
      </c>
      <c r="K23" s="857">
        <f>'Purchased Power Model No CDM'!K23</f>
        <v>70.399999999999991</v>
      </c>
      <c r="L23" s="322">
        <f>'Purchased Power Model No CDM'!L23</f>
        <v>30</v>
      </c>
      <c r="M23" s="150">
        <f>'Purchased Power Model No CDM'!M23</f>
        <v>1</v>
      </c>
      <c r="N23" s="322">
        <f>'Purchased Power Model No CDM'!N23</f>
        <v>21</v>
      </c>
      <c r="O23" s="857">
        <f>'Purchased Power Model No CDM'!P23</f>
        <v>0</v>
      </c>
      <c r="P23" s="1362"/>
      <c r="Q23" s="930">
        <v>18</v>
      </c>
      <c r="R23" s="930">
        <v>5850.5000000000018</v>
      </c>
      <c r="S23" s="933">
        <v>106.05229081926534</v>
      </c>
      <c r="W23" s="264"/>
      <c r="X23" s="14" t="s">
        <v>122</v>
      </c>
      <c r="Y23" s="14">
        <v>15871.448178763563</v>
      </c>
      <c r="Z23" s="14">
        <v>903.23671542816726</v>
      </c>
      <c r="AA23" s="14">
        <v>17.571748255649592</v>
      </c>
      <c r="AB23" s="14">
        <v>5.6507996510066808E-34</v>
      </c>
      <c r="AC23" s="14">
        <v>14081.800408652743</v>
      </c>
      <c r="AD23" s="14">
        <v>17661.095948874383</v>
      </c>
      <c r="AE23" s="14">
        <v>14081.800408652743</v>
      </c>
      <c r="AF23" s="14">
        <v>17661.095948874383</v>
      </c>
    </row>
    <row r="24" spans="1:32">
      <c r="A24" s="864">
        <f t="shared" si="1"/>
        <v>2012</v>
      </c>
      <c r="B24" s="62">
        <f t="shared" si="3"/>
        <v>41121</v>
      </c>
      <c r="C24" s="69">
        <f>'Purchased Power Model No CDM'!C24</f>
        <v>9776500</v>
      </c>
      <c r="D24" s="69">
        <f>'Purchased Power Model No CDM'!D24</f>
        <v>8141</v>
      </c>
      <c r="E24" s="858"/>
      <c r="F24" s="888"/>
      <c r="G24" s="73"/>
      <c r="H24" s="71">
        <f t="shared" si="0"/>
        <v>9784641</v>
      </c>
      <c r="I24" s="259"/>
      <c r="J24" s="150">
        <f>'Purchased Power Model No CDM'!J24</f>
        <v>0</v>
      </c>
      <c r="K24" s="857">
        <f>'Purchased Power Model No CDM'!K24</f>
        <v>142.20000000000005</v>
      </c>
      <c r="L24" s="322">
        <f>'Purchased Power Model No CDM'!L24</f>
        <v>31</v>
      </c>
      <c r="M24" s="150">
        <f>'Purchased Power Model No CDM'!M24</f>
        <v>1</v>
      </c>
      <c r="N24" s="322">
        <f>'Purchased Power Model No CDM'!N24</f>
        <v>21</v>
      </c>
      <c r="O24" s="857">
        <f>'Purchased Power Model No CDM'!P24</f>
        <v>0</v>
      </c>
      <c r="P24" s="1362"/>
      <c r="Q24" s="930">
        <v>19</v>
      </c>
      <c r="R24" s="930">
        <v>5852.4166666666688</v>
      </c>
      <c r="S24" s="933">
        <v>106.1665018804182</v>
      </c>
      <c r="W24" s="264"/>
      <c r="X24" s="14" t="s">
        <v>3</v>
      </c>
      <c r="Y24" s="14">
        <v>149894.74689501585</v>
      </c>
      <c r="Z24" s="14">
        <v>31830.874490848029</v>
      </c>
      <c r="AA24" s="14">
        <v>4.7090992406794667</v>
      </c>
      <c r="AB24" s="14">
        <v>7.1821160631434143E-6</v>
      </c>
      <c r="AC24" s="14">
        <v>86825.949335984478</v>
      </c>
      <c r="AD24" s="14">
        <v>212963.54445404722</v>
      </c>
      <c r="AE24" s="14">
        <v>86825.949335984478</v>
      </c>
      <c r="AF24" s="14">
        <v>212963.54445404722</v>
      </c>
    </row>
    <row r="25" spans="1:32">
      <c r="A25" s="864">
        <f t="shared" si="1"/>
        <v>2012</v>
      </c>
      <c r="B25" s="62">
        <f t="shared" si="3"/>
        <v>41152</v>
      </c>
      <c r="C25" s="69">
        <f>'Purchased Power Model No CDM'!C25</f>
        <v>9430200</v>
      </c>
      <c r="D25" s="69">
        <f>'Purchased Power Model No CDM'!D25</f>
        <v>7448</v>
      </c>
      <c r="E25" s="858"/>
      <c r="F25" s="888"/>
      <c r="G25" s="73"/>
      <c r="H25" s="71">
        <f t="shared" si="0"/>
        <v>9437648</v>
      </c>
      <c r="I25" s="259"/>
      <c r="J25" s="150">
        <f>'Purchased Power Model No CDM'!J25</f>
        <v>8.4</v>
      </c>
      <c r="K25" s="857">
        <f>'Purchased Power Model No CDM'!K25</f>
        <v>97.600000000000009</v>
      </c>
      <c r="L25" s="322">
        <f>'Purchased Power Model No CDM'!L25</f>
        <v>31</v>
      </c>
      <c r="M25" s="150">
        <f>'Purchased Power Model No CDM'!M25</f>
        <v>1</v>
      </c>
      <c r="N25" s="322">
        <f>'Purchased Power Model No CDM'!N25</f>
        <v>22</v>
      </c>
      <c r="O25" s="1358">
        <f>'Purchased Power Model No CDM'!P25</f>
        <v>1</v>
      </c>
      <c r="P25" s="1363"/>
      <c r="Q25" s="930">
        <v>20</v>
      </c>
      <c r="R25" s="930">
        <v>5854.3333333333358</v>
      </c>
      <c r="S25" s="933">
        <v>106.28083593906965</v>
      </c>
      <c r="W25" s="264"/>
      <c r="X25" s="14" t="s">
        <v>412</v>
      </c>
      <c r="Y25" s="14">
        <v>338582.73847395816</v>
      </c>
      <c r="Z25" s="14">
        <v>57685.482264631602</v>
      </c>
      <c r="AA25" s="14">
        <v>5.8694618677315216</v>
      </c>
      <c r="AB25" s="14">
        <v>4.5341633539420897E-8</v>
      </c>
      <c r="AC25" s="14">
        <v>224286.34978727024</v>
      </c>
      <c r="AD25" s="14">
        <v>452879.12716064608</v>
      </c>
      <c r="AE25" s="14">
        <v>224286.34978727024</v>
      </c>
      <c r="AF25" s="14">
        <v>452879.12716064608</v>
      </c>
    </row>
    <row r="26" spans="1:32">
      <c r="A26" s="864">
        <f t="shared" si="1"/>
        <v>2012</v>
      </c>
      <c r="B26" s="62">
        <f t="shared" si="3"/>
        <v>41182</v>
      </c>
      <c r="C26" s="69">
        <f>'Purchased Power Model No CDM'!C26</f>
        <v>8456345</v>
      </c>
      <c r="D26" s="69">
        <f>'Purchased Power Model No CDM'!D26</f>
        <v>6062</v>
      </c>
      <c r="E26" s="858"/>
      <c r="F26" s="888"/>
      <c r="G26" s="73"/>
      <c r="H26" s="71">
        <f t="shared" si="0"/>
        <v>8462407</v>
      </c>
      <c r="I26" s="259"/>
      <c r="J26" s="150">
        <f>'Purchased Power Model No CDM'!J26</f>
        <v>127.30000000000001</v>
      </c>
      <c r="K26" s="857">
        <f>'Purchased Power Model No CDM'!K26</f>
        <v>20.6</v>
      </c>
      <c r="L26" s="322">
        <f>'Purchased Power Model No CDM'!L26</f>
        <v>30</v>
      </c>
      <c r="M26" s="150">
        <f>'Purchased Power Model No CDM'!M26</f>
        <v>1</v>
      </c>
      <c r="N26" s="322">
        <f>'Purchased Power Model No CDM'!N26</f>
        <v>19</v>
      </c>
      <c r="O26" s="857">
        <f>'Purchased Power Model No CDM'!P26</f>
        <v>0</v>
      </c>
      <c r="P26" s="1362"/>
      <c r="Q26" s="930">
        <v>21</v>
      </c>
      <c r="R26" s="930">
        <v>5856.2500000000027</v>
      </c>
      <c r="S26" s="933">
        <v>106.39529312767957</v>
      </c>
      <c r="W26" s="264"/>
      <c r="X26" s="14" t="s">
        <v>422</v>
      </c>
      <c r="Y26" s="14">
        <v>55832.101523189005</v>
      </c>
      <c r="Z26" s="14">
        <v>23287.708127283968</v>
      </c>
      <c r="AA26" s="14">
        <v>2.3974923259097318</v>
      </c>
      <c r="AB26" s="14">
        <v>1.8161850596637549E-2</v>
      </c>
      <c r="AC26" s="14">
        <v>9690.4930067227397</v>
      </c>
      <c r="AD26" s="14">
        <v>101973.71003965527</v>
      </c>
      <c r="AE26" s="14">
        <v>9690.4930067227397</v>
      </c>
      <c r="AF26" s="14">
        <v>101973.71003965527</v>
      </c>
    </row>
    <row r="27" spans="1:32">
      <c r="A27" s="864">
        <f t="shared" si="1"/>
        <v>2012</v>
      </c>
      <c r="B27" s="62">
        <f t="shared" si="3"/>
        <v>41213</v>
      </c>
      <c r="C27" s="69">
        <f>'Purchased Power Model No CDM'!C27</f>
        <v>8663345</v>
      </c>
      <c r="D27" s="69">
        <f>'Purchased Power Model No CDM'!D27</f>
        <v>3812</v>
      </c>
      <c r="E27" s="858"/>
      <c r="F27" s="888"/>
      <c r="G27" s="73"/>
      <c r="H27" s="71">
        <f t="shared" si="0"/>
        <v>8667157</v>
      </c>
      <c r="I27" s="259"/>
      <c r="J27" s="345">
        <f>'Purchased Power Model No CDM'!J27</f>
        <v>259.8595782569019</v>
      </c>
      <c r="K27" s="857">
        <f>'Purchased Power Model No CDM'!K27</f>
        <v>0</v>
      </c>
      <c r="L27" s="322">
        <f>'Purchased Power Model No CDM'!L27</f>
        <v>31</v>
      </c>
      <c r="M27" s="150">
        <f>'Purchased Power Model No CDM'!M27</f>
        <v>0</v>
      </c>
      <c r="N27" s="322">
        <f>'Purchased Power Model No CDM'!N27</f>
        <v>22</v>
      </c>
      <c r="O27" s="857">
        <f>'Purchased Power Model No CDM'!P27</f>
        <v>0</v>
      </c>
      <c r="P27" s="1362"/>
      <c r="Q27" s="930">
        <v>22</v>
      </c>
      <c r="R27" s="930">
        <v>5858.1666666666697</v>
      </c>
      <c r="S27" s="933">
        <v>106.5098735788505</v>
      </c>
      <c r="W27" s="264"/>
      <c r="X27" s="14" t="s">
        <v>400</v>
      </c>
      <c r="Y27" s="14">
        <v>433140.26842202502</v>
      </c>
      <c r="Z27" s="14">
        <v>89195.278854283009</v>
      </c>
      <c r="AA27" s="14">
        <v>4.8560896270041356</v>
      </c>
      <c r="AB27" s="14">
        <v>3.9138565678261854E-6</v>
      </c>
      <c r="AC27" s="14">
        <v>256411.25688011636</v>
      </c>
      <c r="AD27" s="14">
        <v>609869.27996393363</v>
      </c>
      <c r="AE27" s="14">
        <v>256411.25688011636</v>
      </c>
      <c r="AF27" s="14">
        <v>609869.27996393363</v>
      </c>
    </row>
    <row r="28" spans="1:32" ht="13.8" thickBot="1">
      <c r="A28" s="864">
        <f t="shared" si="1"/>
        <v>2012</v>
      </c>
      <c r="B28" s="62">
        <f t="shared" si="3"/>
        <v>41243</v>
      </c>
      <c r="C28" s="69">
        <f>'Purchased Power Model No CDM'!C28</f>
        <v>9765918</v>
      </c>
      <c r="D28" s="69">
        <f>'Purchased Power Model No CDM'!D28</f>
        <v>3380</v>
      </c>
      <c r="E28" s="858"/>
      <c r="F28" s="888"/>
      <c r="G28" s="73"/>
      <c r="H28" s="71">
        <f t="shared" si="0"/>
        <v>9769298</v>
      </c>
      <c r="I28" s="259"/>
      <c r="J28" s="150">
        <f>'Purchased Power Model No CDM'!J28</f>
        <v>541.70000000000005</v>
      </c>
      <c r="K28" s="857">
        <f>'Purchased Power Model No CDM'!K28</f>
        <v>0</v>
      </c>
      <c r="L28" s="322">
        <f>'Purchased Power Model No CDM'!L28</f>
        <v>30</v>
      </c>
      <c r="M28" s="150">
        <f>'Purchased Power Model No CDM'!M28</f>
        <v>0</v>
      </c>
      <c r="N28" s="322">
        <f>'Purchased Power Model No CDM'!N28</f>
        <v>22</v>
      </c>
      <c r="O28" s="857">
        <f>'Purchased Power Model No CDM'!P28</f>
        <v>0</v>
      </c>
      <c r="P28" s="1362"/>
      <c r="Q28" s="930">
        <v>23</v>
      </c>
      <c r="R28" s="930">
        <v>5860.0833333333367</v>
      </c>
      <c r="S28" s="933">
        <v>106.6245774253278</v>
      </c>
      <c r="W28" s="264"/>
      <c r="X28" s="1049" t="s">
        <v>367</v>
      </c>
      <c r="Y28" s="1049">
        <v>-12103.014307092706</v>
      </c>
      <c r="Z28" s="15">
        <v>867.35185958436591</v>
      </c>
      <c r="AA28" s="15">
        <v>-13.953984387480828</v>
      </c>
      <c r="AB28" s="15">
        <v>2.9649554432568642E-26</v>
      </c>
      <c r="AC28" s="15">
        <v>-13821.560835253718</v>
      </c>
      <c r="AD28" s="15">
        <v>-10384.467778931694</v>
      </c>
      <c r="AE28" s="15">
        <v>-13821.560835253718</v>
      </c>
      <c r="AF28" s="15">
        <v>-10384.467778931694</v>
      </c>
    </row>
    <row r="29" spans="1:32">
      <c r="A29" s="865">
        <f t="shared" si="1"/>
        <v>2012</v>
      </c>
      <c r="B29" s="151">
        <f t="shared" si="3"/>
        <v>41274</v>
      </c>
      <c r="C29" s="74">
        <f>'Purchased Power Model No CDM'!C29</f>
        <v>10958364</v>
      </c>
      <c r="D29" s="81">
        <f>'Purchased Power Model No CDM'!D29</f>
        <v>1235</v>
      </c>
      <c r="E29" s="859"/>
      <c r="F29" s="952"/>
      <c r="G29" s="75"/>
      <c r="H29" s="76">
        <f t="shared" si="0"/>
        <v>10959599</v>
      </c>
      <c r="I29" s="260"/>
      <c r="J29" s="104">
        <f>'Purchased Power Model No CDM'!J29</f>
        <v>719.1</v>
      </c>
      <c r="K29" s="839">
        <f>'Purchased Power Model No CDM'!K29</f>
        <v>0</v>
      </c>
      <c r="L29" s="323">
        <f>'Purchased Power Model No CDM'!L29</f>
        <v>31</v>
      </c>
      <c r="M29" s="104">
        <f>'Purchased Power Model No CDM'!M29</f>
        <v>1</v>
      </c>
      <c r="N29" s="323">
        <f>'Purchased Power Model No CDM'!N29</f>
        <v>19</v>
      </c>
      <c r="O29" s="871">
        <f>'Purchased Power Model No CDM'!P29</f>
        <v>0</v>
      </c>
      <c r="P29" s="1362"/>
      <c r="Q29" s="931">
        <v>24</v>
      </c>
      <c r="R29" s="931">
        <v>5862</v>
      </c>
      <c r="S29" s="934">
        <v>106.73940479999975</v>
      </c>
      <c r="W29" s="264"/>
      <c r="X29" s="1479" t="s">
        <v>607</v>
      </c>
      <c r="Y29"/>
      <c r="Z29"/>
      <c r="AA29"/>
      <c r="AB29"/>
      <c r="AC29"/>
      <c r="AD29"/>
      <c r="AE29"/>
      <c r="AF29"/>
    </row>
    <row r="30" spans="1:32">
      <c r="A30" s="864">
        <f t="shared" si="1"/>
        <v>2013</v>
      </c>
      <c r="B30" s="62">
        <f t="shared" si="3"/>
        <v>41305</v>
      </c>
      <c r="C30" s="69">
        <f>'Purchased Power Model No CDM'!C30</f>
        <v>11999817</v>
      </c>
      <c r="D30" s="69">
        <f>'Purchased Power Model No CDM'!D30</f>
        <v>1814</v>
      </c>
      <c r="E30" s="858"/>
      <c r="F30" s="885"/>
      <c r="G30" s="73"/>
      <c r="H30" s="71">
        <f t="shared" si="0"/>
        <v>12001631</v>
      </c>
      <c r="I30" s="259"/>
      <c r="J30" s="150">
        <f>'Purchased Power Model No CDM'!J30</f>
        <v>839.90000000000009</v>
      </c>
      <c r="K30" s="857">
        <f>'Purchased Power Model No CDM'!K30</f>
        <v>0</v>
      </c>
      <c r="L30" s="322">
        <f>'Purchased Power Model No CDM'!L30</f>
        <v>31</v>
      </c>
      <c r="M30" s="150">
        <f>'Purchased Power Model No CDM'!M30</f>
        <v>1</v>
      </c>
      <c r="N30" s="322">
        <f>'Purchased Power Model No CDM'!N30</f>
        <v>22</v>
      </c>
      <c r="O30" s="857">
        <f>'Purchased Power Model No CDM'!P30</f>
        <v>0</v>
      </c>
      <c r="P30" s="1362"/>
      <c r="Q30" s="930">
        <v>25</v>
      </c>
      <c r="R30" s="930">
        <v>5861.75</v>
      </c>
      <c r="S30" s="933">
        <v>106.86314211756081</v>
      </c>
      <c r="W30" s="264"/>
      <c r="X30"/>
      <c r="Y30"/>
      <c r="Z30"/>
      <c r="AA30"/>
      <c r="AB30"/>
      <c r="AC30"/>
      <c r="AD30"/>
      <c r="AE30"/>
      <c r="AF30"/>
    </row>
    <row r="31" spans="1:32">
      <c r="A31" s="864">
        <f t="shared" si="1"/>
        <v>2013</v>
      </c>
      <c r="B31" s="62">
        <f t="shared" si="3"/>
        <v>41333</v>
      </c>
      <c r="C31" s="69">
        <f>'Purchased Power Model No CDM'!C31</f>
        <v>10701983</v>
      </c>
      <c r="D31" s="69">
        <f>'Purchased Power Model No CDM'!D31</f>
        <v>2546</v>
      </c>
      <c r="E31" s="843"/>
      <c r="F31" s="885"/>
      <c r="G31" s="73"/>
      <c r="H31" s="71">
        <f t="shared" si="0"/>
        <v>10704529</v>
      </c>
      <c r="I31" s="259"/>
      <c r="J31" s="150">
        <f>'Purchased Power Model No CDM'!J31</f>
        <v>728.5</v>
      </c>
      <c r="K31" s="857">
        <f>'Purchased Power Model No CDM'!K31</f>
        <v>0</v>
      </c>
      <c r="L31" s="322">
        <f>'Purchased Power Model No CDM'!L31</f>
        <v>28</v>
      </c>
      <c r="M31" s="150">
        <f>'Purchased Power Model No CDM'!M31</f>
        <v>1</v>
      </c>
      <c r="N31" s="322">
        <f>'Purchased Power Model No CDM'!N31</f>
        <v>19</v>
      </c>
      <c r="O31" s="857">
        <f>'Purchased Power Model No CDM'!P31</f>
        <v>0</v>
      </c>
      <c r="P31" s="1362"/>
      <c r="Q31" s="930">
        <v>26</v>
      </c>
      <c r="R31" s="930">
        <v>5861.5</v>
      </c>
      <c r="S31" s="933">
        <v>106.98702287721606</v>
      </c>
      <c r="W31" s="264"/>
      <c r="X31"/>
      <c r="Y31"/>
      <c r="Z31"/>
      <c r="AA31"/>
      <c r="AB31"/>
      <c r="AC31"/>
      <c r="AD31"/>
      <c r="AE31"/>
      <c r="AF31"/>
    </row>
    <row r="32" spans="1:32">
      <c r="A32" s="864">
        <f t="shared" si="1"/>
        <v>2013</v>
      </c>
      <c r="B32" s="62">
        <f t="shared" si="3"/>
        <v>41364</v>
      </c>
      <c r="C32" s="69">
        <f>'Purchased Power Model No CDM'!C32</f>
        <v>10574475</v>
      </c>
      <c r="D32" s="69">
        <f>'Purchased Power Model No CDM'!D32</f>
        <v>4962</v>
      </c>
      <c r="E32" s="843"/>
      <c r="F32" s="885"/>
      <c r="G32" s="73"/>
      <c r="H32" s="71">
        <f t="shared" si="0"/>
        <v>10579437</v>
      </c>
      <c r="I32" s="259"/>
      <c r="J32" s="150">
        <f>'Purchased Power Model No CDM'!J32</f>
        <v>612.9</v>
      </c>
      <c r="K32" s="857">
        <f>'Purchased Power Model No CDM'!K32</f>
        <v>0</v>
      </c>
      <c r="L32" s="322">
        <f>'Purchased Power Model No CDM'!L32</f>
        <v>31</v>
      </c>
      <c r="M32" s="150">
        <f>'Purchased Power Model No CDM'!M32</f>
        <v>1</v>
      </c>
      <c r="N32" s="322">
        <f>'Purchased Power Model No CDM'!N32</f>
        <v>20</v>
      </c>
      <c r="O32" s="857">
        <f>'Purchased Power Model No CDM'!P32</f>
        <v>0</v>
      </c>
      <c r="P32" s="1362"/>
      <c r="Q32" s="930">
        <v>27</v>
      </c>
      <c r="R32" s="930">
        <v>5861.25</v>
      </c>
      <c r="S32" s="933">
        <v>107.1110472452503</v>
      </c>
      <c r="W32" s="264"/>
      <c r="X32" t="s">
        <v>13</v>
      </c>
      <c r="Y32"/>
      <c r="Z32"/>
      <c r="AA32"/>
      <c r="AB32"/>
      <c r="AC32"/>
      <c r="AD32"/>
      <c r="AE32"/>
      <c r="AF32"/>
    </row>
    <row r="33" spans="1:32" ht="13.8" thickBot="1">
      <c r="A33" s="864">
        <f t="shared" si="1"/>
        <v>2013</v>
      </c>
      <c r="B33" s="62">
        <f t="shared" si="3"/>
        <v>41394</v>
      </c>
      <c r="C33" s="69">
        <f>'Purchased Power Model No CDM'!C33</f>
        <v>9116700</v>
      </c>
      <c r="D33" s="69">
        <f>'Purchased Power Model No CDM'!D33</f>
        <v>6326</v>
      </c>
      <c r="E33" s="843"/>
      <c r="F33" s="885"/>
      <c r="G33" s="73"/>
      <c r="H33" s="71">
        <f t="shared" si="0"/>
        <v>9123026</v>
      </c>
      <c r="I33" s="259"/>
      <c r="J33" s="150">
        <f>'Purchased Power Model No CDM'!J33</f>
        <v>381.1</v>
      </c>
      <c r="K33" s="857">
        <f>'Purchased Power Model No CDM'!K33</f>
        <v>0</v>
      </c>
      <c r="L33" s="322">
        <f>'Purchased Power Model No CDM'!L33</f>
        <v>30</v>
      </c>
      <c r="M33" s="150">
        <f>'Purchased Power Model No CDM'!M33</f>
        <v>0</v>
      </c>
      <c r="N33" s="322">
        <f>'Purchased Power Model No CDM'!N33</f>
        <v>21</v>
      </c>
      <c r="O33" s="857">
        <f>'Purchased Power Model No CDM'!P33</f>
        <v>0</v>
      </c>
      <c r="P33" s="1362"/>
      <c r="Q33" s="930">
        <v>28</v>
      </c>
      <c r="R33" s="930">
        <v>5861</v>
      </c>
      <c r="S33" s="933">
        <v>107.23521538814109</v>
      </c>
      <c r="W33" s="264"/>
      <c r="X33"/>
      <c r="Y33"/>
      <c r="Z33"/>
      <c r="AA33"/>
      <c r="AB33"/>
      <c r="AC33"/>
      <c r="AD33"/>
      <c r="AE33"/>
      <c r="AF33"/>
    </row>
    <row r="34" spans="1:32">
      <c r="A34" s="864">
        <f t="shared" si="1"/>
        <v>2013</v>
      </c>
      <c r="B34" s="62">
        <f t="shared" si="3"/>
        <v>41425</v>
      </c>
      <c r="C34" s="69">
        <f>'Purchased Power Model No CDM'!C34</f>
        <v>8204917</v>
      </c>
      <c r="D34" s="69">
        <f>'Purchased Power Model No CDM'!D34</f>
        <v>8173</v>
      </c>
      <c r="E34" s="843"/>
      <c r="F34" s="885"/>
      <c r="G34" s="73"/>
      <c r="H34" s="71">
        <f t="shared" si="0"/>
        <v>8213090</v>
      </c>
      <c r="I34" s="259"/>
      <c r="J34" s="150">
        <f>'Purchased Power Model No CDM'!J34</f>
        <v>121.2</v>
      </c>
      <c r="K34" s="857">
        <f>'Purchased Power Model No CDM'!K34</f>
        <v>15.3</v>
      </c>
      <c r="L34" s="322">
        <f>'Purchased Power Model No CDM'!L34</f>
        <v>31</v>
      </c>
      <c r="M34" s="150">
        <f>'Purchased Power Model No CDM'!M34</f>
        <v>0</v>
      </c>
      <c r="N34" s="322">
        <f>'Purchased Power Model No CDM'!N34</f>
        <v>22</v>
      </c>
      <c r="O34" s="857">
        <f>'Purchased Power Model No CDM'!P34</f>
        <v>0</v>
      </c>
      <c r="P34" s="1362"/>
      <c r="Q34" s="930">
        <v>29</v>
      </c>
      <c r="R34" s="930">
        <v>5860.75</v>
      </c>
      <c r="S34" s="933">
        <v>107.35952747255897</v>
      </c>
      <c r="W34" s="264"/>
      <c r="X34" s="17" t="s">
        <v>14</v>
      </c>
      <c r="Y34" s="17"/>
      <c r="Z34"/>
      <c r="AA34"/>
      <c r="AB34"/>
      <c r="AC34"/>
      <c r="AD34"/>
      <c r="AE34"/>
      <c r="AF34"/>
    </row>
    <row r="35" spans="1:32">
      <c r="A35" s="864">
        <f t="shared" si="1"/>
        <v>2013</v>
      </c>
      <c r="B35" s="62">
        <f t="shared" si="3"/>
        <v>41455</v>
      </c>
      <c r="C35" s="69">
        <f>'Purchased Power Model No CDM'!C35</f>
        <v>8279408</v>
      </c>
      <c r="D35" s="69">
        <f>'Purchased Power Model No CDM'!D35</f>
        <v>6943</v>
      </c>
      <c r="E35" s="843"/>
      <c r="F35" s="885"/>
      <c r="G35" s="73"/>
      <c r="H35" s="71">
        <f t="shared" si="0"/>
        <v>8286351</v>
      </c>
      <c r="I35" s="259"/>
      <c r="J35" s="150">
        <f>'Purchased Power Model No CDM'!J35</f>
        <v>58.1</v>
      </c>
      <c r="K35" s="857">
        <f>'Purchased Power Model No CDM'!K35</f>
        <v>39.400000000000006</v>
      </c>
      <c r="L35" s="322">
        <f>'Purchased Power Model No CDM'!L35</f>
        <v>30</v>
      </c>
      <c r="M35" s="150">
        <f>'Purchased Power Model No CDM'!M35</f>
        <v>1</v>
      </c>
      <c r="N35" s="322">
        <f>'Purchased Power Model No CDM'!N35</f>
        <v>20</v>
      </c>
      <c r="O35" s="857">
        <f>'Purchased Power Model No CDM'!P35</f>
        <v>0</v>
      </c>
      <c r="P35" s="1362"/>
      <c r="Q35" s="930">
        <v>30</v>
      </c>
      <c r="R35" s="930">
        <v>5860.5</v>
      </c>
      <c r="S35" s="933">
        <v>107.4839836653677</v>
      </c>
      <c r="W35" s="264"/>
      <c r="X35" s="14" t="s">
        <v>15</v>
      </c>
      <c r="Y35" s="14">
        <v>0.98538316901082557</v>
      </c>
      <c r="Z35"/>
      <c r="AA35"/>
      <c r="AB35"/>
      <c r="AC35"/>
      <c r="AD35"/>
      <c r="AE35"/>
      <c r="AF35"/>
    </row>
    <row r="36" spans="1:32">
      <c r="A36" s="864">
        <f t="shared" si="1"/>
        <v>2013</v>
      </c>
      <c r="B36" s="62">
        <f t="shared" si="3"/>
        <v>41486</v>
      </c>
      <c r="C36" s="69">
        <f>'Purchased Power Model No CDM'!C36</f>
        <v>9591758</v>
      </c>
      <c r="D36" s="69">
        <f>'Purchased Power Model No CDM'!D36</f>
        <v>8290</v>
      </c>
      <c r="E36" s="843"/>
      <c r="F36" s="885"/>
      <c r="G36" s="73"/>
      <c r="H36" s="71">
        <f t="shared" si="0"/>
        <v>9600048</v>
      </c>
      <c r="I36" s="259"/>
      <c r="J36" s="150">
        <f>'Purchased Power Model No CDM'!J36</f>
        <v>7.7</v>
      </c>
      <c r="K36" s="857">
        <f>'Purchased Power Model No CDM'!K36</f>
        <v>114.89999999999999</v>
      </c>
      <c r="L36" s="322">
        <f>'Purchased Power Model No CDM'!L36</f>
        <v>31</v>
      </c>
      <c r="M36" s="150">
        <f>'Purchased Power Model No CDM'!M36</f>
        <v>1</v>
      </c>
      <c r="N36" s="322">
        <f>'Purchased Power Model No CDM'!N36</f>
        <v>22</v>
      </c>
      <c r="O36" s="857">
        <f>'Purchased Power Model No CDM'!P36</f>
        <v>0</v>
      </c>
      <c r="P36" s="1362"/>
      <c r="Q36" s="930">
        <v>31</v>
      </c>
      <c r="R36" s="930">
        <v>5860.25</v>
      </c>
      <c r="S36" s="933">
        <v>107.60858413362448</v>
      </c>
      <c r="W36" s="264"/>
      <c r="X36" s="14" t="s">
        <v>16</v>
      </c>
      <c r="Y36" s="14">
        <v>0.97097998976981725</v>
      </c>
      <c r="Z36"/>
      <c r="AA36"/>
      <c r="AB36"/>
      <c r="AC36"/>
      <c r="AD36"/>
      <c r="AE36"/>
      <c r="AF36"/>
    </row>
    <row r="37" spans="1:32" ht="12.75" customHeight="1">
      <c r="A37" s="864">
        <f t="shared" si="1"/>
        <v>2013</v>
      </c>
      <c r="B37" s="62">
        <f t="shared" si="3"/>
        <v>41517</v>
      </c>
      <c r="C37" s="69">
        <f>'Purchased Power Model No CDM'!C37</f>
        <v>9610958</v>
      </c>
      <c r="D37" s="69">
        <f>'Purchased Power Model No CDM'!D37</f>
        <v>7556</v>
      </c>
      <c r="E37" s="843"/>
      <c r="F37" s="885"/>
      <c r="G37" s="73"/>
      <c r="H37" s="71">
        <f t="shared" si="0"/>
        <v>9618514</v>
      </c>
      <c r="I37" s="259"/>
      <c r="J37" s="150">
        <f>'Purchased Power Model No CDM'!J37</f>
        <v>13.400000000000004</v>
      </c>
      <c r="K37" s="857">
        <f>'Purchased Power Model No CDM'!K37</f>
        <v>57.199999999999996</v>
      </c>
      <c r="L37" s="322">
        <f>'Purchased Power Model No CDM'!L37</f>
        <v>31</v>
      </c>
      <c r="M37" s="150">
        <f>'Purchased Power Model No CDM'!M37</f>
        <v>1</v>
      </c>
      <c r="N37" s="322">
        <f>'Purchased Power Model No CDM'!N37</f>
        <v>21</v>
      </c>
      <c r="O37" s="1358">
        <f>'Purchased Power Model No CDM'!P37</f>
        <v>1</v>
      </c>
      <c r="P37" s="1363"/>
      <c r="Q37" s="930">
        <v>32</v>
      </c>
      <c r="R37" s="930">
        <v>5860</v>
      </c>
      <c r="S37" s="933">
        <v>107.73332904458016</v>
      </c>
      <c r="W37" s="264"/>
      <c r="X37" s="14" t="s">
        <v>17</v>
      </c>
      <c r="Y37" s="14">
        <v>0.96916623913043076</v>
      </c>
      <c r="Z37"/>
      <c r="AA37"/>
      <c r="AB37"/>
      <c r="AC37"/>
      <c r="AD37"/>
      <c r="AE37"/>
      <c r="AF37"/>
    </row>
    <row r="38" spans="1:32">
      <c r="A38" s="864">
        <f t="shared" si="1"/>
        <v>2013</v>
      </c>
      <c r="B38" s="62">
        <f t="shared" si="3"/>
        <v>41547</v>
      </c>
      <c r="C38" s="69">
        <f>'Purchased Power Model No CDM'!C38</f>
        <v>8187217</v>
      </c>
      <c r="D38" s="69">
        <f>'Purchased Power Model No CDM'!D38</f>
        <v>6244</v>
      </c>
      <c r="E38" s="843"/>
      <c r="F38" s="885"/>
      <c r="G38" s="73"/>
      <c r="H38" s="71">
        <f t="shared" ref="H38:H101" si="4">SUM(C38:G38)</f>
        <v>8193461</v>
      </c>
      <c r="I38" s="259"/>
      <c r="J38" s="150">
        <f>'Purchased Power Model No CDM'!J38</f>
        <v>133.20000000000005</v>
      </c>
      <c r="K38" s="857">
        <f>'Purchased Power Model No CDM'!K38</f>
        <v>10.1</v>
      </c>
      <c r="L38" s="322">
        <f>'Purchased Power Model No CDM'!L38</f>
        <v>30</v>
      </c>
      <c r="M38" s="150">
        <f>'Purchased Power Model No CDM'!M38</f>
        <v>1</v>
      </c>
      <c r="N38" s="322">
        <f>'Purchased Power Model No CDM'!N38</f>
        <v>20</v>
      </c>
      <c r="O38" s="857">
        <f>'Purchased Power Model No CDM'!P38</f>
        <v>0</v>
      </c>
      <c r="P38" s="1362"/>
      <c r="Q38" s="930">
        <v>33</v>
      </c>
      <c r="R38" s="930">
        <v>5859.75</v>
      </c>
      <c r="S38" s="933">
        <v>107.85821856567949</v>
      </c>
      <c r="W38" s="264"/>
      <c r="X38" s="14" t="s">
        <v>18</v>
      </c>
      <c r="Y38" s="14">
        <v>204344.50010027518</v>
      </c>
      <c r="Z38"/>
      <c r="AA38"/>
      <c r="AB38"/>
      <c r="AC38"/>
      <c r="AD38"/>
      <c r="AE38"/>
      <c r="AF38"/>
    </row>
    <row r="39" spans="1:32" ht="13.8" thickBot="1">
      <c r="A39" s="864">
        <f t="shared" si="1"/>
        <v>2013</v>
      </c>
      <c r="B39" s="62">
        <f t="shared" si="3"/>
        <v>41578</v>
      </c>
      <c r="C39" s="69">
        <f>'Purchased Power Model No CDM'!C39</f>
        <v>8725825</v>
      </c>
      <c r="D39" s="69">
        <f>'Purchased Power Model No CDM'!D39</f>
        <v>4461</v>
      </c>
      <c r="E39" s="843"/>
      <c r="F39" s="885"/>
      <c r="G39" s="73"/>
      <c r="H39" s="71">
        <f t="shared" si="4"/>
        <v>8730286</v>
      </c>
      <c r="I39" s="259"/>
      <c r="J39" s="345">
        <f>'Purchased Power Model No CDM'!J39</f>
        <v>265.2</v>
      </c>
      <c r="K39" s="857">
        <f>'Purchased Power Model No CDM'!K39</f>
        <v>0.7</v>
      </c>
      <c r="L39" s="322">
        <f>'Purchased Power Model No CDM'!L39</f>
        <v>31</v>
      </c>
      <c r="M39" s="150">
        <f>'Purchased Power Model No CDM'!M39</f>
        <v>0</v>
      </c>
      <c r="N39" s="322">
        <f>'Purchased Power Model No CDM'!N39</f>
        <v>22</v>
      </c>
      <c r="O39" s="857">
        <f>'Purchased Power Model No CDM'!P39</f>
        <v>0</v>
      </c>
      <c r="P39" s="1362"/>
      <c r="Q39" s="930">
        <v>34</v>
      </c>
      <c r="R39" s="930">
        <v>5859.5</v>
      </c>
      <c r="S39" s="933">
        <v>107.98325286456132</v>
      </c>
      <c r="W39" s="264"/>
      <c r="X39" s="15" t="s">
        <v>19</v>
      </c>
      <c r="Y39" s="15">
        <v>120</v>
      </c>
      <c r="Z39"/>
      <c r="AA39"/>
      <c r="AB39"/>
      <c r="AC39"/>
      <c r="AD39"/>
      <c r="AE39"/>
      <c r="AF39"/>
    </row>
    <row r="40" spans="1:32">
      <c r="A40" s="864">
        <f t="shared" si="1"/>
        <v>2013</v>
      </c>
      <c r="B40" s="62">
        <f t="shared" si="3"/>
        <v>41608</v>
      </c>
      <c r="C40" s="69">
        <f>'Purchased Power Model No CDM'!C40</f>
        <v>9926917</v>
      </c>
      <c r="D40" s="69">
        <f>'Purchased Power Model No CDM'!D40</f>
        <v>2266</v>
      </c>
      <c r="E40" s="843"/>
      <c r="F40" s="885"/>
      <c r="G40" s="73"/>
      <c r="H40" s="71">
        <f t="shared" si="4"/>
        <v>9929183</v>
      </c>
      <c r="I40" s="259"/>
      <c r="J40" s="150">
        <f>'Purchased Power Model No CDM'!J40</f>
        <v>560.79999999999995</v>
      </c>
      <c r="K40" s="857">
        <f>'Purchased Power Model No CDM'!K40</f>
        <v>0</v>
      </c>
      <c r="L40" s="322">
        <f>'Purchased Power Model No CDM'!L40</f>
        <v>30</v>
      </c>
      <c r="M40" s="150">
        <f>'Purchased Power Model No CDM'!M40</f>
        <v>0</v>
      </c>
      <c r="N40" s="322">
        <f>'Purchased Power Model No CDM'!N40</f>
        <v>21</v>
      </c>
      <c r="O40" s="857">
        <f>'Purchased Power Model No CDM'!P40</f>
        <v>0</v>
      </c>
      <c r="P40" s="1362"/>
      <c r="Q40" s="930">
        <v>35</v>
      </c>
      <c r="R40" s="930">
        <v>5859.25</v>
      </c>
      <c r="S40" s="933">
        <v>108.10843210905884</v>
      </c>
      <c r="W40" s="264"/>
      <c r="X40"/>
      <c r="Y40"/>
      <c r="Z40"/>
      <c r="AA40"/>
      <c r="AB40"/>
      <c r="AC40"/>
      <c r="AD40"/>
      <c r="AE40"/>
      <c r="AF40"/>
    </row>
    <row r="41" spans="1:32" ht="13.5" customHeight="1" thickBot="1">
      <c r="A41" s="865">
        <f t="shared" si="1"/>
        <v>2013</v>
      </c>
      <c r="B41" s="151">
        <f t="shared" si="3"/>
        <v>41639</v>
      </c>
      <c r="C41" s="81">
        <f>'Purchased Power Model No CDM'!C41</f>
        <v>11614675</v>
      </c>
      <c r="D41" s="81">
        <f>'Purchased Power Model No CDM'!D41</f>
        <v>864</v>
      </c>
      <c r="E41" s="853"/>
      <c r="F41" s="886"/>
      <c r="G41" s="83"/>
      <c r="H41" s="76">
        <f t="shared" si="4"/>
        <v>11615539</v>
      </c>
      <c r="I41" s="260"/>
      <c r="J41" s="104">
        <f>'Purchased Power Model No CDM'!J41</f>
        <v>858.20000000000016</v>
      </c>
      <c r="K41" s="839">
        <f>'Purchased Power Model No CDM'!K41</f>
        <v>0</v>
      </c>
      <c r="L41" s="323">
        <f>'Purchased Power Model No CDM'!L41</f>
        <v>31</v>
      </c>
      <c r="M41" s="104">
        <f>'Purchased Power Model No CDM'!M41</f>
        <v>1</v>
      </c>
      <c r="N41" s="323">
        <f>'Purchased Power Model No CDM'!N41</f>
        <v>20</v>
      </c>
      <c r="O41" s="871">
        <f>'Purchased Power Model No CDM'!P41</f>
        <v>0</v>
      </c>
      <c r="P41" s="1362"/>
      <c r="Q41" s="931">
        <v>36</v>
      </c>
      <c r="R41" s="931">
        <v>5859</v>
      </c>
      <c r="S41" s="934">
        <v>108.2337564671998</v>
      </c>
      <c r="W41" s="264"/>
      <c r="X41" t="s">
        <v>20</v>
      </c>
      <c r="Y41"/>
      <c r="Z41"/>
      <c r="AA41"/>
      <c r="AB41"/>
      <c r="AC41"/>
      <c r="AD41"/>
      <c r="AE41"/>
      <c r="AF41"/>
    </row>
    <row r="42" spans="1:32">
      <c r="A42" s="864">
        <f t="shared" si="1"/>
        <v>2014</v>
      </c>
      <c r="B42" s="62">
        <f t="shared" si="3"/>
        <v>41670</v>
      </c>
      <c r="C42" s="69">
        <f>'Purchased Power Model No CDM'!C42</f>
        <v>12521267</v>
      </c>
      <c r="D42" s="69">
        <f>'Purchased Power Model No CDM'!D42</f>
        <v>1826</v>
      </c>
      <c r="E42" s="843"/>
      <c r="F42" s="885"/>
      <c r="G42" s="73"/>
      <c r="H42" s="71">
        <f t="shared" si="4"/>
        <v>12523093</v>
      </c>
      <c r="I42" s="259"/>
      <c r="J42" s="150">
        <f>'Purchased Power Model No CDM'!J42</f>
        <v>918.30000000000007</v>
      </c>
      <c r="K42" s="857">
        <f>'Purchased Power Model No CDM'!K42</f>
        <v>0</v>
      </c>
      <c r="L42" s="322">
        <f>'Purchased Power Model No CDM'!L42</f>
        <v>31</v>
      </c>
      <c r="M42" s="150">
        <f>'Purchased Power Model No CDM'!M42</f>
        <v>1</v>
      </c>
      <c r="N42" s="322">
        <f>'Purchased Power Model No CDM'!N42</f>
        <v>22</v>
      </c>
      <c r="O42" s="857">
        <f>'Purchased Power Model No CDM'!P42</f>
        <v>0</v>
      </c>
      <c r="P42" s="1362"/>
      <c r="Q42" s="930">
        <v>37</v>
      </c>
      <c r="R42" s="930">
        <v>5858.916666666667</v>
      </c>
      <c r="S42" s="933">
        <v>108.45670028439226</v>
      </c>
      <c r="W42" s="264"/>
      <c r="X42" s="16"/>
      <c r="Y42" s="16" t="s">
        <v>24</v>
      </c>
      <c r="Z42" s="16" t="s">
        <v>25</v>
      </c>
      <c r="AA42" s="16" t="s">
        <v>26</v>
      </c>
      <c r="AB42" s="16" t="s">
        <v>27</v>
      </c>
      <c r="AC42" s="16" t="s">
        <v>28</v>
      </c>
      <c r="AD42"/>
      <c r="AE42"/>
      <c r="AF42"/>
    </row>
    <row r="43" spans="1:32">
      <c r="A43" s="864">
        <f t="shared" si="1"/>
        <v>2014</v>
      </c>
      <c r="B43" s="62">
        <f t="shared" si="3"/>
        <v>41698</v>
      </c>
      <c r="C43" s="69">
        <f>'Purchased Power Model No CDM'!C43</f>
        <v>10693642</v>
      </c>
      <c r="D43" s="69">
        <f>'Purchased Power Model No CDM'!D43</f>
        <v>2647</v>
      </c>
      <c r="E43" s="843"/>
      <c r="F43" s="885"/>
      <c r="G43" s="73"/>
      <c r="H43" s="71">
        <f t="shared" si="4"/>
        <v>10696289</v>
      </c>
      <c r="I43" s="259"/>
      <c r="J43" s="150">
        <f>'Purchased Power Model No CDM'!J43</f>
        <v>793.2</v>
      </c>
      <c r="K43" s="857">
        <f>'Purchased Power Model No CDM'!K43</f>
        <v>0</v>
      </c>
      <c r="L43" s="322">
        <f>'Purchased Power Model No CDM'!L43</f>
        <v>28</v>
      </c>
      <c r="M43" s="150">
        <f>'Purchased Power Model No CDM'!M43</f>
        <v>1</v>
      </c>
      <c r="N43" s="322">
        <f>'Purchased Power Model No CDM'!N43</f>
        <v>19</v>
      </c>
      <c r="O43" s="857">
        <f>'Purchased Power Model No CDM'!P43</f>
        <v>0</v>
      </c>
      <c r="P43" s="1362"/>
      <c r="Q43" s="930">
        <v>38</v>
      </c>
      <c r="R43" s="930">
        <v>5858.8333333333339</v>
      </c>
      <c r="S43" s="933">
        <v>108.68010332934551</v>
      </c>
      <c r="W43" s="264"/>
      <c r="X43" s="14" t="s">
        <v>21</v>
      </c>
      <c r="Y43" s="14">
        <v>7</v>
      </c>
      <c r="Z43" s="14">
        <v>156479211084668.13</v>
      </c>
      <c r="AA43" s="14">
        <v>22354173012095.445</v>
      </c>
      <c r="AB43" s="14">
        <v>535.34370639741985</v>
      </c>
      <c r="AC43" s="14">
        <v>5.7795101425478142E-83</v>
      </c>
      <c r="AD43"/>
      <c r="AE43"/>
      <c r="AF43"/>
    </row>
    <row r="44" spans="1:32">
      <c r="A44" s="864">
        <f t="shared" si="1"/>
        <v>2014</v>
      </c>
      <c r="B44" s="62">
        <f t="shared" si="3"/>
        <v>41729</v>
      </c>
      <c r="C44" s="69">
        <f>'Purchased Power Model No CDM'!C44</f>
        <v>11270883</v>
      </c>
      <c r="D44" s="69">
        <f>'Purchased Power Model No CDM'!D44</f>
        <v>5510</v>
      </c>
      <c r="E44" s="843"/>
      <c r="F44" s="885"/>
      <c r="G44" s="73"/>
      <c r="H44" s="71">
        <f t="shared" si="4"/>
        <v>11276393</v>
      </c>
      <c r="I44" s="259"/>
      <c r="J44" s="150">
        <f>'Purchased Power Model No CDM'!J44</f>
        <v>783.6</v>
      </c>
      <c r="K44" s="857">
        <f>'Purchased Power Model No CDM'!K44</f>
        <v>0</v>
      </c>
      <c r="L44" s="322">
        <f>'Purchased Power Model No CDM'!L44</f>
        <v>31</v>
      </c>
      <c r="M44" s="150">
        <f>'Purchased Power Model No CDM'!M44</f>
        <v>1</v>
      </c>
      <c r="N44" s="322">
        <f>'Purchased Power Model No CDM'!N44</f>
        <v>21</v>
      </c>
      <c r="O44" s="857">
        <f>'Purchased Power Model No CDM'!P44</f>
        <v>0</v>
      </c>
      <c r="P44" s="1362"/>
      <c r="Q44" s="930">
        <v>39</v>
      </c>
      <c r="R44" s="930">
        <v>5858.7500000000009</v>
      </c>
      <c r="S44" s="933">
        <v>108.90396654799356</v>
      </c>
      <c r="W44" s="264"/>
      <c r="X44" s="14" t="s">
        <v>22</v>
      </c>
      <c r="Y44" s="14">
        <v>112</v>
      </c>
      <c r="Z44" s="14">
        <v>4676747568777.9121</v>
      </c>
      <c r="AA44" s="14">
        <v>41756674721.231361</v>
      </c>
      <c r="AB44" s="14"/>
      <c r="AC44" s="14"/>
      <c r="AD44"/>
      <c r="AE44"/>
      <c r="AF44"/>
    </row>
    <row r="45" spans="1:32" ht="13.8" thickBot="1">
      <c r="A45" s="864">
        <f t="shared" si="1"/>
        <v>2014</v>
      </c>
      <c r="B45" s="62">
        <f t="shared" si="3"/>
        <v>41759</v>
      </c>
      <c r="C45" s="69">
        <f>'Purchased Power Model No CDM'!C45</f>
        <v>9026483</v>
      </c>
      <c r="D45" s="69">
        <f>'Purchased Power Model No CDM'!D45</f>
        <v>8035</v>
      </c>
      <c r="E45" s="843"/>
      <c r="F45" s="885"/>
      <c r="G45" s="73"/>
      <c r="H45" s="71">
        <f t="shared" si="4"/>
        <v>9034518</v>
      </c>
      <c r="I45" s="259"/>
      <c r="J45" s="150">
        <f>'Purchased Power Model No CDM'!J45</f>
        <v>384.20000000000005</v>
      </c>
      <c r="K45" s="857">
        <f>'Purchased Power Model No CDM'!K45</f>
        <v>0</v>
      </c>
      <c r="L45" s="322">
        <f>'Purchased Power Model No CDM'!L45</f>
        <v>30</v>
      </c>
      <c r="M45" s="150">
        <f>'Purchased Power Model No CDM'!M45</f>
        <v>0</v>
      </c>
      <c r="N45" s="322">
        <f>'Purchased Power Model No CDM'!N45</f>
        <v>20</v>
      </c>
      <c r="O45" s="857">
        <f>'Purchased Power Model No CDM'!P45</f>
        <v>0</v>
      </c>
      <c r="P45" s="1362"/>
      <c r="Q45" s="930">
        <v>40</v>
      </c>
      <c r="R45" s="930">
        <v>5858.6666666666679</v>
      </c>
      <c r="S45" s="933">
        <v>109.12829088821886</v>
      </c>
      <c r="W45" s="264"/>
      <c r="X45" s="15" t="s">
        <v>5</v>
      </c>
      <c r="Y45" s="15">
        <v>119</v>
      </c>
      <c r="Z45" s="15">
        <v>161155958653446.03</v>
      </c>
      <c r="AA45" s="15"/>
      <c r="AB45" s="15"/>
      <c r="AC45" s="15"/>
      <c r="AD45"/>
      <c r="AE45"/>
      <c r="AF45"/>
    </row>
    <row r="46" spans="1:32" ht="13.8" thickBot="1">
      <c r="A46" s="864">
        <f t="shared" si="1"/>
        <v>2014</v>
      </c>
      <c r="B46" s="62">
        <f t="shared" si="3"/>
        <v>41790</v>
      </c>
      <c r="C46" s="69">
        <f>'Purchased Power Model No CDM'!C46</f>
        <v>8278885</v>
      </c>
      <c r="D46" s="69">
        <f>'Purchased Power Model No CDM'!D46</f>
        <v>9577</v>
      </c>
      <c r="E46" s="843"/>
      <c r="F46" s="885"/>
      <c r="G46" s="73"/>
      <c r="H46" s="71">
        <f t="shared" si="4"/>
        <v>8288462</v>
      </c>
      <c r="I46" s="259"/>
      <c r="J46" s="150">
        <f>'Purchased Power Model No CDM'!J46</f>
        <v>127.3</v>
      </c>
      <c r="K46" s="857">
        <f>'Purchased Power Model No CDM'!K46</f>
        <v>8.8000000000000007</v>
      </c>
      <c r="L46" s="322">
        <f>'Purchased Power Model No CDM'!L46</f>
        <v>31</v>
      </c>
      <c r="M46" s="150">
        <f>'Purchased Power Model No CDM'!M46</f>
        <v>0</v>
      </c>
      <c r="N46" s="322">
        <f>'Purchased Power Model No CDM'!N46</f>
        <v>21</v>
      </c>
      <c r="O46" s="857">
        <f>'Purchased Power Model No CDM'!P46</f>
        <v>0</v>
      </c>
      <c r="P46" s="1362"/>
      <c r="Q46" s="930">
        <v>41</v>
      </c>
      <c r="R46" s="930">
        <v>5858.5833333333348</v>
      </c>
      <c r="S46" s="933">
        <v>109.35307729985635</v>
      </c>
      <c r="W46" s="264"/>
      <c r="X46"/>
      <c r="Y46"/>
      <c r="Z46"/>
      <c r="AA46"/>
      <c r="AB46"/>
      <c r="AC46"/>
      <c r="AD46"/>
      <c r="AE46"/>
      <c r="AF46"/>
    </row>
    <row r="47" spans="1:32">
      <c r="A47" s="864">
        <f t="shared" si="1"/>
        <v>2014</v>
      </c>
      <c r="B47" s="62">
        <f t="shared" si="3"/>
        <v>41820</v>
      </c>
      <c r="C47" s="69">
        <f>'Purchased Power Model No CDM'!C47</f>
        <v>8570154</v>
      </c>
      <c r="D47" s="69">
        <f>'Purchased Power Model No CDM'!D47</f>
        <v>9467</v>
      </c>
      <c r="E47" s="843"/>
      <c r="F47" s="885"/>
      <c r="G47" s="73"/>
      <c r="H47" s="71">
        <f t="shared" si="4"/>
        <v>8579621</v>
      </c>
      <c r="I47" s="259"/>
      <c r="J47" s="150">
        <f>'Purchased Power Model No CDM'!J47</f>
        <v>20.299999999999997</v>
      </c>
      <c r="K47" s="857">
        <f>'Purchased Power Model No CDM'!K47</f>
        <v>54.9</v>
      </c>
      <c r="L47" s="322">
        <f>'Purchased Power Model No CDM'!L47</f>
        <v>30</v>
      </c>
      <c r="M47" s="150">
        <f>'Purchased Power Model No CDM'!M47</f>
        <v>1</v>
      </c>
      <c r="N47" s="322">
        <f>'Purchased Power Model No CDM'!N47</f>
        <v>21</v>
      </c>
      <c r="O47" s="857">
        <f>'Purchased Power Model No CDM'!P47</f>
        <v>0</v>
      </c>
      <c r="P47" s="1362"/>
      <c r="Q47" s="930">
        <v>42</v>
      </c>
      <c r="R47" s="930">
        <v>5858.5000000000018</v>
      </c>
      <c r="S47" s="933">
        <v>109.57832673469751</v>
      </c>
      <c r="W47" s="264"/>
      <c r="X47" s="16"/>
      <c r="Y47" s="16" t="s">
        <v>29</v>
      </c>
      <c r="Z47" s="16" t="s">
        <v>18</v>
      </c>
      <c r="AA47" s="16" t="s">
        <v>30</v>
      </c>
      <c r="AB47" s="16" t="s">
        <v>31</v>
      </c>
      <c r="AC47" s="16" t="s">
        <v>32</v>
      </c>
      <c r="AD47" s="16" t="s">
        <v>33</v>
      </c>
      <c r="AE47" s="16" t="s">
        <v>115</v>
      </c>
      <c r="AF47" s="16" t="s">
        <v>116</v>
      </c>
    </row>
    <row r="48" spans="1:32">
      <c r="A48" s="864">
        <f t="shared" si="1"/>
        <v>2014</v>
      </c>
      <c r="B48" s="62">
        <f t="shared" si="3"/>
        <v>41851</v>
      </c>
      <c r="C48" s="69">
        <f>'Purchased Power Model No CDM'!C48</f>
        <v>9070654</v>
      </c>
      <c r="D48" s="69">
        <f>'Purchased Power Model No CDM'!D48</f>
        <v>9127</v>
      </c>
      <c r="E48" s="843"/>
      <c r="F48" s="885"/>
      <c r="G48" s="73"/>
      <c r="H48" s="71">
        <f t="shared" si="4"/>
        <v>9079781</v>
      </c>
      <c r="I48" s="259"/>
      <c r="J48" s="150">
        <f>'Purchased Power Model No CDM'!J48</f>
        <v>8.8000000000000007</v>
      </c>
      <c r="K48" s="857">
        <f>'Purchased Power Model No CDM'!K48</f>
        <v>62.800000000000011</v>
      </c>
      <c r="L48" s="322">
        <f>'Purchased Power Model No CDM'!L48</f>
        <v>31</v>
      </c>
      <c r="M48" s="150">
        <f>'Purchased Power Model No CDM'!M48</f>
        <v>1</v>
      </c>
      <c r="N48" s="322">
        <f>'Purchased Power Model No CDM'!N48</f>
        <v>22</v>
      </c>
      <c r="O48" s="857">
        <f>'Purchased Power Model No CDM'!P48</f>
        <v>0</v>
      </c>
      <c r="P48" s="1362"/>
      <c r="Q48" s="930">
        <v>43</v>
      </c>
      <c r="R48" s="930">
        <v>5858.4166666666688</v>
      </c>
      <c r="S48" s="933">
        <v>109.80404014649432</v>
      </c>
      <c r="W48" s="264"/>
      <c r="X48" s="14" t="s">
        <v>23</v>
      </c>
      <c r="Y48" s="14">
        <v>6990331.7330870349</v>
      </c>
      <c r="Z48" s="14">
        <v>805657.48235182208</v>
      </c>
      <c r="AA48" s="14">
        <v>8.6765553429496123</v>
      </c>
      <c r="AB48" s="14">
        <v>3.6738185893854229E-14</v>
      </c>
      <c r="AC48" s="14">
        <v>5394024.7051109318</v>
      </c>
      <c r="AD48" s="14">
        <v>8586638.761063138</v>
      </c>
      <c r="AE48" s="14">
        <v>5394024.7051109318</v>
      </c>
      <c r="AF48" s="14">
        <v>8586638.761063138</v>
      </c>
    </row>
    <row r="49" spans="1:32" ht="14.25" customHeight="1">
      <c r="A49" s="864">
        <f t="shared" si="1"/>
        <v>2014</v>
      </c>
      <c r="B49" s="62">
        <f t="shared" si="3"/>
        <v>41882</v>
      </c>
      <c r="C49" s="69">
        <f>'Purchased Power Model No CDM'!C49</f>
        <v>8980123</v>
      </c>
      <c r="D49" s="69">
        <f>'Purchased Power Model No CDM'!D49</f>
        <v>8673</v>
      </c>
      <c r="E49" s="843"/>
      <c r="F49" s="885"/>
      <c r="G49" s="73"/>
      <c r="H49" s="71">
        <f t="shared" si="4"/>
        <v>8988796</v>
      </c>
      <c r="I49" s="259"/>
      <c r="J49" s="150">
        <f>'Purchased Power Model No CDM'!J49</f>
        <v>21.400000000000002</v>
      </c>
      <c r="K49" s="857">
        <f>'Purchased Power Model No CDM'!K49</f>
        <v>55.800000000000004</v>
      </c>
      <c r="L49" s="322">
        <f>'Purchased Power Model No CDM'!L49</f>
        <v>31</v>
      </c>
      <c r="M49" s="150">
        <f>'Purchased Power Model No CDM'!M49</f>
        <v>1</v>
      </c>
      <c r="N49" s="322">
        <f>'Purchased Power Model No CDM'!N49</f>
        <v>20</v>
      </c>
      <c r="O49" s="1358">
        <f>'Purchased Power Model No CDM'!P49</f>
        <v>1</v>
      </c>
      <c r="P49" s="1363"/>
      <c r="Q49" s="930">
        <v>44</v>
      </c>
      <c r="R49" s="930">
        <v>5858.3333333333358</v>
      </c>
      <c r="S49" s="933">
        <v>110.03021849096334</v>
      </c>
      <c r="W49" s="264"/>
      <c r="X49" s="14" t="s">
        <v>121</v>
      </c>
      <c r="Y49" s="14">
        <v>4467.5439046105676</v>
      </c>
      <c r="Z49" s="14">
        <v>94.588490831930599</v>
      </c>
      <c r="AA49" s="14">
        <v>47.231368904581799</v>
      </c>
      <c r="AB49" s="14">
        <v>8.6660693037518071E-76</v>
      </c>
      <c r="AC49" s="14">
        <v>4280.128934864495</v>
      </c>
      <c r="AD49" s="14">
        <v>4654.9588743566401</v>
      </c>
      <c r="AE49" s="14">
        <v>4280.128934864495</v>
      </c>
      <c r="AF49" s="14">
        <v>4654.9588743566401</v>
      </c>
    </row>
    <row r="50" spans="1:32">
      <c r="A50" s="864">
        <f t="shared" si="1"/>
        <v>2014</v>
      </c>
      <c r="B50" s="62">
        <f t="shared" si="3"/>
        <v>41912</v>
      </c>
      <c r="C50" s="69">
        <f>'Purchased Power Model No CDM'!C50</f>
        <v>8455877</v>
      </c>
      <c r="D50" s="69">
        <f>'Purchased Power Model No CDM'!D50</f>
        <v>7439</v>
      </c>
      <c r="E50" s="843"/>
      <c r="F50" s="885"/>
      <c r="G50" s="73"/>
      <c r="H50" s="71">
        <f t="shared" si="4"/>
        <v>8463316</v>
      </c>
      <c r="I50" s="259"/>
      <c r="J50" s="150">
        <f>'Purchased Power Model No CDM'!J50</f>
        <v>110.3</v>
      </c>
      <c r="K50" s="857">
        <f>'Purchased Power Model No CDM'!K50</f>
        <v>21.600000000000005</v>
      </c>
      <c r="L50" s="322">
        <f>'Purchased Power Model No CDM'!L50</f>
        <v>30</v>
      </c>
      <c r="M50" s="150">
        <f>'Purchased Power Model No CDM'!M50</f>
        <v>1</v>
      </c>
      <c r="N50" s="322">
        <f>'Purchased Power Model No CDM'!N50</f>
        <v>21</v>
      </c>
      <c r="O50" s="857">
        <f>'Purchased Power Model No CDM'!P50</f>
        <v>0</v>
      </c>
      <c r="P50" s="1362"/>
      <c r="Q50" s="930">
        <v>45</v>
      </c>
      <c r="R50" s="930">
        <v>5858.2500000000027</v>
      </c>
      <c r="S50" s="933">
        <v>110.25686272578974</v>
      </c>
      <c r="W50" s="264"/>
      <c r="X50" s="14" t="s">
        <v>122</v>
      </c>
      <c r="Y50" s="14">
        <v>15776.923416193033</v>
      </c>
      <c r="Z50" s="14">
        <v>770.49122363099252</v>
      </c>
      <c r="AA50" s="14">
        <v>20.476447923498991</v>
      </c>
      <c r="AB50" s="14">
        <v>1.1604564015665615E-39</v>
      </c>
      <c r="AC50" s="14">
        <v>14250.29382208103</v>
      </c>
      <c r="AD50" s="14">
        <v>17303.553010305037</v>
      </c>
      <c r="AE50" s="14">
        <v>14250.29382208103</v>
      </c>
      <c r="AF50" s="14">
        <v>17303.553010305037</v>
      </c>
    </row>
    <row r="51" spans="1:32">
      <c r="A51" s="864">
        <f t="shared" si="1"/>
        <v>2014</v>
      </c>
      <c r="B51" s="62">
        <f t="shared" si="3"/>
        <v>41943</v>
      </c>
      <c r="C51" s="69">
        <f>'Purchased Power Model No CDM'!C51</f>
        <v>8663323</v>
      </c>
      <c r="D51" s="69">
        <f>'Purchased Power Model No CDM'!D51</f>
        <v>4365</v>
      </c>
      <c r="E51" s="843"/>
      <c r="F51" s="885"/>
      <c r="G51" s="73"/>
      <c r="H51" s="71">
        <f t="shared" si="4"/>
        <v>8667688</v>
      </c>
      <c r="I51" s="259"/>
      <c r="J51" s="150">
        <f>'Purchased Power Model No CDM'!J51</f>
        <v>257.90000000000003</v>
      </c>
      <c r="K51" s="857">
        <f>'Purchased Power Model No CDM'!K51</f>
        <v>3.1</v>
      </c>
      <c r="L51" s="322">
        <f>'Purchased Power Model No CDM'!L51</f>
        <v>31</v>
      </c>
      <c r="M51" s="150">
        <f>'Purchased Power Model No CDM'!M51</f>
        <v>0</v>
      </c>
      <c r="N51" s="322">
        <f>'Purchased Power Model No CDM'!N51</f>
        <v>22</v>
      </c>
      <c r="O51" s="857">
        <f>'Purchased Power Model No CDM'!P51</f>
        <v>0</v>
      </c>
      <c r="P51" s="1362"/>
      <c r="Q51" s="930">
        <v>46</v>
      </c>
      <c r="R51" s="930">
        <v>5858.1666666666697</v>
      </c>
      <c r="S51" s="933">
        <v>110.4839738106314</v>
      </c>
      <c r="W51" s="264"/>
      <c r="X51" s="14" t="s">
        <v>3</v>
      </c>
      <c r="Y51" s="14">
        <v>150348.2226505868</v>
      </c>
      <c r="Z51" s="14">
        <v>27162.088353380466</v>
      </c>
      <c r="AA51" s="14">
        <v>5.5352232381600057</v>
      </c>
      <c r="AB51" s="14">
        <v>2.0715319297323724E-7</v>
      </c>
      <c r="AC51" s="14">
        <v>96530.026354018861</v>
      </c>
      <c r="AD51" s="14">
        <v>204166.41894715474</v>
      </c>
      <c r="AE51" s="14">
        <v>96530.026354018861</v>
      </c>
      <c r="AF51" s="14">
        <v>204166.41894715474</v>
      </c>
    </row>
    <row r="52" spans="1:32" ht="13.5" customHeight="1">
      <c r="A52" s="864">
        <f t="shared" si="1"/>
        <v>2014</v>
      </c>
      <c r="B52" s="62">
        <f t="shared" si="3"/>
        <v>41973</v>
      </c>
      <c r="C52" s="69">
        <f>'Purchased Power Model No CDM'!C52</f>
        <v>9594308</v>
      </c>
      <c r="D52" s="69">
        <f>'Purchased Power Model No CDM'!D52</f>
        <v>2388</v>
      </c>
      <c r="E52" s="843"/>
      <c r="F52" s="885"/>
      <c r="G52" s="73"/>
      <c r="H52" s="71">
        <f t="shared" si="4"/>
        <v>9596696</v>
      </c>
      <c r="I52" s="259"/>
      <c r="J52" s="150">
        <f>'Purchased Power Model No CDM'!J52</f>
        <v>510.6</v>
      </c>
      <c r="K52" s="857">
        <f>'Purchased Power Model No CDM'!K52</f>
        <v>0</v>
      </c>
      <c r="L52" s="322">
        <f>'Purchased Power Model No CDM'!L52</f>
        <v>30</v>
      </c>
      <c r="M52" s="150">
        <f>'Purchased Power Model No CDM'!M52</f>
        <v>0</v>
      </c>
      <c r="N52" s="322">
        <f>'Purchased Power Model No CDM'!N52</f>
        <v>20</v>
      </c>
      <c r="O52" s="857">
        <f>'Purchased Power Model No CDM'!P52</f>
        <v>0</v>
      </c>
      <c r="P52" s="1362"/>
      <c r="Q52" s="930">
        <v>47</v>
      </c>
      <c r="R52" s="930">
        <v>5858.0833333333367</v>
      </c>
      <c r="S52" s="933">
        <v>110.71155270712289</v>
      </c>
      <c r="W52" s="264"/>
      <c r="X52" s="14" t="s">
        <v>412</v>
      </c>
      <c r="Y52" s="14">
        <v>345476.69210070948</v>
      </c>
      <c r="Z52" s="14">
        <v>49206.344865826024</v>
      </c>
      <c r="AA52" s="14">
        <v>7.0209785555651836</v>
      </c>
      <c r="AB52" s="14">
        <v>1.7991729081291158E-10</v>
      </c>
      <c r="AC52" s="14">
        <v>247980.62727047852</v>
      </c>
      <c r="AD52" s="14">
        <v>442972.75693094044</v>
      </c>
      <c r="AE52" s="14">
        <v>247980.62727047852</v>
      </c>
      <c r="AF52" s="14">
        <v>442972.75693094044</v>
      </c>
    </row>
    <row r="53" spans="1:32">
      <c r="A53" s="865">
        <f t="shared" si="1"/>
        <v>2014</v>
      </c>
      <c r="B53" s="151">
        <f t="shared" si="3"/>
        <v>42004</v>
      </c>
      <c r="C53" s="81">
        <f>'Purchased Power Model No CDM'!C53</f>
        <v>10753031</v>
      </c>
      <c r="D53" s="81">
        <f>'Purchased Power Model No CDM'!D53</f>
        <v>2052</v>
      </c>
      <c r="E53" s="853"/>
      <c r="F53" s="886"/>
      <c r="G53" s="83"/>
      <c r="H53" s="76">
        <f t="shared" si="4"/>
        <v>10755083</v>
      </c>
      <c r="I53" s="260"/>
      <c r="J53" s="104">
        <f>'Purchased Power Model No CDM'!J53</f>
        <v>696.39999999999986</v>
      </c>
      <c r="K53" s="839">
        <f>'Purchased Power Model No CDM'!K53</f>
        <v>0</v>
      </c>
      <c r="L53" s="323">
        <f>'Purchased Power Model No CDM'!L53</f>
        <v>31</v>
      </c>
      <c r="M53" s="104">
        <f>'Purchased Power Model No CDM'!M53</f>
        <v>1</v>
      </c>
      <c r="N53" s="323">
        <f>'Purchased Power Model No CDM'!N53</f>
        <v>21</v>
      </c>
      <c r="O53" s="871">
        <f>'Purchased Power Model No CDM'!P53</f>
        <v>0</v>
      </c>
      <c r="P53" s="1362"/>
      <c r="Q53" s="931">
        <v>48</v>
      </c>
      <c r="R53" s="931">
        <v>5858</v>
      </c>
      <c r="S53" s="934">
        <v>110.93960037887963</v>
      </c>
      <c r="W53" s="264"/>
      <c r="X53" s="14" t="s">
        <v>422</v>
      </c>
      <c r="Y53" s="14">
        <v>55449.251147725226</v>
      </c>
      <c r="Z53" s="14">
        <v>19871.53413915708</v>
      </c>
      <c r="AA53" s="14">
        <v>2.7903860245224781</v>
      </c>
      <c r="AB53" s="14">
        <v>6.1898499699658193E-3</v>
      </c>
      <c r="AC53" s="14">
        <v>16076.353486047148</v>
      </c>
      <c r="AD53" s="14">
        <v>94822.148809403297</v>
      </c>
      <c r="AE53" s="14">
        <v>16076.353486047148</v>
      </c>
      <c r="AF53" s="14">
        <v>94822.148809403297</v>
      </c>
    </row>
    <row r="54" spans="1:32">
      <c r="A54" s="864">
        <f t="shared" si="1"/>
        <v>2015</v>
      </c>
      <c r="B54" s="62">
        <f t="shared" si="3"/>
        <v>42035</v>
      </c>
      <c r="C54" s="69">
        <f>'Purchased Power Model No CDM'!C54</f>
        <v>12178875.15</v>
      </c>
      <c r="D54" s="69">
        <f>'Purchased Power Model No CDM'!D54</f>
        <v>2693</v>
      </c>
      <c r="E54" s="843"/>
      <c r="F54" s="885"/>
      <c r="G54" s="73"/>
      <c r="H54" s="71">
        <f t="shared" si="4"/>
        <v>12181568.15</v>
      </c>
      <c r="I54" s="259"/>
      <c r="J54" s="150">
        <f>'Purchased Power Model No CDM'!J54</f>
        <v>968.19999999999982</v>
      </c>
      <c r="K54" s="857">
        <f>'Purchased Power Model No CDM'!K54</f>
        <v>0</v>
      </c>
      <c r="L54" s="322">
        <f>'Purchased Power Model No CDM'!L54</f>
        <v>31</v>
      </c>
      <c r="M54" s="150">
        <f>'Purchased Power Model No CDM'!M54</f>
        <v>1</v>
      </c>
      <c r="N54" s="322">
        <f>'Purchased Power Model No CDM'!N54</f>
        <v>21</v>
      </c>
      <c r="O54" s="857">
        <f>'Purchased Power Model No CDM'!P54</f>
        <v>0</v>
      </c>
      <c r="P54" s="1362"/>
      <c r="Q54" s="930">
        <v>49</v>
      </c>
      <c r="R54" s="930">
        <v>5858.166666666667</v>
      </c>
      <c r="S54" s="933">
        <v>111.16811779150191</v>
      </c>
      <c r="W54" s="264"/>
      <c r="X54" s="14" t="s">
        <v>400</v>
      </c>
      <c r="Y54" s="14">
        <v>429120.23792569619</v>
      </c>
      <c r="Z54" s="14">
        <v>76109.139066951015</v>
      </c>
      <c r="AA54" s="14">
        <v>5.638222205459603</v>
      </c>
      <c r="AB54" s="14">
        <v>1.3032621394023643E-7</v>
      </c>
      <c r="AC54" s="14">
        <v>278319.73492393852</v>
      </c>
      <c r="AD54" s="14">
        <v>579920.74092745385</v>
      </c>
      <c r="AE54" s="14">
        <v>278319.73492393852</v>
      </c>
      <c r="AF54" s="14">
        <v>579920.74092745385</v>
      </c>
    </row>
    <row r="55" spans="1:32" ht="13.8" thickBot="1">
      <c r="A55" s="864">
        <f t="shared" si="1"/>
        <v>2015</v>
      </c>
      <c r="B55" s="62">
        <f t="shared" si="3"/>
        <v>42063</v>
      </c>
      <c r="C55" s="69">
        <f>'Purchased Power Model No CDM'!C55</f>
        <v>11445612.18</v>
      </c>
      <c r="D55" s="69">
        <f>'Purchased Power Model No CDM'!D55</f>
        <v>2302</v>
      </c>
      <c r="E55" s="843"/>
      <c r="F55" s="885"/>
      <c r="G55" s="73"/>
      <c r="H55" s="71">
        <f t="shared" si="4"/>
        <v>11447914.18</v>
      </c>
      <c r="I55" s="259"/>
      <c r="J55" s="150">
        <f>'Purchased Power Model No CDM'!J55</f>
        <v>957.8000000000003</v>
      </c>
      <c r="K55" s="857">
        <f>'Purchased Power Model No CDM'!K55</f>
        <v>0</v>
      </c>
      <c r="L55" s="322">
        <f>'Purchased Power Model No CDM'!L55</f>
        <v>28</v>
      </c>
      <c r="M55" s="150">
        <f>'Purchased Power Model No CDM'!M55</f>
        <v>1</v>
      </c>
      <c r="N55" s="322">
        <f>'Purchased Power Model No CDM'!N55</f>
        <v>19</v>
      </c>
      <c r="O55" s="857">
        <f>'Purchased Power Model No CDM'!P55</f>
        <v>0</v>
      </c>
      <c r="P55" s="1362"/>
      <c r="Q55" s="930">
        <v>50</v>
      </c>
      <c r="R55" s="930">
        <v>5858.3333333333339</v>
      </c>
      <c r="S55" s="933">
        <v>111.39710591257899</v>
      </c>
      <c r="W55" s="264"/>
      <c r="X55" s="1049" t="s">
        <v>366</v>
      </c>
      <c r="Y55" s="1049">
        <v>-49737.995396149265</v>
      </c>
      <c r="Z55" s="15">
        <v>2828.4991006048149</v>
      </c>
      <c r="AA55" s="15">
        <v>-17.584589433142774</v>
      </c>
      <c r="AB55" s="15">
        <v>5.3204397724980454E-34</v>
      </c>
      <c r="AC55" s="15">
        <v>-55342.303792490617</v>
      </c>
      <c r="AD55" s="15">
        <v>-44133.686999807913</v>
      </c>
      <c r="AE55" s="15">
        <v>-55342.303792490617</v>
      </c>
      <c r="AF55" s="15">
        <v>-44133.686999807913</v>
      </c>
    </row>
    <row r="56" spans="1:32">
      <c r="A56" s="864">
        <f t="shared" si="1"/>
        <v>2015</v>
      </c>
      <c r="B56" s="62">
        <f t="shared" si="3"/>
        <v>42094</v>
      </c>
      <c r="C56" s="69">
        <f>'Purchased Power Model No CDM'!C56</f>
        <v>10922675.359999999</v>
      </c>
      <c r="D56" s="69">
        <f>'Purchased Power Model No CDM'!D56</f>
        <v>7189</v>
      </c>
      <c r="E56" s="843"/>
      <c r="F56" s="885"/>
      <c r="G56" s="73"/>
      <c r="H56" s="71">
        <f t="shared" si="4"/>
        <v>10929864.359999999</v>
      </c>
      <c r="I56" s="259"/>
      <c r="J56" s="150">
        <f>'Purchased Power Model No CDM'!J56</f>
        <v>718.59999999999991</v>
      </c>
      <c r="K56" s="857">
        <f>'Purchased Power Model No CDM'!K56</f>
        <v>0</v>
      </c>
      <c r="L56" s="322">
        <f>'Purchased Power Model No CDM'!L56</f>
        <v>31</v>
      </c>
      <c r="M56" s="150">
        <f>'Purchased Power Model No CDM'!M56</f>
        <v>1</v>
      </c>
      <c r="N56" s="322">
        <f>'Purchased Power Model No CDM'!N56</f>
        <v>22</v>
      </c>
      <c r="O56" s="857">
        <f>'Purchased Power Model No CDM'!P56</f>
        <v>0</v>
      </c>
      <c r="P56" s="1362"/>
      <c r="Q56" s="930">
        <v>51</v>
      </c>
      <c r="R56" s="930">
        <v>5858.5000000000009</v>
      </c>
      <c r="S56" s="933">
        <v>111.62656571169323</v>
      </c>
      <c r="W56" s="264"/>
      <c r="X56" s="1479" t="s">
        <v>607</v>
      </c>
      <c r="Y56"/>
      <c r="Z56"/>
      <c r="AA56"/>
      <c r="AB56"/>
      <c r="AC56"/>
      <c r="AD56"/>
      <c r="AE56"/>
      <c r="AF56"/>
    </row>
    <row r="57" spans="1:32">
      <c r="A57" s="864">
        <f t="shared" si="1"/>
        <v>2015</v>
      </c>
      <c r="B57" s="62">
        <f t="shared" si="3"/>
        <v>42124</v>
      </c>
      <c r="C57" s="69">
        <f>'Purchased Power Model No CDM'!C57</f>
        <v>8724747</v>
      </c>
      <c r="D57" s="69">
        <f>'Purchased Power Model No CDM'!D57</f>
        <v>8877</v>
      </c>
      <c r="E57" s="843"/>
      <c r="F57" s="885"/>
      <c r="G57" s="73"/>
      <c r="H57" s="71">
        <f t="shared" si="4"/>
        <v>8733624</v>
      </c>
      <c r="I57" s="259"/>
      <c r="J57" s="150">
        <f>'Purchased Power Model No CDM'!J57</f>
        <v>352.59999999999991</v>
      </c>
      <c r="K57" s="857">
        <f>'Purchased Power Model No CDM'!K57</f>
        <v>0</v>
      </c>
      <c r="L57" s="322">
        <f>'Purchased Power Model No CDM'!L57</f>
        <v>30</v>
      </c>
      <c r="M57" s="150">
        <f>'Purchased Power Model No CDM'!M57</f>
        <v>0</v>
      </c>
      <c r="N57" s="322">
        <f>'Purchased Power Model No CDM'!N57</f>
        <v>20</v>
      </c>
      <c r="O57" s="857">
        <f>'Purchased Power Model No CDM'!P57</f>
        <v>0</v>
      </c>
      <c r="P57" s="1362"/>
      <c r="Q57" s="930">
        <v>52</v>
      </c>
      <c r="R57" s="930">
        <v>5858.6666666666679</v>
      </c>
      <c r="S57" s="933">
        <v>111.85649816042417</v>
      </c>
      <c r="W57" s="264"/>
      <c r="X57"/>
      <c r="Y57"/>
      <c r="Z57"/>
      <c r="AA57"/>
      <c r="AB57"/>
      <c r="AC57"/>
      <c r="AD57"/>
      <c r="AE57"/>
      <c r="AF57"/>
    </row>
    <row r="58" spans="1:32">
      <c r="A58" s="864">
        <f t="shared" si="1"/>
        <v>2015</v>
      </c>
      <c r="B58" s="62">
        <f t="shared" si="3"/>
        <v>42155</v>
      </c>
      <c r="C58" s="69">
        <f>'Purchased Power Model No CDM'!C58</f>
        <v>8214245.5700000003</v>
      </c>
      <c r="D58" s="69">
        <f>'Purchased Power Model No CDM'!D58</f>
        <v>10420</v>
      </c>
      <c r="E58" s="843"/>
      <c r="F58" s="885"/>
      <c r="G58" s="73"/>
      <c r="H58" s="71">
        <f t="shared" si="4"/>
        <v>8224665.5700000003</v>
      </c>
      <c r="I58" s="259"/>
      <c r="J58" s="150">
        <f>'Purchased Power Model No CDM'!J58</f>
        <v>94.200000000000031</v>
      </c>
      <c r="K58" s="857">
        <f>'Purchased Power Model No CDM'!K58</f>
        <v>25.299999999999997</v>
      </c>
      <c r="L58" s="322">
        <f>'Purchased Power Model No CDM'!L58</f>
        <v>31</v>
      </c>
      <c r="M58" s="150">
        <f>'Purchased Power Model No CDM'!M58</f>
        <v>0</v>
      </c>
      <c r="N58" s="322">
        <f>'Purchased Power Model No CDM'!N58</f>
        <v>20</v>
      </c>
      <c r="O58" s="857">
        <f>'Purchased Power Model No CDM'!P58</f>
        <v>0</v>
      </c>
      <c r="P58" s="1362"/>
      <c r="Q58" s="930">
        <v>53</v>
      </c>
      <c r="R58" s="930">
        <v>5858.8333333333348</v>
      </c>
      <c r="S58" s="933">
        <v>112.08690423235261</v>
      </c>
      <c r="W58" s="264"/>
      <c r="X58"/>
      <c r="Y58"/>
      <c r="Z58"/>
      <c r="AA58"/>
      <c r="AB58"/>
      <c r="AC58"/>
      <c r="AD58"/>
      <c r="AE58"/>
      <c r="AF58"/>
    </row>
    <row r="59" spans="1:32">
      <c r="A59" s="864">
        <f t="shared" si="1"/>
        <v>2015</v>
      </c>
      <c r="B59" s="62">
        <f t="shared" si="3"/>
        <v>42185</v>
      </c>
      <c r="C59" s="69">
        <f>'Purchased Power Model No CDM'!C59</f>
        <v>8082238.46</v>
      </c>
      <c r="D59" s="69">
        <f>'Purchased Power Model No CDM'!D59</f>
        <v>9244</v>
      </c>
      <c r="E59" s="843"/>
      <c r="F59" s="885"/>
      <c r="G59" s="73"/>
      <c r="H59" s="71">
        <f t="shared" si="4"/>
        <v>8091482.46</v>
      </c>
      <c r="I59" s="259"/>
      <c r="J59" s="150">
        <f>'Purchased Power Model No CDM'!J59</f>
        <v>45.199999999999996</v>
      </c>
      <c r="K59" s="857">
        <f>'Purchased Power Model No CDM'!K59</f>
        <v>20.3</v>
      </c>
      <c r="L59" s="322">
        <f>'Purchased Power Model No CDM'!L59</f>
        <v>30</v>
      </c>
      <c r="M59" s="150">
        <f>'Purchased Power Model No CDM'!M59</f>
        <v>1</v>
      </c>
      <c r="N59" s="322">
        <f>'Purchased Power Model No CDM'!N59</f>
        <v>22</v>
      </c>
      <c r="O59" s="857">
        <f>'Purchased Power Model No CDM'!P59</f>
        <v>0</v>
      </c>
      <c r="P59" s="1362"/>
      <c r="Q59" s="930">
        <v>54</v>
      </c>
      <c r="R59" s="930">
        <v>5859.0000000000018</v>
      </c>
      <c r="S59" s="933">
        <v>112.3177849030648</v>
      </c>
      <c r="W59" s="264"/>
    </row>
    <row r="60" spans="1:32">
      <c r="A60" s="864">
        <f t="shared" si="1"/>
        <v>2015</v>
      </c>
      <c r="B60" s="62">
        <f t="shared" si="3"/>
        <v>42216</v>
      </c>
      <c r="C60" s="69">
        <f>'Purchased Power Model No CDM'!C60</f>
        <v>8969560.4600000009</v>
      </c>
      <c r="D60" s="69">
        <f>'Purchased Power Model No CDM'!D60</f>
        <v>10629</v>
      </c>
      <c r="E60" s="843"/>
      <c r="F60" s="885"/>
      <c r="G60" s="73"/>
      <c r="H60" s="71">
        <f t="shared" si="4"/>
        <v>8980189.4600000009</v>
      </c>
      <c r="I60" s="259"/>
      <c r="J60" s="150">
        <f>'Purchased Power Model No CDM'!J60</f>
        <v>9.3000000000000007</v>
      </c>
      <c r="K60" s="857">
        <f>'Purchased Power Model No CDM'!K60</f>
        <v>99.999999999999986</v>
      </c>
      <c r="L60" s="322">
        <f>'Purchased Power Model No CDM'!L60</f>
        <v>31</v>
      </c>
      <c r="M60" s="150">
        <f>'Purchased Power Model No CDM'!M60</f>
        <v>1</v>
      </c>
      <c r="N60" s="322">
        <f>'Purchased Power Model No CDM'!N60</f>
        <v>22</v>
      </c>
      <c r="O60" s="857">
        <f>'Purchased Power Model No CDM'!P60</f>
        <v>0</v>
      </c>
      <c r="P60" s="1362"/>
      <c r="Q60" s="930">
        <v>55</v>
      </c>
      <c r="R60" s="930">
        <v>5859.1666666666688</v>
      </c>
      <c r="S60" s="933">
        <v>112.54914115015653</v>
      </c>
      <c r="W60" s="264"/>
      <c r="X60" t="s">
        <v>13</v>
      </c>
      <c r="Y60"/>
      <c r="Z60"/>
      <c r="AA60"/>
      <c r="AB60"/>
      <c r="AC60"/>
      <c r="AD60"/>
      <c r="AE60"/>
      <c r="AF60"/>
    </row>
    <row r="61" spans="1:32" ht="13.8" thickBot="1">
      <c r="A61" s="864">
        <f t="shared" si="1"/>
        <v>2015</v>
      </c>
      <c r="B61" s="62">
        <f t="shared" si="3"/>
        <v>42247</v>
      </c>
      <c r="C61" s="69">
        <f>'Purchased Power Model No CDM'!C61</f>
        <v>8928792.9100000001</v>
      </c>
      <c r="D61" s="69">
        <f>'Purchased Power Model No CDM'!D61</f>
        <v>9115</v>
      </c>
      <c r="E61" s="843"/>
      <c r="F61" s="885"/>
      <c r="G61" s="73"/>
      <c r="H61" s="71">
        <f t="shared" si="4"/>
        <v>8937907.9100000001</v>
      </c>
      <c r="I61" s="259"/>
      <c r="J61" s="150">
        <f>'Purchased Power Model No CDM'!J61</f>
        <v>5.6</v>
      </c>
      <c r="K61" s="857">
        <f>'Purchased Power Model No CDM'!K61</f>
        <v>67.399999999999991</v>
      </c>
      <c r="L61" s="322">
        <f>'Purchased Power Model No CDM'!L61</f>
        <v>31</v>
      </c>
      <c r="M61" s="150">
        <f>'Purchased Power Model No CDM'!M61</f>
        <v>1</v>
      </c>
      <c r="N61" s="322">
        <f>'Purchased Power Model No CDM'!N61</f>
        <v>20</v>
      </c>
      <c r="O61" s="1358">
        <f>'Purchased Power Model No CDM'!P61</f>
        <v>1</v>
      </c>
      <c r="P61" s="1363"/>
      <c r="Q61" s="930">
        <v>56</v>
      </c>
      <c r="R61" s="930">
        <v>5859.3333333333358</v>
      </c>
      <c r="S61" s="933">
        <v>112.78097395323728</v>
      </c>
      <c r="W61" s="264"/>
      <c r="X61"/>
      <c r="Y61"/>
      <c r="Z61"/>
      <c r="AA61"/>
      <c r="AB61"/>
      <c r="AC61"/>
      <c r="AD61"/>
      <c r="AE61"/>
      <c r="AF61"/>
    </row>
    <row r="62" spans="1:32">
      <c r="A62" s="864">
        <f t="shared" si="1"/>
        <v>2015</v>
      </c>
      <c r="B62" s="62">
        <f t="shared" si="3"/>
        <v>42277</v>
      </c>
      <c r="C62" s="69">
        <f>'Purchased Power Model No CDM'!C62</f>
        <v>8487585.6799999997</v>
      </c>
      <c r="D62" s="69">
        <f>'Purchased Power Model No CDM'!D62</f>
        <v>7694</v>
      </c>
      <c r="E62" s="843"/>
      <c r="F62" s="885"/>
      <c r="G62" s="73"/>
      <c r="H62" s="71">
        <f t="shared" si="4"/>
        <v>8495279.6799999997</v>
      </c>
      <c r="I62" s="259"/>
      <c r="J62" s="150">
        <f>'Purchased Power Model No CDM'!J62</f>
        <v>48.400000000000006</v>
      </c>
      <c r="K62" s="857">
        <f>'Purchased Power Model No CDM'!K62</f>
        <v>46.500000000000007</v>
      </c>
      <c r="L62" s="322">
        <f>'Purchased Power Model No CDM'!L62</f>
        <v>30</v>
      </c>
      <c r="M62" s="150">
        <f>'Purchased Power Model No CDM'!M62</f>
        <v>1</v>
      </c>
      <c r="N62" s="322">
        <f>'Purchased Power Model No CDM'!N62</f>
        <v>21</v>
      </c>
      <c r="O62" s="857">
        <f>'Purchased Power Model No CDM'!P62</f>
        <v>0</v>
      </c>
      <c r="P62" s="1362"/>
      <c r="Q62" s="930">
        <v>57</v>
      </c>
      <c r="R62" s="930">
        <v>5859.5000000000027</v>
      </c>
      <c r="S62" s="933">
        <v>113.01328429393435</v>
      </c>
      <c r="W62" s="264"/>
      <c r="X62" s="17" t="s">
        <v>14</v>
      </c>
      <c r="Y62" s="17"/>
      <c r="Z62"/>
      <c r="AA62"/>
      <c r="AB62"/>
      <c r="AC62"/>
      <c r="AD62"/>
      <c r="AE62"/>
      <c r="AF62"/>
    </row>
    <row r="63" spans="1:32">
      <c r="A63" s="864">
        <f t="shared" si="1"/>
        <v>2015</v>
      </c>
      <c r="B63" s="62">
        <f t="shared" si="3"/>
        <v>42308</v>
      </c>
      <c r="C63" s="69">
        <f>'Purchased Power Model No CDM'!C63</f>
        <v>8442807.8100000005</v>
      </c>
      <c r="D63" s="69">
        <f>'Purchased Power Model No CDM'!D63</f>
        <v>5620</v>
      </c>
      <c r="E63" s="843"/>
      <c r="F63" s="885"/>
      <c r="G63" s="73"/>
      <c r="H63" s="71">
        <f t="shared" si="4"/>
        <v>8448427.8100000005</v>
      </c>
      <c r="I63" s="259"/>
      <c r="J63" s="150">
        <f>'Purchased Power Model No CDM'!J63</f>
        <v>337.30000000000007</v>
      </c>
      <c r="K63" s="857">
        <f>'Purchased Power Model No CDM'!K63</f>
        <v>0</v>
      </c>
      <c r="L63" s="322">
        <f>'Purchased Power Model No CDM'!L63</f>
        <v>31</v>
      </c>
      <c r="M63" s="150">
        <f>'Purchased Power Model No CDM'!M63</f>
        <v>0</v>
      </c>
      <c r="N63" s="322">
        <f>'Purchased Power Model No CDM'!N63</f>
        <v>21</v>
      </c>
      <c r="O63" s="857">
        <f>'Purchased Power Model No CDM'!P63</f>
        <v>0</v>
      </c>
      <c r="P63" s="1362"/>
      <c r="Q63" s="930">
        <v>58</v>
      </c>
      <c r="R63" s="930">
        <v>5859.6666666666697</v>
      </c>
      <c r="S63" s="933">
        <v>113.24607315589704</v>
      </c>
      <c r="W63" s="264"/>
      <c r="X63" s="14" t="s">
        <v>15</v>
      </c>
      <c r="Y63" s="14">
        <v>0.98372069241340021</v>
      </c>
      <c r="Z63"/>
      <c r="AA63"/>
      <c r="AB63"/>
      <c r="AC63"/>
      <c r="AD63"/>
      <c r="AE63"/>
      <c r="AF63"/>
    </row>
    <row r="64" spans="1:32">
      <c r="A64" s="864">
        <f t="shared" si="1"/>
        <v>2015</v>
      </c>
      <c r="B64" s="62">
        <f t="shared" si="3"/>
        <v>42338</v>
      </c>
      <c r="C64" s="69">
        <f>'Purchased Power Model No CDM'!C64</f>
        <v>8788398.0199999996</v>
      </c>
      <c r="D64" s="69">
        <f>'Purchased Power Model No CDM'!D64</f>
        <v>3629</v>
      </c>
      <c r="E64" s="843"/>
      <c r="F64" s="885"/>
      <c r="G64" s="73"/>
      <c r="H64" s="71">
        <f t="shared" si="4"/>
        <v>8792027.0199999996</v>
      </c>
      <c r="I64" s="259"/>
      <c r="J64" s="150">
        <f>'Purchased Power Model No CDM'!J64</f>
        <v>429.00000000000006</v>
      </c>
      <c r="K64" s="857">
        <f>'Purchased Power Model No CDM'!K64</f>
        <v>0</v>
      </c>
      <c r="L64" s="322">
        <f>'Purchased Power Model No CDM'!L64</f>
        <v>30</v>
      </c>
      <c r="M64" s="150">
        <f>'Purchased Power Model No CDM'!M64</f>
        <v>0</v>
      </c>
      <c r="N64" s="322">
        <f>'Purchased Power Model No CDM'!N64</f>
        <v>21</v>
      </c>
      <c r="O64" s="857">
        <f>'Purchased Power Model No CDM'!P64</f>
        <v>0</v>
      </c>
      <c r="P64" s="1362"/>
      <c r="Q64" s="930">
        <v>59</v>
      </c>
      <c r="R64" s="930">
        <v>5859.8333333333367</v>
      </c>
      <c r="S64" s="933">
        <v>113.47934152480082</v>
      </c>
      <c r="W64" s="264"/>
      <c r="X64" s="14" t="s">
        <v>16</v>
      </c>
      <c r="Y64" s="14">
        <v>0.96770640068229963</v>
      </c>
      <c r="Z64"/>
      <c r="AA64"/>
      <c r="AB64"/>
      <c r="AC64"/>
      <c r="AD64"/>
      <c r="AE64"/>
      <c r="AF64"/>
    </row>
    <row r="65" spans="1:32">
      <c r="A65" s="865">
        <f t="shared" si="1"/>
        <v>2015</v>
      </c>
      <c r="B65" s="151">
        <f t="shared" si="3"/>
        <v>42369</v>
      </c>
      <c r="C65" s="81">
        <f>'Purchased Power Model No CDM'!C65</f>
        <v>9419775.3499999996</v>
      </c>
      <c r="D65" s="81">
        <f>'Purchased Power Model No CDM'!D65</f>
        <v>1660</v>
      </c>
      <c r="E65" s="853"/>
      <c r="F65" s="886"/>
      <c r="G65" s="83"/>
      <c r="H65" s="76">
        <f t="shared" si="4"/>
        <v>9421435.3499999996</v>
      </c>
      <c r="I65" s="260"/>
      <c r="J65" s="104">
        <f>'Purchased Power Model No CDM'!J65</f>
        <v>519.90000000000009</v>
      </c>
      <c r="K65" s="839">
        <f>'Purchased Power Model No CDM'!K65</f>
        <v>0</v>
      </c>
      <c r="L65" s="323">
        <f>'Purchased Power Model No CDM'!L65</f>
        <v>31</v>
      </c>
      <c r="M65" s="104">
        <f>'Purchased Power Model No CDM'!M65</f>
        <v>1</v>
      </c>
      <c r="N65" s="323">
        <f>'Purchased Power Model No CDM'!N65</f>
        <v>21</v>
      </c>
      <c r="O65" s="871">
        <f>'Purchased Power Model No CDM'!P65</f>
        <v>0</v>
      </c>
      <c r="P65" s="1362"/>
      <c r="Q65" s="931">
        <v>60</v>
      </c>
      <c r="R65" s="931">
        <v>5860</v>
      </c>
      <c r="S65" s="934">
        <v>113.71309038835147</v>
      </c>
      <c r="W65" s="264"/>
      <c r="X65" s="14" t="s">
        <v>17</v>
      </c>
      <c r="Y65" s="14">
        <v>0.96537893406480768</v>
      </c>
      <c r="Z65"/>
      <c r="AA65"/>
      <c r="AB65"/>
      <c r="AC65"/>
      <c r="AD65"/>
      <c r="AE65"/>
      <c r="AF65"/>
    </row>
    <row r="66" spans="1:32">
      <c r="A66" s="864">
        <f t="shared" si="1"/>
        <v>2016</v>
      </c>
      <c r="B66" s="62">
        <f t="shared" si="3"/>
        <v>42400</v>
      </c>
      <c r="C66" s="69">
        <f>'Purchased Power Model No CDM'!C66</f>
        <v>10989034.470000001</v>
      </c>
      <c r="D66" s="69">
        <f>'Purchased Power Model No CDM'!D66</f>
        <v>2253</v>
      </c>
      <c r="E66" s="843"/>
      <c r="F66" s="885"/>
      <c r="G66" s="73"/>
      <c r="H66" s="71">
        <f t="shared" si="4"/>
        <v>10991287.470000001</v>
      </c>
      <c r="I66" s="259"/>
      <c r="J66" s="150">
        <f>'Purchased Power Model No CDM'!J66</f>
        <v>804.80000000000018</v>
      </c>
      <c r="K66" s="857">
        <f>'Purchased Power Model No CDM'!K66</f>
        <v>0</v>
      </c>
      <c r="L66" s="322">
        <f>'Purchased Power Model No CDM'!L66</f>
        <v>31</v>
      </c>
      <c r="M66" s="150">
        <f>'Purchased Power Model No CDM'!M66</f>
        <v>1</v>
      </c>
      <c r="N66" s="322">
        <f>'Purchased Power Model No CDM'!N66</f>
        <v>20</v>
      </c>
      <c r="O66" s="857">
        <f>'Purchased Power Model No CDM'!P66</f>
        <v>0</v>
      </c>
      <c r="P66" s="1362"/>
      <c r="Q66" s="930">
        <v>61</v>
      </c>
      <c r="R66" s="930">
        <v>5861.25</v>
      </c>
      <c r="S66" s="933">
        <v>113.92877612619823</v>
      </c>
      <c r="W66" s="264"/>
      <c r="X66" s="14" t="s">
        <v>18</v>
      </c>
      <c r="Y66" s="14">
        <v>216530.91984050543</v>
      </c>
      <c r="Z66"/>
      <c r="AA66"/>
      <c r="AB66"/>
      <c r="AC66"/>
      <c r="AD66"/>
      <c r="AE66"/>
      <c r="AF66"/>
    </row>
    <row r="67" spans="1:32" ht="13.8" thickBot="1">
      <c r="A67" s="864">
        <f t="shared" si="1"/>
        <v>2016</v>
      </c>
      <c r="B67" s="62">
        <f t="shared" si="3"/>
        <v>42429</v>
      </c>
      <c r="C67" s="69">
        <f>'Purchased Power Model No CDM'!C67</f>
        <v>10461168.439999999</v>
      </c>
      <c r="D67" s="69">
        <f>'Purchased Power Model No CDM'!D67</f>
        <v>2428</v>
      </c>
      <c r="E67" s="843"/>
      <c r="F67" s="885"/>
      <c r="G67" s="73"/>
      <c r="H67" s="71">
        <f t="shared" si="4"/>
        <v>10463596.439999999</v>
      </c>
      <c r="I67" s="259"/>
      <c r="J67" s="150">
        <f>'Purchased Power Model No CDM'!J67</f>
        <v>756.3</v>
      </c>
      <c r="K67" s="857">
        <f>'Purchased Power Model No CDM'!K67</f>
        <v>0</v>
      </c>
      <c r="L67" s="322">
        <f>'Purchased Power Model No CDM'!L67</f>
        <v>29</v>
      </c>
      <c r="M67" s="150">
        <f>'Purchased Power Model No CDM'!M67</f>
        <v>1</v>
      </c>
      <c r="N67" s="322">
        <f>'Purchased Power Model No CDM'!N67</f>
        <v>20</v>
      </c>
      <c r="O67" s="857">
        <f>'Purchased Power Model No CDM'!P67</f>
        <v>0</v>
      </c>
      <c r="P67" s="1362"/>
      <c r="Q67" s="930">
        <v>62</v>
      </c>
      <c r="R67" s="930">
        <v>5862.5</v>
      </c>
      <c r="S67" s="933">
        <v>114.14487096679078</v>
      </c>
      <c r="W67" s="264"/>
      <c r="X67" s="15" t="s">
        <v>19</v>
      </c>
      <c r="Y67" s="15">
        <v>120</v>
      </c>
      <c r="Z67"/>
      <c r="AA67"/>
      <c r="AB67"/>
      <c r="AC67"/>
      <c r="AD67"/>
      <c r="AE67"/>
      <c r="AF67"/>
    </row>
    <row r="68" spans="1:32">
      <c r="A68" s="864">
        <f t="shared" si="1"/>
        <v>2016</v>
      </c>
      <c r="B68" s="62">
        <f t="shared" si="3"/>
        <v>42460</v>
      </c>
      <c r="C68" s="69">
        <f>'Purchased Power Model No CDM'!C68</f>
        <v>9905017</v>
      </c>
      <c r="D68" s="69">
        <f>'Purchased Power Model No CDM'!D68</f>
        <v>6599</v>
      </c>
      <c r="E68" s="843"/>
      <c r="F68" s="885"/>
      <c r="G68" s="73"/>
      <c r="H68" s="71">
        <f t="shared" si="4"/>
        <v>9911616</v>
      </c>
      <c r="I68" s="259"/>
      <c r="J68" s="150">
        <f>'Purchased Power Model No CDM'!J68</f>
        <v>591.39999999999975</v>
      </c>
      <c r="K68" s="857">
        <f>'Purchased Power Model No CDM'!K68</f>
        <v>0</v>
      </c>
      <c r="L68" s="322">
        <f>'Purchased Power Model No CDM'!L68</f>
        <v>31</v>
      </c>
      <c r="M68" s="150">
        <f>'Purchased Power Model No CDM'!M68</f>
        <v>1</v>
      </c>
      <c r="N68" s="322">
        <f>'Purchased Power Model No CDM'!N68</f>
        <v>21</v>
      </c>
      <c r="O68" s="857">
        <f>'Purchased Power Model No CDM'!P68</f>
        <v>0</v>
      </c>
      <c r="P68" s="1362"/>
      <c r="Q68" s="930">
        <v>63</v>
      </c>
      <c r="R68" s="930">
        <v>5863.75</v>
      </c>
      <c r="S68" s="933">
        <v>114.36137568609631</v>
      </c>
      <c r="W68" s="264"/>
      <c r="X68"/>
      <c r="Y68"/>
      <c r="Z68"/>
      <c r="AA68"/>
      <c r="AB68"/>
      <c r="AC68"/>
      <c r="AD68"/>
      <c r="AE68"/>
      <c r="AF68"/>
    </row>
    <row r="69" spans="1:32" ht="13.8" thickBot="1">
      <c r="A69" s="864">
        <f t="shared" si="1"/>
        <v>2016</v>
      </c>
      <c r="B69" s="62">
        <f t="shared" si="3"/>
        <v>42490</v>
      </c>
      <c r="C69" s="69">
        <f>'Purchased Power Model No CDM'!C69</f>
        <v>8448753</v>
      </c>
      <c r="D69" s="69">
        <f>'Purchased Power Model No CDM'!D69</f>
        <v>9898</v>
      </c>
      <c r="E69" s="843"/>
      <c r="F69" s="885"/>
      <c r="G69" s="73"/>
      <c r="H69" s="71">
        <f t="shared" si="4"/>
        <v>8458651</v>
      </c>
      <c r="I69" s="259"/>
      <c r="J69" s="150">
        <f>'Purchased Power Model No CDM'!J69</f>
        <v>433.7999999999999</v>
      </c>
      <c r="K69" s="857">
        <f>'Purchased Power Model No CDM'!K69</f>
        <v>0</v>
      </c>
      <c r="L69" s="322">
        <f>'Purchased Power Model No CDM'!L69</f>
        <v>30</v>
      </c>
      <c r="M69" s="150">
        <f>'Purchased Power Model No CDM'!M69</f>
        <v>0</v>
      </c>
      <c r="N69" s="322">
        <f>'Purchased Power Model No CDM'!N69</f>
        <v>21</v>
      </c>
      <c r="O69" s="857">
        <f>'Purchased Power Model No CDM'!P69</f>
        <v>0</v>
      </c>
      <c r="P69" s="1362"/>
      <c r="Q69" s="930">
        <v>64</v>
      </c>
      <c r="R69" s="930">
        <v>5865</v>
      </c>
      <c r="S69" s="933">
        <v>114.57829106155384</v>
      </c>
      <c r="W69" s="264"/>
      <c r="X69" t="s">
        <v>20</v>
      </c>
      <c r="Y69"/>
      <c r="Z69"/>
      <c r="AA69"/>
      <c r="AB69"/>
      <c r="AC69"/>
      <c r="AD69"/>
      <c r="AE69"/>
      <c r="AF69"/>
    </row>
    <row r="70" spans="1:32">
      <c r="A70" s="864">
        <f t="shared" si="1"/>
        <v>2016</v>
      </c>
      <c r="B70" s="62">
        <f t="shared" si="3"/>
        <v>42521</v>
      </c>
      <c r="C70" s="69">
        <f>'Purchased Power Model No CDM'!C70</f>
        <v>7971052</v>
      </c>
      <c r="D70" s="69">
        <f>'Purchased Power Model No CDM'!D70</f>
        <v>10642</v>
      </c>
      <c r="E70" s="843"/>
      <c r="F70" s="885"/>
      <c r="G70" s="73"/>
      <c r="H70" s="71">
        <f t="shared" si="4"/>
        <v>7981694</v>
      </c>
      <c r="I70" s="259"/>
      <c r="J70" s="150">
        <f>'Purchased Power Model No CDM'!J70</f>
        <v>145.39999999999998</v>
      </c>
      <c r="K70" s="857">
        <f>'Purchased Power Model No CDM'!K70</f>
        <v>28.7</v>
      </c>
      <c r="L70" s="322">
        <f>'Purchased Power Model No CDM'!L70</f>
        <v>31</v>
      </c>
      <c r="M70" s="150">
        <f>'Purchased Power Model No CDM'!M70</f>
        <v>0</v>
      </c>
      <c r="N70" s="322">
        <f>'Purchased Power Model No CDM'!N70</f>
        <v>21</v>
      </c>
      <c r="O70" s="857">
        <f>'Purchased Power Model No CDM'!P70</f>
        <v>0</v>
      </c>
      <c r="P70" s="1362"/>
      <c r="Q70" s="930">
        <v>65</v>
      </c>
      <c r="R70" s="930">
        <v>5866.25</v>
      </c>
      <c r="S70" s="933">
        <v>114.79561787207699</v>
      </c>
      <c r="W70" s="264"/>
      <c r="X70" s="16"/>
      <c r="Y70" s="16" t="s">
        <v>24</v>
      </c>
      <c r="Z70" s="16" t="s">
        <v>25</v>
      </c>
      <c r="AA70" s="16" t="s">
        <v>26</v>
      </c>
      <c r="AB70" s="16" t="s">
        <v>27</v>
      </c>
      <c r="AC70" s="16" t="s">
        <v>28</v>
      </c>
      <c r="AD70"/>
      <c r="AE70"/>
      <c r="AF70"/>
    </row>
    <row r="71" spans="1:32">
      <c r="A71" s="864">
        <f t="shared" ref="A71:A134" si="5">YEAR(B71)</f>
        <v>2016</v>
      </c>
      <c r="B71" s="62">
        <f t="shared" si="3"/>
        <v>42551</v>
      </c>
      <c r="C71" s="69">
        <f>'Purchased Power Model No CDM'!C71</f>
        <v>8152771</v>
      </c>
      <c r="D71" s="69">
        <f>'Purchased Power Model No CDM'!D71</f>
        <v>10263</v>
      </c>
      <c r="E71" s="843"/>
      <c r="F71" s="885"/>
      <c r="G71" s="73"/>
      <c r="H71" s="71">
        <f t="shared" si="4"/>
        <v>8163034</v>
      </c>
      <c r="I71" s="259"/>
      <c r="J71" s="150">
        <f>'Purchased Power Model No CDM'!J71</f>
        <v>36.300000000000004</v>
      </c>
      <c r="K71" s="857">
        <f>'Purchased Power Model No CDM'!K71</f>
        <v>51.999999999999993</v>
      </c>
      <c r="L71" s="322">
        <f>'Purchased Power Model No CDM'!L71</f>
        <v>30</v>
      </c>
      <c r="M71" s="150">
        <f>'Purchased Power Model No CDM'!M71</f>
        <v>1</v>
      </c>
      <c r="N71" s="322">
        <f>'Purchased Power Model No CDM'!N71</f>
        <v>22</v>
      </c>
      <c r="O71" s="857">
        <f>'Purchased Power Model No CDM'!P71</f>
        <v>0</v>
      </c>
      <c r="P71" s="1362"/>
      <c r="Q71" s="930">
        <v>66</v>
      </c>
      <c r="R71" s="930">
        <v>5867.5</v>
      </c>
      <c r="S71" s="933">
        <v>115.01335689805678</v>
      </c>
      <c r="W71" s="264"/>
      <c r="X71" s="14" t="s">
        <v>21</v>
      </c>
      <c r="Y71" s="14">
        <v>8</v>
      </c>
      <c r="Z71" s="14">
        <v>155951652697031.75</v>
      </c>
      <c r="AA71" s="14">
        <v>19493956587128.969</v>
      </c>
      <c r="AB71" s="14">
        <v>415.77670476971321</v>
      </c>
      <c r="AC71" s="14">
        <v>5.1842341693212817E-79</v>
      </c>
      <c r="AD71"/>
      <c r="AE71"/>
      <c r="AF71"/>
    </row>
    <row r="72" spans="1:32">
      <c r="A72" s="864">
        <f t="shared" si="5"/>
        <v>2016</v>
      </c>
      <c r="B72" s="62">
        <f t="shared" si="3"/>
        <v>42582</v>
      </c>
      <c r="C72" s="69">
        <f>'Purchased Power Model No CDM'!C72</f>
        <v>9080665</v>
      </c>
      <c r="D72" s="69">
        <f>'Purchased Power Model No CDM'!D72</f>
        <v>10379</v>
      </c>
      <c r="E72" s="843"/>
      <c r="F72" s="885"/>
      <c r="G72" s="73"/>
      <c r="H72" s="71">
        <f t="shared" si="4"/>
        <v>9091044</v>
      </c>
      <c r="I72" s="259"/>
      <c r="J72" s="150">
        <f>'Purchased Power Model No CDM'!J72</f>
        <v>3.4</v>
      </c>
      <c r="K72" s="857">
        <f>'Purchased Power Model No CDM'!K72</f>
        <v>112.6</v>
      </c>
      <c r="L72" s="322">
        <f>'Purchased Power Model No CDM'!L72</f>
        <v>31</v>
      </c>
      <c r="M72" s="150">
        <f>'Purchased Power Model No CDM'!M72</f>
        <v>1</v>
      </c>
      <c r="N72" s="322">
        <f>'Purchased Power Model No CDM'!N72</f>
        <v>20</v>
      </c>
      <c r="O72" s="857">
        <f>'Purchased Power Model No CDM'!P72</f>
        <v>0</v>
      </c>
      <c r="P72" s="1362"/>
      <c r="Q72" s="930">
        <v>67</v>
      </c>
      <c r="R72" s="930">
        <v>5868.75</v>
      </c>
      <c r="S72" s="933">
        <v>115.23150892136447</v>
      </c>
      <c r="W72" s="264"/>
      <c r="X72" s="14" t="s">
        <v>22</v>
      </c>
      <c r="Y72" s="14">
        <v>111</v>
      </c>
      <c r="Z72" s="14">
        <v>5204305956414.2686</v>
      </c>
      <c r="AA72" s="14">
        <v>46885639246.975395</v>
      </c>
      <c r="AB72" s="14"/>
      <c r="AC72" s="14"/>
      <c r="AD72"/>
      <c r="AE72"/>
      <c r="AF72"/>
    </row>
    <row r="73" spans="1:32" ht="13.8" thickBot="1">
      <c r="A73" s="864">
        <f t="shared" si="5"/>
        <v>2016</v>
      </c>
      <c r="B73" s="62">
        <f t="shared" si="3"/>
        <v>42613</v>
      </c>
      <c r="C73" s="69">
        <f>'Purchased Power Model No CDM'!C73</f>
        <v>9517733</v>
      </c>
      <c r="D73" s="69">
        <f>'Purchased Power Model No CDM'!D73</f>
        <v>9442</v>
      </c>
      <c r="E73" s="843"/>
      <c r="F73" s="885"/>
      <c r="G73" s="73"/>
      <c r="H73" s="71">
        <f t="shared" si="4"/>
        <v>9527175</v>
      </c>
      <c r="I73" s="259"/>
      <c r="J73" s="150">
        <f>'Purchased Power Model No CDM'!J73</f>
        <v>1.4</v>
      </c>
      <c r="K73" s="857">
        <f>'Purchased Power Model No CDM'!K73</f>
        <v>124.60000000000001</v>
      </c>
      <c r="L73" s="322">
        <f>'Purchased Power Model No CDM'!L73</f>
        <v>31</v>
      </c>
      <c r="M73" s="150">
        <f>'Purchased Power Model No CDM'!M73</f>
        <v>1</v>
      </c>
      <c r="N73" s="322">
        <f>'Purchased Power Model No CDM'!N73</f>
        <v>22</v>
      </c>
      <c r="O73" s="1358">
        <f>'Purchased Power Model No CDM'!P73</f>
        <v>1</v>
      </c>
      <c r="P73" s="1363"/>
      <c r="Q73" s="930">
        <v>68</v>
      </c>
      <c r="R73" s="930">
        <v>5870</v>
      </c>
      <c r="S73" s="933">
        <v>115.4500747253543</v>
      </c>
      <c r="W73" s="264"/>
      <c r="X73" s="15" t="s">
        <v>5</v>
      </c>
      <c r="Y73" s="15">
        <v>119</v>
      </c>
      <c r="Z73" s="15">
        <v>161155958653446.03</v>
      </c>
      <c r="AA73" s="15"/>
      <c r="AB73" s="15"/>
      <c r="AC73" s="15"/>
      <c r="AD73"/>
      <c r="AE73"/>
      <c r="AF73"/>
    </row>
    <row r="74" spans="1:32" ht="13.8" thickBot="1">
      <c r="A74" s="864">
        <f t="shared" si="5"/>
        <v>2016</v>
      </c>
      <c r="B74" s="62">
        <f t="shared" si="3"/>
        <v>42643</v>
      </c>
      <c r="C74" s="69">
        <f>'Purchased Power Model No CDM'!C74</f>
        <v>8054076.4400000004</v>
      </c>
      <c r="D74" s="69">
        <f>'Purchased Power Model No CDM'!D74</f>
        <v>8262</v>
      </c>
      <c r="E74" s="843"/>
      <c r="F74" s="885"/>
      <c r="G74" s="73"/>
      <c r="H74" s="71">
        <f t="shared" si="4"/>
        <v>8062338.4400000004</v>
      </c>
      <c r="I74" s="259"/>
      <c r="J74" s="150">
        <f>'Purchased Power Model No CDM'!J74</f>
        <v>75.100000000000009</v>
      </c>
      <c r="K74" s="857">
        <f>'Purchased Power Model No CDM'!K74</f>
        <v>24.900000000000006</v>
      </c>
      <c r="L74" s="322">
        <f>'Purchased Power Model No CDM'!L74</f>
        <v>30</v>
      </c>
      <c r="M74" s="150">
        <f>'Purchased Power Model No CDM'!M74</f>
        <v>1</v>
      </c>
      <c r="N74" s="322">
        <f>'Purchased Power Model No CDM'!N74</f>
        <v>21</v>
      </c>
      <c r="O74" s="857">
        <f>'Purchased Power Model No CDM'!P74</f>
        <v>0</v>
      </c>
      <c r="P74" s="1362"/>
      <c r="Q74" s="930">
        <v>69</v>
      </c>
      <c r="R74" s="930">
        <v>5871.25</v>
      </c>
      <c r="S74" s="933">
        <v>115.66905509486637</v>
      </c>
      <c r="W74" s="264"/>
      <c r="X74"/>
      <c r="Y74"/>
      <c r="Z74"/>
      <c r="AA74"/>
      <c r="AB74"/>
      <c r="AC74"/>
      <c r="AD74"/>
      <c r="AE74"/>
      <c r="AF74"/>
    </row>
    <row r="75" spans="1:32">
      <c r="A75" s="864">
        <f t="shared" si="5"/>
        <v>2016</v>
      </c>
      <c r="B75" s="62">
        <f t="shared" si="3"/>
        <v>42674</v>
      </c>
      <c r="C75" s="69">
        <f>'Purchased Power Model No CDM'!C75</f>
        <v>8074621</v>
      </c>
      <c r="D75" s="69">
        <f>'Purchased Power Model No CDM'!D75</f>
        <v>4981</v>
      </c>
      <c r="E75" s="843"/>
      <c r="F75" s="885"/>
      <c r="G75" s="73"/>
      <c r="H75" s="71">
        <f t="shared" si="4"/>
        <v>8079602</v>
      </c>
      <c r="I75" s="259"/>
      <c r="J75" s="150">
        <f>'Purchased Power Model No CDM'!J75</f>
        <v>291.09999999999997</v>
      </c>
      <c r="K75" s="857">
        <f>'Purchased Power Model No CDM'!K75</f>
        <v>0</v>
      </c>
      <c r="L75" s="322">
        <f>'Purchased Power Model No CDM'!L75</f>
        <v>31</v>
      </c>
      <c r="M75" s="150">
        <f>'Purchased Power Model No CDM'!M75</f>
        <v>0</v>
      </c>
      <c r="N75" s="322">
        <f>'Purchased Power Model No CDM'!N75</f>
        <v>20</v>
      </c>
      <c r="O75" s="857">
        <f>'Purchased Power Model No CDM'!P75</f>
        <v>0</v>
      </c>
      <c r="P75" s="1362"/>
      <c r="Q75" s="930">
        <v>70</v>
      </c>
      <c r="R75" s="930">
        <v>5872.5</v>
      </c>
      <c r="S75" s="933">
        <v>115.88845081622941</v>
      </c>
      <c r="W75" s="264"/>
      <c r="X75" s="16"/>
      <c r="Y75" s="16" t="s">
        <v>29</v>
      </c>
      <c r="Z75" s="16" t="s">
        <v>18</v>
      </c>
      <c r="AA75" s="16" t="s">
        <v>30</v>
      </c>
      <c r="AB75" s="16" t="s">
        <v>31</v>
      </c>
      <c r="AC75" s="16" t="s">
        <v>32</v>
      </c>
      <c r="AD75" s="16" t="s">
        <v>33</v>
      </c>
      <c r="AE75" s="16" t="s">
        <v>115</v>
      </c>
      <c r="AF75" s="16" t="s">
        <v>116</v>
      </c>
    </row>
    <row r="76" spans="1:32">
      <c r="A76" s="864">
        <f t="shared" si="5"/>
        <v>2016</v>
      </c>
      <c r="B76" s="62">
        <f t="shared" si="3"/>
        <v>42704</v>
      </c>
      <c r="C76" s="69">
        <f>'Purchased Power Model No CDM'!C76</f>
        <v>8792790</v>
      </c>
      <c r="D76" s="69">
        <f>'Purchased Power Model No CDM'!D76</f>
        <v>3468</v>
      </c>
      <c r="E76" s="843"/>
      <c r="F76" s="885"/>
      <c r="G76" s="73"/>
      <c r="H76" s="71">
        <f t="shared" si="4"/>
        <v>8796258</v>
      </c>
      <c r="I76" s="259"/>
      <c r="J76" s="150">
        <f>'Purchased Power Model No CDM'!J76</f>
        <v>449.50000000000006</v>
      </c>
      <c r="K76" s="857">
        <f>'Purchased Power Model No CDM'!K76</f>
        <v>0</v>
      </c>
      <c r="L76" s="322">
        <f>'Purchased Power Model No CDM'!L76</f>
        <v>30</v>
      </c>
      <c r="M76" s="150">
        <f>'Purchased Power Model No CDM'!M76</f>
        <v>0</v>
      </c>
      <c r="N76" s="322">
        <f>'Purchased Power Model No CDM'!N76</f>
        <v>22</v>
      </c>
      <c r="O76" s="857">
        <f>'Purchased Power Model No CDM'!P76</f>
        <v>0</v>
      </c>
      <c r="P76" s="1362"/>
      <c r="Q76" s="930">
        <v>71</v>
      </c>
      <c r="R76" s="930">
        <v>5873.75</v>
      </c>
      <c r="S76" s="933">
        <v>116.10826267726362</v>
      </c>
      <c r="W76" s="264"/>
      <c r="X76" s="14" t="s">
        <v>23</v>
      </c>
      <c r="Y76" s="14">
        <v>441246.31450140104</v>
      </c>
      <c r="Z76" s="14">
        <v>14866702.43033988</v>
      </c>
      <c r="AA76" s="14">
        <v>2.9680173970584634E-2</v>
      </c>
      <c r="AB76" s="14">
        <v>0.97637542289169288</v>
      </c>
      <c r="AC76" s="14">
        <v>-29018117.008784745</v>
      </c>
      <c r="AD76" s="14">
        <v>29900609.637787547</v>
      </c>
      <c r="AE76" s="14">
        <v>-29018117.008784745</v>
      </c>
      <c r="AF76" s="14">
        <v>29900609.637787547</v>
      </c>
    </row>
    <row r="77" spans="1:32">
      <c r="A77" s="865">
        <f t="shared" si="5"/>
        <v>2016</v>
      </c>
      <c r="B77" s="151">
        <f t="shared" si="3"/>
        <v>42735</v>
      </c>
      <c r="C77" s="81">
        <f>'Purchased Power Model No CDM'!C77</f>
        <v>10206407</v>
      </c>
      <c r="D77" s="81">
        <f>'Purchased Power Model No CDM'!D77</f>
        <v>1769</v>
      </c>
      <c r="E77" s="853"/>
      <c r="F77" s="886"/>
      <c r="G77" s="83"/>
      <c r="H77" s="76">
        <f t="shared" si="4"/>
        <v>10208176</v>
      </c>
      <c r="I77" s="260"/>
      <c r="J77" s="104">
        <f>'Purchased Power Model No CDM'!J77</f>
        <v>733.40000000000009</v>
      </c>
      <c r="K77" s="839">
        <f>'Purchased Power Model No CDM'!K77</f>
        <v>0</v>
      </c>
      <c r="L77" s="323">
        <f>'Purchased Power Model No CDM'!L77</f>
        <v>31</v>
      </c>
      <c r="M77" s="104">
        <f>'Purchased Power Model No CDM'!M77</f>
        <v>1</v>
      </c>
      <c r="N77" s="323">
        <f>'Purchased Power Model No CDM'!N77</f>
        <v>20</v>
      </c>
      <c r="O77" s="871">
        <f>'Purchased Power Model No CDM'!P77</f>
        <v>0</v>
      </c>
      <c r="P77" s="1362"/>
      <c r="Q77" s="931">
        <v>72</v>
      </c>
      <c r="R77" s="931">
        <v>5875</v>
      </c>
      <c r="S77" s="934">
        <v>116.32849146728353</v>
      </c>
      <c r="W77" s="264"/>
      <c r="X77" s="14" t="s">
        <v>121</v>
      </c>
      <c r="Y77" s="14">
        <v>4456.9657079726821</v>
      </c>
      <c r="Z77" s="14">
        <v>100.32914145133284</v>
      </c>
      <c r="AA77" s="14">
        <v>44.423441120889535</v>
      </c>
      <c r="AB77" s="14">
        <v>1.590217140570339E-72</v>
      </c>
      <c r="AC77" s="14">
        <v>4258.1568165068556</v>
      </c>
      <c r="AD77" s="14">
        <v>4655.7745994385086</v>
      </c>
      <c r="AE77" s="14">
        <v>4258.1568165068556</v>
      </c>
      <c r="AF77" s="14">
        <v>4655.7745994385086</v>
      </c>
    </row>
    <row r="78" spans="1:32">
      <c r="A78" s="864">
        <f t="shared" si="5"/>
        <v>2017</v>
      </c>
      <c r="B78" s="62">
        <f t="shared" si="3"/>
        <v>42766</v>
      </c>
      <c r="C78" s="69">
        <f>'Purchased Power Model No CDM'!C78</f>
        <v>10464420</v>
      </c>
      <c r="D78" s="69">
        <f>'Purchased Power Model No CDM'!D78</f>
        <v>2425</v>
      </c>
      <c r="E78" s="843"/>
      <c r="F78" s="885"/>
      <c r="G78" s="73"/>
      <c r="H78" s="71">
        <f t="shared" si="4"/>
        <v>10466845</v>
      </c>
      <c r="I78" s="259"/>
      <c r="J78" s="150">
        <f>'Purchased Power Model No CDM'!J78</f>
        <v>732.49999999999989</v>
      </c>
      <c r="K78" s="857">
        <f>'Purchased Power Model No CDM'!K78</f>
        <v>0</v>
      </c>
      <c r="L78" s="322">
        <f>'Purchased Power Model No CDM'!L78</f>
        <v>31</v>
      </c>
      <c r="M78" s="150">
        <f>'Purchased Power Model No CDM'!M78</f>
        <v>1</v>
      </c>
      <c r="N78" s="322">
        <f>'Purchased Power Model No CDM'!N78</f>
        <v>21</v>
      </c>
      <c r="O78" s="857">
        <f>'Purchased Power Model No CDM'!P78</f>
        <v>0</v>
      </c>
      <c r="P78" s="1362"/>
      <c r="Q78" s="930">
        <v>73</v>
      </c>
      <c r="R78" s="930">
        <v>5876.5</v>
      </c>
      <c r="S78" s="933">
        <v>116.59650229103849</v>
      </c>
      <c r="W78" s="264"/>
      <c r="X78" s="14" t="s">
        <v>122</v>
      </c>
      <c r="Y78" s="14">
        <v>15776.225037740269</v>
      </c>
      <c r="Z78" s="14">
        <v>816.93092419142488</v>
      </c>
      <c r="AA78" s="14">
        <v>19.311577724095986</v>
      </c>
      <c r="AB78" s="14">
        <v>2.7757743584356908E-37</v>
      </c>
      <c r="AC78" s="14">
        <v>14157.421875536065</v>
      </c>
      <c r="AD78" s="14">
        <v>17395.028199944471</v>
      </c>
      <c r="AE78" s="14">
        <v>14157.421875536065</v>
      </c>
      <c r="AF78" s="14">
        <v>17395.028199944471</v>
      </c>
    </row>
    <row r="79" spans="1:32">
      <c r="A79" s="864">
        <f t="shared" si="5"/>
        <v>2017</v>
      </c>
      <c r="B79" s="62">
        <f t="shared" si="3"/>
        <v>42794</v>
      </c>
      <c r="C79" s="69">
        <f>'Purchased Power Model No CDM'!C79</f>
        <v>9412266</v>
      </c>
      <c r="D79" s="69">
        <f>'Purchased Power Model No CDM'!D79</f>
        <v>3267</v>
      </c>
      <c r="E79" s="843"/>
      <c r="F79" s="885"/>
      <c r="G79" s="73"/>
      <c r="H79" s="71">
        <f t="shared" si="4"/>
        <v>9415533</v>
      </c>
      <c r="I79" s="259"/>
      <c r="J79" s="150">
        <f>'Purchased Power Model No CDM'!J79</f>
        <v>662.10000000000014</v>
      </c>
      <c r="K79" s="857">
        <f>'Purchased Power Model No CDM'!K79</f>
        <v>0</v>
      </c>
      <c r="L79" s="322">
        <f>'Purchased Power Model No CDM'!L79</f>
        <v>28</v>
      </c>
      <c r="M79" s="150">
        <f>'Purchased Power Model No CDM'!M79</f>
        <v>1</v>
      </c>
      <c r="N79" s="322">
        <f>'Purchased Power Model No CDM'!N79</f>
        <v>19</v>
      </c>
      <c r="O79" s="857">
        <f>'Purchased Power Model No CDM'!P79</f>
        <v>0</v>
      </c>
      <c r="P79" s="1362"/>
      <c r="Q79" s="930">
        <v>74</v>
      </c>
      <c r="R79" s="930">
        <v>5878</v>
      </c>
      <c r="S79" s="933">
        <v>116.86513058864482</v>
      </c>
      <c r="W79" s="264"/>
      <c r="X79" s="14" t="s">
        <v>3</v>
      </c>
      <c r="Y79" s="14">
        <v>152483.6024353739</v>
      </c>
      <c r="Z79" s="14">
        <v>28786.333764211438</v>
      </c>
      <c r="AA79" s="14">
        <v>5.2970831118809887</v>
      </c>
      <c r="AB79" s="14">
        <v>6.020676626069435E-7</v>
      </c>
      <c r="AC79" s="14">
        <v>95441.560390149709</v>
      </c>
      <c r="AD79" s="14">
        <v>209525.6444805981</v>
      </c>
      <c r="AE79" s="14">
        <v>95441.560390149709</v>
      </c>
      <c r="AF79" s="14">
        <v>209525.6444805981</v>
      </c>
    </row>
    <row r="80" spans="1:32">
      <c r="A80" s="864">
        <f t="shared" si="5"/>
        <v>2017</v>
      </c>
      <c r="B80" s="62">
        <f t="shared" si="3"/>
        <v>42825</v>
      </c>
      <c r="C80" s="69">
        <f>'Purchased Power Model No CDM'!C80</f>
        <v>10449490</v>
      </c>
      <c r="D80" s="69">
        <f>'Purchased Power Model No CDM'!D80</f>
        <v>6309</v>
      </c>
      <c r="E80" s="843"/>
      <c r="F80" s="885"/>
      <c r="G80" s="73"/>
      <c r="H80" s="71">
        <f t="shared" si="4"/>
        <v>10455799</v>
      </c>
      <c r="I80" s="259"/>
      <c r="J80" s="150">
        <f>'Purchased Power Model No CDM'!J80</f>
        <v>731.7</v>
      </c>
      <c r="K80" s="857">
        <f>'Purchased Power Model No CDM'!K80</f>
        <v>0</v>
      </c>
      <c r="L80" s="322">
        <f>'Purchased Power Model No CDM'!L80</f>
        <v>31</v>
      </c>
      <c r="M80" s="150">
        <f>'Purchased Power Model No CDM'!M80</f>
        <v>1</v>
      </c>
      <c r="N80" s="322">
        <f>'Purchased Power Model No CDM'!N80</f>
        <v>23</v>
      </c>
      <c r="O80" s="857">
        <f>'Purchased Power Model No CDM'!P80</f>
        <v>0</v>
      </c>
      <c r="P80" s="1362"/>
      <c r="Q80" s="930">
        <v>75</v>
      </c>
      <c r="R80" s="930">
        <v>5879.5</v>
      </c>
      <c r="S80" s="933">
        <v>117.13437778270907</v>
      </c>
      <c r="W80" s="264"/>
      <c r="X80" s="14" t="s">
        <v>412</v>
      </c>
      <c r="Y80" s="14">
        <v>341459.88232071337</v>
      </c>
      <c r="Z80" s="14">
        <v>52162.949713665083</v>
      </c>
      <c r="AA80" s="14">
        <v>6.5460232635437299</v>
      </c>
      <c r="AB80" s="14">
        <v>1.8961401497900211E-9</v>
      </c>
      <c r="AC80" s="14">
        <v>238095.51521714492</v>
      </c>
      <c r="AD80" s="14">
        <v>444824.24942428182</v>
      </c>
      <c r="AE80" s="14">
        <v>238095.51521714492</v>
      </c>
      <c r="AF80" s="14">
        <v>444824.24942428182</v>
      </c>
    </row>
    <row r="81" spans="1:34">
      <c r="A81" s="864">
        <f t="shared" si="5"/>
        <v>2017</v>
      </c>
      <c r="B81" s="62">
        <f t="shared" si="3"/>
        <v>42855</v>
      </c>
      <c r="C81" s="69">
        <f>'Purchased Power Model No CDM'!C81</f>
        <v>8073164</v>
      </c>
      <c r="D81" s="69">
        <f>'Purchased Power Model No CDM'!D81</f>
        <v>7362</v>
      </c>
      <c r="E81" s="843"/>
      <c r="F81" s="885"/>
      <c r="G81" s="73"/>
      <c r="H81" s="71">
        <f t="shared" si="4"/>
        <v>8080526</v>
      </c>
      <c r="I81" s="259"/>
      <c r="J81" s="150">
        <f>'Purchased Power Model No CDM'!J81</f>
        <v>319.39999999999998</v>
      </c>
      <c r="K81" s="857">
        <f>'Purchased Power Model No CDM'!K81</f>
        <v>1.2</v>
      </c>
      <c r="L81" s="322">
        <f>'Purchased Power Model No CDM'!L81</f>
        <v>30</v>
      </c>
      <c r="M81" s="150">
        <f>'Purchased Power Model No CDM'!M81</f>
        <v>0</v>
      </c>
      <c r="N81" s="322">
        <f>'Purchased Power Model No CDM'!N81</f>
        <v>18</v>
      </c>
      <c r="O81" s="857">
        <f>'Purchased Power Model No CDM'!P81</f>
        <v>0</v>
      </c>
      <c r="P81" s="1362"/>
      <c r="Q81" s="930">
        <v>76</v>
      </c>
      <c r="R81" s="930">
        <v>5881</v>
      </c>
      <c r="S81" s="933">
        <v>117.40424529911537</v>
      </c>
      <c r="W81" s="264"/>
      <c r="X81" s="14" t="s">
        <v>422</v>
      </c>
      <c r="Y81" s="14">
        <v>55832.676083921746</v>
      </c>
      <c r="Z81" s="14">
        <v>21057.021481297936</v>
      </c>
      <c r="AA81" s="14">
        <v>2.6514992224095062</v>
      </c>
      <c r="AB81" s="14">
        <v>9.1860130984804198E-3</v>
      </c>
      <c r="AC81" s="14">
        <v>14106.782313569667</v>
      </c>
      <c r="AD81" s="14">
        <v>97558.569854273825</v>
      </c>
      <c r="AE81" s="14">
        <v>14106.782313569667</v>
      </c>
      <c r="AF81" s="14">
        <v>97558.569854273825</v>
      </c>
    </row>
    <row r="82" spans="1:34">
      <c r="A82" s="864">
        <f t="shared" si="5"/>
        <v>2017</v>
      </c>
      <c r="B82" s="62">
        <f t="shared" si="3"/>
        <v>42886</v>
      </c>
      <c r="C82" s="69">
        <f>'Purchased Power Model No CDM'!C82</f>
        <v>7836699</v>
      </c>
      <c r="D82" s="69">
        <f>'Purchased Power Model No CDM'!D82</f>
        <v>7740</v>
      </c>
      <c r="E82" s="843"/>
      <c r="F82" s="885"/>
      <c r="G82" s="73"/>
      <c r="H82" s="71">
        <f t="shared" si="4"/>
        <v>7844439</v>
      </c>
      <c r="I82" s="259"/>
      <c r="J82" s="150">
        <f>'Purchased Power Model No CDM'!J82</f>
        <v>190.40000000000003</v>
      </c>
      <c r="K82" s="857">
        <f>'Purchased Power Model No CDM'!K82</f>
        <v>9.1000000000000014</v>
      </c>
      <c r="L82" s="322">
        <f>'Purchased Power Model No CDM'!L82</f>
        <v>31</v>
      </c>
      <c r="M82" s="150">
        <f>'Purchased Power Model No CDM'!M82</f>
        <v>0</v>
      </c>
      <c r="N82" s="322">
        <f>'Purchased Power Model No CDM'!N82</f>
        <v>22</v>
      </c>
      <c r="O82" s="857">
        <f>'Purchased Power Model No CDM'!P82</f>
        <v>0</v>
      </c>
      <c r="P82" s="1362"/>
      <c r="Q82" s="930">
        <v>77</v>
      </c>
      <c r="R82" s="930">
        <v>5882.5</v>
      </c>
      <c r="S82" s="933">
        <v>117.67473456703298</v>
      </c>
      <c r="W82" s="264"/>
      <c r="X82" s="14" t="s">
        <v>400</v>
      </c>
      <c r="Y82" s="14">
        <v>430357.38046211196</v>
      </c>
      <c r="Z82" s="14">
        <v>80653.275019018969</v>
      </c>
      <c r="AA82" s="14">
        <v>5.3358946721088358</v>
      </c>
      <c r="AB82" s="14">
        <v>5.08022930461423E-7</v>
      </c>
      <c r="AC82" s="14">
        <v>270537.53183520446</v>
      </c>
      <c r="AD82" s="14">
        <v>590177.22908901947</v>
      </c>
      <c r="AE82" s="14">
        <v>270537.53183520446</v>
      </c>
      <c r="AF82" s="14">
        <v>590177.22908901947</v>
      </c>
      <c r="AH82" s="45" t="s">
        <v>424</v>
      </c>
    </row>
    <row r="83" spans="1:34">
      <c r="A83" s="864">
        <f t="shared" si="5"/>
        <v>2017</v>
      </c>
      <c r="B83" s="62">
        <f t="shared" si="3"/>
        <v>42916</v>
      </c>
      <c r="C83" s="69">
        <f>'Purchased Power Model No CDM'!C83</f>
        <v>7883609</v>
      </c>
      <c r="D83" s="69">
        <f>'Purchased Power Model No CDM'!D83</f>
        <v>8370</v>
      </c>
      <c r="E83" s="843"/>
      <c r="F83" s="885"/>
      <c r="G83" s="73"/>
      <c r="H83" s="71">
        <f t="shared" si="4"/>
        <v>7891979</v>
      </c>
      <c r="I83" s="259"/>
      <c r="J83" s="150">
        <f>'Purchased Power Model No CDM'!J83</f>
        <v>52.100000000000009</v>
      </c>
      <c r="K83" s="857">
        <f>'Purchased Power Model No CDM'!K83</f>
        <v>45</v>
      </c>
      <c r="L83" s="322">
        <f>'Purchased Power Model No CDM'!L83</f>
        <v>30</v>
      </c>
      <c r="M83" s="150">
        <f>'Purchased Power Model No CDM'!M83</f>
        <v>1</v>
      </c>
      <c r="N83" s="322">
        <f>'Purchased Power Model No CDM'!N83</f>
        <v>22</v>
      </c>
      <c r="O83" s="857">
        <f>'Purchased Power Model No CDM'!P83</f>
        <v>0</v>
      </c>
      <c r="P83" s="1362"/>
      <c r="Q83" s="930">
        <v>78</v>
      </c>
      <c r="R83" s="930">
        <v>5884</v>
      </c>
      <c r="S83" s="933">
        <v>117.94584701892381</v>
      </c>
      <c r="W83" s="264"/>
      <c r="X83" s="14" t="s">
        <v>398</v>
      </c>
      <c r="Y83" s="14">
        <v>-9449.5885694773151</v>
      </c>
      <c r="Z83" s="14">
        <v>1853.6995474361061</v>
      </c>
      <c r="AA83" s="14">
        <v>-5.0976915771206048</v>
      </c>
      <c r="AB83" s="14">
        <v>1.4254930240096101E-6</v>
      </c>
      <c r="AC83" s="14">
        <v>-13122.817970281492</v>
      </c>
      <c r="AD83" s="14">
        <v>-5776.3591686731388</v>
      </c>
      <c r="AE83" s="14">
        <v>-13122.817970281492</v>
      </c>
      <c r="AF83" s="14">
        <v>-5776.3591686731388</v>
      </c>
      <c r="AH83" s="45" t="s">
        <v>462</v>
      </c>
    </row>
    <row r="84" spans="1:34" ht="13.8" thickBot="1">
      <c r="A84" s="864">
        <f t="shared" si="5"/>
        <v>2017</v>
      </c>
      <c r="B84" s="62">
        <f t="shared" ref="B84:B147" si="6">EOMONTH(B83,1)</f>
        <v>42947</v>
      </c>
      <c r="C84" s="69">
        <f>'Purchased Power Model No CDM'!C84</f>
        <v>8447553</v>
      </c>
      <c r="D84" s="69">
        <f>'Purchased Power Model No CDM'!D84</f>
        <v>7521</v>
      </c>
      <c r="E84" s="843"/>
      <c r="F84" s="885"/>
      <c r="G84" s="73"/>
      <c r="H84" s="71">
        <f t="shared" si="4"/>
        <v>8455074</v>
      </c>
      <c r="I84" s="259"/>
      <c r="J84" s="150">
        <f>'Purchased Power Model No CDM'!J84</f>
        <v>4.8000000000000007</v>
      </c>
      <c r="K84" s="857">
        <f>'Purchased Power Model No CDM'!K84</f>
        <v>63.800000000000011</v>
      </c>
      <c r="L84" s="322">
        <f>'Purchased Power Model No CDM'!L84</f>
        <v>31</v>
      </c>
      <c r="M84" s="150">
        <f>'Purchased Power Model No CDM'!M84</f>
        <v>1</v>
      </c>
      <c r="N84" s="322">
        <f>'Purchased Power Model No CDM'!N84</f>
        <v>20</v>
      </c>
      <c r="O84" s="857">
        <f>'Purchased Power Model No CDM'!P84</f>
        <v>0</v>
      </c>
      <c r="P84" s="1362"/>
      <c r="Q84" s="930">
        <v>79</v>
      </c>
      <c r="R84" s="930">
        <v>5885.5</v>
      </c>
      <c r="S84" s="933">
        <v>118.21758409055006</v>
      </c>
      <c r="W84" s="264"/>
      <c r="X84" s="1049" t="s">
        <v>367</v>
      </c>
      <c r="Y84" s="15">
        <v>236.76666411964857</v>
      </c>
      <c r="Z84" s="15">
        <v>2544.538607446636</v>
      </c>
      <c r="AA84" s="1049">
        <v>9.3048957255648171E-2</v>
      </c>
      <c r="AB84" s="15">
        <v>0.92603240692625488</v>
      </c>
      <c r="AC84" s="15">
        <v>-4805.4064524902669</v>
      </c>
      <c r="AD84" s="15">
        <v>5278.9397807295636</v>
      </c>
      <c r="AE84" s="15">
        <v>-4805.4064524902669</v>
      </c>
      <c r="AF84" s="15">
        <v>5278.9397807295636</v>
      </c>
    </row>
    <row r="85" spans="1:34">
      <c r="A85" s="864">
        <f t="shared" si="5"/>
        <v>2017</v>
      </c>
      <c r="B85" s="62">
        <f t="shared" si="6"/>
        <v>42978</v>
      </c>
      <c r="C85" s="69">
        <f>'Purchased Power Model No CDM'!C85</f>
        <v>8640906</v>
      </c>
      <c r="D85" s="69">
        <f>'Purchased Power Model No CDM'!D85</f>
        <v>7732</v>
      </c>
      <c r="E85" s="843"/>
      <c r="F85" s="885"/>
      <c r="G85" s="73"/>
      <c r="H85" s="71">
        <f t="shared" si="4"/>
        <v>8648638</v>
      </c>
      <c r="I85" s="259"/>
      <c r="J85" s="150">
        <f>'Purchased Power Model No CDM'!J85</f>
        <v>26.9</v>
      </c>
      <c r="K85" s="857">
        <f>'Purchased Power Model No CDM'!K85</f>
        <v>51.000000000000007</v>
      </c>
      <c r="L85" s="322">
        <f>'Purchased Power Model No CDM'!L85</f>
        <v>31</v>
      </c>
      <c r="M85" s="150">
        <f>'Purchased Power Model No CDM'!M85</f>
        <v>1</v>
      </c>
      <c r="N85" s="322">
        <f>'Purchased Power Model No CDM'!N85</f>
        <v>22</v>
      </c>
      <c r="O85" s="1358">
        <f>'Purchased Power Model No CDM'!P85</f>
        <v>1</v>
      </c>
      <c r="P85" s="1363"/>
      <c r="Q85" s="930">
        <v>80</v>
      </c>
      <c r="R85" s="930">
        <v>5887</v>
      </c>
      <c r="S85" s="933">
        <v>118.48994722098179</v>
      </c>
      <c r="W85" s="264"/>
      <c r="X85" s="1360" t="s">
        <v>606</v>
      </c>
      <c r="Y85"/>
      <c r="Z85"/>
      <c r="AA85"/>
      <c r="AB85"/>
      <c r="AC85"/>
      <c r="AD85"/>
      <c r="AE85"/>
      <c r="AF85"/>
    </row>
    <row r="86" spans="1:34">
      <c r="A86" s="864">
        <f t="shared" si="5"/>
        <v>2017</v>
      </c>
      <c r="B86" s="62">
        <f t="shared" si="6"/>
        <v>43008</v>
      </c>
      <c r="C86" s="69">
        <f>'Purchased Power Model No CDM'!C86</f>
        <v>8076439</v>
      </c>
      <c r="D86" s="69">
        <f>'Purchased Power Model No CDM'!D86</f>
        <v>7202</v>
      </c>
      <c r="E86" s="843"/>
      <c r="F86" s="885"/>
      <c r="G86" s="73"/>
      <c r="H86" s="71">
        <f t="shared" si="4"/>
        <v>8083641</v>
      </c>
      <c r="I86" s="259"/>
      <c r="J86" s="150">
        <f>'Purchased Power Model No CDM'!J86</f>
        <v>69.800000000000011</v>
      </c>
      <c r="K86" s="857">
        <f>'Purchased Power Model No CDM'!K86</f>
        <v>52</v>
      </c>
      <c r="L86" s="322">
        <f>'Purchased Power Model No CDM'!L86</f>
        <v>30</v>
      </c>
      <c r="M86" s="150">
        <f>'Purchased Power Model No CDM'!M86</f>
        <v>1</v>
      </c>
      <c r="N86" s="322">
        <f>'Purchased Power Model No CDM'!N86</f>
        <v>20</v>
      </c>
      <c r="O86" s="857">
        <f>'Purchased Power Model No CDM'!P86</f>
        <v>0</v>
      </c>
      <c r="P86" s="1362"/>
      <c r="Q86" s="930">
        <v>81</v>
      </c>
      <c r="R86" s="930">
        <v>5888.5</v>
      </c>
      <c r="S86" s="933">
        <v>118.76293785260455</v>
      </c>
      <c r="W86" s="264"/>
      <c r="X86"/>
      <c r="Y86"/>
      <c r="Z86"/>
      <c r="AA86"/>
      <c r="AB86"/>
      <c r="AC86"/>
      <c r="AD86"/>
      <c r="AE86"/>
      <c r="AF86"/>
    </row>
    <row r="87" spans="1:34">
      <c r="A87" s="864">
        <f t="shared" si="5"/>
        <v>2017</v>
      </c>
      <c r="B87" s="62">
        <f t="shared" si="6"/>
        <v>43039</v>
      </c>
      <c r="C87" s="69">
        <f>'Purchased Power Model No CDM'!C87</f>
        <v>7983759</v>
      </c>
      <c r="D87" s="69">
        <f>'Purchased Power Model No CDM'!D87</f>
        <v>5439</v>
      </c>
      <c r="E87" s="843"/>
      <c r="F87" s="885"/>
      <c r="G87" s="73"/>
      <c r="H87" s="71">
        <f t="shared" si="4"/>
        <v>7989198</v>
      </c>
      <c r="I87" s="259"/>
      <c r="J87" s="150">
        <f>'Purchased Power Model No CDM'!J87</f>
        <v>197.3</v>
      </c>
      <c r="K87" s="857">
        <f>'Purchased Power Model No CDM'!K87</f>
        <v>0.4</v>
      </c>
      <c r="L87" s="322">
        <f>'Purchased Power Model No CDM'!L87</f>
        <v>31</v>
      </c>
      <c r="M87" s="150">
        <f>'Purchased Power Model No CDM'!M87</f>
        <v>0</v>
      </c>
      <c r="N87" s="322">
        <f>'Purchased Power Model No CDM'!N87</f>
        <v>21</v>
      </c>
      <c r="O87" s="857">
        <f>'Purchased Power Model No CDM'!P87</f>
        <v>0</v>
      </c>
      <c r="P87" s="1362"/>
      <c r="Q87" s="930">
        <v>82</v>
      </c>
      <c r="R87" s="930">
        <v>5890</v>
      </c>
      <c r="S87" s="933">
        <v>119.03655743112705</v>
      </c>
      <c r="W87" s="264"/>
      <c r="Y87"/>
      <c r="Z87"/>
      <c r="AA87"/>
      <c r="AB87"/>
      <c r="AC87"/>
      <c r="AD87"/>
      <c r="AE87"/>
      <c r="AF87"/>
    </row>
    <row r="88" spans="1:34">
      <c r="A88" s="864">
        <f t="shared" si="5"/>
        <v>2017</v>
      </c>
      <c r="B88" s="62">
        <f t="shared" si="6"/>
        <v>43069</v>
      </c>
      <c r="C88" s="69">
        <f>'Purchased Power Model No CDM'!C88</f>
        <v>9161805</v>
      </c>
      <c r="D88" s="69">
        <f>'Purchased Power Model No CDM'!D88</f>
        <v>2750</v>
      </c>
      <c r="E88" s="843"/>
      <c r="F88" s="885"/>
      <c r="G88" s="73"/>
      <c r="H88" s="71">
        <f t="shared" si="4"/>
        <v>9164555</v>
      </c>
      <c r="I88" s="259"/>
      <c r="J88" s="150">
        <f>'Purchased Power Model No CDM'!J88</f>
        <v>540.79999999999995</v>
      </c>
      <c r="K88" s="857">
        <f>'Purchased Power Model No CDM'!K88</f>
        <v>0</v>
      </c>
      <c r="L88" s="322">
        <f>'Purchased Power Model No CDM'!L88</f>
        <v>30</v>
      </c>
      <c r="M88" s="150">
        <f>'Purchased Power Model No CDM'!M88</f>
        <v>0</v>
      </c>
      <c r="N88" s="322">
        <f>'Purchased Power Model No CDM'!N88</f>
        <v>22</v>
      </c>
      <c r="O88" s="857">
        <f>'Purchased Power Model No CDM'!P88</f>
        <v>0</v>
      </c>
      <c r="P88" s="1362"/>
      <c r="Q88" s="930">
        <v>83</v>
      </c>
      <c r="R88" s="930">
        <v>5891.5</v>
      </c>
      <c r="S88" s="933">
        <v>119.31080740558876</v>
      </c>
      <c r="W88" s="264"/>
    </row>
    <row r="89" spans="1:34">
      <c r="A89" s="865">
        <f t="shared" si="5"/>
        <v>2017</v>
      </c>
      <c r="B89" s="151">
        <f t="shared" si="6"/>
        <v>43100</v>
      </c>
      <c r="C89" s="81">
        <f>'Purchased Power Model No CDM'!C89</f>
        <v>10688479</v>
      </c>
      <c r="D89" s="81">
        <f>'Purchased Power Model No CDM'!D89</f>
        <v>1693</v>
      </c>
      <c r="E89" s="853"/>
      <c r="F89" s="886"/>
      <c r="G89" s="83"/>
      <c r="H89" s="76">
        <f t="shared" si="4"/>
        <v>10690172</v>
      </c>
      <c r="I89" s="260"/>
      <c r="J89" s="104">
        <f>'Purchased Power Model No CDM'!J89</f>
        <v>871.29999999999973</v>
      </c>
      <c r="K89" s="839">
        <f>'Purchased Power Model No CDM'!K89</f>
        <v>0</v>
      </c>
      <c r="L89" s="323">
        <f>'Purchased Power Model No CDM'!L89</f>
        <v>31</v>
      </c>
      <c r="M89" s="104">
        <f>'Purchased Power Model No CDM'!M89</f>
        <v>1</v>
      </c>
      <c r="N89" s="323">
        <f>'Purchased Power Model No CDM'!N89</f>
        <v>19</v>
      </c>
      <c r="O89" s="871">
        <f>'Purchased Power Model No CDM'!P89</f>
        <v>0</v>
      </c>
      <c r="P89" s="1362"/>
      <c r="Q89" s="931">
        <v>84</v>
      </c>
      <c r="R89" s="931">
        <v>5893</v>
      </c>
      <c r="S89" s="934">
        <v>119.58568922836761</v>
      </c>
      <c r="W89" s="264"/>
      <c r="X89" t="s">
        <v>13</v>
      </c>
      <c r="Y89"/>
      <c r="Z89"/>
      <c r="AA89"/>
      <c r="AB89"/>
      <c r="AC89"/>
      <c r="AD89"/>
      <c r="AE89"/>
      <c r="AF89"/>
    </row>
    <row r="90" spans="1:34" ht="13.8" thickBot="1">
      <c r="A90" s="864">
        <f t="shared" si="5"/>
        <v>2018</v>
      </c>
      <c r="B90" s="62">
        <f t="shared" si="6"/>
        <v>43131</v>
      </c>
      <c r="C90" s="69">
        <f>'Purchased Power Model No CDM'!C90</f>
        <v>11412898</v>
      </c>
      <c r="D90" s="69">
        <f>'Purchased Power Model No CDM'!D90</f>
        <v>1775</v>
      </c>
      <c r="E90" s="860"/>
      <c r="F90" s="887"/>
      <c r="G90" s="73"/>
      <c r="H90" s="71">
        <f t="shared" si="4"/>
        <v>11414673</v>
      </c>
      <c r="I90" s="259"/>
      <c r="J90" s="150">
        <f>'Purchased Power Model No CDM'!J90</f>
        <v>881.50000000000011</v>
      </c>
      <c r="K90" s="857">
        <f>'Purchased Power Model No CDM'!K90</f>
        <v>0</v>
      </c>
      <c r="L90" s="322">
        <f>'Purchased Power Model No CDM'!L90</f>
        <v>31</v>
      </c>
      <c r="M90" s="150">
        <f>'Purchased Power Model No CDM'!M90</f>
        <v>1</v>
      </c>
      <c r="N90" s="322">
        <f>'Purchased Power Model No CDM'!N90</f>
        <v>22</v>
      </c>
      <c r="O90" s="857">
        <f>'Purchased Power Model No CDM'!P90</f>
        <v>0</v>
      </c>
      <c r="P90" s="1362"/>
      <c r="Q90" s="930">
        <v>85</v>
      </c>
      <c r="R90" s="930">
        <v>5894.333333333333</v>
      </c>
      <c r="S90" s="933">
        <v>119.8027495665244</v>
      </c>
      <c r="W90" s="264"/>
      <c r="X90"/>
      <c r="Y90"/>
      <c r="Z90"/>
      <c r="AA90"/>
      <c r="AB90"/>
      <c r="AC90"/>
      <c r="AD90"/>
      <c r="AE90"/>
      <c r="AF90"/>
    </row>
    <row r="91" spans="1:34">
      <c r="A91" s="864">
        <f t="shared" si="5"/>
        <v>2018</v>
      </c>
      <c r="B91" s="62">
        <f t="shared" si="6"/>
        <v>43159</v>
      </c>
      <c r="C91" s="69">
        <f>'Purchased Power Model No CDM'!C91</f>
        <v>9438920.3499999996</v>
      </c>
      <c r="D91" s="69">
        <f>'Purchased Power Model No CDM'!D91</f>
        <v>2631</v>
      </c>
      <c r="E91" s="860"/>
      <c r="F91" s="887"/>
      <c r="G91" s="73"/>
      <c r="H91" s="71">
        <f t="shared" si="4"/>
        <v>9441551.3499999996</v>
      </c>
      <c r="I91" s="259"/>
      <c r="J91" s="150">
        <f>'Purchased Power Model No CDM'!J91</f>
        <v>644.6</v>
      </c>
      <c r="K91" s="857">
        <f>'Purchased Power Model No CDM'!K91</f>
        <v>0</v>
      </c>
      <c r="L91" s="322">
        <f>'Purchased Power Model No CDM'!L91</f>
        <v>28</v>
      </c>
      <c r="M91" s="150">
        <f>'Purchased Power Model No CDM'!M91</f>
        <v>1</v>
      </c>
      <c r="N91" s="322">
        <f>'Purchased Power Model No CDM'!N91</f>
        <v>19</v>
      </c>
      <c r="O91" s="857">
        <f>'Purchased Power Model No CDM'!P91</f>
        <v>0</v>
      </c>
      <c r="P91" s="1362"/>
      <c r="Q91" s="930">
        <v>86</v>
      </c>
      <c r="R91" s="930">
        <v>5895.6666666666661</v>
      </c>
      <c r="S91" s="933">
        <v>120.02020389154286</v>
      </c>
      <c r="W91" s="264"/>
      <c r="X91" s="17" t="s">
        <v>14</v>
      </c>
      <c r="Y91" s="17"/>
      <c r="Z91"/>
      <c r="AA91"/>
      <c r="AB91"/>
      <c r="AC91"/>
      <c r="AD91"/>
      <c r="AE91"/>
      <c r="AF91"/>
    </row>
    <row r="92" spans="1:34">
      <c r="A92" s="864">
        <f t="shared" si="5"/>
        <v>2018</v>
      </c>
      <c r="B92" s="62">
        <f t="shared" si="6"/>
        <v>43190</v>
      </c>
      <c r="C92" s="69">
        <f>'Purchased Power Model No CDM'!C92</f>
        <v>9778013</v>
      </c>
      <c r="D92" s="69">
        <f>'Purchased Power Model No CDM'!D92</f>
        <v>5363</v>
      </c>
      <c r="E92" s="860"/>
      <c r="F92" s="887"/>
      <c r="G92" s="73"/>
      <c r="H92" s="71">
        <f t="shared" si="4"/>
        <v>9783376</v>
      </c>
      <c r="I92" s="259"/>
      <c r="J92" s="150">
        <f>'Purchased Power Model No CDM'!J92</f>
        <v>611.6</v>
      </c>
      <c r="K92" s="857">
        <f>'Purchased Power Model No CDM'!K92</f>
        <v>0</v>
      </c>
      <c r="L92" s="322">
        <f>'Purchased Power Model No CDM'!L92</f>
        <v>31</v>
      </c>
      <c r="M92" s="150">
        <f>'Purchased Power Model No CDM'!M92</f>
        <v>1</v>
      </c>
      <c r="N92" s="322">
        <f>'Purchased Power Model No CDM'!N92</f>
        <v>21</v>
      </c>
      <c r="O92" s="857">
        <f>'Purchased Power Model No CDM'!P92</f>
        <v>0</v>
      </c>
      <c r="P92" s="1362"/>
      <c r="Q92" s="930">
        <v>87</v>
      </c>
      <c r="R92" s="930">
        <v>5896.9999999999991</v>
      </c>
      <c r="S92" s="933">
        <v>120.23805291854973</v>
      </c>
      <c r="W92" s="264"/>
      <c r="X92" s="14" t="s">
        <v>15</v>
      </c>
      <c r="Y92" s="14">
        <v>0.9438534974219891</v>
      </c>
      <c r="Z92"/>
      <c r="AA92"/>
      <c r="AB92"/>
      <c r="AC92"/>
      <c r="AD92"/>
      <c r="AE92"/>
      <c r="AF92"/>
    </row>
    <row r="93" spans="1:34">
      <c r="A93" s="864">
        <f t="shared" si="5"/>
        <v>2018</v>
      </c>
      <c r="B93" s="62">
        <f t="shared" si="6"/>
        <v>43220</v>
      </c>
      <c r="C93" s="69">
        <f>'Purchased Power Model No CDM'!C93</f>
        <v>8757348</v>
      </c>
      <c r="D93" s="69">
        <f>'Purchased Power Model No CDM'!D93</f>
        <v>6637</v>
      </c>
      <c r="E93" s="860"/>
      <c r="F93" s="887"/>
      <c r="G93" s="73"/>
      <c r="H93" s="71">
        <f t="shared" si="4"/>
        <v>8763985</v>
      </c>
      <c r="I93" s="259"/>
      <c r="J93" s="150">
        <f>'Purchased Power Model No CDM'!J93</f>
        <v>454.39999999999992</v>
      </c>
      <c r="K93" s="857">
        <f>'Purchased Power Model No CDM'!K93</f>
        <v>0</v>
      </c>
      <c r="L93" s="322">
        <f>'Purchased Power Model No CDM'!L93</f>
        <v>30</v>
      </c>
      <c r="M93" s="150">
        <f>'Purchased Power Model No CDM'!M93</f>
        <v>0</v>
      </c>
      <c r="N93" s="322">
        <f>'Purchased Power Model No CDM'!N93</f>
        <v>20</v>
      </c>
      <c r="O93" s="857">
        <f>'Purchased Power Model No CDM'!P93</f>
        <v>0</v>
      </c>
      <c r="P93" s="1362"/>
      <c r="Q93" s="930">
        <v>88</v>
      </c>
      <c r="R93" s="930">
        <v>5898.3333333333321</v>
      </c>
      <c r="S93" s="933">
        <v>120.45629736396972</v>
      </c>
      <c r="W93" s="264"/>
      <c r="X93" s="14" t="s">
        <v>16</v>
      </c>
      <c r="Y93" s="14">
        <v>0.89085942459572087</v>
      </c>
      <c r="Z93"/>
      <c r="AA93"/>
      <c r="AB93"/>
      <c r="AC93"/>
      <c r="AD93"/>
      <c r="AE93"/>
      <c r="AF93"/>
    </row>
    <row r="94" spans="1:34">
      <c r="A94" s="864">
        <f t="shared" si="5"/>
        <v>2018</v>
      </c>
      <c r="B94" s="62">
        <f t="shared" si="6"/>
        <v>43251</v>
      </c>
      <c r="C94" s="69">
        <f>'Purchased Power Model No CDM'!C94</f>
        <v>7670323</v>
      </c>
      <c r="D94" s="69">
        <f>'Purchased Power Model No CDM'!D94</f>
        <v>10087</v>
      </c>
      <c r="E94" s="860"/>
      <c r="F94" s="887"/>
      <c r="G94" s="73"/>
      <c r="H94" s="71">
        <f t="shared" si="4"/>
        <v>7680410</v>
      </c>
      <c r="I94" s="259"/>
      <c r="J94" s="150">
        <f>'Purchased Power Model No CDM'!J94</f>
        <v>110.4</v>
      </c>
      <c r="K94" s="857">
        <f>'Purchased Power Model No CDM'!K94</f>
        <v>15.7</v>
      </c>
      <c r="L94" s="322">
        <f>'Purchased Power Model No CDM'!L94</f>
        <v>31</v>
      </c>
      <c r="M94" s="150">
        <f>'Purchased Power Model No CDM'!M94</f>
        <v>0</v>
      </c>
      <c r="N94" s="322">
        <f>'Purchased Power Model No CDM'!N94</f>
        <v>22</v>
      </c>
      <c r="O94" s="857">
        <f>'Purchased Power Model No CDM'!P94</f>
        <v>0</v>
      </c>
      <c r="P94" s="1362"/>
      <c r="Q94" s="930">
        <v>89</v>
      </c>
      <c r="R94" s="930">
        <v>5899.6666666666652</v>
      </c>
      <c r="S94" s="933">
        <v>120.674937945528</v>
      </c>
      <c r="W94" s="264"/>
      <c r="X94" s="1050" t="s">
        <v>17</v>
      </c>
      <c r="Y94" s="1050">
        <v>0.88506434979549364</v>
      </c>
      <c r="Z94"/>
      <c r="AA94"/>
      <c r="AB94"/>
      <c r="AC94"/>
      <c r="AD94"/>
      <c r="AE94"/>
      <c r="AF94"/>
    </row>
    <row r="95" spans="1:34">
      <c r="A95" s="864">
        <f t="shared" si="5"/>
        <v>2018</v>
      </c>
      <c r="B95" s="62">
        <f t="shared" si="6"/>
        <v>43281</v>
      </c>
      <c r="C95" s="69">
        <f>'Purchased Power Model No CDM'!C95</f>
        <v>7836187</v>
      </c>
      <c r="D95" s="69">
        <f>'Purchased Power Model No CDM'!D95</f>
        <v>9769</v>
      </c>
      <c r="E95" s="860"/>
      <c r="F95" s="887"/>
      <c r="G95" s="73"/>
      <c r="H95" s="71">
        <f t="shared" si="4"/>
        <v>7845956</v>
      </c>
      <c r="I95" s="259"/>
      <c r="J95" s="150">
        <f>'Purchased Power Model No CDM'!J95</f>
        <v>39</v>
      </c>
      <c r="K95" s="857">
        <f>'Purchased Power Model No CDM'!K95</f>
        <v>36.199999999999996</v>
      </c>
      <c r="L95" s="322">
        <f>'Purchased Power Model No CDM'!L95</f>
        <v>30</v>
      </c>
      <c r="M95" s="150">
        <f>'Purchased Power Model No CDM'!M95</f>
        <v>1</v>
      </c>
      <c r="N95" s="322">
        <f>'Purchased Power Model No CDM'!N95</f>
        <v>21</v>
      </c>
      <c r="O95" s="857">
        <f>'Purchased Power Model No CDM'!P95</f>
        <v>0</v>
      </c>
      <c r="P95" s="1362"/>
      <c r="Q95" s="930">
        <v>90</v>
      </c>
      <c r="R95" s="930">
        <v>5900.9999999999982</v>
      </c>
      <c r="S95" s="933">
        <v>120.89397538225242</v>
      </c>
      <c r="X95" s="14" t="s">
        <v>18</v>
      </c>
      <c r="Y95" s="14">
        <v>394527.31948054902</v>
      </c>
      <c r="Z95"/>
      <c r="AA95"/>
      <c r="AB95"/>
      <c r="AC95"/>
      <c r="AD95"/>
      <c r="AE95"/>
      <c r="AF95"/>
    </row>
    <row r="96" spans="1:34" ht="13.8" thickBot="1">
      <c r="A96" s="864">
        <f t="shared" si="5"/>
        <v>2018</v>
      </c>
      <c r="B96" s="62">
        <f t="shared" si="6"/>
        <v>43312</v>
      </c>
      <c r="C96" s="69">
        <f>'Purchased Power Model No CDM'!C96</f>
        <v>9698694</v>
      </c>
      <c r="D96" s="69">
        <f>'Purchased Power Model No CDM'!D96</f>
        <v>11027</v>
      </c>
      <c r="E96" s="860"/>
      <c r="F96" s="887"/>
      <c r="G96" s="73"/>
      <c r="H96" s="71">
        <f t="shared" si="4"/>
        <v>9709721</v>
      </c>
      <c r="I96" s="259"/>
      <c r="J96" s="150">
        <f>'Purchased Power Model No CDM'!J96</f>
        <v>0</v>
      </c>
      <c r="K96" s="857">
        <f>'Purchased Power Model No CDM'!K96</f>
        <v>156.9</v>
      </c>
      <c r="L96" s="322">
        <f>'Purchased Power Model No CDM'!L96</f>
        <v>31</v>
      </c>
      <c r="M96" s="150">
        <f>'Purchased Power Model No CDM'!M96</f>
        <v>1</v>
      </c>
      <c r="N96" s="322">
        <f>'Purchased Power Model No CDM'!N96</f>
        <v>21</v>
      </c>
      <c r="O96" s="857">
        <f>'Purchased Power Model No CDM'!P96</f>
        <v>0</v>
      </c>
      <c r="P96" s="1362"/>
      <c r="Q96" s="930">
        <v>91</v>
      </c>
      <c r="R96" s="930">
        <v>5902.3333333333312</v>
      </c>
      <c r="S96" s="933">
        <v>121.11341039447598</v>
      </c>
      <c r="X96" s="15" t="s">
        <v>19</v>
      </c>
      <c r="Y96" s="15">
        <v>120</v>
      </c>
      <c r="Z96"/>
      <c r="AA96"/>
      <c r="AB96"/>
      <c r="AC96"/>
      <c r="AD96"/>
      <c r="AE96"/>
      <c r="AF96"/>
    </row>
    <row r="97" spans="1:32">
      <c r="A97" s="864">
        <f t="shared" si="5"/>
        <v>2018</v>
      </c>
      <c r="B97" s="62">
        <f t="shared" si="6"/>
        <v>43343</v>
      </c>
      <c r="C97" s="69">
        <f>'Purchased Power Model No CDM'!C97</f>
        <v>9512830</v>
      </c>
      <c r="D97" s="69">
        <f>'Purchased Power Model No CDM'!D97</f>
        <v>8582</v>
      </c>
      <c r="E97" s="860"/>
      <c r="F97" s="887"/>
      <c r="G97" s="73"/>
      <c r="H97" s="71">
        <f t="shared" si="4"/>
        <v>9521412</v>
      </c>
      <c r="I97" s="259"/>
      <c r="J97" s="150">
        <f>'Purchased Power Model No CDM'!J97</f>
        <v>3.6</v>
      </c>
      <c r="K97" s="857">
        <f>'Purchased Power Model No CDM'!K97</f>
        <v>115.39999999999998</v>
      </c>
      <c r="L97" s="322">
        <f>'Purchased Power Model No CDM'!L97</f>
        <v>31</v>
      </c>
      <c r="M97" s="150">
        <f>'Purchased Power Model No CDM'!M97</f>
        <v>1</v>
      </c>
      <c r="N97" s="322">
        <f>'Purchased Power Model No CDM'!N97</f>
        <v>22</v>
      </c>
      <c r="O97" s="1358">
        <f>'Purchased Power Model No CDM'!P97</f>
        <v>1</v>
      </c>
      <c r="P97" s="1363"/>
      <c r="Q97" s="930">
        <v>92</v>
      </c>
      <c r="R97" s="930">
        <v>5903.6666666666642</v>
      </c>
      <c r="S97" s="933">
        <v>121.33324370383913</v>
      </c>
      <c r="X97"/>
      <c r="Y97"/>
      <c r="Z97"/>
      <c r="AA97"/>
      <c r="AB97"/>
      <c r="AC97"/>
      <c r="AD97"/>
      <c r="AE97"/>
      <c r="AF97"/>
    </row>
    <row r="98" spans="1:32" ht="13.8" thickBot="1">
      <c r="A98" s="864">
        <f t="shared" si="5"/>
        <v>2018</v>
      </c>
      <c r="B98" s="62">
        <f t="shared" si="6"/>
        <v>43373</v>
      </c>
      <c r="C98" s="69">
        <f>'Purchased Power Model No CDM'!C98</f>
        <v>8248876</v>
      </c>
      <c r="D98" s="69">
        <f>'Purchased Power Model No CDM'!D98</f>
        <v>7700</v>
      </c>
      <c r="E98" s="860"/>
      <c r="F98" s="887"/>
      <c r="G98" s="73"/>
      <c r="H98" s="71">
        <f t="shared" si="4"/>
        <v>8256576</v>
      </c>
      <c r="I98" s="259"/>
      <c r="J98" s="150">
        <f>'Purchased Power Model No CDM'!J98</f>
        <v>96.799999999999983</v>
      </c>
      <c r="K98" s="857">
        <f>'Purchased Power Model No CDM'!K98</f>
        <v>49.5</v>
      </c>
      <c r="L98" s="322">
        <f>'Purchased Power Model No CDM'!L98</f>
        <v>30</v>
      </c>
      <c r="M98" s="150">
        <f>'Purchased Power Model No CDM'!M98</f>
        <v>1</v>
      </c>
      <c r="N98" s="322">
        <f>'Purchased Power Model No CDM'!N98</f>
        <v>19</v>
      </c>
      <c r="O98" s="857">
        <f>'Purchased Power Model No CDM'!P98</f>
        <v>0</v>
      </c>
      <c r="P98" s="1362"/>
      <c r="Q98" s="930">
        <v>93</v>
      </c>
      <c r="R98" s="930">
        <v>5904.9999999999973</v>
      </c>
      <c r="S98" s="933">
        <v>121.5534760332922</v>
      </c>
      <c r="X98" t="s">
        <v>20</v>
      </c>
      <c r="Y98"/>
      <c r="Z98"/>
      <c r="AA98"/>
      <c r="AB98"/>
      <c r="AC98"/>
      <c r="AD98"/>
      <c r="AE98"/>
      <c r="AF98"/>
    </row>
    <row r="99" spans="1:32">
      <c r="A99" s="864">
        <f t="shared" si="5"/>
        <v>2018</v>
      </c>
      <c r="B99" s="62">
        <f t="shared" si="6"/>
        <v>43404</v>
      </c>
      <c r="C99" s="69">
        <f>'Purchased Power Model No CDM'!C99</f>
        <v>8273205</v>
      </c>
      <c r="D99" s="69">
        <f>'Purchased Power Model No CDM'!D99</f>
        <v>4102</v>
      </c>
      <c r="E99" s="860"/>
      <c r="F99" s="887"/>
      <c r="G99" s="73"/>
      <c r="H99" s="71">
        <f t="shared" si="4"/>
        <v>8277307</v>
      </c>
      <c r="I99" s="259"/>
      <c r="J99" s="150">
        <f>'Purchased Power Model No CDM'!J99</f>
        <v>359.1</v>
      </c>
      <c r="K99" s="857">
        <f>'Purchased Power Model No CDM'!K99</f>
        <v>0.7</v>
      </c>
      <c r="L99" s="322">
        <f>'Purchased Power Model No CDM'!L99</f>
        <v>31</v>
      </c>
      <c r="M99" s="150">
        <f>'Purchased Power Model No CDM'!M99</f>
        <v>0</v>
      </c>
      <c r="N99" s="322">
        <f>'Purchased Power Model No CDM'!N99</f>
        <v>22</v>
      </c>
      <c r="O99" s="857">
        <f>'Purchased Power Model No CDM'!P99</f>
        <v>0</v>
      </c>
      <c r="P99" s="1362"/>
      <c r="Q99" s="930">
        <v>94</v>
      </c>
      <c r="R99" s="930">
        <v>5906.3333333333303</v>
      </c>
      <c r="S99" s="933">
        <v>121.77410810709773</v>
      </c>
      <c r="X99" s="16"/>
      <c r="Y99" s="16" t="s">
        <v>24</v>
      </c>
      <c r="Z99" s="16" t="s">
        <v>25</v>
      </c>
      <c r="AA99" s="16" t="s">
        <v>26</v>
      </c>
      <c r="AB99" s="16" t="s">
        <v>27</v>
      </c>
      <c r="AC99" s="16" t="s">
        <v>28</v>
      </c>
      <c r="AD99"/>
      <c r="AE99"/>
      <c r="AF99"/>
    </row>
    <row r="100" spans="1:32">
      <c r="A100" s="864">
        <f t="shared" si="5"/>
        <v>2018</v>
      </c>
      <c r="B100" s="62">
        <f t="shared" si="6"/>
        <v>43434</v>
      </c>
      <c r="C100" s="69">
        <f>'Purchased Power Model No CDM'!C100</f>
        <v>9371732</v>
      </c>
      <c r="D100" s="69">
        <f>'Purchased Power Model No CDM'!D100</f>
        <v>1727</v>
      </c>
      <c r="E100" s="860"/>
      <c r="F100" s="887"/>
      <c r="G100" s="73"/>
      <c r="H100" s="71">
        <f t="shared" si="4"/>
        <v>9373459</v>
      </c>
      <c r="I100" s="259"/>
      <c r="J100" s="150">
        <f>'Purchased Power Model No CDM'!J100</f>
        <v>599.5</v>
      </c>
      <c r="K100" s="857">
        <f>'Purchased Power Model No CDM'!K100</f>
        <v>0</v>
      </c>
      <c r="L100" s="322">
        <f>'Purchased Power Model No CDM'!L100</f>
        <v>30</v>
      </c>
      <c r="M100" s="150">
        <f>'Purchased Power Model No CDM'!M100</f>
        <v>0</v>
      </c>
      <c r="N100" s="322">
        <f>'Purchased Power Model No CDM'!N100</f>
        <v>22</v>
      </c>
      <c r="O100" s="857">
        <f>'Purchased Power Model No CDM'!P100</f>
        <v>0</v>
      </c>
      <c r="P100" s="1362"/>
      <c r="Q100" s="930">
        <v>95</v>
      </c>
      <c r="R100" s="930">
        <v>5907.6666666666633</v>
      </c>
      <c r="S100" s="933">
        <v>121.99514065083288</v>
      </c>
      <c r="X100" s="14" t="s">
        <v>21</v>
      </c>
      <c r="Y100" s="14">
        <v>6</v>
      </c>
      <c r="Z100" s="14">
        <v>143567304596180.72</v>
      </c>
      <c r="AA100" s="14">
        <v>23927884099363.453</v>
      </c>
      <c r="AB100" s="14">
        <v>153.72699323238979</v>
      </c>
      <c r="AC100" s="14">
        <v>5.9358806032370999E-52</v>
      </c>
      <c r="AD100"/>
      <c r="AE100"/>
      <c r="AF100"/>
    </row>
    <row r="101" spans="1:32">
      <c r="A101" s="865">
        <f t="shared" si="5"/>
        <v>2018</v>
      </c>
      <c r="B101" s="151">
        <f t="shared" si="6"/>
        <v>43465</v>
      </c>
      <c r="C101" s="81">
        <f>'Purchased Power Model No CDM'!C101</f>
        <v>10215218</v>
      </c>
      <c r="D101" s="81">
        <f>'Purchased Power Model No CDM'!D101</f>
        <v>1945</v>
      </c>
      <c r="E101" s="861"/>
      <c r="F101" s="953"/>
      <c r="G101" s="83"/>
      <c r="H101" s="76">
        <f t="shared" si="4"/>
        <v>10217163</v>
      </c>
      <c r="I101" s="260"/>
      <c r="J101" s="104">
        <f>'Purchased Power Model No CDM'!J101</f>
        <v>766.60000000000014</v>
      </c>
      <c r="K101" s="839">
        <f>'Purchased Power Model No CDM'!K101</f>
        <v>0</v>
      </c>
      <c r="L101" s="323">
        <f>'Purchased Power Model No CDM'!L101</f>
        <v>31</v>
      </c>
      <c r="M101" s="104">
        <f>'Purchased Power Model No CDM'!M101</f>
        <v>1</v>
      </c>
      <c r="N101" s="323">
        <f>'Purchased Power Model No CDM'!N101</f>
        <v>19</v>
      </c>
      <c r="O101" s="871">
        <f>'Purchased Power Model No CDM'!P101</f>
        <v>0</v>
      </c>
      <c r="P101" s="1362"/>
      <c r="Q101" s="931">
        <v>96</v>
      </c>
      <c r="R101" s="931">
        <v>5909</v>
      </c>
      <c r="S101" s="934">
        <v>122.2165743913918</v>
      </c>
      <c r="X101" s="14" t="s">
        <v>22</v>
      </c>
      <c r="Y101" s="14">
        <v>113</v>
      </c>
      <c r="Z101" s="14">
        <v>17588654057265.313</v>
      </c>
      <c r="AA101" s="14">
        <v>155651805816.5072</v>
      </c>
      <c r="AB101" s="14"/>
      <c r="AC101" s="14"/>
      <c r="AD101"/>
      <c r="AE101"/>
      <c r="AF101"/>
    </row>
    <row r="102" spans="1:32" ht="13.8" thickBot="1">
      <c r="A102" s="864">
        <f t="shared" si="5"/>
        <v>2019</v>
      </c>
      <c r="B102" s="62">
        <f t="shared" si="6"/>
        <v>43496</v>
      </c>
      <c r="C102" s="69">
        <f>'Purchased Power Model No CDM'!C102</f>
        <v>11356602</v>
      </c>
      <c r="D102" s="69">
        <f>'Purchased Power Model No CDM'!D102</f>
        <v>1769</v>
      </c>
      <c r="E102" s="860"/>
      <c r="F102" s="887"/>
      <c r="G102" s="73"/>
      <c r="H102" s="71">
        <f t="shared" ref="H102:H149" si="7">SUM(C102:G102)</f>
        <v>11358371</v>
      </c>
      <c r="I102" s="259"/>
      <c r="J102" s="150">
        <f>'Purchased Power Model No CDM'!J102</f>
        <v>934.90000000000009</v>
      </c>
      <c r="K102" s="857">
        <f>'Purchased Power Model No CDM'!K102</f>
        <v>0</v>
      </c>
      <c r="L102" s="322">
        <f>'Purchased Power Model No CDM'!L102</f>
        <v>31</v>
      </c>
      <c r="M102" s="150">
        <f>'Purchased Power Model No CDM'!M102</f>
        <v>1</v>
      </c>
      <c r="N102" s="322">
        <f>'Purchased Power Model No CDM'!N102</f>
        <v>22</v>
      </c>
      <c r="O102" s="857">
        <f>'Purchased Power Model No CDM'!P102</f>
        <v>0</v>
      </c>
      <c r="P102" s="1362"/>
      <c r="Q102" s="930">
        <v>97</v>
      </c>
      <c r="R102" s="930">
        <v>5909.083333333333</v>
      </c>
      <c r="S102" s="933">
        <v>122.42842201442436</v>
      </c>
      <c r="X102" s="15" t="s">
        <v>5</v>
      </c>
      <c r="Y102" s="15">
        <v>119</v>
      </c>
      <c r="Z102" s="15">
        <v>161155958653446.03</v>
      </c>
      <c r="AA102" s="15"/>
      <c r="AB102" s="15"/>
      <c r="AC102" s="15"/>
      <c r="AD102"/>
      <c r="AE102"/>
      <c r="AF102"/>
    </row>
    <row r="103" spans="1:32" ht="13.8" thickBot="1">
      <c r="A103" s="864">
        <f t="shared" si="5"/>
        <v>2019</v>
      </c>
      <c r="B103" s="62">
        <f t="shared" si="6"/>
        <v>43524</v>
      </c>
      <c r="C103" s="69">
        <f>'Purchased Power Model No CDM'!C103</f>
        <v>9954781</v>
      </c>
      <c r="D103" s="69">
        <f>'Purchased Power Model No CDM'!D103</f>
        <v>3395</v>
      </c>
      <c r="E103" s="860"/>
      <c r="F103" s="887"/>
      <c r="G103" s="73"/>
      <c r="H103" s="71">
        <f t="shared" si="7"/>
        <v>9958176</v>
      </c>
      <c r="I103" s="259"/>
      <c r="J103" s="150">
        <f>'Purchased Power Model No CDM'!J103</f>
        <v>762.2</v>
      </c>
      <c r="K103" s="857">
        <f>'Purchased Power Model No CDM'!K103</f>
        <v>0</v>
      </c>
      <c r="L103" s="322">
        <f>'Purchased Power Model No CDM'!L103</f>
        <v>28</v>
      </c>
      <c r="M103" s="150">
        <f>'Purchased Power Model No CDM'!M103</f>
        <v>1</v>
      </c>
      <c r="N103" s="322">
        <f>'Purchased Power Model No CDM'!N103</f>
        <v>19</v>
      </c>
      <c r="O103" s="857">
        <f>'Purchased Power Model No CDM'!P103</f>
        <v>0</v>
      </c>
      <c r="P103" s="1362"/>
      <c r="Q103" s="930">
        <v>98</v>
      </c>
      <c r="R103" s="930">
        <v>5909.1666666666661</v>
      </c>
      <c r="S103" s="933">
        <v>122.64063684964239</v>
      </c>
      <c r="X103"/>
      <c r="Y103"/>
      <c r="Z103"/>
      <c r="AA103"/>
      <c r="AB103"/>
      <c r="AC103"/>
      <c r="AD103"/>
      <c r="AE103"/>
      <c r="AF103"/>
    </row>
    <row r="104" spans="1:32">
      <c r="A104" s="864">
        <f t="shared" si="5"/>
        <v>2019</v>
      </c>
      <c r="B104" s="62">
        <f t="shared" si="6"/>
        <v>43555</v>
      </c>
      <c r="C104" s="69">
        <f>'Purchased Power Model No CDM'!C104</f>
        <v>10085138</v>
      </c>
      <c r="D104" s="69">
        <f>'Purchased Power Model No CDM'!D104</f>
        <v>7474</v>
      </c>
      <c r="E104" s="860"/>
      <c r="F104" s="887"/>
      <c r="G104" s="73"/>
      <c r="H104" s="71">
        <f t="shared" si="7"/>
        <v>10092612</v>
      </c>
      <c r="I104" s="259"/>
      <c r="J104" s="150">
        <f>'Purchased Power Model No CDM'!J104</f>
        <v>692.30000000000007</v>
      </c>
      <c r="K104" s="857">
        <f>'Purchased Power Model No CDM'!K104</f>
        <v>0</v>
      </c>
      <c r="L104" s="322">
        <f>'Purchased Power Model No CDM'!L104</f>
        <v>31</v>
      </c>
      <c r="M104" s="150">
        <f>'Purchased Power Model No CDM'!M104</f>
        <v>1</v>
      </c>
      <c r="N104" s="322">
        <f>'Purchased Power Model No CDM'!N104</f>
        <v>21</v>
      </c>
      <c r="O104" s="857">
        <f>'Purchased Power Model No CDM'!P104</f>
        <v>0</v>
      </c>
      <c r="P104" s="1362"/>
      <c r="Q104" s="930">
        <v>99</v>
      </c>
      <c r="R104" s="930">
        <v>5909.2499999999991</v>
      </c>
      <c r="S104" s="933">
        <v>122.85321953356373</v>
      </c>
      <c r="X104" s="16"/>
      <c r="Y104" s="16" t="s">
        <v>29</v>
      </c>
      <c r="Z104" s="16" t="s">
        <v>18</v>
      </c>
      <c r="AA104" s="16" t="s">
        <v>30</v>
      </c>
      <c r="AB104" s="16" t="s">
        <v>31</v>
      </c>
      <c r="AC104" s="16" t="s">
        <v>32</v>
      </c>
      <c r="AD104" s="16" t="s">
        <v>33</v>
      </c>
      <c r="AE104" s="16" t="s">
        <v>115</v>
      </c>
      <c r="AF104" s="16" t="s">
        <v>116</v>
      </c>
    </row>
    <row r="105" spans="1:32">
      <c r="A105" s="864">
        <f t="shared" si="5"/>
        <v>2019</v>
      </c>
      <c r="B105" s="62">
        <f t="shared" si="6"/>
        <v>43585</v>
      </c>
      <c r="C105" s="69">
        <f>'Purchased Power Model No CDM'!C105</f>
        <v>8524502</v>
      </c>
      <c r="D105" s="69">
        <f>'Purchased Power Model No CDM'!D105</f>
        <v>7016</v>
      </c>
      <c r="E105" s="860"/>
      <c r="F105" s="887"/>
      <c r="G105" s="73"/>
      <c r="H105" s="71">
        <f t="shared" si="7"/>
        <v>8531518</v>
      </c>
      <c r="I105" s="259"/>
      <c r="J105" s="150">
        <f>'Purchased Power Model No CDM'!J105</f>
        <v>398.7999999999999</v>
      </c>
      <c r="K105" s="857">
        <f>'Purchased Power Model No CDM'!K105</f>
        <v>0</v>
      </c>
      <c r="L105" s="322">
        <f>'Purchased Power Model No CDM'!L105</f>
        <v>30</v>
      </c>
      <c r="M105" s="150">
        <f>'Purchased Power Model No CDM'!M105</f>
        <v>0</v>
      </c>
      <c r="N105" s="322">
        <f>'Purchased Power Model No CDM'!N105</f>
        <v>20</v>
      </c>
      <c r="O105" s="857">
        <f>'Purchased Power Model No CDM'!P105</f>
        <v>0</v>
      </c>
      <c r="P105" s="1362"/>
      <c r="Q105" s="930">
        <v>100</v>
      </c>
      <c r="R105" s="930">
        <v>5909.3333333333321</v>
      </c>
      <c r="S105" s="933">
        <v>123.06617070380955</v>
      </c>
      <c r="X105" s="14" t="s">
        <v>23</v>
      </c>
      <c r="Y105" s="14">
        <v>1533922.3132677535</v>
      </c>
      <c r="Z105" s="14">
        <v>1435484.6269256149</v>
      </c>
      <c r="AA105" s="14">
        <v>1.0685745319007443</v>
      </c>
      <c r="AB105" s="14">
        <v>0.28753885449082994</v>
      </c>
      <c r="AC105" s="14">
        <v>-1310031.6358389584</v>
      </c>
      <c r="AD105" s="14">
        <v>4377876.2623744654</v>
      </c>
      <c r="AE105" s="14">
        <v>-1310031.6358389584</v>
      </c>
      <c r="AF105" s="14">
        <v>4377876.2623744654</v>
      </c>
    </row>
    <row r="106" spans="1:32">
      <c r="A106" s="864">
        <f t="shared" si="5"/>
        <v>2019</v>
      </c>
      <c r="B106" s="62">
        <f t="shared" si="6"/>
        <v>43616</v>
      </c>
      <c r="C106" s="69">
        <f>'Purchased Power Model No CDM'!C106</f>
        <v>7801649</v>
      </c>
      <c r="D106" s="69">
        <f>'Purchased Power Model No CDM'!D106</f>
        <v>7750.88</v>
      </c>
      <c r="E106" s="860"/>
      <c r="F106" s="887"/>
      <c r="G106" s="73"/>
      <c r="H106" s="71">
        <f t="shared" si="7"/>
        <v>7809399.8799999999</v>
      </c>
      <c r="I106" s="259"/>
      <c r="J106" s="150">
        <f>'Purchased Power Model No CDM'!J106</f>
        <v>213.20000000000002</v>
      </c>
      <c r="K106" s="857">
        <f>'Purchased Power Model No CDM'!K106</f>
        <v>0</v>
      </c>
      <c r="L106" s="322">
        <f>'Purchased Power Model No CDM'!L106</f>
        <v>31</v>
      </c>
      <c r="M106" s="150">
        <f>'Purchased Power Model No CDM'!M106</f>
        <v>0</v>
      </c>
      <c r="N106" s="322">
        <f>'Purchased Power Model No CDM'!N106</f>
        <v>22</v>
      </c>
      <c r="O106" s="857">
        <f>'Purchased Power Model No CDM'!P106</f>
        <v>0</v>
      </c>
      <c r="P106" s="1362"/>
      <c r="Q106" s="930">
        <v>101</v>
      </c>
      <c r="R106" s="930">
        <v>5909.4166666666652</v>
      </c>
      <c r="S106" s="933">
        <v>123.27949099910623</v>
      </c>
      <c r="X106" s="14" t="s">
        <v>121</v>
      </c>
      <c r="Y106" s="14">
        <v>4415.4470767623161</v>
      </c>
      <c r="Z106" s="14">
        <v>182.53211782943984</v>
      </c>
      <c r="AA106" s="14">
        <v>24.189973409984546</v>
      </c>
      <c r="AB106" s="14">
        <v>1.689324691120507E-46</v>
      </c>
      <c r="AC106" s="14">
        <v>4053.8180299562669</v>
      </c>
      <c r="AD106" s="14">
        <v>4777.0761235683649</v>
      </c>
      <c r="AE106" s="14">
        <v>4053.8180299562669</v>
      </c>
      <c r="AF106" s="14">
        <v>4777.0761235683649</v>
      </c>
    </row>
    <row r="107" spans="1:32">
      <c r="A107" s="864">
        <f t="shared" si="5"/>
        <v>2019</v>
      </c>
      <c r="B107" s="62">
        <f t="shared" si="6"/>
        <v>43646</v>
      </c>
      <c r="C107" s="69">
        <f>'Purchased Power Model No CDM'!C107</f>
        <v>7764971</v>
      </c>
      <c r="D107" s="69">
        <f>'Purchased Power Model No CDM'!D107</f>
        <v>9236.0300000000007</v>
      </c>
      <c r="E107" s="860"/>
      <c r="F107" s="887"/>
      <c r="G107" s="73"/>
      <c r="H107" s="71">
        <f t="shared" si="7"/>
        <v>7774207.0300000003</v>
      </c>
      <c r="I107" s="259"/>
      <c r="J107" s="150">
        <f>'Purchased Power Model No CDM'!J107</f>
        <v>55.1</v>
      </c>
      <c r="K107" s="857">
        <f>'Purchased Power Model No CDM'!K107</f>
        <v>32</v>
      </c>
      <c r="L107" s="322">
        <f>'Purchased Power Model No CDM'!L107</f>
        <v>30</v>
      </c>
      <c r="M107" s="150">
        <f>'Purchased Power Model No CDM'!M107</f>
        <v>1</v>
      </c>
      <c r="N107" s="322">
        <f>'Purchased Power Model No CDM'!N107</f>
        <v>20</v>
      </c>
      <c r="O107" s="857">
        <f>'Purchased Power Model No CDM'!P107</f>
        <v>0</v>
      </c>
      <c r="P107" s="1362"/>
      <c r="Q107" s="930">
        <v>102</v>
      </c>
      <c r="R107" s="930">
        <v>5909.4999999999982</v>
      </c>
      <c r="S107" s="933">
        <v>123.49318105928732</v>
      </c>
      <c r="X107" s="14" t="s">
        <v>122</v>
      </c>
      <c r="Y107" s="14">
        <v>15372.249559587497</v>
      </c>
      <c r="Z107" s="14">
        <v>1486.9214366033161</v>
      </c>
      <c r="AA107" s="14">
        <v>10.338306504413209</v>
      </c>
      <c r="AB107" s="14">
        <v>4.9266428385174589E-18</v>
      </c>
      <c r="AC107" s="14">
        <v>12426.390013396373</v>
      </c>
      <c r="AD107" s="14">
        <v>18318.109105778622</v>
      </c>
      <c r="AE107" s="14">
        <v>12426.390013396373</v>
      </c>
      <c r="AF107" s="14">
        <v>18318.109105778622</v>
      </c>
    </row>
    <row r="108" spans="1:32">
      <c r="A108" s="864">
        <f t="shared" si="5"/>
        <v>2019</v>
      </c>
      <c r="B108" s="62">
        <f t="shared" si="6"/>
        <v>43677</v>
      </c>
      <c r="C108" s="69">
        <f>'Purchased Power Model No CDM'!C108</f>
        <v>9557985</v>
      </c>
      <c r="D108" s="69">
        <f>'Purchased Power Model No CDM'!D108</f>
        <v>10449.490000000002</v>
      </c>
      <c r="E108" s="860"/>
      <c r="F108" s="887"/>
      <c r="G108" s="73"/>
      <c r="H108" s="71">
        <f t="shared" si="7"/>
        <v>9568434.4900000002</v>
      </c>
      <c r="I108" s="259"/>
      <c r="J108" s="150">
        <f>'Purchased Power Model No CDM'!J108</f>
        <v>0</v>
      </c>
      <c r="K108" s="857">
        <f>'Purchased Power Model No CDM'!K108</f>
        <v>133.1</v>
      </c>
      <c r="L108" s="322">
        <f>'Purchased Power Model No CDM'!L108</f>
        <v>31</v>
      </c>
      <c r="M108" s="150">
        <f>'Purchased Power Model No CDM'!M108</f>
        <v>1</v>
      </c>
      <c r="N108" s="322">
        <f>'Purchased Power Model No CDM'!N108</f>
        <v>22</v>
      </c>
      <c r="O108" s="857">
        <f>'Purchased Power Model No CDM'!P108</f>
        <v>0</v>
      </c>
      <c r="P108" s="1362"/>
      <c r="Q108" s="930">
        <v>103</v>
      </c>
      <c r="R108" s="930">
        <v>5909.5833333333312</v>
      </c>
      <c r="S108" s="933">
        <v>123.70724152529544</v>
      </c>
      <c r="X108" s="14" t="s">
        <v>3</v>
      </c>
      <c r="Y108" s="14">
        <v>146245.85115093729</v>
      </c>
      <c r="Z108" s="14">
        <v>52439.828970321061</v>
      </c>
      <c r="AA108" s="14">
        <v>2.7888315813102071</v>
      </c>
      <c r="AB108" s="14">
        <v>6.2091463985341584E-3</v>
      </c>
      <c r="AC108" s="14">
        <v>42353.091943873194</v>
      </c>
      <c r="AD108" s="14">
        <v>250138.61035800137</v>
      </c>
      <c r="AE108" s="14">
        <v>42353.091943873194</v>
      </c>
      <c r="AF108" s="14">
        <v>250138.61035800137</v>
      </c>
    </row>
    <row r="109" spans="1:32">
      <c r="A109" s="864">
        <f t="shared" si="5"/>
        <v>2019</v>
      </c>
      <c r="B109" s="62">
        <f t="shared" si="6"/>
        <v>43708</v>
      </c>
      <c r="C109" s="69">
        <f>'Purchased Power Model No CDM'!C109</f>
        <v>8688391.3699999992</v>
      </c>
      <c r="D109" s="69">
        <f>'Purchased Power Model No CDM'!D109</f>
        <v>9647.7199999999993</v>
      </c>
      <c r="E109" s="860"/>
      <c r="F109" s="887"/>
      <c r="G109" s="73"/>
      <c r="H109" s="71">
        <f t="shared" si="7"/>
        <v>8698039.0899999999</v>
      </c>
      <c r="I109" s="259"/>
      <c r="J109" s="150">
        <f>'Purchased Power Model No CDM'!J109</f>
        <v>6.3</v>
      </c>
      <c r="K109" s="857">
        <f>'Purchased Power Model No CDM'!K109</f>
        <v>54.800000000000004</v>
      </c>
      <c r="L109" s="322">
        <f>'Purchased Power Model No CDM'!L109</f>
        <v>31</v>
      </c>
      <c r="M109" s="150">
        <f>'Purchased Power Model No CDM'!M109</f>
        <v>1</v>
      </c>
      <c r="N109" s="322">
        <f>'Purchased Power Model No CDM'!N109</f>
        <v>21</v>
      </c>
      <c r="O109" s="1358">
        <f>'Purchased Power Model No CDM'!P109</f>
        <v>1</v>
      </c>
      <c r="P109" s="1363"/>
      <c r="Q109" s="930">
        <v>104</v>
      </c>
      <c r="R109" s="930">
        <v>5909.6666666666642</v>
      </c>
      <c r="S109" s="933">
        <v>123.92167303918423</v>
      </c>
      <c r="X109" s="14" t="s">
        <v>412</v>
      </c>
      <c r="Y109" s="14">
        <v>370304.28292536852</v>
      </c>
      <c r="Z109" s="14">
        <v>94963.427656125306</v>
      </c>
      <c r="AA109" s="14">
        <v>3.8994409960252026</v>
      </c>
      <c r="AB109" s="14">
        <v>1.64050015005156E-4</v>
      </c>
      <c r="AC109" s="14">
        <v>182164.60519035792</v>
      </c>
      <c r="AD109" s="14">
        <v>558443.96066037915</v>
      </c>
      <c r="AE109" s="14">
        <v>182164.60519035792</v>
      </c>
      <c r="AF109" s="14">
        <v>558443.96066037915</v>
      </c>
    </row>
    <row r="110" spans="1:32">
      <c r="A110" s="864">
        <f t="shared" si="5"/>
        <v>2019</v>
      </c>
      <c r="B110" s="62">
        <f t="shared" si="6"/>
        <v>43738</v>
      </c>
      <c r="C110" s="69">
        <f>'Purchased Power Model No CDM'!C110</f>
        <v>7563722.3099999996</v>
      </c>
      <c r="D110" s="69">
        <f>'Purchased Power Model No CDM'!D110</f>
        <v>7379.5300000000007</v>
      </c>
      <c r="E110" s="860"/>
      <c r="F110" s="887"/>
      <c r="G110" s="73"/>
      <c r="H110" s="71">
        <f t="shared" si="7"/>
        <v>7571101.8399999999</v>
      </c>
      <c r="I110" s="259"/>
      <c r="J110" s="150">
        <f>'Purchased Power Model No CDM'!J110</f>
        <v>103.99999999999999</v>
      </c>
      <c r="K110" s="857">
        <f>'Purchased Power Model No CDM'!K110</f>
        <v>9.1</v>
      </c>
      <c r="L110" s="322">
        <f>'Purchased Power Model No CDM'!L110</f>
        <v>30</v>
      </c>
      <c r="M110" s="150">
        <f>'Purchased Power Model No CDM'!M110</f>
        <v>1</v>
      </c>
      <c r="N110" s="322">
        <f>'Purchased Power Model No CDM'!N110</f>
        <v>20</v>
      </c>
      <c r="O110" s="857">
        <f>'Purchased Power Model No CDM'!P110</f>
        <v>0</v>
      </c>
      <c r="P110" s="1362"/>
      <c r="Q110" s="930">
        <v>105</v>
      </c>
      <c r="R110" s="930">
        <v>5909.7499999999973</v>
      </c>
      <c r="S110" s="933">
        <v>124.1364762441202</v>
      </c>
      <c r="X110" s="14" t="s">
        <v>422</v>
      </c>
      <c r="Y110" s="14">
        <v>52134.71906775744</v>
      </c>
      <c r="Z110" s="14">
        <v>38364.185941153599</v>
      </c>
      <c r="AA110" s="14">
        <v>1.3589424039317897</v>
      </c>
      <c r="AB110" s="14">
        <v>0.17687107477232591</v>
      </c>
      <c r="AC110" s="14">
        <v>-23871.652623788177</v>
      </c>
      <c r="AD110" s="14">
        <v>128141.09075930306</v>
      </c>
      <c r="AE110" s="14">
        <v>-23871.652623788177</v>
      </c>
      <c r="AF110" s="14">
        <v>128141.09075930306</v>
      </c>
    </row>
    <row r="111" spans="1:32" ht="13.8" thickBot="1">
      <c r="A111" s="864">
        <f t="shared" si="5"/>
        <v>2019</v>
      </c>
      <c r="B111" s="62">
        <f t="shared" si="6"/>
        <v>43769</v>
      </c>
      <c r="C111" s="69">
        <f>'Purchased Power Model No CDM'!C111</f>
        <v>7908177</v>
      </c>
      <c r="D111" s="69">
        <f>'Purchased Power Model No CDM'!D111</f>
        <v>4809.9900000000007</v>
      </c>
      <c r="E111" s="860"/>
      <c r="F111" s="887"/>
      <c r="G111" s="73"/>
      <c r="H111" s="71">
        <f t="shared" si="7"/>
        <v>7912986.9900000002</v>
      </c>
      <c r="I111" s="259"/>
      <c r="J111" s="150">
        <f>'Purchased Power Model No CDM'!J111</f>
        <v>286.8</v>
      </c>
      <c r="K111" s="857">
        <f>'Purchased Power Model No CDM'!K111</f>
        <v>0</v>
      </c>
      <c r="L111" s="322">
        <f>'Purchased Power Model No CDM'!L111</f>
        <v>31</v>
      </c>
      <c r="M111" s="150">
        <f>'Purchased Power Model No CDM'!M111</f>
        <v>0</v>
      </c>
      <c r="N111" s="322">
        <f>'Purchased Power Model No CDM'!N111</f>
        <v>22</v>
      </c>
      <c r="O111" s="857">
        <f>'Purchased Power Model No CDM'!P111</f>
        <v>0</v>
      </c>
      <c r="P111" s="1362"/>
      <c r="Q111" s="930">
        <v>106</v>
      </c>
      <c r="R111" s="930">
        <v>5909.8333333333303</v>
      </c>
      <c r="S111" s="933">
        <v>124.35165178438477</v>
      </c>
      <c r="X111" s="15" t="s">
        <v>400</v>
      </c>
      <c r="Y111" s="15">
        <v>417271.15314816649</v>
      </c>
      <c r="Z111" s="15">
        <v>146937.92958298523</v>
      </c>
      <c r="AA111" s="15">
        <v>2.8397783630979148</v>
      </c>
      <c r="AB111" s="15">
        <v>5.3552572307809312E-3</v>
      </c>
      <c r="AC111" s="15">
        <v>126160.61300530145</v>
      </c>
      <c r="AD111" s="15">
        <v>708381.69329103152</v>
      </c>
      <c r="AE111" s="15">
        <v>126160.61300530145</v>
      </c>
      <c r="AF111" s="15">
        <v>708381.69329103152</v>
      </c>
    </row>
    <row r="112" spans="1:32">
      <c r="A112" s="864">
        <f t="shared" si="5"/>
        <v>2019</v>
      </c>
      <c r="B112" s="62">
        <f t="shared" si="6"/>
        <v>43799</v>
      </c>
      <c r="C112" s="69">
        <f>'Purchased Power Model No CDM'!C112</f>
        <v>9264874</v>
      </c>
      <c r="D112" s="69">
        <f>'Purchased Power Model No CDM'!D112</f>
        <v>2032.8500000000001</v>
      </c>
      <c r="E112" s="860"/>
      <c r="F112" s="887"/>
      <c r="G112" s="73"/>
      <c r="H112" s="71">
        <f t="shared" si="7"/>
        <v>9266906.8499999996</v>
      </c>
      <c r="I112" s="259"/>
      <c r="J112" s="150">
        <f>'Purchased Power Model No CDM'!J112</f>
        <v>611</v>
      </c>
      <c r="K112" s="857">
        <f>'Purchased Power Model No CDM'!K112</f>
        <v>0</v>
      </c>
      <c r="L112" s="322">
        <f>'Purchased Power Model No CDM'!L112</f>
        <v>30</v>
      </c>
      <c r="M112" s="150">
        <f>'Purchased Power Model No CDM'!M112</f>
        <v>0</v>
      </c>
      <c r="N112" s="322">
        <f>'Purchased Power Model No CDM'!N112</f>
        <v>21</v>
      </c>
      <c r="O112" s="857">
        <f>'Purchased Power Model No CDM'!P112</f>
        <v>0</v>
      </c>
      <c r="P112" s="1362"/>
      <c r="Q112" s="930">
        <v>107</v>
      </c>
      <c r="R112" s="930">
        <v>5909.9166666666633</v>
      </c>
      <c r="S112" s="933">
        <v>124.56720030537612</v>
      </c>
      <c r="X112" s="1360" t="s">
        <v>533</v>
      </c>
      <c r="Y112"/>
      <c r="Z112"/>
      <c r="AA112"/>
      <c r="AB112"/>
      <c r="AC112"/>
      <c r="AD112"/>
      <c r="AE112"/>
      <c r="AF112"/>
    </row>
    <row r="113" spans="1:32">
      <c r="A113" s="865">
        <f t="shared" si="5"/>
        <v>2019</v>
      </c>
      <c r="B113" s="151">
        <f t="shared" si="6"/>
        <v>43830</v>
      </c>
      <c r="C113" s="81">
        <f>'Purchased Power Model No CDM'!C113</f>
        <v>10207018.220000001</v>
      </c>
      <c r="D113" s="81">
        <f>'Purchased Power Model No CDM'!D113</f>
        <v>1575.89</v>
      </c>
      <c r="E113" s="853"/>
      <c r="F113" s="886"/>
      <c r="G113" s="83"/>
      <c r="H113" s="76">
        <f t="shared" si="7"/>
        <v>10208594.110000001</v>
      </c>
      <c r="I113" s="260"/>
      <c r="J113" s="104">
        <f>'Purchased Power Model No CDM'!J113</f>
        <v>717.2</v>
      </c>
      <c r="K113" s="839">
        <f>'Purchased Power Model No CDM'!K113</f>
        <v>0</v>
      </c>
      <c r="L113" s="323">
        <f>'Purchased Power Model No CDM'!L113</f>
        <v>31</v>
      </c>
      <c r="M113" s="104">
        <f>'Purchased Power Model No CDM'!M113</f>
        <v>1</v>
      </c>
      <c r="N113" s="323">
        <f>'Purchased Power Model No CDM'!N113</f>
        <v>20</v>
      </c>
      <c r="O113" s="871">
        <f>'Purchased Power Model No CDM'!P113</f>
        <v>0</v>
      </c>
      <c r="P113" s="1362"/>
      <c r="Q113" s="931">
        <v>108</v>
      </c>
      <c r="R113" s="931">
        <v>5910</v>
      </c>
      <c r="S113" s="934">
        <v>124.78312245361113</v>
      </c>
      <c r="Y113"/>
      <c r="Z113"/>
      <c r="AA113"/>
      <c r="AB113"/>
      <c r="AC113"/>
      <c r="AD113"/>
      <c r="AE113"/>
      <c r="AF113"/>
    </row>
    <row r="114" spans="1:32">
      <c r="A114" s="864">
        <f t="shared" si="5"/>
        <v>2020</v>
      </c>
      <c r="B114" s="62">
        <f t="shared" si="6"/>
        <v>43861</v>
      </c>
      <c r="C114" s="69">
        <f>'Purchased Power Model No CDM'!C114</f>
        <v>10475745.59</v>
      </c>
      <c r="D114" s="69">
        <f>'Purchased Power Model No CDM'!D114</f>
        <v>770</v>
      </c>
      <c r="E114" s="860"/>
      <c r="F114" s="887"/>
      <c r="G114" s="73"/>
      <c r="H114" s="71">
        <f t="shared" si="7"/>
        <v>10476515.59</v>
      </c>
      <c r="I114" s="259"/>
      <c r="J114" s="150">
        <f>'Purchased Power Model No CDM'!J114</f>
        <v>755.59999999999991</v>
      </c>
      <c r="K114" s="857">
        <f>'Purchased Power Model No CDM'!K114</f>
        <v>0</v>
      </c>
      <c r="L114" s="322">
        <f>'Purchased Power Model No CDM'!L114</f>
        <v>31</v>
      </c>
      <c r="M114" s="150">
        <f>'Purchased Power Model No CDM'!M114</f>
        <v>1</v>
      </c>
      <c r="N114" s="322">
        <f>'Purchased Power Model No CDM'!N114</f>
        <v>22</v>
      </c>
      <c r="O114" s="857">
        <f>'Purchased Power Model No CDM'!P114</f>
        <v>0</v>
      </c>
      <c r="P114" s="1362"/>
      <c r="Q114" s="930">
        <v>109</v>
      </c>
      <c r="R114" s="930">
        <v>5909.083333333333</v>
      </c>
      <c r="S114" s="933">
        <v>124.174329376217</v>
      </c>
      <c r="X114" s="45" t="s">
        <v>608</v>
      </c>
      <c r="Y114"/>
      <c r="Z114"/>
      <c r="AA114"/>
      <c r="AB114"/>
      <c r="AC114"/>
      <c r="AD114"/>
      <c r="AE114"/>
      <c r="AF114"/>
    </row>
    <row r="115" spans="1:32">
      <c r="A115" s="864">
        <f t="shared" si="5"/>
        <v>2020</v>
      </c>
      <c r="B115" s="62">
        <f t="shared" si="6"/>
        <v>43890</v>
      </c>
      <c r="C115" s="69">
        <f>'Purchased Power Model No CDM'!C115</f>
        <v>9817627</v>
      </c>
      <c r="D115" s="69">
        <f>'Purchased Power Model No CDM'!D115</f>
        <v>1630</v>
      </c>
      <c r="E115" s="860"/>
      <c r="F115" s="887"/>
      <c r="G115" s="73"/>
      <c r="H115" s="71">
        <f t="shared" si="7"/>
        <v>9819257</v>
      </c>
      <c r="I115" s="259"/>
      <c r="J115" s="150">
        <f>'Purchased Power Model No CDM'!J115</f>
        <v>725.89999999999986</v>
      </c>
      <c r="K115" s="857">
        <f>'Purchased Power Model No CDM'!K115</f>
        <v>0</v>
      </c>
      <c r="L115" s="322">
        <f>'Purchased Power Model No CDM'!L115</f>
        <v>29</v>
      </c>
      <c r="M115" s="150">
        <f>'Purchased Power Model No CDM'!M115</f>
        <v>1</v>
      </c>
      <c r="N115" s="322">
        <f>'Purchased Power Model No CDM'!N115</f>
        <v>19</v>
      </c>
      <c r="O115" s="857">
        <f>'Purchased Power Model No CDM'!P115</f>
        <v>0</v>
      </c>
      <c r="P115" s="1362"/>
      <c r="Q115" s="930">
        <v>110</v>
      </c>
      <c r="R115" s="930">
        <v>5908.1666666666661</v>
      </c>
      <c r="S115" s="933">
        <v>123.56850648424376</v>
      </c>
      <c r="Y115"/>
      <c r="Z115"/>
      <c r="AA115"/>
      <c r="AB115"/>
      <c r="AC115"/>
      <c r="AD115"/>
      <c r="AE115"/>
      <c r="AF115"/>
    </row>
    <row r="116" spans="1:32">
      <c r="A116" s="864">
        <f t="shared" si="5"/>
        <v>2020</v>
      </c>
      <c r="B116" s="62">
        <f t="shared" si="6"/>
        <v>43921</v>
      </c>
      <c r="C116" s="69">
        <f>'Purchased Power Model No CDM'!C116</f>
        <v>9509806</v>
      </c>
      <c r="D116" s="69">
        <f>'Purchased Power Model No CDM'!D116</f>
        <v>6215</v>
      </c>
      <c r="E116" s="860"/>
      <c r="F116" s="887"/>
      <c r="G116" s="73"/>
      <c r="H116" s="71">
        <f t="shared" si="7"/>
        <v>9516021</v>
      </c>
      <c r="I116" s="259"/>
      <c r="J116" s="150">
        <f>'Purchased Power Model No CDM'!J116</f>
        <v>561.69999999999993</v>
      </c>
      <c r="K116" s="857">
        <f>'Purchased Power Model No CDM'!K116</f>
        <v>0</v>
      </c>
      <c r="L116" s="322">
        <f>'Purchased Power Model No CDM'!L116</f>
        <v>31</v>
      </c>
      <c r="M116" s="150">
        <f>'Purchased Power Model No CDM'!M116</f>
        <v>1</v>
      </c>
      <c r="N116" s="322">
        <f>'Purchased Power Model No CDM'!N116</f>
        <v>22</v>
      </c>
      <c r="O116" s="857">
        <f>'Purchased Power Model No CDM'!P116</f>
        <v>0</v>
      </c>
      <c r="P116" s="1362"/>
      <c r="Q116" s="930">
        <v>111</v>
      </c>
      <c r="R116" s="930">
        <v>5907.2499999999991</v>
      </c>
      <c r="S116" s="933">
        <v>122.96563928672268</v>
      </c>
    </row>
    <row r="117" spans="1:32">
      <c r="A117" s="864">
        <f t="shared" si="5"/>
        <v>2020</v>
      </c>
      <c r="B117" s="62">
        <f t="shared" si="6"/>
        <v>43951</v>
      </c>
      <c r="C117" s="69">
        <f>'Purchased Power Model No CDM'!C117</f>
        <v>8024762.8899999997</v>
      </c>
      <c r="D117" s="69">
        <f>'Purchased Power Model No CDM'!D117</f>
        <v>7686</v>
      </c>
      <c r="E117" s="860"/>
      <c r="F117" s="887"/>
      <c r="G117" s="73"/>
      <c r="H117" s="71">
        <f t="shared" si="7"/>
        <v>8032448.8899999997</v>
      </c>
      <c r="I117" s="259"/>
      <c r="J117" s="150">
        <f>'Purchased Power Model No CDM'!J117</f>
        <v>407.8</v>
      </c>
      <c r="K117" s="857">
        <f>'Purchased Power Model No CDM'!K117</f>
        <v>0</v>
      </c>
      <c r="L117" s="322">
        <f>'Purchased Power Model No CDM'!L117</f>
        <v>30</v>
      </c>
      <c r="M117" s="150">
        <f>'Purchased Power Model No CDM'!M117</f>
        <v>0</v>
      </c>
      <c r="N117" s="322">
        <f>'Purchased Power Model No CDM'!N117</f>
        <v>20</v>
      </c>
      <c r="O117" s="857">
        <f>'Purchased Power Model No CDM'!P117</f>
        <v>0</v>
      </c>
      <c r="P117" s="1362"/>
      <c r="Q117" s="930">
        <v>112</v>
      </c>
      <c r="R117" s="930">
        <v>5906.3333333333321</v>
      </c>
      <c r="S117" s="933">
        <v>122.36571336338373</v>
      </c>
      <c r="X117" t="s">
        <v>13</v>
      </c>
      <c r="Y117"/>
      <c r="Z117"/>
      <c r="AA117"/>
      <c r="AB117"/>
      <c r="AC117"/>
      <c r="AD117"/>
      <c r="AE117"/>
      <c r="AF117"/>
    </row>
    <row r="118" spans="1:32" ht="13.8" thickBot="1">
      <c r="A118" s="864">
        <f t="shared" si="5"/>
        <v>2020</v>
      </c>
      <c r="B118" s="62">
        <f t="shared" si="6"/>
        <v>43982</v>
      </c>
      <c r="C118" s="69">
        <f>'Purchased Power Model No CDM'!C118</f>
        <v>7939253</v>
      </c>
      <c r="D118" s="69">
        <f>'Purchased Power Model No CDM'!D118</f>
        <v>9980</v>
      </c>
      <c r="E118" s="860"/>
      <c r="F118" s="72"/>
      <c r="G118" s="73"/>
      <c r="H118" s="71">
        <f t="shared" si="7"/>
        <v>7949233</v>
      </c>
      <c r="I118" s="259"/>
      <c r="J118" s="150">
        <f>'Purchased Power Model No CDM'!J118</f>
        <v>200.15</v>
      </c>
      <c r="K118" s="857">
        <f>'Purchased Power Model No CDM'!K118</f>
        <v>25.699999999999996</v>
      </c>
      <c r="L118" s="322">
        <f>'Purchased Power Model No CDM'!L118</f>
        <v>31</v>
      </c>
      <c r="M118" s="150">
        <f>'Purchased Power Model No CDM'!M118</f>
        <v>0</v>
      </c>
      <c r="N118" s="322">
        <f>'Purchased Power Model No CDM'!N118</f>
        <v>20</v>
      </c>
      <c r="O118" s="857">
        <f>'Purchased Power Model No CDM'!P118</f>
        <v>0</v>
      </c>
      <c r="P118" s="1362"/>
      <c r="Q118" s="930">
        <v>113</v>
      </c>
      <c r="R118" s="930">
        <v>5905.4166666666652</v>
      </c>
      <c r="S118" s="933">
        <v>121.76871436431064</v>
      </c>
      <c r="X118"/>
      <c r="Y118"/>
      <c r="Z118"/>
      <c r="AA118"/>
      <c r="AB118"/>
      <c r="AC118"/>
      <c r="AD118"/>
      <c r="AE118"/>
      <c r="AF118"/>
    </row>
    <row r="119" spans="1:32">
      <c r="A119" s="864">
        <f t="shared" si="5"/>
        <v>2020</v>
      </c>
      <c r="B119" s="62">
        <f t="shared" si="6"/>
        <v>44012</v>
      </c>
      <c r="C119" s="69">
        <f>'Purchased Power Model No CDM'!C119</f>
        <v>8515024.5999999996</v>
      </c>
      <c r="D119" s="69">
        <f>'Purchased Power Model No CDM'!D119</f>
        <v>10107.5</v>
      </c>
      <c r="E119" s="860"/>
      <c r="F119" s="72"/>
      <c r="G119" s="73"/>
      <c r="H119" s="71">
        <f t="shared" si="7"/>
        <v>8525132.0999999996</v>
      </c>
      <c r="I119" s="259"/>
      <c r="J119" s="150">
        <f>'Purchased Power Model No CDM'!J119</f>
        <v>44.7</v>
      </c>
      <c r="K119" s="857">
        <f>'Purchased Power Model No CDM'!K119</f>
        <v>70.400000000000006</v>
      </c>
      <c r="L119" s="322">
        <f>'Purchased Power Model No CDM'!L119</f>
        <v>30</v>
      </c>
      <c r="M119" s="150">
        <f>'Purchased Power Model No CDM'!M119</f>
        <v>1</v>
      </c>
      <c r="N119" s="322">
        <f>'Purchased Power Model No CDM'!N119</f>
        <v>22</v>
      </c>
      <c r="O119" s="857">
        <f>'Purchased Power Model No CDM'!P119</f>
        <v>0</v>
      </c>
      <c r="P119" s="1362"/>
      <c r="Q119" s="930">
        <v>114</v>
      </c>
      <c r="R119" s="930">
        <v>5904.4999999999982</v>
      </c>
      <c r="S119" s="933">
        <v>121.17462800959761</v>
      </c>
      <c r="X119" s="1691" t="s">
        <v>14</v>
      </c>
      <c r="Y119" s="1691"/>
      <c r="Z119"/>
      <c r="AA119"/>
      <c r="AB119"/>
      <c r="AC119"/>
      <c r="AD119"/>
      <c r="AE119"/>
      <c r="AF119"/>
    </row>
    <row r="120" spans="1:32">
      <c r="A120" s="864">
        <f t="shared" si="5"/>
        <v>2020</v>
      </c>
      <c r="B120" s="62">
        <f t="shared" si="6"/>
        <v>44043</v>
      </c>
      <c r="C120" s="69">
        <f>'Purchased Power Model No CDM'!C120</f>
        <v>10333884</v>
      </c>
      <c r="D120" s="69">
        <f>'Purchased Power Model No CDM'!D120</f>
        <v>9949.2099999999991</v>
      </c>
      <c r="E120" s="860"/>
      <c r="F120" s="72"/>
      <c r="G120" s="73"/>
      <c r="H120" s="71">
        <f t="shared" si="7"/>
        <v>10343833.210000001</v>
      </c>
      <c r="I120" s="259"/>
      <c r="J120" s="150">
        <f>'Purchased Power Model No CDM'!J120</f>
        <v>0</v>
      </c>
      <c r="K120" s="857">
        <f>'Purchased Power Model No CDM'!K120</f>
        <v>185.79999999999998</v>
      </c>
      <c r="L120" s="322">
        <f>'Purchased Power Model No CDM'!L120</f>
        <v>31</v>
      </c>
      <c r="M120" s="150">
        <f>'Purchased Power Model No CDM'!M120</f>
        <v>1</v>
      </c>
      <c r="N120" s="322">
        <f>'Purchased Power Model No CDM'!N120</f>
        <v>22</v>
      </c>
      <c r="O120" s="857">
        <f>'Purchased Power Model No CDM'!P120</f>
        <v>0</v>
      </c>
      <c r="P120" s="1362"/>
      <c r="Q120" s="930">
        <v>115</v>
      </c>
      <c r="R120" s="930">
        <v>5903.5833333333312</v>
      </c>
      <c r="S120" s="933">
        <v>120.58344008900782</v>
      </c>
      <c r="X120" t="s">
        <v>15</v>
      </c>
      <c r="Y120">
        <v>0.98543280070180161</v>
      </c>
      <c r="Z120"/>
      <c r="AA120"/>
      <c r="AB120"/>
      <c r="AC120"/>
      <c r="AD120"/>
      <c r="AE120"/>
      <c r="AF120"/>
    </row>
    <row r="121" spans="1:32">
      <c r="A121" s="864">
        <f t="shared" si="5"/>
        <v>2020</v>
      </c>
      <c r="B121" s="62">
        <f t="shared" si="6"/>
        <v>44074</v>
      </c>
      <c r="C121" s="69">
        <f>'Purchased Power Model No CDM'!C121</f>
        <v>9206403</v>
      </c>
      <c r="D121" s="69">
        <f>'Purchased Power Model No CDM'!D121</f>
        <v>8971.9</v>
      </c>
      <c r="E121" s="860"/>
      <c r="F121" s="72"/>
      <c r="G121" s="73"/>
      <c r="H121" s="71">
        <f t="shared" si="7"/>
        <v>9215374.9000000004</v>
      </c>
      <c r="I121" s="259"/>
      <c r="J121" s="150">
        <f>'Purchased Power Model No CDM'!J121</f>
        <v>25.500000000000004</v>
      </c>
      <c r="K121" s="857">
        <f>'Purchased Power Model No CDM'!K121</f>
        <v>70.400000000000006</v>
      </c>
      <c r="L121" s="322">
        <f>'Purchased Power Model No CDM'!L121</f>
        <v>31</v>
      </c>
      <c r="M121" s="150">
        <f>'Purchased Power Model No CDM'!M121</f>
        <v>1</v>
      </c>
      <c r="N121" s="322">
        <f>'Purchased Power Model No CDM'!N121</f>
        <v>20</v>
      </c>
      <c r="O121" s="1358">
        <f>'Purchased Power Model No CDM'!P121</f>
        <v>1</v>
      </c>
      <c r="P121" s="1363"/>
      <c r="Q121" s="930">
        <v>116</v>
      </c>
      <c r="R121" s="930">
        <v>5902.6666666666642</v>
      </c>
      <c r="S121" s="933">
        <v>119.99513646163348</v>
      </c>
      <c r="X121" t="s">
        <v>16</v>
      </c>
      <c r="Y121">
        <v>0.97107780469899674</v>
      </c>
      <c r="Z121"/>
      <c r="AA121"/>
      <c r="AB121"/>
      <c r="AC121"/>
      <c r="AD121"/>
      <c r="AE121"/>
      <c r="AF121"/>
    </row>
    <row r="122" spans="1:32">
      <c r="A122" s="864">
        <f t="shared" si="5"/>
        <v>2020</v>
      </c>
      <c r="B122" s="62">
        <f t="shared" si="6"/>
        <v>44104</v>
      </c>
      <c r="C122" s="69">
        <f>'Purchased Power Model No CDM'!C122</f>
        <v>7627587</v>
      </c>
      <c r="D122" s="69">
        <f>'Purchased Power Model No CDM'!D122</f>
        <v>6829.99</v>
      </c>
      <c r="E122" s="860"/>
      <c r="F122" s="72"/>
      <c r="G122" s="73"/>
      <c r="H122" s="71">
        <f t="shared" si="7"/>
        <v>7634416.9900000002</v>
      </c>
      <c r="I122" s="259"/>
      <c r="J122" s="150">
        <f>'Purchased Power Model No CDM'!J122</f>
        <v>138.5</v>
      </c>
      <c r="K122" s="857">
        <f>'Purchased Power Model No CDM'!K122</f>
        <v>9</v>
      </c>
      <c r="L122" s="322">
        <f>'Purchased Power Model No CDM'!L122</f>
        <v>30</v>
      </c>
      <c r="M122" s="150">
        <f>'Purchased Power Model No CDM'!M122</f>
        <v>1</v>
      </c>
      <c r="N122" s="322">
        <f>'Purchased Power Model No CDM'!N122</f>
        <v>21</v>
      </c>
      <c r="O122" s="857">
        <f>'Purchased Power Model No CDM'!P122</f>
        <v>0</v>
      </c>
      <c r="P122" s="1362"/>
      <c r="Q122" s="930">
        <v>117</v>
      </c>
      <c r="R122" s="930">
        <v>5901.7499999999973</v>
      </c>
      <c r="S122" s="933">
        <v>119.40970305555756</v>
      </c>
      <c r="X122" t="s">
        <v>17</v>
      </c>
      <c r="Y122">
        <v>0.96899332215478029</v>
      </c>
      <c r="Z122"/>
      <c r="AA122"/>
      <c r="AB122"/>
      <c r="AC122"/>
      <c r="AD122"/>
      <c r="AE122"/>
      <c r="AF122"/>
    </row>
    <row r="123" spans="1:32" ht="14.25" customHeight="1">
      <c r="A123" s="864">
        <f t="shared" si="5"/>
        <v>2020</v>
      </c>
      <c r="B123" s="62">
        <f t="shared" si="6"/>
        <v>44135</v>
      </c>
      <c r="C123" s="69">
        <f>'Purchased Power Model No CDM'!C123</f>
        <v>8195562</v>
      </c>
      <c r="D123" s="69">
        <f>'Purchased Power Model No CDM'!D123</f>
        <v>4414.1499999999996</v>
      </c>
      <c r="E123" s="860"/>
      <c r="F123" s="72"/>
      <c r="G123" s="73"/>
      <c r="H123" s="71">
        <f t="shared" si="7"/>
        <v>8199976.1500000004</v>
      </c>
      <c r="I123" s="259"/>
      <c r="J123" s="150">
        <f>'Purchased Power Model No CDM'!J123</f>
        <v>327.40000000000003</v>
      </c>
      <c r="K123" s="857">
        <f>'Purchased Power Model No CDM'!K123</f>
        <v>0</v>
      </c>
      <c r="L123" s="322">
        <f>'Purchased Power Model No CDM'!L123</f>
        <v>31</v>
      </c>
      <c r="M123" s="150">
        <f>'Purchased Power Model No CDM'!M123</f>
        <v>0</v>
      </c>
      <c r="N123" s="322">
        <f>'Purchased Power Model No CDM'!N123</f>
        <v>21</v>
      </c>
      <c r="O123" s="857">
        <f>'Purchased Power Model No CDM'!P123</f>
        <v>0</v>
      </c>
      <c r="P123" s="1362"/>
      <c r="Q123" s="930">
        <v>118</v>
      </c>
      <c r="R123" s="930">
        <v>5900.8333333333303</v>
      </c>
      <c r="S123" s="933">
        <v>118.82712586751727</v>
      </c>
      <c r="X123" t="s">
        <v>18</v>
      </c>
      <c r="Y123">
        <v>204916.68511543213</v>
      </c>
      <c r="Z123"/>
      <c r="AA123"/>
      <c r="AB123"/>
      <c r="AC123"/>
      <c r="AD123"/>
      <c r="AE123"/>
      <c r="AF123"/>
    </row>
    <row r="124" spans="1:32" ht="13.8" thickBot="1">
      <c r="A124" s="864">
        <f t="shared" si="5"/>
        <v>2020</v>
      </c>
      <c r="B124" s="62">
        <f t="shared" si="6"/>
        <v>44165</v>
      </c>
      <c r="C124" s="69">
        <f>'Purchased Power Model No CDM'!C124</f>
        <v>8711856.7599999998</v>
      </c>
      <c r="D124" s="69">
        <f>'Purchased Power Model No CDM'!D124</f>
        <v>3033.13</v>
      </c>
      <c r="E124" s="860"/>
      <c r="F124" s="72"/>
      <c r="G124" s="73"/>
      <c r="H124" s="71">
        <f t="shared" si="7"/>
        <v>8714889.8900000006</v>
      </c>
      <c r="I124" s="259"/>
      <c r="J124" s="150">
        <f>'Purchased Power Model No CDM'!J124</f>
        <v>429.89999999999992</v>
      </c>
      <c r="K124" s="857">
        <f>'Purchased Power Model No CDM'!K124</f>
        <v>0</v>
      </c>
      <c r="L124" s="322">
        <f>'Purchased Power Model No CDM'!L124</f>
        <v>30</v>
      </c>
      <c r="M124" s="150">
        <f>'Purchased Power Model No CDM'!M124</f>
        <v>0</v>
      </c>
      <c r="N124" s="322">
        <f>'Purchased Power Model No CDM'!N124</f>
        <v>21</v>
      </c>
      <c r="O124" s="857">
        <f>'Purchased Power Model No CDM'!P124</f>
        <v>0</v>
      </c>
      <c r="P124" s="1362"/>
      <c r="Q124" s="930">
        <v>119</v>
      </c>
      <c r="R124" s="930">
        <v>5899.9166666666633</v>
      </c>
      <c r="S124" s="933">
        <v>118.24739096256906</v>
      </c>
      <c r="X124" s="1692" t="s">
        <v>19</v>
      </c>
      <c r="Y124" s="1692">
        <v>120</v>
      </c>
      <c r="Z124"/>
      <c r="AA124"/>
      <c r="AB124"/>
      <c r="AC124"/>
      <c r="AD124"/>
      <c r="AE124"/>
      <c r="AF124"/>
    </row>
    <row r="125" spans="1:32">
      <c r="A125" s="866">
        <f t="shared" si="5"/>
        <v>2020</v>
      </c>
      <c r="B125" s="694">
        <f t="shared" si="6"/>
        <v>44196</v>
      </c>
      <c r="C125" s="862">
        <f>'Purchased Power Model No CDM'!C125</f>
        <v>10055027.689999999</v>
      </c>
      <c r="D125" s="862">
        <f>'Purchased Power Model No CDM'!D125</f>
        <v>1633</v>
      </c>
      <c r="E125" s="862"/>
      <c r="F125" s="954"/>
      <c r="G125" s="696"/>
      <c r="H125" s="695">
        <f t="shared" si="7"/>
        <v>10056660.689999999</v>
      </c>
      <c r="I125" s="697"/>
      <c r="J125" s="855">
        <f>'Purchased Power Model No CDM'!J125</f>
        <v>673.1</v>
      </c>
      <c r="K125" s="851">
        <f>'Purchased Power Model No CDM'!K125</f>
        <v>0</v>
      </c>
      <c r="L125" s="699">
        <f>'Purchased Power Model No CDM'!L125</f>
        <v>31</v>
      </c>
      <c r="M125" s="698">
        <f>'Purchased Power Model No CDM'!M125</f>
        <v>1</v>
      </c>
      <c r="N125" s="699">
        <f>'Purchased Power Model No CDM'!N125</f>
        <v>21</v>
      </c>
      <c r="O125" s="1359">
        <f>'Purchased Power Model No CDM'!P125</f>
        <v>0</v>
      </c>
      <c r="P125" s="1362"/>
      <c r="Q125" s="932">
        <v>120</v>
      </c>
      <c r="R125" s="932">
        <v>5899</v>
      </c>
      <c r="S125" s="935">
        <v>117.67048447375531</v>
      </c>
      <c r="X125"/>
      <c r="Y125"/>
      <c r="Z125"/>
      <c r="AA125"/>
      <c r="AB125"/>
      <c r="AC125"/>
      <c r="AD125"/>
      <c r="AE125"/>
      <c r="AF125"/>
    </row>
    <row r="126" spans="1:32" ht="13.8" thickBot="1">
      <c r="A126" s="864">
        <f t="shared" si="5"/>
        <v>2021</v>
      </c>
      <c r="B126" s="62">
        <f t="shared" si="6"/>
        <v>44227</v>
      </c>
      <c r="C126" s="69"/>
      <c r="D126" s="843"/>
      <c r="E126" s="860"/>
      <c r="F126" s="72"/>
      <c r="G126" s="73"/>
      <c r="H126" s="71">
        <f t="shared" si="7"/>
        <v>0</v>
      </c>
      <c r="I126" s="259"/>
      <c r="J126" s="345">
        <f>'Purchased Power Model No CDM'!J126</f>
        <v>785.7</v>
      </c>
      <c r="K126" s="857">
        <f>'Purchased Power Model No CDM'!K126</f>
        <v>0</v>
      </c>
      <c r="L126" s="322">
        <f>'Purchased Power Model No CDM'!L126</f>
        <v>31</v>
      </c>
      <c r="M126" s="150">
        <f>'Purchased Power Model No CDM'!M126</f>
        <v>1</v>
      </c>
      <c r="N126" s="322">
        <f>'Purchased Power Model No CDM'!N126</f>
        <v>20</v>
      </c>
      <c r="O126" s="857">
        <f>'Purchased Power Model No CDM'!P126</f>
        <v>0</v>
      </c>
      <c r="P126" s="1362"/>
      <c r="Q126" s="930">
        <v>121</v>
      </c>
      <c r="R126" s="930"/>
      <c r="S126" s="933"/>
      <c r="W126" s="264"/>
      <c r="X126" t="s">
        <v>20</v>
      </c>
      <c r="Y126"/>
      <c r="Z126"/>
      <c r="AA126"/>
      <c r="AB126"/>
      <c r="AC126"/>
      <c r="AD126"/>
      <c r="AE126"/>
      <c r="AF126"/>
    </row>
    <row r="127" spans="1:32">
      <c r="A127" s="864">
        <f t="shared" si="5"/>
        <v>2021</v>
      </c>
      <c r="B127" s="62">
        <f t="shared" si="6"/>
        <v>44255</v>
      </c>
      <c r="C127" s="69"/>
      <c r="D127" s="843"/>
      <c r="E127" s="860"/>
      <c r="F127" s="72"/>
      <c r="G127" s="73"/>
      <c r="H127" s="71">
        <f t="shared" si="7"/>
        <v>0</v>
      </c>
      <c r="I127" s="259"/>
      <c r="J127" s="345">
        <f>'Purchased Power Model No CDM'!J127</f>
        <v>742.8</v>
      </c>
      <c r="K127" s="857">
        <f>'Purchased Power Model No CDM'!K127</f>
        <v>0</v>
      </c>
      <c r="L127" s="322">
        <f>'Purchased Power Model No CDM'!L127</f>
        <v>28</v>
      </c>
      <c r="M127" s="150">
        <f>'Purchased Power Model No CDM'!M127</f>
        <v>1</v>
      </c>
      <c r="N127" s="322">
        <f>'Purchased Power Model No CDM'!N127</f>
        <v>19</v>
      </c>
      <c r="O127" s="857">
        <f>'Purchased Power Model No CDM'!P127</f>
        <v>0</v>
      </c>
      <c r="P127" s="1362"/>
      <c r="Q127" s="930">
        <v>122</v>
      </c>
      <c r="R127" s="930"/>
      <c r="S127" s="933"/>
      <c r="W127" s="264"/>
      <c r="X127" s="1693"/>
      <c r="Y127" s="1693" t="s">
        <v>24</v>
      </c>
      <c r="Z127" s="1693" t="s">
        <v>25</v>
      </c>
      <c r="AA127" s="1693" t="s">
        <v>26</v>
      </c>
      <c r="AB127" s="1693" t="s">
        <v>27</v>
      </c>
      <c r="AC127" s="1693" t="s">
        <v>28</v>
      </c>
      <c r="AD127"/>
      <c r="AE127"/>
      <c r="AF127"/>
    </row>
    <row r="128" spans="1:32">
      <c r="A128" s="864">
        <f t="shared" si="5"/>
        <v>2021</v>
      </c>
      <c r="B128" s="62">
        <f t="shared" si="6"/>
        <v>44286</v>
      </c>
      <c r="C128" s="69"/>
      <c r="D128" s="843"/>
      <c r="E128" s="860"/>
      <c r="F128" s="72"/>
      <c r="G128" s="73"/>
      <c r="H128" s="71">
        <f t="shared" si="7"/>
        <v>0</v>
      </c>
      <c r="I128" s="259"/>
      <c r="J128" s="345">
        <f>'Purchased Power Model No CDM'!J128</f>
        <v>577.30000000000018</v>
      </c>
      <c r="K128" s="857">
        <f>'Purchased Power Model No CDM'!K128</f>
        <v>0</v>
      </c>
      <c r="L128" s="322">
        <f>'Purchased Power Model No CDM'!L128</f>
        <v>31</v>
      </c>
      <c r="M128" s="150">
        <f>'Purchased Power Model No CDM'!M128</f>
        <v>1</v>
      </c>
      <c r="N128" s="322">
        <f>'Purchased Power Model No CDM'!N128</f>
        <v>23</v>
      </c>
      <c r="O128" s="857">
        <f>'Purchased Power Model No CDM'!P128</f>
        <v>0</v>
      </c>
      <c r="P128" s="1362"/>
      <c r="Q128" s="930">
        <v>123</v>
      </c>
      <c r="R128" s="930"/>
      <c r="S128" s="933"/>
      <c r="W128" s="264"/>
      <c r="X128" t="s">
        <v>21</v>
      </c>
      <c r="Y128">
        <v>8</v>
      </c>
      <c r="Z128">
        <v>156494974543350.66</v>
      </c>
      <c r="AA128">
        <v>19561871817918.832</v>
      </c>
      <c r="AB128">
        <v>465.86036778927229</v>
      </c>
      <c r="AC128">
        <v>1.1521382281580496E-81</v>
      </c>
      <c r="AD128"/>
      <c r="AE128"/>
      <c r="AF128"/>
    </row>
    <row r="129" spans="1:32">
      <c r="A129" s="864">
        <f t="shared" si="5"/>
        <v>2021</v>
      </c>
      <c r="B129" s="62">
        <f t="shared" si="6"/>
        <v>44316</v>
      </c>
      <c r="C129" s="69"/>
      <c r="D129" s="843"/>
      <c r="E129" s="860"/>
      <c r="F129" s="72"/>
      <c r="G129" s="73"/>
      <c r="H129" s="71">
        <f t="shared" si="7"/>
        <v>0</v>
      </c>
      <c r="I129" s="259"/>
      <c r="J129" s="345">
        <f>'Purchased Power Model No CDM'!J129</f>
        <v>295.30000000000007</v>
      </c>
      <c r="K129" s="857">
        <f>'Purchased Power Model No CDM'!K129</f>
        <v>0</v>
      </c>
      <c r="L129" s="322">
        <f>'Purchased Power Model No CDM'!L129</f>
        <v>30</v>
      </c>
      <c r="M129" s="150">
        <f>'Purchased Power Model No CDM'!M129</f>
        <v>0</v>
      </c>
      <c r="N129" s="322">
        <f>'Purchased Power Model No CDM'!N129</f>
        <v>20</v>
      </c>
      <c r="O129" s="857">
        <f>'Purchased Power Model No CDM'!P129</f>
        <v>0</v>
      </c>
      <c r="P129" s="1362"/>
      <c r="Q129" s="930">
        <v>124</v>
      </c>
      <c r="R129" s="930"/>
      <c r="S129" s="933"/>
      <c r="W129" s="264"/>
      <c r="X129" t="s">
        <v>22</v>
      </c>
      <c r="Y129">
        <v>111</v>
      </c>
      <c r="Z129">
        <v>4660984110095.3857</v>
      </c>
      <c r="AA129">
        <v>41990847838.697166</v>
      </c>
      <c r="AB129"/>
      <c r="AC129"/>
      <c r="AD129"/>
      <c r="AE129"/>
      <c r="AF129"/>
    </row>
    <row r="130" spans="1:32" ht="13.8" thickBot="1">
      <c r="A130" s="864">
        <f t="shared" si="5"/>
        <v>2021</v>
      </c>
      <c r="B130" s="62">
        <f t="shared" si="6"/>
        <v>44347</v>
      </c>
      <c r="C130" s="69"/>
      <c r="D130" s="843"/>
      <c r="E130" s="860"/>
      <c r="F130" s="72"/>
      <c r="G130" s="73"/>
      <c r="H130" s="71">
        <f t="shared" si="7"/>
        <v>0</v>
      </c>
      <c r="I130" s="259"/>
      <c r="J130" s="345">
        <f>'Purchased Power Model No CDM'!J130</f>
        <v>173.9</v>
      </c>
      <c r="K130" s="857">
        <f>'Purchased Power Model No CDM'!K130</f>
        <v>24.4</v>
      </c>
      <c r="L130" s="322">
        <f>'Purchased Power Model No CDM'!L130</f>
        <v>31</v>
      </c>
      <c r="M130" s="150">
        <f>'Purchased Power Model No CDM'!M130</f>
        <v>0</v>
      </c>
      <c r="N130" s="322">
        <f>'Purchased Power Model No CDM'!N130</f>
        <v>20</v>
      </c>
      <c r="O130" s="857">
        <f>'Purchased Power Model No CDM'!P130</f>
        <v>0</v>
      </c>
      <c r="P130" s="1362"/>
      <c r="Q130" s="930">
        <v>125</v>
      </c>
      <c r="R130" s="930"/>
      <c r="S130" s="933"/>
      <c r="W130" s="264"/>
      <c r="X130" s="1692" t="s">
        <v>5</v>
      </c>
      <c r="Y130" s="1692">
        <v>119</v>
      </c>
      <c r="Z130" s="1692">
        <v>161155958653446.03</v>
      </c>
      <c r="AA130" s="1692"/>
      <c r="AB130" s="1692"/>
      <c r="AC130" s="1692"/>
      <c r="AD130"/>
      <c r="AE130"/>
      <c r="AF130"/>
    </row>
    <row r="131" spans="1:32" ht="13.8" thickBot="1">
      <c r="A131" s="864">
        <f t="shared" si="5"/>
        <v>2021</v>
      </c>
      <c r="B131" s="62">
        <f t="shared" si="6"/>
        <v>44377</v>
      </c>
      <c r="C131" s="69"/>
      <c r="D131" s="843"/>
      <c r="E131" s="860"/>
      <c r="F131" s="72"/>
      <c r="G131" s="73"/>
      <c r="H131" s="71">
        <f t="shared" si="7"/>
        <v>0</v>
      </c>
      <c r="I131" s="259"/>
      <c r="J131" s="345">
        <f>'Purchased Power Model No CDM'!J131</f>
        <v>13.8</v>
      </c>
      <c r="K131" s="857">
        <f>'Purchased Power Model No CDM'!K131</f>
        <v>89.8</v>
      </c>
      <c r="L131" s="322">
        <f>'Purchased Power Model No CDM'!L131</f>
        <v>30</v>
      </c>
      <c r="M131" s="150">
        <f>'Purchased Power Model No CDM'!M131</f>
        <v>1</v>
      </c>
      <c r="N131" s="322">
        <f>'Purchased Power Model No CDM'!N131</f>
        <v>22</v>
      </c>
      <c r="O131" s="857">
        <f>'Purchased Power Model No CDM'!P131</f>
        <v>0</v>
      </c>
      <c r="P131" s="1362"/>
      <c r="Q131" s="930">
        <v>126</v>
      </c>
      <c r="R131" s="930"/>
      <c r="S131" s="933"/>
      <c r="W131" s="264"/>
      <c r="X131"/>
      <c r="Y131"/>
      <c r="Z131"/>
      <c r="AA131"/>
      <c r="AB131"/>
      <c r="AC131"/>
      <c r="AD131"/>
      <c r="AE131"/>
      <c r="AF131"/>
    </row>
    <row r="132" spans="1:32">
      <c r="A132" s="864">
        <f t="shared" si="5"/>
        <v>2021</v>
      </c>
      <c r="B132" s="62">
        <f t="shared" si="6"/>
        <v>44408</v>
      </c>
      <c r="C132" s="88"/>
      <c r="D132" s="843"/>
      <c r="E132" s="860"/>
      <c r="F132" s="72"/>
      <c r="G132" s="73"/>
      <c r="H132" s="71">
        <f t="shared" si="7"/>
        <v>0</v>
      </c>
      <c r="I132" s="259"/>
      <c r="J132" s="345">
        <f>'Purchased Power Model No CDM'!J132</f>
        <v>16.099999999999998</v>
      </c>
      <c r="K132" s="857">
        <f>'Purchased Power Model No CDM'!K132</f>
        <v>67.5</v>
      </c>
      <c r="L132" s="322">
        <f>'Purchased Power Model No CDM'!L132</f>
        <v>31</v>
      </c>
      <c r="M132" s="150">
        <f>'Purchased Power Model No CDM'!M132</f>
        <v>1</v>
      </c>
      <c r="N132" s="322">
        <f>'Purchased Power Model No CDM'!N132</f>
        <v>21</v>
      </c>
      <c r="O132" s="857">
        <f>'Purchased Power Model No CDM'!P132</f>
        <v>0</v>
      </c>
      <c r="P132" s="1362"/>
      <c r="Q132" s="930">
        <v>127</v>
      </c>
      <c r="R132" s="930"/>
      <c r="S132" s="933"/>
      <c r="W132" s="264"/>
      <c r="X132" s="1693"/>
      <c r="Y132" s="1693" t="s">
        <v>29</v>
      </c>
      <c r="Z132" s="1693" t="s">
        <v>18</v>
      </c>
      <c r="AA132" s="1693" t="s">
        <v>30</v>
      </c>
      <c r="AB132" s="1693" t="s">
        <v>31</v>
      </c>
      <c r="AC132" s="1693" t="s">
        <v>32</v>
      </c>
      <c r="AD132" s="1693" t="s">
        <v>33</v>
      </c>
      <c r="AE132" s="1693" t="s">
        <v>115</v>
      </c>
      <c r="AF132" s="1693" t="s">
        <v>116</v>
      </c>
    </row>
    <row r="133" spans="1:32">
      <c r="A133" s="864">
        <f t="shared" si="5"/>
        <v>2021</v>
      </c>
      <c r="B133" s="62">
        <f t="shared" si="6"/>
        <v>44439</v>
      </c>
      <c r="C133" s="88"/>
      <c r="D133" s="843"/>
      <c r="E133" s="860"/>
      <c r="F133" s="72"/>
      <c r="G133" s="73"/>
      <c r="H133" s="71">
        <f t="shared" si="7"/>
        <v>0</v>
      </c>
      <c r="I133" s="259"/>
      <c r="J133" s="345">
        <f>'Purchased Power Model No CDM'!J133</f>
        <v>4.4000000000000004</v>
      </c>
      <c r="K133" s="857">
        <f>'Purchased Power Model No CDM'!K133</f>
        <v>135.99999999999997</v>
      </c>
      <c r="L133" s="322">
        <f>'Purchased Power Model No CDM'!L133</f>
        <v>31</v>
      </c>
      <c r="M133" s="150">
        <f>'Purchased Power Model No CDM'!M133</f>
        <v>1</v>
      </c>
      <c r="N133" s="322">
        <f>'Purchased Power Model No CDM'!N133</f>
        <v>21</v>
      </c>
      <c r="O133" s="1358">
        <f>'Purchased Power Model No CDM'!P133</f>
        <v>1</v>
      </c>
      <c r="P133" s="1363"/>
      <c r="Q133" s="930">
        <v>128</v>
      </c>
      <c r="R133" s="930"/>
      <c r="S133" s="933"/>
      <c r="W133" s="264"/>
      <c r="X133" t="s">
        <v>23</v>
      </c>
      <c r="Y133">
        <v>6259288.7041249927</v>
      </c>
      <c r="Z133">
        <v>1440946.7200916344</v>
      </c>
      <c r="AA133">
        <v>4.343872411692602</v>
      </c>
      <c r="AB133">
        <v>3.1098641590375364E-5</v>
      </c>
      <c r="AC133">
        <v>3403956.5848752977</v>
      </c>
      <c r="AD133">
        <v>9114620.8233746886</v>
      </c>
      <c r="AE133">
        <v>3403956.5848752977</v>
      </c>
      <c r="AF133">
        <v>9114620.8233746886</v>
      </c>
    </row>
    <row r="134" spans="1:32">
      <c r="A134" s="864">
        <f t="shared" si="5"/>
        <v>2021</v>
      </c>
      <c r="B134" s="62">
        <f t="shared" si="6"/>
        <v>44469</v>
      </c>
      <c r="C134" s="88"/>
      <c r="D134" s="843"/>
      <c r="E134" s="860"/>
      <c r="F134" s="72"/>
      <c r="G134" s="73"/>
      <c r="H134" s="71">
        <f t="shared" si="7"/>
        <v>0</v>
      </c>
      <c r="I134" s="259"/>
      <c r="J134" s="345">
        <f>'Purchased Power Model No CDM'!J134</f>
        <v>69.5</v>
      </c>
      <c r="K134" s="857">
        <f>'Purchased Power Model No CDM'!K134</f>
        <v>4.7</v>
      </c>
      <c r="L134" s="322">
        <f>'Purchased Power Model No CDM'!L134</f>
        <v>30</v>
      </c>
      <c r="M134" s="150">
        <f>'Purchased Power Model No CDM'!M134</f>
        <v>1</v>
      </c>
      <c r="N134" s="322">
        <f>'Purchased Power Model No CDM'!N134</f>
        <v>21</v>
      </c>
      <c r="O134" s="857">
        <f>'Purchased Power Model No CDM'!P134</f>
        <v>0</v>
      </c>
      <c r="P134" s="1362"/>
      <c r="Q134" s="930">
        <v>129</v>
      </c>
      <c r="R134" s="930"/>
      <c r="S134" s="933"/>
      <c r="W134" s="264"/>
      <c r="X134" t="s">
        <v>121</v>
      </c>
      <c r="Y134">
        <v>4466.4139625734206</v>
      </c>
      <c r="Z134">
        <v>94.871274401673006</v>
      </c>
      <c r="AA134">
        <v>47.078675718671043</v>
      </c>
      <c r="AB134">
        <v>3.48967584606624E-75</v>
      </c>
      <c r="AC134">
        <v>4278.4201990177344</v>
      </c>
      <c r="AD134">
        <v>4654.4077261291068</v>
      </c>
      <c r="AE134">
        <v>4278.4201990177344</v>
      </c>
      <c r="AF134">
        <v>4654.4077261291068</v>
      </c>
    </row>
    <row r="135" spans="1:32">
      <c r="A135" s="864">
        <f t="shared" ref="A135:A149" si="8">YEAR(B135)</f>
        <v>2021</v>
      </c>
      <c r="B135" s="62">
        <f t="shared" si="6"/>
        <v>44500</v>
      </c>
      <c r="C135" s="88"/>
      <c r="D135" s="843"/>
      <c r="E135" s="860"/>
      <c r="F135" s="72"/>
      <c r="G135" s="73"/>
      <c r="H135" s="71">
        <f t="shared" si="7"/>
        <v>0</v>
      </c>
      <c r="I135" s="259"/>
      <c r="J135" s="345">
        <f>'Purchased Power Model No CDM'!J135</f>
        <v>201.5</v>
      </c>
      <c r="K135" s="857">
        <f>'Purchased Power Model No CDM'!K135</f>
        <v>0.7</v>
      </c>
      <c r="L135" s="322">
        <f>'Purchased Power Model No CDM'!L135</f>
        <v>31</v>
      </c>
      <c r="M135" s="150">
        <f>'Purchased Power Model No CDM'!M135</f>
        <v>0</v>
      </c>
      <c r="N135" s="322">
        <f>'Purchased Power Model No CDM'!N135</f>
        <v>20</v>
      </c>
      <c r="O135" s="857">
        <f>'Purchased Power Model No CDM'!P135</f>
        <v>0</v>
      </c>
      <c r="P135" s="1362"/>
      <c r="Q135" s="930">
        <v>130</v>
      </c>
      <c r="R135" s="930"/>
      <c r="S135" s="933"/>
      <c r="W135" s="264"/>
      <c r="X135" t="s">
        <v>122</v>
      </c>
      <c r="Y135">
        <v>15780.167088715856</v>
      </c>
      <c r="Z135">
        <v>772.6668128037926</v>
      </c>
      <c r="AA135">
        <v>20.42299064386372</v>
      </c>
      <c r="AB135">
        <v>2.1541005759814895E-39</v>
      </c>
      <c r="AC135">
        <v>14249.076218168846</v>
      </c>
      <c r="AD135">
        <v>17311.257959262868</v>
      </c>
      <c r="AE135">
        <v>14249.076218168846</v>
      </c>
      <c r="AF135">
        <v>17311.257959262868</v>
      </c>
    </row>
    <row r="136" spans="1:32">
      <c r="A136" s="864">
        <f t="shared" si="8"/>
        <v>2021</v>
      </c>
      <c r="B136" s="62">
        <f t="shared" si="6"/>
        <v>44530</v>
      </c>
      <c r="C136" s="88"/>
      <c r="D136" s="843"/>
      <c r="E136" s="860"/>
      <c r="F136" s="72"/>
      <c r="G136" s="73"/>
      <c r="H136" s="71">
        <f t="shared" si="7"/>
        <v>0</v>
      </c>
      <c r="I136" s="259"/>
      <c r="J136" s="345">
        <f>'Purchased Power Model No CDM'!J136</f>
        <v>509.3</v>
      </c>
      <c r="K136" s="857">
        <f>'Purchased Power Model No CDM'!K136</f>
        <v>0</v>
      </c>
      <c r="L136" s="322">
        <f>'Purchased Power Model No CDM'!L136</f>
        <v>30</v>
      </c>
      <c r="M136" s="150">
        <f>'Purchased Power Model No CDM'!M136</f>
        <v>0</v>
      </c>
      <c r="N136" s="322">
        <f>'Purchased Power Model No CDM'!N136</f>
        <v>22</v>
      </c>
      <c r="O136" s="857">
        <f>'Purchased Power Model No CDM'!P136</f>
        <v>0</v>
      </c>
      <c r="P136" s="1362"/>
      <c r="Q136" s="930">
        <v>131</v>
      </c>
      <c r="R136" s="930"/>
      <c r="S136" s="933"/>
      <c r="W136" s="264"/>
      <c r="X136" t="s">
        <v>3</v>
      </c>
      <c r="Y136">
        <v>150691.14893181901</v>
      </c>
      <c r="Z136">
        <v>27243.89469550403</v>
      </c>
      <c r="AA136">
        <v>5.5311896707884092</v>
      </c>
      <c r="AB136">
        <v>2.1401484583873342E-7</v>
      </c>
      <c r="AC136">
        <v>96705.552869959007</v>
      </c>
      <c r="AD136">
        <v>204676.74499367902</v>
      </c>
      <c r="AE136">
        <v>96705.552869959007</v>
      </c>
      <c r="AF136">
        <v>204676.74499367902</v>
      </c>
    </row>
    <row r="137" spans="1:32">
      <c r="A137" s="865">
        <f t="shared" si="8"/>
        <v>2021</v>
      </c>
      <c r="B137" s="151">
        <f t="shared" si="6"/>
        <v>44561</v>
      </c>
      <c r="C137" s="76"/>
      <c r="D137" s="853"/>
      <c r="E137" s="853"/>
      <c r="F137" s="82"/>
      <c r="G137" s="83"/>
      <c r="H137" s="76">
        <f t="shared" si="7"/>
        <v>0</v>
      </c>
      <c r="I137" s="260"/>
      <c r="J137" s="856">
        <f>'Purchased Power Model No CDM'!J137</f>
        <v>692.7</v>
      </c>
      <c r="K137" s="839">
        <f>'Purchased Power Model No CDM'!K137</f>
        <v>0</v>
      </c>
      <c r="L137" s="323">
        <f>'Purchased Power Model No CDM'!L137</f>
        <v>31</v>
      </c>
      <c r="M137" s="104">
        <f>'Purchased Power Model No CDM'!M137</f>
        <v>1</v>
      </c>
      <c r="N137" s="323">
        <f>'Purchased Power Model No CDM'!N137</f>
        <v>21</v>
      </c>
      <c r="O137" s="871">
        <f>'Purchased Power Model No CDM'!P137</f>
        <v>0</v>
      </c>
      <c r="P137" s="1362"/>
      <c r="Q137" s="931">
        <v>132</v>
      </c>
      <c r="R137" s="931"/>
      <c r="S137" s="934"/>
      <c r="W137" s="264"/>
      <c r="X137" t="s">
        <v>412</v>
      </c>
      <c r="Y137">
        <v>344679.38609669422</v>
      </c>
      <c r="Z137">
        <v>49361.283397311206</v>
      </c>
      <c r="AA137">
        <v>6.9827881767650615</v>
      </c>
      <c r="AB137">
        <v>2.2423317690903169E-10</v>
      </c>
      <c r="AC137">
        <v>246866.7078300291</v>
      </c>
      <c r="AD137">
        <v>442492.06436335936</v>
      </c>
      <c r="AE137">
        <v>246866.7078300291</v>
      </c>
      <c r="AF137">
        <v>442492.06436335936</v>
      </c>
    </row>
    <row r="138" spans="1:32">
      <c r="A138" s="864">
        <f t="shared" si="8"/>
        <v>2022</v>
      </c>
      <c r="B138" s="62">
        <f t="shared" si="6"/>
        <v>44592</v>
      </c>
      <c r="C138" s="69"/>
      <c r="D138" s="72"/>
      <c r="E138" s="860"/>
      <c r="F138" s="72"/>
      <c r="G138" s="321"/>
      <c r="H138" s="71">
        <f t="shared" si="7"/>
        <v>0</v>
      </c>
      <c r="J138" s="345">
        <f>'Purchased Power Model No CDM'!J138</f>
        <v>849.19090909090926</v>
      </c>
      <c r="K138" s="857">
        <f>'Purchased Power Model No CDM'!K138</f>
        <v>0</v>
      </c>
      <c r="L138" s="322">
        <f>'Purchased Power Model No CDM'!L138</f>
        <v>31</v>
      </c>
      <c r="M138" s="150">
        <f>'Purchased Power Model No CDM'!M138</f>
        <v>1</v>
      </c>
      <c r="N138" s="322">
        <f>'Purchased Power Model No CDM'!N138</f>
        <v>20</v>
      </c>
      <c r="O138" s="857">
        <f>'Purchased Power Model No CDM'!P138</f>
        <v>0</v>
      </c>
      <c r="P138" s="1362"/>
      <c r="Q138" s="930">
        <v>133</v>
      </c>
      <c r="R138" s="930"/>
      <c r="S138" s="933"/>
      <c r="U138" s="789"/>
      <c r="W138" s="264"/>
      <c r="X138" t="s">
        <v>422</v>
      </c>
      <c r="Y138">
        <v>55531.746521135945</v>
      </c>
      <c r="Z138">
        <v>19927.631284030187</v>
      </c>
      <c r="AA138">
        <v>2.786670715131033</v>
      </c>
      <c r="AB138">
        <v>6.2652246596038704E-3</v>
      </c>
      <c r="AC138">
        <v>16043.814821455904</v>
      </c>
      <c r="AD138">
        <v>95019.678220815986</v>
      </c>
      <c r="AE138">
        <v>16043.814821455904</v>
      </c>
      <c r="AF138">
        <v>95019.678220815986</v>
      </c>
    </row>
    <row r="139" spans="1:32">
      <c r="A139" s="864">
        <f t="shared" si="8"/>
        <v>2022</v>
      </c>
      <c r="B139" s="62">
        <f t="shared" si="6"/>
        <v>44620</v>
      </c>
      <c r="C139" s="69"/>
      <c r="D139" s="72"/>
      <c r="E139" s="860"/>
      <c r="F139" s="72"/>
      <c r="G139" s="89"/>
      <c r="H139" s="71">
        <f t="shared" si="7"/>
        <v>0</v>
      </c>
      <c r="I139" s="257"/>
      <c r="J139" s="345">
        <f>'Purchased Power Model No CDM'!J139</f>
        <v>743.30909090909097</v>
      </c>
      <c r="K139" s="857">
        <f>'Purchased Power Model No CDM'!K139</f>
        <v>0</v>
      </c>
      <c r="L139" s="322">
        <f>'Purchased Power Model No CDM'!L139</f>
        <v>28</v>
      </c>
      <c r="M139" s="150">
        <f>'Purchased Power Model No CDM'!M139</f>
        <v>1</v>
      </c>
      <c r="N139" s="322">
        <f>'Purchased Power Model No CDM'!N139</f>
        <v>19</v>
      </c>
      <c r="O139" s="857">
        <f>'Purchased Power Model No CDM'!P139</f>
        <v>0</v>
      </c>
      <c r="P139" s="1362"/>
      <c r="Q139" s="930">
        <v>134</v>
      </c>
      <c r="R139" s="930"/>
      <c r="S139" s="933"/>
      <c r="U139" s="789"/>
      <c r="W139" s="264"/>
      <c r="X139" t="s">
        <v>400</v>
      </c>
      <c r="Y139">
        <v>429403.17352659797</v>
      </c>
      <c r="Z139">
        <v>76323.649249572671</v>
      </c>
      <c r="AA139">
        <v>5.6260828425863316</v>
      </c>
      <c r="AB139">
        <v>1.3980485731431125E-7</v>
      </c>
      <c r="AC139">
        <v>278162.76739500009</v>
      </c>
      <c r="AD139">
        <v>580643.57965819584</v>
      </c>
      <c r="AE139">
        <v>278162.76739500009</v>
      </c>
      <c r="AF139">
        <v>580643.57965819584</v>
      </c>
    </row>
    <row r="140" spans="1:32">
      <c r="A140" s="864">
        <f t="shared" si="8"/>
        <v>2022</v>
      </c>
      <c r="B140" s="62">
        <f t="shared" si="6"/>
        <v>44651</v>
      </c>
      <c r="C140" s="69"/>
      <c r="D140" s="72"/>
      <c r="E140" s="860"/>
      <c r="F140" s="72"/>
      <c r="G140" s="89"/>
      <c r="H140" s="71">
        <f t="shared" si="7"/>
        <v>0</v>
      </c>
      <c r="I140" s="257"/>
      <c r="J140" s="345">
        <f>'Purchased Power Model No CDM'!J140</f>
        <v>634.18181818181813</v>
      </c>
      <c r="K140" s="857">
        <f>'Purchased Power Model No CDM'!K140</f>
        <v>0</v>
      </c>
      <c r="L140" s="322">
        <f>'Purchased Power Model No CDM'!L140</f>
        <v>31</v>
      </c>
      <c r="M140" s="150">
        <f>'Purchased Power Model No CDM'!M140</f>
        <v>1</v>
      </c>
      <c r="N140" s="322">
        <f>'Purchased Power Model No CDM'!N140</f>
        <v>23</v>
      </c>
      <c r="O140" s="857">
        <f>'Purchased Power Model No CDM'!P140</f>
        <v>0</v>
      </c>
      <c r="P140" s="1362"/>
      <c r="Q140" s="930">
        <v>135</v>
      </c>
      <c r="R140" s="930"/>
      <c r="S140" s="933"/>
      <c r="U140" s="789"/>
      <c r="W140" s="264"/>
      <c r="X140" s="312" t="s">
        <v>366</v>
      </c>
      <c r="Y140" s="312">
        <v>-42681.518577406729</v>
      </c>
      <c r="Z140">
        <v>11861.139687541825</v>
      </c>
      <c r="AA140">
        <v>-3.5984331777355796</v>
      </c>
      <c r="AB140">
        <v>4.7970401790702961E-4</v>
      </c>
      <c r="AC140">
        <v>-66185.158683261383</v>
      </c>
      <c r="AD140">
        <v>-19177.878471552071</v>
      </c>
      <c r="AE140">
        <v>-66185.158683261383</v>
      </c>
      <c r="AF140">
        <v>-19177.878471552071</v>
      </c>
    </row>
    <row r="141" spans="1:32" ht="13.8" thickBot="1">
      <c r="A141" s="864">
        <f t="shared" si="8"/>
        <v>2022</v>
      </c>
      <c r="B141" s="62">
        <f t="shared" si="6"/>
        <v>44681</v>
      </c>
      <c r="C141" s="69"/>
      <c r="D141" s="72"/>
      <c r="E141" s="860"/>
      <c r="F141" s="72"/>
      <c r="G141" s="89"/>
      <c r="H141" s="71">
        <f t="shared" si="7"/>
        <v>0</v>
      </c>
      <c r="I141" s="261"/>
      <c r="J141" s="345">
        <f>'Purchased Power Model No CDM'!J141</f>
        <v>376.19090909090914</v>
      </c>
      <c r="K141" s="857">
        <f>'Purchased Power Model No CDM'!K141</f>
        <v>0.4</v>
      </c>
      <c r="L141" s="322">
        <f>'Purchased Power Model No CDM'!L141</f>
        <v>30</v>
      </c>
      <c r="M141" s="150">
        <f>'Purchased Power Model No CDM'!M141</f>
        <v>0</v>
      </c>
      <c r="N141" s="322">
        <f>'Purchased Power Model No CDM'!N141</f>
        <v>19</v>
      </c>
      <c r="O141" s="857">
        <f>'Purchased Power Model No CDM'!P141</f>
        <v>0</v>
      </c>
      <c r="P141" s="1362"/>
      <c r="Q141" s="930">
        <v>136</v>
      </c>
      <c r="R141" s="930"/>
      <c r="S141" s="933"/>
      <c r="U141" s="789"/>
      <c r="W141" s="264"/>
      <c r="X141" s="1692" t="s">
        <v>398</v>
      </c>
      <c r="Y141" s="1692">
        <v>-1385.3440592330887</v>
      </c>
      <c r="Z141" s="1692">
        <v>2261.0450321698004</v>
      </c>
      <c r="AA141" s="1692">
        <v>-0.61270078194933175</v>
      </c>
      <c r="AB141" s="1692">
        <v>0.54132745351324019</v>
      </c>
      <c r="AC141" s="1692">
        <v>-5865.7557312301151</v>
      </c>
      <c r="AD141" s="1692">
        <v>3095.0676127639372</v>
      </c>
      <c r="AE141" s="1692">
        <v>-5865.7557312301151</v>
      </c>
      <c r="AF141" s="1692">
        <v>3095.0676127639372</v>
      </c>
    </row>
    <row r="142" spans="1:32">
      <c r="A142" s="864">
        <f t="shared" si="8"/>
        <v>2022</v>
      </c>
      <c r="B142" s="62">
        <f t="shared" si="6"/>
        <v>44712</v>
      </c>
      <c r="C142" s="69"/>
      <c r="D142" s="72"/>
      <c r="E142" s="860"/>
      <c r="F142" s="72"/>
      <c r="G142" s="89"/>
      <c r="H142" s="71">
        <f t="shared" si="7"/>
        <v>0</v>
      </c>
      <c r="I142" s="257"/>
      <c r="J142" s="345">
        <f>'Purchased Power Model No CDM'!J142</f>
        <v>147.39545454545458</v>
      </c>
      <c r="K142" s="857">
        <f>'Purchased Power Model No CDM'!K142</f>
        <v>17.336363636363636</v>
      </c>
      <c r="L142" s="322">
        <f>'Purchased Power Model No CDM'!L142</f>
        <v>31</v>
      </c>
      <c r="M142" s="150">
        <f>'Purchased Power Model No CDM'!M142</f>
        <v>0</v>
      </c>
      <c r="N142" s="322">
        <f>'Purchased Power Model No CDM'!N142</f>
        <v>21</v>
      </c>
      <c r="O142" s="857">
        <f>'Purchased Power Model No CDM'!P142</f>
        <v>0</v>
      </c>
      <c r="P142" s="1362"/>
      <c r="Q142" s="930">
        <v>137</v>
      </c>
      <c r="R142" s="930"/>
      <c r="S142" s="933"/>
      <c r="U142" s="789"/>
      <c r="W142" s="264"/>
      <c r="X142" s="312" t="s">
        <v>607</v>
      </c>
      <c r="Y142"/>
      <c r="Z142"/>
      <c r="AA142"/>
      <c r="AB142"/>
      <c r="AC142"/>
      <c r="AD142"/>
      <c r="AE142"/>
      <c r="AF142"/>
    </row>
    <row r="143" spans="1:32">
      <c r="A143" s="864">
        <f t="shared" si="8"/>
        <v>2022</v>
      </c>
      <c r="B143" s="62">
        <f t="shared" si="6"/>
        <v>44742</v>
      </c>
      <c r="C143" s="69"/>
      <c r="D143" s="72"/>
      <c r="E143" s="860"/>
      <c r="F143" s="72"/>
      <c r="G143" s="89"/>
      <c r="H143" s="71">
        <f t="shared" si="7"/>
        <v>0</v>
      </c>
      <c r="I143" s="257"/>
      <c r="J143" s="345">
        <f>'Purchased Power Model No CDM'!J143</f>
        <v>37.681818181818187</v>
      </c>
      <c r="K143" s="857">
        <f>'Purchased Power Model No CDM'!K143</f>
        <v>51.772727272727273</v>
      </c>
      <c r="L143" s="322">
        <f>'Purchased Power Model No CDM'!L143</f>
        <v>30</v>
      </c>
      <c r="M143" s="150">
        <f>'Purchased Power Model No CDM'!M143</f>
        <v>1</v>
      </c>
      <c r="N143" s="322">
        <f>'Purchased Power Model No CDM'!N143</f>
        <v>22</v>
      </c>
      <c r="O143" s="857">
        <f>'Purchased Power Model No CDM'!P143</f>
        <v>0</v>
      </c>
      <c r="P143" s="1362"/>
      <c r="Q143" s="930">
        <v>138</v>
      </c>
      <c r="R143" s="930"/>
      <c r="S143" s="933"/>
      <c r="U143" s="789"/>
      <c r="W143" s="264"/>
      <c r="Y143"/>
      <c r="Z143"/>
      <c r="AA143"/>
      <c r="AB143"/>
      <c r="AC143"/>
      <c r="AD143"/>
      <c r="AE143"/>
      <c r="AF143"/>
    </row>
    <row r="144" spans="1:32">
      <c r="A144" s="864">
        <f t="shared" si="8"/>
        <v>2022</v>
      </c>
      <c r="B144" s="62">
        <f t="shared" si="6"/>
        <v>44773</v>
      </c>
      <c r="C144" s="88"/>
      <c r="D144" s="72"/>
      <c r="E144" s="860"/>
      <c r="F144" s="72"/>
      <c r="G144" s="89"/>
      <c r="H144" s="71">
        <f t="shared" si="7"/>
        <v>0</v>
      </c>
      <c r="I144" s="257"/>
      <c r="J144" s="345">
        <f>'Purchased Power Model No CDM'!J144</f>
        <v>4.5545454545454538</v>
      </c>
      <c r="K144" s="857">
        <f>'Purchased Power Model No CDM'!K144</f>
        <v>116.1</v>
      </c>
      <c r="L144" s="322">
        <f>'Purchased Power Model No CDM'!L144</f>
        <v>31</v>
      </c>
      <c r="M144" s="150">
        <f>'Purchased Power Model No CDM'!M144</f>
        <v>1</v>
      </c>
      <c r="N144" s="322">
        <f>'Purchased Power Model No CDM'!N144</f>
        <v>20</v>
      </c>
      <c r="O144" s="857">
        <f>'Purchased Power Model No CDM'!P144</f>
        <v>0</v>
      </c>
      <c r="P144" s="1362"/>
      <c r="Q144" s="930">
        <v>139</v>
      </c>
      <c r="R144" s="930"/>
      <c r="S144" s="933"/>
      <c r="U144" s="789"/>
      <c r="W144" s="264"/>
      <c r="Y144"/>
      <c r="Z144"/>
      <c r="AA144"/>
      <c r="AB144"/>
      <c r="AC144"/>
      <c r="AD144"/>
      <c r="AE144"/>
      <c r="AF144"/>
    </row>
    <row r="145" spans="1:32">
      <c r="A145" s="864">
        <f t="shared" si="8"/>
        <v>2022</v>
      </c>
      <c r="B145" s="62">
        <f t="shared" si="6"/>
        <v>44804</v>
      </c>
      <c r="C145" s="88"/>
      <c r="D145" s="72"/>
      <c r="E145" s="860"/>
      <c r="F145" s="72"/>
      <c r="G145" s="89"/>
      <c r="H145" s="71">
        <f t="shared" si="7"/>
        <v>0</v>
      </c>
      <c r="I145" s="257"/>
      <c r="J145" s="345">
        <f>'Purchased Power Model No CDM'!J145</f>
        <v>10.836363636363636</v>
      </c>
      <c r="K145" s="857">
        <f>'Purchased Power Model No CDM'!K145</f>
        <v>82.954545454545453</v>
      </c>
      <c r="L145" s="322">
        <f>'Purchased Power Model No CDM'!L145</f>
        <v>31</v>
      </c>
      <c r="M145" s="150">
        <f>'Purchased Power Model No CDM'!M145</f>
        <v>1</v>
      </c>
      <c r="N145" s="322">
        <f>'Purchased Power Model No CDM'!N145</f>
        <v>22</v>
      </c>
      <c r="O145" s="1358">
        <f>'Purchased Power Model No CDM'!P145</f>
        <v>1</v>
      </c>
      <c r="P145" s="1363"/>
      <c r="Q145" s="930">
        <v>140</v>
      </c>
      <c r="R145" s="930"/>
      <c r="S145" s="933"/>
      <c r="U145" s="789"/>
      <c r="W145" s="264"/>
      <c r="Y145"/>
      <c r="Z145"/>
      <c r="AA145"/>
      <c r="AB145"/>
      <c r="AC145"/>
      <c r="AD145"/>
      <c r="AE145"/>
      <c r="AF145"/>
    </row>
    <row r="146" spans="1:32">
      <c r="A146" s="864">
        <f t="shared" si="8"/>
        <v>2022</v>
      </c>
      <c r="B146" s="62">
        <f t="shared" si="6"/>
        <v>44834</v>
      </c>
      <c r="C146" s="88"/>
      <c r="D146" s="72"/>
      <c r="E146" s="860"/>
      <c r="F146" s="72"/>
      <c r="G146" s="89"/>
      <c r="H146" s="71">
        <f t="shared" si="7"/>
        <v>0</v>
      </c>
      <c r="I146" s="257"/>
      <c r="J146" s="345">
        <f>'Purchased Power Model No CDM'!J146</f>
        <v>93.481818181818198</v>
      </c>
      <c r="K146" s="857">
        <f>'Purchased Power Model No CDM'!K146</f>
        <v>25.536363636363639</v>
      </c>
      <c r="L146" s="322">
        <f>'Purchased Power Model No CDM'!L146</f>
        <v>30</v>
      </c>
      <c r="M146" s="150">
        <f>'Purchased Power Model No CDM'!M146</f>
        <v>1</v>
      </c>
      <c r="N146" s="322">
        <f>'Purchased Power Model No CDM'!N146</f>
        <v>21</v>
      </c>
      <c r="O146" s="857">
        <f>'Purchased Power Model No CDM'!P146</f>
        <v>0</v>
      </c>
      <c r="P146" s="1362"/>
      <c r="Q146" s="930">
        <v>141</v>
      </c>
      <c r="R146" s="930"/>
      <c r="S146" s="933"/>
      <c r="U146" s="789"/>
      <c r="W146" s="264"/>
      <c r="Y146"/>
      <c r="Z146"/>
      <c r="AA146"/>
      <c r="AB146"/>
      <c r="AC146"/>
      <c r="AD146"/>
      <c r="AE146"/>
      <c r="AF146"/>
    </row>
    <row r="147" spans="1:32">
      <c r="A147" s="864">
        <f t="shared" si="8"/>
        <v>2022</v>
      </c>
      <c r="B147" s="62">
        <f t="shared" si="6"/>
        <v>44865</v>
      </c>
      <c r="C147" s="88"/>
      <c r="D147" s="72"/>
      <c r="E147" s="860"/>
      <c r="F147" s="72"/>
      <c r="G147" s="89"/>
      <c r="H147" s="71">
        <f t="shared" si="7"/>
        <v>0</v>
      </c>
      <c r="I147" s="257"/>
      <c r="J147" s="345">
        <f>'Purchased Power Model No CDM'!J147</f>
        <v>276.59632529608206</v>
      </c>
      <c r="K147" s="857">
        <f>'Purchased Power Model No CDM'!K147</f>
        <v>0.63636363636363635</v>
      </c>
      <c r="L147" s="322">
        <f>'Purchased Power Model No CDM'!L147</f>
        <v>31</v>
      </c>
      <c r="M147" s="150">
        <f>'Purchased Power Model No CDM'!M147</f>
        <v>0</v>
      </c>
      <c r="N147" s="322">
        <f>'Purchased Power Model No CDM'!N147</f>
        <v>20</v>
      </c>
      <c r="O147" s="857">
        <f>'Purchased Power Model No CDM'!P147</f>
        <v>0</v>
      </c>
      <c r="P147" s="1362"/>
      <c r="Q147" s="930">
        <v>142</v>
      </c>
      <c r="R147" s="930"/>
      <c r="S147" s="933"/>
      <c r="U147" s="789"/>
      <c r="W147" s="264"/>
      <c r="Y147"/>
      <c r="Z147"/>
      <c r="AA147"/>
      <c r="AB147"/>
      <c r="AC147"/>
      <c r="AD147"/>
      <c r="AE147"/>
      <c r="AF147"/>
    </row>
    <row r="148" spans="1:32">
      <c r="A148" s="864">
        <f t="shared" si="8"/>
        <v>2022</v>
      </c>
      <c r="B148" s="62">
        <f t="shared" ref="B148:B149" si="9">EOMONTH(B147,1)</f>
        <v>44895</v>
      </c>
      <c r="C148" s="88"/>
      <c r="D148" s="72"/>
      <c r="E148" s="860"/>
      <c r="F148" s="72"/>
      <c r="G148" s="89"/>
      <c r="H148" s="71">
        <f t="shared" si="7"/>
        <v>0</v>
      </c>
      <c r="I148" s="257"/>
      <c r="J148" s="345">
        <f>'Purchased Power Model No CDM'!J148</f>
        <v>506.81818181818181</v>
      </c>
      <c r="K148" s="857">
        <f>'Purchased Power Model No CDM'!K148</f>
        <v>0</v>
      </c>
      <c r="L148" s="322">
        <f>'Purchased Power Model No CDM'!L148</f>
        <v>30</v>
      </c>
      <c r="M148" s="150">
        <f>'Purchased Power Model No CDM'!M148</f>
        <v>0</v>
      </c>
      <c r="N148" s="322">
        <f>'Purchased Power Model No CDM'!N148</f>
        <v>22</v>
      </c>
      <c r="O148" s="857">
        <f>'Purchased Power Model No CDM'!P148</f>
        <v>0</v>
      </c>
      <c r="P148" s="1362"/>
      <c r="Q148" s="930">
        <v>143</v>
      </c>
      <c r="R148" s="930"/>
      <c r="S148" s="933"/>
      <c r="U148" s="789"/>
      <c r="W148" s="264"/>
      <c r="Y148"/>
      <c r="Z148"/>
      <c r="AA148"/>
      <c r="AB148"/>
      <c r="AC148"/>
      <c r="AD148"/>
      <c r="AE148"/>
      <c r="AF148"/>
    </row>
    <row r="149" spans="1:32">
      <c r="A149" s="865">
        <f t="shared" si="8"/>
        <v>2022</v>
      </c>
      <c r="B149" s="151">
        <f t="shared" si="9"/>
        <v>44926</v>
      </c>
      <c r="C149" s="76"/>
      <c r="D149" s="82"/>
      <c r="E149" s="853"/>
      <c r="F149" s="82"/>
      <c r="G149" s="89"/>
      <c r="H149" s="76">
        <f t="shared" si="7"/>
        <v>0</v>
      </c>
      <c r="I149" s="257"/>
      <c r="J149" s="856">
        <f>'Purchased Power Model No CDM'!J149</f>
        <v>720.0090909090909</v>
      </c>
      <c r="K149" s="839">
        <f>'Purchased Power Model No CDM'!K149</f>
        <v>0</v>
      </c>
      <c r="L149" s="323">
        <f>'Purchased Power Model No CDM'!L149</f>
        <v>31</v>
      </c>
      <c r="M149" s="104">
        <f>'Purchased Power Model No CDM'!M149</f>
        <v>1</v>
      </c>
      <c r="N149" s="323">
        <f>'Purchased Power Model No CDM'!N149</f>
        <v>20</v>
      </c>
      <c r="O149" s="871">
        <f>'Purchased Power Model No CDM'!P149</f>
        <v>0</v>
      </c>
      <c r="P149" s="1362"/>
      <c r="Q149" s="931">
        <v>144</v>
      </c>
      <c r="R149" s="931"/>
      <c r="S149" s="934"/>
      <c r="U149" s="789"/>
      <c r="W149" s="264"/>
      <c r="Y149"/>
      <c r="Z149"/>
      <c r="AA149"/>
      <c r="AB149"/>
      <c r="AC149"/>
      <c r="AD149"/>
      <c r="AE149"/>
      <c r="AF149"/>
    </row>
    <row r="150" spans="1:32">
      <c r="H150" s="87"/>
      <c r="I150" s="262"/>
      <c r="J150" s="87"/>
      <c r="K150" s="87"/>
      <c r="L150" s="87"/>
      <c r="M150" s="87"/>
      <c r="N150" s="87"/>
      <c r="O150" s="87"/>
      <c r="P150" s="875"/>
      <c r="Q150" s="87"/>
      <c r="R150" s="87"/>
      <c r="S150" s="87"/>
      <c r="U150" s="789"/>
      <c r="W150" s="264"/>
      <c r="Y150"/>
      <c r="Z150"/>
      <c r="AA150"/>
      <c r="AB150"/>
      <c r="AC150"/>
      <c r="AD150"/>
      <c r="AE150"/>
      <c r="AF150"/>
    </row>
    <row r="151" spans="1:32">
      <c r="U151" s="789"/>
      <c r="W151" s="264"/>
      <c r="Y151"/>
      <c r="Z151"/>
      <c r="AA151"/>
      <c r="AB151"/>
      <c r="AC151"/>
      <c r="AD151"/>
      <c r="AE151"/>
      <c r="AF151"/>
    </row>
    <row r="152" spans="1:32">
      <c r="W152" s="264"/>
      <c r="Y152"/>
      <c r="Z152"/>
      <c r="AA152"/>
      <c r="AB152"/>
      <c r="AC152"/>
      <c r="AD152"/>
      <c r="AE152"/>
      <c r="AF152"/>
    </row>
    <row r="153" spans="1:32">
      <c r="W153" s="264"/>
      <c r="Y153"/>
      <c r="Z153"/>
      <c r="AA153"/>
      <c r="AB153"/>
      <c r="AC153"/>
      <c r="AD153"/>
      <c r="AE153"/>
      <c r="AF153"/>
    </row>
    <row r="154" spans="1:32">
      <c r="W154" s="264"/>
      <c r="Y154"/>
      <c r="Z154"/>
      <c r="AA154"/>
      <c r="AB154"/>
      <c r="AC154"/>
      <c r="AD154"/>
      <c r="AE154"/>
      <c r="AF154"/>
    </row>
    <row r="155" spans="1:32">
      <c r="W155" s="264"/>
      <c r="Y155"/>
      <c r="Z155"/>
      <c r="AA155"/>
      <c r="AB155"/>
      <c r="AC155"/>
      <c r="AD155"/>
      <c r="AE155"/>
      <c r="AF155"/>
    </row>
    <row r="156" spans="1:32">
      <c r="W156" s="264"/>
      <c r="Y156"/>
      <c r="Z156"/>
      <c r="AA156"/>
      <c r="AB156"/>
      <c r="AC156"/>
      <c r="AD156"/>
      <c r="AE156"/>
      <c r="AF156"/>
    </row>
    <row r="157" spans="1:32">
      <c r="W157" s="264"/>
      <c r="Y157"/>
      <c r="Z157"/>
      <c r="AA157"/>
      <c r="AB157"/>
      <c r="AC157"/>
      <c r="AD157"/>
      <c r="AE157"/>
      <c r="AF157"/>
    </row>
    <row r="158" spans="1:32">
      <c r="W158" s="264"/>
      <c r="Y158"/>
      <c r="Z158"/>
      <c r="AA158"/>
      <c r="AB158"/>
      <c r="AC158"/>
      <c r="AD158"/>
      <c r="AE158"/>
      <c r="AF158"/>
    </row>
    <row r="159" spans="1:32">
      <c r="W159" s="264"/>
      <c r="Y159"/>
      <c r="Z159"/>
      <c r="AA159"/>
      <c r="AB159"/>
      <c r="AC159"/>
      <c r="AD159"/>
      <c r="AE159"/>
      <c r="AF159"/>
    </row>
    <row r="160" spans="1:32">
      <c r="W160" s="264"/>
      <c r="Y160"/>
      <c r="Z160"/>
      <c r="AA160"/>
      <c r="AB160"/>
      <c r="AC160"/>
      <c r="AD160"/>
      <c r="AE160"/>
      <c r="AF160"/>
    </row>
    <row r="161" spans="23:32">
      <c r="W161" s="264"/>
      <c r="Y161"/>
      <c r="Z161"/>
      <c r="AA161"/>
      <c r="AB161"/>
      <c r="AC161"/>
      <c r="AD161"/>
      <c r="AE161"/>
      <c r="AF161"/>
    </row>
    <row r="162" spans="23:32">
      <c r="W162" s="264"/>
      <c r="Y162"/>
      <c r="Z162"/>
      <c r="AA162"/>
      <c r="AB162"/>
      <c r="AC162"/>
      <c r="AD162"/>
      <c r="AE162"/>
      <c r="AF162"/>
    </row>
    <row r="163" spans="23:32">
      <c r="W163" s="264"/>
      <c r="Y163"/>
      <c r="Z163"/>
      <c r="AA163"/>
      <c r="AB163"/>
      <c r="AC163"/>
      <c r="AD163"/>
      <c r="AE163"/>
      <c r="AF163"/>
    </row>
    <row r="164" spans="23:32">
      <c r="W164" s="264"/>
      <c r="Y164"/>
      <c r="Z164"/>
      <c r="AA164"/>
      <c r="AB164"/>
      <c r="AC164"/>
      <c r="AD164"/>
      <c r="AE164"/>
      <c r="AF164"/>
    </row>
    <row r="165" spans="23:32">
      <c r="W165" s="264"/>
      <c r="Y165"/>
      <c r="Z165"/>
      <c r="AA165"/>
      <c r="AB165"/>
      <c r="AC165"/>
      <c r="AD165"/>
      <c r="AE165"/>
      <c r="AF165"/>
    </row>
    <row r="166" spans="23:32">
      <c r="W166" s="264"/>
      <c r="Y166"/>
      <c r="Z166"/>
      <c r="AA166"/>
      <c r="AB166"/>
      <c r="AC166"/>
      <c r="AD166"/>
      <c r="AE166"/>
      <c r="AF166"/>
    </row>
    <row r="167" spans="23:32">
      <c r="W167" s="264"/>
      <c r="Y167"/>
      <c r="Z167"/>
      <c r="AA167"/>
      <c r="AB167"/>
      <c r="AC167"/>
      <c r="AD167"/>
      <c r="AE167"/>
      <c r="AF167"/>
    </row>
    <row r="168" spans="23:32">
      <c r="W168" s="264"/>
      <c r="X168"/>
      <c r="Y168"/>
      <c r="Z168"/>
      <c r="AA168"/>
      <c r="AB168"/>
      <c r="AC168"/>
      <c r="AD168"/>
      <c r="AE168"/>
      <c r="AF168"/>
    </row>
    <row r="169" spans="23:32">
      <c r="W169" s="264"/>
      <c r="X169"/>
      <c r="Y169"/>
      <c r="Z169"/>
      <c r="AA169"/>
      <c r="AB169"/>
      <c r="AC169"/>
      <c r="AD169"/>
      <c r="AE169"/>
      <c r="AF169"/>
    </row>
    <row r="170" spans="23:32">
      <c r="W170" s="264"/>
    </row>
    <row r="171" spans="23:32">
      <c r="W171" s="264"/>
    </row>
    <row r="172" spans="23:32">
      <c r="W172" s="264"/>
    </row>
    <row r="173" spans="23:32">
      <c r="W173" s="264"/>
    </row>
    <row r="174" spans="23:32">
      <c r="W174" s="264"/>
    </row>
    <row r="175" spans="23:32">
      <c r="W175" s="264"/>
    </row>
    <row r="176" spans="23:32">
      <c r="W176" s="264"/>
    </row>
    <row r="177" spans="23:23">
      <c r="W177" s="264"/>
    </row>
    <row r="178" spans="23:23">
      <c r="W178" s="264"/>
    </row>
    <row r="179" spans="23:23">
      <c r="W179" s="264"/>
    </row>
    <row r="180" spans="23:23">
      <c r="W180" s="264"/>
    </row>
    <row r="181" spans="23:23">
      <c r="W181" s="264"/>
    </row>
    <row r="182" spans="23:23">
      <c r="W182" s="264"/>
    </row>
    <row r="183" spans="23:23">
      <c r="W183" s="264"/>
    </row>
    <row r="184" spans="23:23">
      <c r="W184" s="264"/>
    </row>
    <row r="185" spans="23:23">
      <c r="W185" s="264"/>
    </row>
    <row r="186" spans="23:23">
      <c r="W186" s="264"/>
    </row>
    <row r="187" spans="23:23">
      <c r="W187" s="264"/>
    </row>
    <row r="188" spans="23:23">
      <c r="W188" s="264"/>
    </row>
    <row r="189" spans="23:23">
      <c r="W189" s="264"/>
    </row>
    <row r="190" spans="23:23">
      <c r="W190" s="264"/>
    </row>
    <row r="191" spans="23:23">
      <c r="W191" s="264"/>
    </row>
    <row r="192" spans="23:23">
      <c r="W192" s="264"/>
    </row>
    <row r="193" spans="23:23">
      <c r="W193" s="264"/>
    </row>
    <row r="194" spans="23:23">
      <c r="W194" s="264"/>
    </row>
    <row r="195" spans="23:23">
      <c r="W195" s="264"/>
    </row>
    <row r="196" spans="23:23">
      <c r="W196" s="264"/>
    </row>
    <row r="197" spans="23:23">
      <c r="W197" s="264"/>
    </row>
    <row r="198" spans="23:23">
      <c r="W198" s="264"/>
    </row>
    <row r="199" spans="23:23">
      <c r="W199" s="264"/>
    </row>
    <row r="200" spans="23:23">
      <c r="W200" s="264"/>
    </row>
    <row r="201" spans="23:23">
      <c r="W201" s="264"/>
    </row>
    <row r="202" spans="23:23">
      <c r="W202" s="264"/>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05"/>
  <sheetViews>
    <sheetView topLeftCell="A138" zoomScale="90" zoomScaleNormal="90" workbookViewId="0">
      <selection activeCell="F135" sqref="F135"/>
    </sheetView>
  </sheetViews>
  <sheetFormatPr defaultRowHeight="13.2"/>
  <cols>
    <col min="2" max="2" width="34.5546875" customWidth="1"/>
    <col min="3" max="3" width="19.6640625" customWidth="1"/>
    <col min="4" max="4" width="17.44140625" customWidth="1"/>
    <col min="5" max="5" width="11.88671875" customWidth="1"/>
  </cols>
  <sheetData>
    <row r="1" spans="1:7" ht="13.8">
      <c r="B1" s="724" t="s">
        <v>364</v>
      </c>
    </row>
    <row r="4" spans="1:7" ht="13.8">
      <c r="B4" s="725" t="s">
        <v>659</v>
      </c>
    </row>
    <row r="5" spans="1:7" ht="13.8" thickBot="1"/>
    <row r="6" spans="1:7" ht="13.8" thickTop="1">
      <c r="A6" s="595" t="s">
        <v>313</v>
      </c>
      <c r="B6" s="596" t="s">
        <v>314</v>
      </c>
      <c r="C6" s="596" t="s">
        <v>529</v>
      </c>
      <c r="D6" s="597" t="s">
        <v>530</v>
      </c>
      <c r="E6" s="597" t="s">
        <v>142</v>
      </c>
      <c r="F6" s="603" t="s">
        <v>142</v>
      </c>
    </row>
    <row r="7" spans="1:7">
      <c r="A7" s="598"/>
      <c r="B7" s="599"/>
      <c r="C7" s="599"/>
      <c r="D7" s="600"/>
      <c r="E7" s="600"/>
      <c r="F7" s="604"/>
    </row>
    <row r="8" spans="1:7">
      <c r="A8" s="728"/>
      <c r="B8" s="729" t="s">
        <v>315</v>
      </c>
      <c r="C8" s="600"/>
      <c r="D8" s="600"/>
      <c r="E8" s="726" t="s">
        <v>326</v>
      </c>
      <c r="F8" s="727" t="s">
        <v>141</v>
      </c>
    </row>
    <row r="9" spans="1:7">
      <c r="A9" s="601">
        <v>4235</v>
      </c>
      <c r="B9" s="613" t="s">
        <v>291</v>
      </c>
      <c r="C9" s="1348">
        <v>116376</v>
      </c>
      <c r="D9" s="1348">
        <v>116376</v>
      </c>
      <c r="E9" s="1348">
        <f>D9-C9</f>
        <v>0</v>
      </c>
      <c r="F9" s="611">
        <f>E9/C9</f>
        <v>0</v>
      </c>
      <c r="G9" s="13"/>
    </row>
    <row r="10" spans="1:7">
      <c r="A10" s="601">
        <v>4225</v>
      </c>
      <c r="B10" s="613" t="s">
        <v>292</v>
      </c>
      <c r="C10" s="1348">
        <v>75314</v>
      </c>
      <c r="D10" s="1348">
        <v>75314</v>
      </c>
      <c r="E10" s="1348">
        <f t="shared" ref="E10:E22" si="0">D10-C10</f>
        <v>0</v>
      </c>
      <c r="F10" s="611">
        <f t="shared" ref="F10:F22" si="1">E10/C10</f>
        <v>0</v>
      </c>
      <c r="G10" s="13"/>
    </row>
    <row r="11" spans="1:7">
      <c r="A11" s="601">
        <v>4082</v>
      </c>
      <c r="B11" s="613" t="s">
        <v>316</v>
      </c>
      <c r="C11" s="1348">
        <v>7011</v>
      </c>
      <c r="D11" s="1348">
        <v>6755.64</v>
      </c>
      <c r="E11" s="1348">
        <f t="shared" si="0"/>
        <v>-255.35999999999967</v>
      </c>
      <c r="F11" s="611">
        <f t="shared" si="1"/>
        <v>-3.6422764227642228E-2</v>
      </c>
      <c r="G11" s="13"/>
    </row>
    <row r="12" spans="1:7">
      <c r="A12" s="601">
        <v>4084</v>
      </c>
      <c r="B12" s="733" t="s">
        <v>317</v>
      </c>
      <c r="C12" s="1348">
        <v>45</v>
      </c>
      <c r="D12" s="1348">
        <v>45</v>
      </c>
      <c r="E12" s="1348">
        <f t="shared" si="0"/>
        <v>0</v>
      </c>
      <c r="F12" s="611">
        <f t="shared" si="1"/>
        <v>0</v>
      </c>
      <c r="G12" s="13"/>
    </row>
    <row r="13" spans="1:7">
      <c r="A13" s="601">
        <v>4086</v>
      </c>
      <c r="B13" s="613" t="s">
        <v>318</v>
      </c>
      <c r="C13" s="1348">
        <v>21243</v>
      </c>
      <c r="D13" s="1348">
        <v>21243</v>
      </c>
      <c r="E13" s="1348">
        <f t="shared" si="0"/>
        <v>0</v>
      </c>
      <c r="F13" s="611">
        <f t="shared" si="1"/>
        <v>0</v>
      </c>
      <c r="G13" s="13"/>
    </row>
    <row r="14" spans="1:7">
      <c r="A14" s="601">
        <v>4210</v>
      </c>
      <c r="B14" s="613" t="s">
        <v>319</v>
      </c>
      <c r="C14" s="1348">
        <v>43739</v>
      </c>
      <c r="D14" s="1348">
        <v>43739</v>
      </c>
      <c r="E14" s="1348">
        <f t="shared" si="0"/>
        <v>0</v>
      </c>
      <c r="F14" s="611">
        <f t="shared" si="1"/>
        <v>0</v>
      </c>
      <c r="G14" s="13"/>
    </row>
    <row r="15" spans="1:7">
      <c r="A15" s="1347">
        <v>4220</v>
      </c>
      <c r="B15" s="613" t="s">
        <v>594</v>
      </c>
      <c r="C15" s="1348"/>
      <c r="D15" s="1348">
        <v>2234</v>
      </c>
      <c r="E15" s="1348"/>
      <c r="F15" s="611"/>
      <c r="G15" s="13"/>
    </row>
    <row r="16" spans="1:7">
      <c r="A16" s="601"/>
      <c r="B16" s="613"/>
      <c r="C16" s="1348"/>
      <c r="D16" s="1348"/>
      <c r="E16" s="1348"/>
      <c r="F16" s="611"/>
      <c r="G16" s="13"/>
    </row>
    <row r="17" spans="1:8">
      <c r="A17" s="601">
        <v>4355</v>
      </c>
      <c r="B17" s="733" t="s">
        <v>320</v>
      </c>
      <c r="C17" s="1348"/>
      <c r="D17" s="1348">
        <v>3285</v>
      </c>
      <c r="E17" s="1348">
        <f t="shared" si="0"/>
        <v>3285</v>
      </c>
      <c r="F17" s="611"/>
      <c r="G17" s="13"/>
    </row>
    <row r="18" spans="1:8">
      <c r="A18" s="601">
        <v>4360</v>
      </c>
      <c r="B18" s="613" t="s">
        <v>321</v>
      </c>
      <c r="C18" s="1348">
        <v>-5505</v>
      </c>
      <c r="D18" s="1348">
        <v>-8789.7999999999993</v>
      </c>
      <c r="E18" s="1348">
        <f t="shared" si="0"/>
        <v>-3284.7999999999993</v>
      </c>
      <c r="F18" s="611">
        <f t="shared" si="1"/>
        <v>0.59669391462306975</v>
      </c>
      <c r="G18" s="13"/>
    </row>
    <row r="19" spans="1:8">
      <c r="A19" s="601">
        <v>4375</v>
      </c>
      <c r="B19" s="613" t="s">
        <v>322</v>
      </c>
      <c r="C19" s="1348">
        <v>6799</v>
      </c>
      <c r="D19" s="1348">
        <v>6799</v>
      </c>
      <c r="E19" s="1348">
        <f t="shared" si="0"/>
        <v>0</v>
      </c>
      <c r="F19" s="611">
        <f t="shared" si="1"/>
        <v>0</v>
      </c>
      <c r="G19" s="13"/>
    </row>
    <row r="20" spans="1:8">
      <c r="A20" s="601">
        <v>4380</v>
      </c>
      <c r="B20" s="613" t="s">
        <v>323</v>
      </c>
      <c r="C20" s="1348"/>
      <c r="D20" s="1348"/>
      <c r="E20" s="1348"/>
      <c r="F20" s="611"/>
      <c r="G20" s="13"/>
    </row>
    <row r="21" spans="1:8">
      <c r="A21" s="601">
        <v>4390</v>
      </c>
      <c r="B21" s="613" t="s">
        <v>324</v>
      </c>
      <c r="C21" s="1348"/>
      <c r="D21" s="1348"/>
      <c r="E21" s="1348"/>
      <c r="F21" s="611"/>
      <c r="G21" s="13"/>
    </row>
    <row r="22" spans="1:8">
      <c r="A22" s="601">
        <v>4405</v>
      </c>
      <c r="B22" s="733" t="s">
        <v>325</v>
      </c>
      <c r="C22" s="1348">
        <v>5232</v>
      </c>
      <c r="D22" s="1348">
        <v>17299.689999999999</v>
      </c>
      <c r="E22" s="1348">
        <f t="shared" si="0"/>
        <v>12067.689999999999</v>
      </c>
      <c r="F22" s="611">
        <f t="shared" si="1"/>
        <v>2.3065156727828744</v>
      </c>
      <c r="G22" s="13"/>
    </row>
    <row r="23" spans="1:8" s="499" customFormat="1">
      <c r="A23" s="601"/>
      <c r="B23" s="613"/>
      <c r="C23" s="1349"/>
      <c r="D23" s="1349"/>
      <c r="E23" s="1349"/>
      <c r="F23" s="614"/>
      <c r="G23" s="13"/>
      <c r="H23"/>
    </row>
    <row r="24" spans="1:8" s="499" customFormat="1">
      <c r="A24" s="601"/>
      <c r="B24" s="613"/>
      <c r="C24" s="1349"/>
      <c r="D24" s="1349"/>
      <c r="E24" s="1349"/>
      <c r="F24" s="614"/>
      <c r="G24" s="13"/>
      <c r="H24"/>
    </row>
    <row r="25" spans="1:8" s="499" customFormat="1">
      <c r="A25" s="615"/>
      <c r="B25" s="616"/>
      <c r="C25" s="1350"/>
      <c r="D25" s="1350"/>
      <c r="E25" s="1350"/>
      <c r="F25" s="620"/>
      <c r="G25" s="13"/>
      <c r="H25"/>
    </row>
    <row r="26" spans="1:8" s="499" customFormat="1">
      <c r="A26" s="1835" t="s">
        <v>291</v>
      </c>
      <c r="B26" s="1836"/>
      <c r="C26" s="1348">
        <f t="shared" ref="C26:E27" si="2">C9</f>
        <v>116376</v>
      </c>
      <c r="D26" s="1348">
        <f t="shared" si="2"/>
        <v>116376</v>
      </c>
      <c r="E26" s="1348">
        <f t="shared" si="2"/>
        <v>0</v>
      </c>
      <c r="F26" s="611">
        <f>E26/C26</f>
        <v>0</v>
      </c>
      <c r="G26" s="13"/>
      <c r="H26"/>
    </row>
    <row r="27" spans="1:8" s="499" customFormat="1">
      <c r="A27" s="1835" t="s">
        <v>292</v>
      </c>
      <c r="B27" s="1836"/>
      <c r="C27" s="1348">
        <f t="shared" si="2"/>
        <v>75314</v>
      </c>
      <c r="D27" s="1348">
        <f t="shared" si="2"/>
        <v>75314</v>
      </c>
      <c r="E27" s="1348">
        <f t="shared" si="2"/>
        <v>0</v>
      </c>
      <c r="F27" s="611">
        <f>E27/C27</f>
        <v>0</v>
      </c>
      <c r="G27" s="13"/>
      <c r="H27"/>
    </row>
    <row r="28" spans="1:8" s="499" customFormat="1">
      <c r="A28" s="1835" t="s">
        <v>293</v>
      </c>
      <c r="B28" s="1836"/>
      <c r="C28" s="1348">
        <f>SUM(C11:C15)</f>
        <v>72038</v>
      </c>
      <c r="D28" s="1348">
        <f>SUM(D11:D15)</f>
        <v>74016.639999999999</v>
      </c>
      <c r="E28" s="1348">
        <f>SUM(E11:E15)</f>
        <v>-255.35999999999967</v>
      </c>
      <c r="F28" s="611">
        <f>E28/C28</f>
        <v>-3.5447958022154927E-3</v>
      </c>
      <c r="G28" s="13"/>
      <c r="H28"/>
    </row>
    <row r="29" spans="1:8" s="499" customFormat="1" ht="13.8" thickBot="1">
      <c r="A29" s="1837" t="s">
        <v>294</v>
      </c>
      <c r="B29" s="1838"/>
      <c r="C29" s="1351">
        <f>SUM(C17:C22)</f>
        <v>6526</v>
      </c>
      <c r="D29" s="1351">
        <f>SUM(D17:D22)</f>
        <v>18593.89</v>
      </c>
      <c r="E29" s="1351">
        <f>SUM(E17:E22)</f>
        <v>12067.89</v>
      </c>
      <c r="F29" s="608">
        <f>E29/C29</f>
        <v>1.8492016549187864</v>
      </c>
      <c r="G29" s="13"/>
      <c r="H29"/>
    </row>
    <row r="30" spans="1:8" s="499" customFormat="1" ht="14.4" thickTop="1" thickBot="1">
      <c r="A30" s="1839" t="s">
        <v>5</v>
      </c>
      <c r="B30" s="1840"/>
      <c r="C30" s="1469">
        <f>SUM(C26:C29)</f>
        <v>270254</v>
      </c>
      <c r="D30" s="1469">
        <f>SUM(D26:D29)</f>
        <v>284300.53000000003</v>
      </c>
      <c r="E30" s="1469">
        <f>SUM(E26:E29)</f>
        <v>11812.529999999999</v>
      </c>
      <c r="F30" s="1470">
        <f>E30/C30</f>
        <v>4.3708992281335332E-2</v>
      </c>
      <c r="G30" s="13"/>
      <c r="H30"/>
    </row>
    <row r="31" spans="1:8">
      <c r="A31" s="13"/>
      <c r="B31" s="13"/>
      <c r="C31" s="13"/>
      <c r="D31" s="735"/>
      <c r="E31" s="13"/>
      <c r="F31" s="13"/>
      <c r="G31" s="13"/>
    </row>
    <row r="33" spans="1:7" ht="15.6">
      <c r="B33" s="501" t="s">
        <v>660</v>
      </c>
    </row>
    <row r="34" spans="1:7" ht="13.8" thickBot="1"/>
    <row r="35" spans="1:7" ht="13.8" thickTop="1">
      <c r="A35" s="595" t="s">
        <v>313</v>
      </c>
      <c r="B35" s="596" t="s">
        <v>314</v>
      </c>
      <c r="C35" s="597" t="s">
        <v>530</v>
      </c>
      <c r="D35" s="597" t="s">
        <v>531</v>
      </c>
      <c r="E35" s="597" t="s">
        <v>142</v>
      </c>
      <c r="F35" s="603" t="s">
        <v>142</v>
      </c>
    </row>
    <row r="36" spans="1:7">
      <c r="A36" s="598"/>
      <c r="B36" s="599"/>
      <c r="C36" s="599"/>
      <c r="D36" s="600"/>
      <c r="E36" s="600"/>
      <c r="F36" s="604"/>
    </row>
    <row r="37" spans="1:7">
      <c r="A37" s="728"/>
      <c r="B37" s="729" t="s">
        <v>315</v>
      </c>
      <c r="C37" s="600"/>
      <c r="D37" s="600"/>
      <c r="E37" s="726" t="s">
        <v>326</v>
      </c>
      <c r="F37" s="727" t="s">
        <v>141</v>
      </c>
    </row>
    <row r="38" spans="1:7">
      <c r="A38" s="601">
        <v>4235</v>
      </c>
      <c r="B38" s="502" t="s">
        <v>291</v>
      </c>
      <c r="C38" s="500">
        <f>D9</f>
        <v>116376</v>
      </c>
      <c r="D38" s="500">
        <v>97264.175000000017</v>
      </c>
      <c r="E38" s="500">
        <f t="shared" ref="E38:E43" si="3">D38-C38</f>
        <v>-19111.824999999983</v>
      </c>
      <c r="F38" s="605">
        <f>E38/C38</f>
        <v>-0.1642247972090464</v>
      </c>
    </row>
    <row r="39" spans="1:7">
      <c r="A39" s="601">
        <v>4225</v>
      </c>
      <c r="B39" s="502" t="s">
        <v>292</v>
      </c>
      <c r="C39" s="500">
        <f t="shared" ref="C39:C51" si="4">D10</f>
        <v>75314</v>
      </c>
      <c r="D39" s="500">
        <v>70389.829999999987</v>
      </c>
      <c r="E39" s="500">
        <f t="shared" si="3"/>
        <v>-4924.1700000000128</v>
      </c>
      <c r="F39" s="605">
        <f t="shared" ref="F39:F48" si="5">E39/C39</f>
        <v>-6.5381867913004391E-2</v>
      </c>
    </row>
    <row r="40" spans="1:7">
      <c r="A40" s="601">
        <v>4082</v>
      </c>
      <c r="B40" s="502" t="s">
        <v>316</v>
      </c>
      <c r="C40" s="500">
        <f t="shared" si="4"/>
        <v>6755.64</v>
      </c>
      <c r="D40" s="500">
        <v>6491.5999999999995</v>
      </c>
      <c r="E40" s="500">
        <f t="shared" si="3"/>
        <v>-264.04000000000087</v>
      </c>
      <c r="F40" s="605">
        <f t="shared" si="5"/>
        <v>-3.9084379866304433E-2</v>
      </c>
    </row>
    <row r="41" spans="1:7">
      <c r="A41" s="601">
        <v>4084</v>
      </c>
      <c r="B41" s="730" t="s">
        <v>317</v>
      </c>
      <c r="C41" s="500">
        <f t="shared" si="4"/>
        <v>45</v>
      </c>
      <c r="D41" s="500">
        <v>27</v>
      </c>
      <c r="E41" s="500">
        <f t="shared" si="3"/>
        <v>-18</v>
      </c>
      <c r="F41" s="605">
        <f t="shared" si="5"/>
        <v>-0.4</v>
      </c>
    </row>
    <row r="42" spans="1:7">
      <c r="A42" s="601">
        <v>4086</v>
      </c>
      <c r="B42" s="502" t="s">
        <v>318</v>
      </c>
      <c r="C42" s="500">
        <f t="shared" si="4"/>
        <v>21243</v>
      </c>
      <c r="D42" s="500">
        <v>22043</v>
      </c>
      <c r="E42" s="500">
        <f t="shared" si="3"/>
        <v>800</v>
      </c>
      <c r="F42" s="605">
        <f t="shared" si="5"/>
        <v>3.7659464294120419E-2</v>
      </c>
    </row>
    <row r="43" spans="1:7">
      <c r="A43" s="601">
        <v>4210</v>
      </c>
      <c r="B43" s="502" t="s">
        <v>319</v>
      </c>
      <c r="C43" s="500">
        <f t="shared" si="4"/>
        <v>43739</v>
      </c>
      <c r="D43" s="500">
        <v>43739</v>
      </c>
      <c r="E43" s="500">
        <f t="shared" si="3"/>
        <v>0</v>
      </c>
      <c r="F43" s="605">
        <f t="shared" si="5"/>
        <v>0</v>
      </c>
    </row>
    <row r="44" spans="1:7">
      <c r="A44" s="1347">
        <v>4220</v>
      </c>
      <c r="B44" s="613" t="s">
        <v>594</v>
      </c>
      <c r="C44" s="500">
        <f t="shared" si="4"/>
        <v>2234</v>
      </c>
      <c r="D44" s="500">
        <v>3953.95</v>
      </c>
      <c r="E44" s="500">
        <f t="shared" ref="E44" si="6">D44-C44</f>
        <v>1719.9499999999998</v>
      </c>
      <c r="F44" s="605">
        <f t="shared" ref="F44" si="7">E44/C44</f>
        <v>0.76989704565801242</v>
      </c>
      <c r="G44" s="13"/>
    </row>
    <row r="45" spans="1:7">
      <c r="A45" s="601"/>
      <c r="B45" s="502"/>
      <c r="C45" s="500">
        <f t="shared" si="4"/>
        <v>0</v>
      </c>
      <c r="D45" s="500"/>
      <c r="E45" s="500"/>
      <c r="F45" s="605"/>
    </row>
    <row r="46" spans="1:7">
      <c r="A46" s="601">
        <v>4355</v>
      </c>
      <c r="B46" s="730" t="s">
        <v>320</v>
      </c>
      <c r="C46" s="500">
        <f t="shared" si="4"/>
        <v>3285</v>
      </c>
      <c r="D46" s="500">
        <v>5007.93</v>
      </c>
      <c r="E46" s="500">
        <f t="shared" ref="E46:E51" si="8">D46-C46</f>
        <v>1722.9300000000003</v>
      </c>
      <c r="F46" s="605"/>
    </row>
    <row r="47" spans="1:7">
      <c r="A47" s="601">
        <v>4360</v>
      </c>
      <c r="B47" s="502" t="s">
        <v>321</v>
      </c>
      <c r="C47" s="500">
        <f t="shared" si="4"/>
        <v>-8789.7999999999993</v>
      </c>
      <c r="D47" s="500">
        <v>-5278.18</v>
      </c>
      <c r="E47" s="500">
        <f t="shared" si="8"/>
        <v>3511.619999999999</v>
      </c>
      <c r="F47" s="605">
        <f t="shared" si="5"/>
        <v>-0.39951079660515587</v>
      </c>
    </row>
    <row r="48" spans="1:7">
      <c r="A48" s="601">
        <v>4375</v>
      </c>
      <c r="B48" s="502" t="s">
        <v>322</v>
      </c>
      <c r="C48" s="500">
        <f t="shared" si="4"/>
        <v>6799</v>
      </c>
      <c r="D48" s="500">
        <v>39529</v>
      </c>
      <c r="E48" s="500">
        <f t="shared" si="8"/>
        <v>32730</v>
      </c>
      <c r="F48" s="605">
        <f t="shared" si="5"/>
        <v>4.8139432269451392</v>
      </c>
    </row>
    <row r="49" spans="1:6">
      <c r="A49" s="601">
        <v>4380</v>
      </c>
      <c r="B49" s="502" t="s">
        <v>323</v>
      </c>
      <c r="C49" s="500">
        <f t="shared" si="4"/>
        <v>0</v>
      </c>
      <c r="D49" s="500">
        <v>0</v>
      </c>
      <c r="E49" s="500">
        <f t="shared" si="8"/>
        <v>0</v>
      </c>
      <c r="F49" s="605"/>
    </row>
    <row r="50" spans="1:6">
      <c r="A50" s="601">
        <v>4390</v>
      </c>
      <c r="B50" s="502" t="s">
        <v>324</v>
      </c>
      <c r="C50" s="500">
        <f t="shared" si="4"/>
        <v>0</v>
      </c>
      <c r="D50" s="500">
        <v>0</v>
      </c>
      <c r="E50" s="500">
        <f t="shared" si="8"/>
        <v>0</v>
      </c>
      <c r="F50" s="605"/>
    </row>
    <row r="51" spans="1:6">
      <c r="A51" s="601">
        <v>4405</v>
      </c>
      <c r="B51" s="730" t="s">
        <v>325</v>
      </c>
      <c r="C51" s="500">
        <f t="shared" si="4"/>
        <v>17299.689999999999</v>
      </c>
      <c r="D51" s="500">
        <v>17346.830000000002</v>
      </c>
      <c r="E51" s="500">
        <f t="shared" si="8"/>
        <v>47.140000000003056</v>
      </c>
      <c r="F51" s="605">
        <f>E51/C51</f>
        <v>2.7249043190949122E-3</v>
      </c>
    </row>
    <row r="52" spans="1:6">
      <c r="A52" s="601"/>
      <c r="B52" s="502"/>
      <c r="C52" s="500"/>
      <c r="D52" s="500"/>
      <c r="E52" s="500"/>
      <c r="F52" s="606"/>
    </row>
    <row r="53" spans="1:6">
      <c r="A53" s="601"/>
      <c r="B53" s="502"/>
      <c r="C53" s="500"/>
      <c r="D53" s="500"/>
      <c r="E53" s="500"/>
      <c r="F53" s="606"/>
    </row>
    <row r="54" spans="1:6">
      <c r="A54" s="731"/>
      <c r="B54" s="734"/>
      <c r="C54" s="602"/>
      <c r="D54" s="602"/>
      <c r="E54" s="602"/>
      <c r="F54" s="607"/>
    </row>
    <row r="55" spans="1:6">
      <c r="A55" s="1828" t="s">
        <v>291</v>
      </c>
      <c r="B55" s="1830"/>
      <c r="C55" s="612">
        <f t="shared" ref="C55:E56" si="9">C38</f>
        <v>116376</v>
      </c>
      <c r="D55" s="612">
        <f t="shared" si="9"/>
        <v>97264.175000000017</v>
      </c>
      <c r="E55" s="612">
        <f t="shared" si="9"/>
        <v>-19111.824999999983</v>
      </c>
      <c r="F55" s="611">
        <f>E55/C55</f>
        <v>-0.1642247972090464</v>
      </c>
    </row>
    <row r="56" spans="1:6">
      <c r="A56" s="1828" t="s">
        <v>292</v>
      </c>
      <c r="B56" s="1830"/>
      <c r="C56" s="612">
        <f t="shared" si="9"/>
        <v>75314</v>
      </c>
      <c r="D56" s="612">
        <f t="shared" si="9"/>
        <v>70389.829999999987</v>
      </c>
      <c r="E56" s="612">
        <f t="shared" si="9"/>
        <v>-4924.1700000000128</v>
      </c>
      <c r="F56" s="611">
        <f>E56/C56</f>
        <v>-6.5381867913004391E-2</v>
      </c>
    </row>
    <row r="57" spans="1:6">
      <c r="A57" s="1841" t="s">
        <v>294</v>
      </c>
      <c r="B57" s="1842"/>
      <c r="C57" s="1348">
        <f>SUM(C40:C44)</f>
        <v>74016.639999999999</v>
      </c>
      <c r="D57" s="1348">
        <f>SUM(D40:D44)</f>
        <v>76254.55</v>
      </c>
      <c r="E57" s="1348">
        <f>SUM(E40:E44)</f>
        <v>2237.9099999999989</v>
      </c>
      <c r="F57" s="611">
        <f>E57/C57</f>
        <v>3.0235228186526693E-2</v>
      </c>
    </row>
    <row r="58" spans="1:6" ht="13.8" thickBot="1">
      <c r="A58" s="1831" t="s">
        <v>293</v>
      </c>
      <c r="B58" s="1832"/>
      <c r="C58" s="504">
        <f>SUM(C46:C51)</f>
        <v>18593.89</v>
      </c>
      <c r="D58" s="504">
        <f>SUM(D46:D51)</f>
        <v>56605.58</v>
      </c>
      <c r="E58" s="504">
        <f>SUM(E46:E51)</f>
        <v>38011.69</v>
      </c>
      <c r="F58" s="608">
        <f>E58/C58</f>
        <v>2.0443107924162187</v>
      </c>
    </row>
    <row r="59" spans="1:6" ht="14.4" thickTop="1" thickBot="1">
      <c r="A59" s="1833" t="s">
        <v>5</v>
      </c>
      <c r="B59" s="1834"/>
      <c r="C59" s="505">
        <f>SUM(C55:C58)</f>
        <v>284300.53000000003</v>
      </c>
      <c r="D59" s="505">
        <f>SUM(D55:D58)</f>
        <v>300514.13500000001</v>
      </c>
      <c r="E59" s="505">
        <f>SUM(E55:E58)</f>
        <v>16213.605000000007</v>
      </c>
      <c r="F59" s="609">
        <f>E59/C59</f>
        <v>5.7029809265568394E-2</v>
      </c>
    </row>
    <row r="60" spans="1:6">
      <c r="C60" s="332"/>
      <c r="D60" s="332"/>
    </row>
    <row r="62" spans="1:6" ht="15.6">
      <c r="B62" s="501" t="s">
        <v>743</v>
      </c>
    </row>
    <row r="63" spans="1:6" ht="13.8" thickBot="1"/>
    <row r="64" spans="1:6" ht="13.8" thickTop="1">
      <c r="A64" s="595" t="s">
        <v>313</v>
      </c>
      <c r="B64" s="596" t="s">
        <v>314</v>
      </c>
      <c r="C64" s="597" t="s">
        <v>531</v>
      </c>
      <c r="D64" s="597" t="s">
        <v>532</v>
      </c>
      <c r="E64" s="597" t="s">
        <v>142</v>
      </c>
      <c r="F64" s="603" t="s">
        <v>142</v>
      </c>
    </row>
    <row r="65" spans="1:7">
      <c r="A65" s="598"/>
      <c r="B65" s="599"/>
      <c r="C65" s="600"/>
      <c r="D65" s="599"/>
      <c r="E65" s="600"/>
      <c r="F65" s="604"/>
    </row>
    <row r="66" spans="1:7">
      <c r="A66" s="728"/>
      <c r="B66" s="729" t="s">
        <v>315</v>
      </c>
      <c r="C66" s="600"/>
      <c r="D66" s="600"/>
      <c r="E66" s="726" t="s">
        <v>326</v>
      </c>
      <c r="F66" s="727" t="s">
        <v>141</v>
      </c>
    </row>
    <row r="67" spans="1:7">
      <c r="A67" s="601">
        <v>4235</v>
      </c>
      <c r="B67" s="502" t="s">
        <v>291</v>
      </c>
      <c r="C67" s="500">
        <f>D38</f>
        <v>97264.175000000017</v>
      </c>
      <c r="D67" s="500">
        <v>81167</v>
      </c>
      <c r="E67" s="500">
        <f>D67-C67</f>
        <v>-16097.175000000017</v>
      </c>
      <c r="F67" s="605">
        <f t="shared" ref="F67:F73" si="10">E67/C67</f>
        <v>-0.16549952744677077</v>
      </c>
    </row>
    <row r="68" spans="1:7">
      <c r="A68" s="601">
        <v>4225</v>
      </c>
      <c r="B68" s="502" t="s">
        <v>292</v>
      </c>
      <c r="C68" s="500">
        <f t="shared" ref="C68:C80" si="11">D39</f>
        <v>70389.829999999987</v>
      </c>
      <c r="D68" s="500">
        <v>58515.08</v>
      </c>
      <c r="E68" s="500">
        <f t="shared" ref="E68:E87" si="12">D68-C68</f>
        <v>-11874.749999999985</v>
      </c>
      <c r="F68" s="605">
        <f t="shared" si="10"/>
        <v>-0.16869979654731354</v>
      </c>
    </row>
    <row r="69" spans="1:7">
      <c r="A69" s="601">
        <v>4082</v>
      </c>
      <c r="B69" s="502" t="s">
        <v>316</v>
      </c>
      <c r="C69" s="500">
        <f t="shared" si="11"/>
        <v>6491.5999999999995</v>
      </c>
      <c r="D69" s="500">
        <v>6160.1</v>
      </c>
      <c r="E69" s="500">
        <f t="shared" si="12"/>
        <v>-331.49999999999909</v>
      </c>
      <c r="F69" s="605">
        <f t="shared" si="10"/>
        <v>-5.1065992975537482E-2</v>
      </c>
    </row>
    <row r="70" spans="1:7">
      <c r="A70" s="601">
        <v>4084</v>
      </c>
      <c r="B70" s="730" t="s">
        <v>317</v>
      </c>
      <c r="C70" s="500">
        <f t="shared" si="11"/>
        <v>27</v>
      </c>
      <c r="D70" s="500">
        <v>31.25</v>
      </c>
      <c r="E70" s="500">
        <f t="shared" si="12"/>
        <v>4.25</v>
      </c>
      <c r="F70" s="605">
        <f t="shared" si="10"/>
        <v>0.15740740740740741</v>
      </c>
    </row>
    <row r="71" spans="1:7">
      <c r="A71" s="601">
        <v>4086</v>
      </c>
      <c r="B71" s="502" t="s">
        <v>318</v>
      </c>
      <c r="C71" s="500">
        <f t="shared" si="11"/>
        <v>22043</v>
      </c>
      <c r="D71" s="500">
        <v>21942</v>
      </c>
      <c r="E71" s="500">
        <f t="shared" si="12"/>
        <v>-101</v>
      </c>
      <c r="F71" s="605">
        <f t="shared" si="10"/>
        <v>-4.5819534546114411E-3</v>
      </c>
    </row>
    <row r="72" spans="1:7">
      <c r="A72" s="601">
        <v>4210</v>
      </c>
      <c r="B72" s="502" t="s">
        <v>319</v>
      </c>
      <c r="C72" s="500">
        <f t="shared" si="11"/>
        <v>43739</v>
      </c>
      <c r="D72" s="500">
        <v>42402</v>
      </c>
      <c r="E72" s="500">
        <f t="shared" si="12"/>
        <v>-1337</v>
      </c>
      <c r="F72" s="605">
        <f t="shared" si="10"/>
        <v>-3.0567685589519649E-2</v>
      </c>
    </row>
    <row r="73" spans="1:7">
      <c r="A73" s="1347">
        <v>4220</v>
      </c>
      <c r="B73" s="613" t="s">
        <v>594</v>
      </c>
      <c r="C73" s="500">
        <f t="shared" si="11"/>
        <v>3953.95</v>
      </c>
      <c r="D73" s="500">
        <v>7283.88</v>
      </c>
      <c r="E73" s="500">
        <f t="shared" si="12"/>
        <v>3329.9300000000003</v>
      </c>
      <c r="F73" s="605">
        <f t="shared" si="10"/>
        <v>0.84217807508946763</v>
      </c>
      <c r="G73" s="13"/>
    </row>
    <row r="74" spans="1:7">
      <c r="A74" s="601"/>
      <c r="B74" s="502"/>
      <c r="C74" s="500"/>
      <c r="D74" s="500"/>
      <c r="E74" s="500">
        <f t="shared" si="12"/>
        <v>0</v>
      </c>
      <c r="F74" s="605"/>
    </row>
    <row r="75" spans="1:7">
      <c r="A75" s="601">
        <v>4355</v>
      </c>
      <c r="B75" s="730" t="s">
        <v>320</v>
      </c>
      <c r="C75" s="500">
        <f t="shared" si="11"/>
        <v>5007.93</v>
      </c>
      <c r="D75" s="500">
        <v>0</v>
      </c>
      <c r="E75" s="500">
        <f t="shared" si="12"/>
        <v>-5007.93</v>
      </c>
      <c r="F75" s="605"/>
    </row>
    <row r="76" spans="1:7">
      <c r="A76" s="601">
        <v>4360</v>
      </c>
      <c r="B76" s="502" t="s">
        <v>321</v>
      </c>
      <c r="C76" s="500">
        <f t="shared" si="11"/>
        <v>-5278.18</v>
      </c>
      <c r="D76" s="500">
        <v>-8613.94</v>
      </c>
      <c r="E76" s="500">
        <f t="shared" si="12"/>
        <v>-3335.76</v>
      </c>
      <c r="F76" s="605">
        <f>E76/C76</f>
        <v>0.63199057250794777</v>
      </c>
    </row>
    <row r="77" spans="1:7">
      <c r="A77" s="601">
        <v>4375</v>
      </c>
      <c r="B77" s="502" t="s">
        <v>322</v>
      </c>
      <c r="C77" s="500">
        <f t="shared" si="11"/>
        <v>39529</v>
      </c>
      <c r="D77" s="500">
        <v>5064</v>
      </c>
      <c r="E77" s="500">
        <f t="shared" si="12"/>
        <v>-34465</v>
      </c>
      <c r="F77" s="605">
        <f>E77/C77</f>
        <v>-0.87189152267955172</v>
      </c>
    </row>
    <row r="78" spans="1:7">
      <c r="A78" s="601">
        <v>4380</v>
      </c>
      <c r="B78" s="502" t="s">
        <v>323</v>
      </c>
      <c r="C78" s="500">
        <f t="shared" si="11"/>
        <v>0</v>
      </c>
      <c r="D78" s="500">
        <v>0</v>
      </c>
      <c r="E78" s="500">
        <f t="shared" si="12"/>
        <v>0</v>
      </c>
      <c r="F78" s="605"/>
    </row>
    <row r="79" spans="1:7">
      <c r="A79" s="601">
        <v>4390</v>
      </c>
      <c r="B79" s="502" t="s">
        <v>324</v>
      </c>
      <c r="C79" s="500">
        <f t="shared" si="11"/>
        <v>0</v>
      </c>
      <c r="D79" s="500">
        <v>0</v>
      </c>
      <c r="E79" s="500">
        <f t="shared" si="12"/>
        <v>0</v>
      </c>
      <c r="F79" s="605"/>
    </row>
    <row r="80" spans="1:7">
      <c r="A80" s="601">
        <v>4405</v>
      </c>
      <c r="B80" s="730" t="s">
        <v>325</v>
      </c>
      <c r="C80" s="500">
        <f t="shared" si="11"/>
        <v>17346.830000000002</v>
      </c>
      <c r="D80" s="500">
        <v>17944.850000000002</v>
      </c>
      <c r="E80" s="500">
        <f t="shared" si="12"/>
        <v>598.02000000000044</v>
      </c>
      <c r="F80" s="605">
        <f>E80/C80</f>
        <v>3.4474310291851613E-2</v>
      </c>
    </row>
    <row r="81" spans="1:6">
      <c r="A81" s="601"/>
      <c r="B81" s="502"/>
      <c r="C81" s="500"/>
      <c r="D81" s="500"/>
      <c r="E81" s="500">
        <f t="shared" si="12"/>
        <v>0</v>
      </c>
      <c r="F81" s="606"/>
    </row>
    <row r="82" spans="1:6">
      <c r="A82" s="601"/>
      <c r="B82" s="502"/>
      <c r="C82" s="500"/>
      <c r="D82" s="500"/>
      <c r="E82" s="500">
        <f t="shared" si="12"/>
        <v>0</v>
      </c>
      <c r="F82" s="606"/>
    </row>
    <row r="83" spans="1:6">
      <c r="A83" s="731"/>
      <c r="B83" s="732"/>
      <c r="C83" s="503"/>
      <c r="D83" s="503"/>
      <c r="E83" s="500">
        <f t="shared" si="12"/>
        <v>0</v>
      </c>
      <c r="F83" s="610"/>
    </row>
    <row r="84" spans="1:6">
      <c r="A84" s="1828" t="s">
        <v>291</v>
      </c>
      <c r="B84" s="1830"/>
      <c r="C84" s="500">
        <f>C67</f>
        <v>97264.175000000017</v>
      </c>
      <c r="D84" s="500">
        <f>D67</f>
        <v>81167</v>
      </c>
      <c r="E84" s="500">
        <f t="shared" si="12"/>
        <v>-16097.175000000017</v>
      </c>
      <c r="F84" s="605">
        <f>E84/C84</f>
        <v>-0.16549952744677077</v>
      </c>
    </row>
    <row r="85" spans="1:6">
      <c r="A85" s="1828" t="s">
        <v>292</v>
      </c>
      <c r="B85" s="1830"/>
      <c r="C85" s="500">
        <f>C68</f>
        <v>70389.829999999987</v>
      </c>
      <c r="D85" s="500">
        <f>D68</f>
        <v>58515.08</v>
      </c>
      <c r="E85" s="500">
        <f t="shared" si="12"/>
        <v>-11874.749999999985</v>
      </c>
      <c r="F85" s="605">
        <f>E85/C85</f>
        <v>-0.16869979654731354</v>
      </c>
    </row>
    <row r="86" spans="1:6">
      <c r="A86" s="1841" t="s">
        <v>294</v>
      </c>
      <c r="B86" s="1842"/>
      <c r="C86" s="1348">
        <f>SUM(C69:C73)</f>
        <v>76254.55</v>
      </c>
      <c r="D86" s="1348">
        <f>SUM(D69:D73)</f>
        <v>77819.23000000001</v>
      </c>
      <c r="E86" s="1348">
        <f>SUM(E69:E73)</f>
        <v>1564.6800000000012</v>
      </c>
      <c r="F86" s="605">
        <f>E86/C86</f>
        <v>2.0519169020078162E-2</v>
      </c>
    </row>
    <row r="87" spans="1:6" ht="13.8" thickBot="1">
      <c r="A87" s="1831" t="s">
        <v>293</v>
      </c>
      <c r="B87" s="1832"/>
      <c r="C87" s="504">
        <f>SUM(C75:C80)</f>
        <v>56605.58</v>
      </c>
      <c r="D87" s="504">
        <f>SUM(D75:D80)</f>
        <v>14394.910000000002</v>
      </c>
      <c r="E87" s="500">
        <f t="shared" si="12"/>
        <v>-42210.67</v>
      </c>
      <c r="F87" s="605">
        <f>E87/C87</f>
        <v>-0.74569803895658338</v>
      </c>
    </row>
    <row r="88" spans="1:6" ht="14.4" thickTop="1" thickBot="1">
      <c r="A88" s="1833" t="s">
        <v>5</v>
      </c>
      <c r="B88" s="1834"/>
      <c r="C88" s="505">
        <f>SUM(C84:C87)</f>
        <v>300514.13500000001</v>
      </c>
      <c r="D88" s="505">
        <f>SUM(D84:D87)</f>
        <v>231896.22000000003</v>
      </c>
      <c r="E88" s="505">
        <f>SUM(E84:E87)</f>
        <v>-68617.915000000008</v>
      </c>
      <c r="F88" s="605">
        <f>E88/C88</f>
        <v>-0.22833506650194677</v>
      </c>
    </row>
    <row r="89" spans="1:6">
      <c r="A89" s="617"/>
      <c r="B89" s="617"/>
      <c r="C89" s="618">
        <f>C88-D59</f>
        <v>0</v>
      </c>
      <c r="D89" s="618"/>
      <c r="E89" s="618"/>
      <c r="F89" s="619"/>
    </row>
    <row r="91" spans="1:6" ht="15.6">
      <c r="B91" s="501" t="s">
        <v>744</v>
      </c>
    </row>
    <row r="92" spans="1:6" ht="13.8" thickBot="1"/>
    <row r="93" spans="1:6" ht="13.8" thickTop="1">
      <c r="A93" s="595" t="s">
        <v>313</v>
      </c>
      <c r="B93" s="596" t="s">
        <v>314</v>
      </c>
      <c r="C93" s="597" t="s">
        <v>532</v>
      </c>
      <c r="D93" s="597" t="s">
        <v>447</v>
      </c>
      <c r="E93" s="597" t="s">
        <v>142</v>
      </c>
      <c r="F93" s="603" t="s">
        <v>142</v>
      </c>
    </row>
    <row r="94" spans="1:6">
      <c r="A94" s="598"/>
      <c r="B94" s="599"/>
      <c r="C94" s="599"/>
      <c r="D94" s="600"/>
      <c r="E94" s="600"/>
      <c r="F94" s="604"/>
    </row>
    <row r="95" spans="1:6">
      <c r="A95" s="728"/>
      <c r="B95" s="729" t="s">
        <v>315</v>
      </c>
      <c r="C95" s="600"/>
      <c r="D95" s="600"/>
      <c r="E95" s="736" t="s">
        <v>326</v>
      </c>
      <c r="F95" s="737" t="s">
        <v>141</v>
      </c>
    </row>
    <row r="96" spans="1:6">
      <c r="A96" s="601">
        <v>4235</v>
      </c>
      <c r="B96" s="502" t="s">
        <v>291</v>
      </c>
      <c r="C96" s="500">
        <f>D67</f>
        <v>81167</v>
      </c>
      <c r="D96" s="500">
        <v>78315.3</v>
      </c>
      <c r="E96" s="500">
        <f t="shared" ref="E96:E102" si="13">D96-C96</f>
        <v>-2851.6999999999971</v>
      </c>
      <c r="F96" s="605">
        <f t="shared" ref="F96:F102" si="14">E96/C96</f>
        <v>-3.5133736617098045E-2</v>
      </c>
    </row>
    <row r="97" spans="1:7">
      <c r="A97" s="601">
        <v>4225</v>
      </c>
      <c r="B97" s="502" t="s">
        <v>292</v>
      </c>
      <c r="C97" s="500">
        <f t="shared" ref="C97:C109" si="15">D68</f>
        <v>58515.08</v>
      </c>
      <c r="D97" s="500">
        <v>55105.609999999993</v>
      </c>
      <c r="E97" s="500">
        <f t="shared" si="13"/>
        <v>-3409.4700000000084</v>
      </c>
      <c r="F97" s="605">
        <f t="shared" si="14"/>
        <v>-5.8266518647842713E-2</v>
      </c>
    </row>
    <row r="98" spans="1:7">
      <c r="A98" s="601">
        <v>4082</v>
      </c>
      <c r="B98" s="502" t="s">
        <v>316</v>
      </c>
      <c r="C98" s="500">
        <f t="shared" si="15"/>
        <v>6160.1</v>
      </c>
      <c r="D98" s="500">
        <v>7044.5770000000002</v>
      </c>
      <c r="E98" s="500">
        <f t="shared" si="13"/>
        <v>884.47699999999986</v>
      </c>
      <c r="F98" s="605">
        <f t="shared" si="14"/>
        <v>0.14358159770133599</v>
      </c>
    </row>
    <row r="99" spans="1:7">
      <c r="A99" s="601">
        <v>4084</v>
      </c>
      <c r="B99" s="730" t="s">
        <v>317</v>
      </c>
      <c r="C99" s="500">
        <f t="shared" si="15"/>
        <v>31.25</v>
      </c>
      <c r="D99" s="500">
        <v>36</v>
      </c>
      <c r="E99" s="500">
        <f t="shared" si="13"/>
        <v>4.75</v>
      </c>
      <c r="F99" s="605">
        <f t="shared" si="14"/>
        <v>0.152</v>
      </c>
    </row>
    <row r="100" spans="1:7">
      <c r="A100" s="601">
        <v>4086</v>
      </c>
      <c r="B100" s="502" t="s">
        <v>318</v>
      </c>
      <c r="C100" s="500">
        <f t="shared" si="15"/>
        <v>21942</v>
      </c>
      <c r="D100" s="500">
        <v>21856</v>
      </c>
      <c r="E100" s="500">
        <f t="shared" si="13"/>
        <v>-86</v>
      </c>
      <c r="F100" s="605">
        <f t="shared" si="14"/>
        <v>-3.9194239358308269E-3</v>
      </c>
    </row>
    <row r="101" spans="1:7">
      <c r="A101" s="601">
        <v>4210</v>
      </c>
      <c r="B101" s="502" t="s">
        <v>319</v>
      </c>
      <c r="C101" s="500">
        <f t="shared" si="15"/>
        <v>42402</v>
      </c>
      <c r="D101" s="500">
        <v>44209</v>
      </c>
      <c r="E101" s="500">
        <f t="shared" si="13"/>
        <v>1807</v>
      </c>
      <c r="F101" s="605">
        <f t="shared" si="14"/>
        <v>4.2615914343663033E-2</v>
      </c>
    </row>
    <row r="102" spans="1:7">
      <c r="A102" s="1347">
        <v>4220</v>
      </c>
      <c r="B102" s="613" t="s">
        <v>594</v>
      </c>
      <c r="C102" s="500">
        <f t="shared" si="15"/>
        <v>7283.88</v>
      </c>
      <c r="D102" s="500">
        <v>7688.02</v>
      </c>
      <c r="E102" s="500">
        <f t="shared" si="13"/>
        <v>404.14000000000033</v>
      </c>
      <c r="F102" s="605">
        <f t="shared" si="14"/>
        <v>5.5484165032922056E-2</v>
      </c>
      <c r="G102" s="13"/>
    </row>
    <row r="103" spans="1:7">
      <c r="A103" s="601"/>
      <c r="B103" s="502"/>
      <c r="C103" s="500">
        <f t="shared" si="15"/>
        <v>0</v>
      </c>
      <c r="D103" s="500"/>
      <c r="E103" s="500"/>
      <c r="F103" s="605"/>
    </row>
    <row r="104" spans="1:7">
      <c r="A104" s="601">
        <v>4355</v>
      </c>
      <c r="B104" s="730" t="s">
        <v>320</v>
      </c>
      <c r="C104" s="500">
        <f t="shared" si="15"/>
        <v>0</v>
      </c>
      <c r="D104" s="500">
        <v>0</v>
      </c>
      <c r="E104" s="500">
        <f t="shared" ref="E104:E109" si="16">D104-C104</f>
        <v>0</v>
      </c>
      <c r="F104" s="605"/>
    </row>
    <row r="105" spans="1:7">
      <c r="A105" s="601">
        <v>4360</v>
      </c>
      <c r="B105" s="502" t="s">
        <v>321</v>
      </c>
      <c r="C105" s="500">
        <f t="shared" si="15"/>
        <v>-8613.94</v>
      </c>
      <c r="D105" s="500">
        <v>-7731.31</v>
      </c>
      <c r="E105" s="500">
        <f t="shared" si="16"/>
        <v>882.63000000000011</v>
      </c>
      <c r="F105" s="605">
        <f>E105/C105</f>
        <v>-0.10246530623617067</v>
      </c>
    </row>
    <row r="106" spans="1:7">
      <c r="A106" s="601">
        <v>4375</v>
      </c>
      <c r="B106" s="502" t="s">
        <v>322</v>
      </c>
      <c r="C106" s="500">
        <f t="shared" si="15"/>
        <v>5064</v>
      </c>
      <c r="D106" s="500">
        <v>0</v>
      </c>
      <c r="E106" s="500">
        <f t="shared" si="16"/>
        <v>-5064</v>
      </c>
      <c r="F106" s="605">
        <f>E106/C106</f>
        <v>-1</v>
      </c>
    </row>
    <row r="107" spans="1:7">
      <c r="A107" s="601">
        <v>4380</v>
      </c>
      <c r="B107" s="502" t="s">
        <v>323</v>
      </c>
      <c r="C107" s="500">
        <f t="shared" si="15"/>
        <v>0</v>
      </c>
      <c r="D107" s="500">
        <v>0</v>
      </c>
      <c r="E107" s="500">
        <f t="shared" si="16"/>
        <v>0</v>
      </c>
      <c r="F107" s="605"/>
    </row>
    <row r="108" spans="1:7">
      <c r="A108" s="601">
        <v>4390</v>
      </c>
      <c r="B108" s="502" t="s">
        <v>324</v>
      </c>
      <c r="C108" s="500">
        <f t="shared" si="15"/>
        <v>0</v>
      </c>
      <c r="D108" s="500">
        <v>0</v>
      </c>
      <c r="E108" s="500">
        <f t="shared" si="16"/>
        <v>0</v>
      </c>
      <c r="F108" s="605"/>
    </row>
    <row r="109" spans="1:7">
      <c r="A109" s="601">
        <v>4405</v>
      </c>
      <c r="B109" s="730" t="s">
        <v>325</v>
      </c>
      <c r="C109" s="500">
        <f t="shared" si="15"/>
        <v>17944.850000000002</v>
      </c>
      <c r="D109" s="500">
        <v>20164.45</v>
      </c>
      <c r="E109" s="500">
        <f t="shared" si="16"/>
        <v>2219.5999999999985</v>
      </c>
      <c r="F109" s="605">
        <f>E109/C109</f>
        <v>0.12369008378448403</v>
      </c>
    </row>
    <row r="110" spans="1:7">
      <c r="A110" s="601"/>
      <c r="B110" s="502"/>
      <c r="C110" s="500"/>
      <c r="D110" s="500"/>
      <c r="E110" s="500"/>
      <c r="F110" s="606"/>
    </row>
    <row r="111" spans="1:7">
      <c r="A111" s="601"/>
      <c r="B111" s="502"/>
      <c r="C111" s="500"/>
      <c r="D111" s="500"/>
      <c r="E111" s="500"/>
      <c r="F111" s="606"/>
    </row>
    <row r="112" spans="1:7">
      <c r="A112" s="731"/>
      <c r="B112" s="732"/>
      <c r="C112" s="503"/>
      <c r="D112" s="503"/>
      <c r="E112" s="503"/>
      <c r="F112" s="610"/>
    </row>
    <row r="113" spans="1:6">
      <c r="A113" s="1828" t="s">
        <v>291</v>
      </c>
      <c r="B113" s="1830"/>
      <c r="C113" s="500">
        <f t="shared" ref="C113:E114" si="17">C96</f>
        <v>81167</v>
      </c>
      <c r="D113" s="500">
        <f t="shared" si="17"/>
        <v>78315.3</v>
      </c>
      <c r="E113" s="500">
        <f t="shared" si="17"/>
        <v>-2851.6999999999971</v>
      </c>
      <c r="F113" s="611">
        <f>E113/C113</f>
        <v>-3.5133736617098045E-2</v>
      </c>
    </row>
    <row r="114" spans="1:6">
      <c r="A114" s="1828" t="s">
        <v>292</v>
      </c>
      <c r="B114" s="1830"/>
      <c r="C114" s="1471">
        <f t="shared" si="17"/>
        <v>58515.08</v>
      </c>
      <c r="D114" s="1471">
        <f t="shared" si="17"/>
        <v>55105.609999999993</v>
      </c>
      <c r="E114" s="1471">
        <f t="shared" si="17"/>
        <v>-3409.4700000000084</v>
      </c>
      <c r="F114" s="611">
        <f>E114/C114</f>
        <v>-5.8266518647842713E-2</v>
      </c>
    </row>
    <row r="115" spans="1:6">
      <c r="A115" s="1841" t="s">
        <v>294</v>
      </c>
      <c r="B115" s="1842"/>
      <c r="C115" s="1472">
        <f>SUM(C98:C102)</f>
        <v>77819.23000000001</v>
      </c>
      <c r="D115" s="1472">
        <f>SUM(D98:D102)</f>
        <v>80833.597000000009</v>
      </c>
      <c r="E115" s="1472">
        <f>SUM(E98:E102)</f>
        <v>3014.3670000000002</v>
      </c>
      <c r="F115" s="611">
        <f>E115/C115</f>
        <v>3.8735502779968393E-2</v>
      </c>
    </row>
    <row r="116" spans="1:6" ht="13.8" thickBot="1">
      <c r="A116" s="1831" t="s">
        <v>293</v>
      </c>
      <c r="B116" s="1832"/>
      <c r="C116" s="504">
        <f>SUM(C104:C109)</f>
        <v>14394.910000000002</v>
      </c>
      <c r="D116" s="504">
        <f>SUM(D104:D109)</f>
        <v>12433.14</v>
      </c>
      <c r="E116" s="504">
        <f>SUM(E104:E109)</f>
        <v>-1961.7700000000013</v>
      </c>
      <c r="F116" s="608">
        <f>E116/C116</f>
        <v>-0.13628219974977274</v>
      </c>
    </row>
    <row r="117" spans="1:6" ht="14.4" thickTop="1" thickBot="1">
      <c r="A117" s="1833" t="s">
        <v>5</v>
      </c>
      <c r="B117" s="1834"/>
      <c r="C117" s="505">
        <f>SUM(C113:C116)</f>
        <v>231896.22000000003</v>
      </c>
      <c r="D117" s="505">
        <f>SUM(D113:D116)</f>
        <v>226687.647</v>
      </c>
      <c r="E117" s="505">
        <f>SUM(E113:E116)</f>
        <v>-5208.5730000000067</v>
      </c>
      <c r="F117" s="609">
        <f>E117/C117</f>
        <v>-2.2460793021982013E-2</v>
      </c>
    </row>
    <row r="118" spans="1:6">
      <c r="A118" s="617"/>
      <c r="B118" s="617"/>
      <c r="C118" s="618"/>
      <c r="D118" s="618"/>
      <c r="E118" s="618"/>
      <c r="F118" s="619"/>
    </row>
    <row r="120" spans="1:6" ht="15.6">
      <c r="B120" s="501" t="s">
        <v>745</v>
      </c>
    </row>
    <row r="121" spans="1:6" ht="13.8" thickBot="1"/>
    <row r="122" spans="1:6" ht="13.8" thickTop="1">
      <c r="A122" s="595" t="s">
        <v>313</v>
      </c>
      <c r="B122" s="596" t="s">
        <v>314</v>
      </c>
      <c r="C122" s="597" t="s">
        <v>447</v>
      </c>
      <c r="D122" s="597" t="s">
        <v>600</v>
      </c>
      <c r="E122" s="597" t="s">
        <v>142</v>
      </c>
      <c r="F122" s="603" t="s">
        <v>142</v>
      </c>
    </row>
    <row r="123" spans="1:6">
      <c r="A123" s="598"/>
      <c r="B123" s="599"/>
      <c r="C123" s="599"/>
      <c r="D123" s="600"/>
      <c r="E123" s="600"/>
      <c r="F123" s="604"/>
    </row>
    <row r="124" spans="1:6">
      <c r="A124" s="728"/>
      <c r="B124" s="729" t="s">
        <v>315</v>
      </c>
      <c r="C124" s="600"/>
      <c r="D124" s="600"/>
      <c r="E124" s="726" t="s">
        <v>326</v>
      </c>
      <c r="F124" s="727" t="s">
        <v>141</v>
      </c>
    </row>
    <row r="125" spans="1:6">
      <c r="A125" s="601">
        <v>4235</v>
      </c>
      <c r="B125" s="613" t="s">
        <v>291</v>
      </c>
      <c r="C125" s="612">
        <f>D96</f>
        <v>78315.3</v>
      </c>
      <c r="D125" s="612">
        <v>106103.75</v>
      </c>
      <c r="E125" s="612">
        <f t="shared" ref="E125:E131" si="18">D125-C125</f>
        <v>27788.449999999997</v>
      </c>
      <c r="F125" s="611">
        <f t="shared" ref="F125:F131" si="19">E125/C125</f>
        <v>0.35482785611496087</v>
      </c>
    </row>
    <row r="126" spans="1:6">
      <c r="A126" s="601">
        <v>4225</v>
      </c>
      <c r="B126" s="613" t="s">
        <v>292</v>
      </c>
      <c r="C126" s="612">
        <f t="shared" ref="C126:C138" si="20">D97</f>
        <v>55105.609999999993</v>
      </c>
      <c r="D126" s="612">
        <v>69106.820000000007</v>
      </c>
      <c r="E126" s="612">
        <f t="shared" si="18"/>
        <v>14001.210000000014</v>
      </c>
      <c r="F126" s="611">
        <f t="shared" si="19"/>
        <v>0.25407957556408534</v>
      </c>
    </row>
    <row r="127" spans="1:6">
      <c r="A127" s="601">
        <v>4082</v>
      </c>
      <c r="B127" s="613" t="s">
        <v>316</v>
      </c>
      <c r="C127" s="612">
        <f t="shared" si="20"/>
        <v>7044.5770000000002</v>
      </c>
      <c r="D127" s="612">
        <v>7151.58</v>
      </c>
      <c r="E127" s="612">
        <f t="shared" si="18"/>
        <v>107.0029999999997</v>
      </c>
      <c r="F127" s="611">
        <f t="shared" si="19"/>
        <v>1.5189414495717727E-2</v>
      </c>
    </row>
    <row r="128" spans="1:6">
      <c r="A128" s="601">
        <v>4084</v>
      </c>
      <c r="B128" s="733" t="s">
        <v>317</v>
      </c>
      <c r="C128" s="612">
        <f t="shared" si="20"/>
        <v>36</v>
      </c>
      <c r="D128" s="612">
        <v>34</v>
      </c>
      <c r="E128" s="612">
        <f t="shared" si="18"/>
        <v>-2</v>
      </c>
      <c r="F128" s="611">
        <f t="shared" si="19"/>
        <v>-5.5555555555555552E-2</v>
      </c>
    </row>
    <row r="129" spans="1:6">
      <c r="A129" s="1473" t="s">
        <v>661</v>
      </c>
      <c r="B129" s="613" t="s">
        <v>318</v>
      </c>
      <c r="C129" s="612">
        <f t="shared" si="20"/>
        <v>21856</v>
      </c>
      <c r="D129" s="612">
        <v>21747.82</v>
      </c>
      <c r="E129" s="612">
        <f t="shared" si="18"/>
        <v>-108.18000000000029</v>
      </c>
      <c r="F129" s="611">
        <f t="shared" si="19"/>
        <v>-4.9496705710102623E-3</v>
      </c>
    </row>
    <row r="130" spans="1:6">
      <c r="A130" s="601">
        <v>4210</v>
      </c>
      <c r="B130" s="613" t="s">
        <v>319</v>
      </c>
      <c r="C130" s="612">
        <f t="shared" si="20"/>
        <v>44209</v>
      </c>
      <c r="D130" s="612">
        <v>44409.45</v>
      </c>
      <c r="E130" s="612">
        <f t="shared" si="18"/>
        <v>200.44999999999709</v>
      </c>
      <c r="F130" s="611">
        <f t="shared" si="19"/>
        <v>4.53414463118363E-3</v>
      </c>
    </row>
    <row r="131" spans="1:6">
      <c r="A131" s="601">
        <v>4220</v>
      </c>
      <c r="B131" s="502" t="s">
        <v>594</v>
      </c>
      <c r="C131" s="612">
        <f t="shared" si="20"/>
        <v>7688.02</v>
      </c>
      <c r="D131" s="612">
        <v>11968.3</v>
      </c>
      <c r="E131" s="500">
        <f t="shared" si="18"/>
        <v>4280.2799999999988</v>
      </c>
      <c r="F131" s="605">
        <f t="shared" si="19"/>
        <v>0.55674673062765168</v>
      </c>
    </row>
    <row r="132" spans="1:6">
      <c r="A132" s="601"/>
      <c r="B132" s="613"/>
      <c r="C132" s="612">
        <f t="shared" si="20"/>
        <v>0</v>
      </c>
      <c r="D132" s="612"/>
      <c r="E132" s="612"/>
      <c r="F132" s="611"/>
    </row>
    <row r="133" spans="1:6">
      <c r="A133" s="601">
        <v>4355</v>
      </c>
      <c r="B133" s="733" t="s">
        <v>320</v>
      </c>
      <c r="C133" s="612">
        <f t="shared" si="20"/>
        <v>0</v>
      </c>
      <c r="D133" s="612">
        <v>0</v>
      </c>
      <c r="E133" s="612">
        <f t="shared" ref="E133:E138" si="21">D133-C133</f>
        <v>0</v>
      </c>
      <c r="F133" s="611"/>
    </row>
    <row r="134" spans="1:6">
      <c r="A134" s="601">
        <v>4360</v>
      </c>
      <c r="B134" s="613" t="s">
        <v>321</v>
      </c>
      <c r="C134" s="612">
        <f t="shared" si="20"/>
        <v>-7731.31</v>
      </c>
      <c r="D134" s="612">
        <v>-4075.61</v>
      </c>
      <c r="E134" s="612">
        <f t="shared" si="21"/>
        <v>3655.7000000000003</v>
      </c>
      <c r="F134" s="611">
        <f>E134/C134</f>
        <v>-0.47284354139207974</v>
      </c>
    </row>
    <row r="135" spans="1:6">
      <c r="A135" s="601">
        <v>4375</v>
      </c>
      <c r="B135" s="613" t="s">
        <v>322</v>
      </c>
      <c r="C135" s="612">
        <f t="shared" si="20"/>
        <v>0</v>
      </c>
      <c r="D135" s="612">
        <v>0</v>
      </c>
      <c r="E135" s="612">
        <f t="shared" si="21"/>
        <v>0</v>
      </c>
      <c r="F135" s="611"/>
    </row>
    <row r="136" spans="1:6">
      <c r="A136" s="601">
        <v>4380</v>
      </c>
      <c r="B136" s="613" t="s">
        <v>323</v>
      </c>
      <c r="C136" s="612">
        <f t="shared" si="20"/>
        <v>0</v>
      </c>
      <c r="D136" s="612">
        <v>0</v>
      </c>
      <c r="E136" s="612">
        <f t="shared" si="21"/>
        <v>0</v>
      </c>
      <c r="F136" s="611"/>
    </row>
    <row r="137" spans="1:6">
      <c r="A137" s="601">
        <v>4390</v>
      </c>
      <c r="B137" s="613" t="s">
        <v>324</v>
      </c>
      <c r="C137" s="612">
        <f t="shared" si="20"/>
        <v>0</v>
      </c>
      <c r="D137" s="612">
        <v>0</v>
      </c>
      <c r="E137" s="612">
        <f t="shared" si="21"/>
        <v>0</v>
      </c>
      <c r="F137" s="611"/>
    </row>
    <row r="138" spans="1:6">
      <c r="A138" s="601">
        <v>4405</v>
      </c>
      <c r="B138" s="733" t="s">
        <v>325</v>
      </c>
      <c r="C138" s="612">
        <f t="shared" si="20"/>
        <v>20164.45</v>
      </c>
      <c r="D138" s="612">
        <v>10282.26</v>
      </c>
      <c r="E138" s="612">
        <f t="shared" si="21"/>
        <v>-9882.19</v>
      </c>
      <c r="F138" s="611">
        <f>E138/C138</f>
        <v>-0.49007981869081479</v>
      </c>
    </row>
    <row r="139" spans="1:6">
      <c r="A139" s="601"/>
      <c r="B139" s="613"/>
      <c r="C139" s="612"/>
      <c r="D139" s="612"/>
      <c r="E139" s="612"/>
      <c r="F139" s="614"/>
    </row>
    <row r="140" spans="1:6">
      <c r="A140" s="601"/>
      <c r="B140" s="613"/>
      <c r="C140" s="612"/>
      <c r="D140" s="612"/>
      <c r="E140" s="612"/>
      <c r="F140" s="614"/>
    </row>
    <row r="141" spans="1:6">
      <c r="A141" s="731"/>
      <c r="B141" s="732"/>
      <c r="C141" s="503"/>
      <c r="D141" s="503"/>
      <c r="E141" s="503"/>
      <c r="F141" s="610"/>
    </row>
    <row r="142" spans="1:6">
      <c r="A142" s="1828" t="s">
        <v>291</v>
      </c>
      <c r="B142" s="1829"/>
      <c r="C142" s="612">
        <f t="shared" ref="C142:E143" si="22">C125</f>
        <v>78315.3</v>
      </c>
      <c r="D142" s="612">
        <f t="shared" si="22"/>
        <v>106103.75</v>
      </c>
      <c r="E142" s="612">
        <f t="shared" si="22"/>
        <v>27788.449999999997</v>
      </c>
      <c r="F142" s="611">
        <f>E142/C142</f>
        <v>0.35482785611496087</v>
      </c>
    </row>
    <row r="143" spans="1:6">
      <c r="A143" s="1828" t="s">
        <v>292</v>
      </c>
      <c r="B143" s="1829"/>
      <c r="C143" s="612">
        <f t="shared" si="22"/>
        <v>55105.609999999993</v>
      </c>
      <c r="D143" s="612">
        <f t="shared" si="22"/>
        <v>69106.820000000007</v>
      </c>
      <c r="E143" s="612">
        <f t="shared" si="22"/>
        <v>14001.210000000014</v>
      </c>
      <c r="F143" s="611">
        <f>E143/C143</f>
        <v>0.25407957556408534</v>
      </c>
    </row>
    <row r="144" spans="1:6">
      <c r="A144" s="1828" t="s">
        <v>293</v>
      </c>
      <c r="B144" s="1830"/>
      <c r="C144" s="1348">
        <f>SUM(C127:C131)</f>
        <v>80833.597000000009</v>
      </c>
      <c r="D144" s="1348">
        <f>SUM(D127:D131)</f>
        <v>85311.150000000009</v>
      </c>
      <c r="E144" s="1348">
        <f>SUM(E127:E131)</f>
        <v>4477.5529999999953</v>
      </c>
      <c r="F144" s="611">
        <f>E144/C144</f>
        <v>5.539222756597105E-2</v>
      </c>
    </row>
    <row r="145" spans="1:6" ht="13.8" thickBot="1">
      <c r="A145" s="1831" t="s">
        <v>294</v>
      </c>
      <c r="B145" s="1832"/>
      <c r="C145" s="504">
        <f>SUM(C133:C138)</f>
        <v>12433.14</v>
      </c>
      <c r="D145" s="504">
        <f>SUM(D133:D138)</f>
        <v>6206.65</v>
      </c>
      <c r="E145" s="504">
        <f>SUM(E133:E138)</f>
        <v>-6226.49</v>
      </c>
      <c r="F145" s="608">
        <f>E145/C145</f>
        <v>-0.50079786763440293</v>
      </c>
    </row>
    <row r="146" spans="1:6" ht="14.4" thickTop="1" thickBot="1">
      <c r="A146" s="1833" t="s">
        <v>5</v>
      </c>
      <c r="B146" s="1834"/>
      <c r="C146" s="505">
        <f>SUM(C142:C145)</f>
        <v>226687.647</v>
      </c>
      <c r="D146" s="505">
        <f>SUM(D142:D145)</f>
        <v>266728.37000000005</v>
      </c>
      <c r="E146" s="505">
        <f>SUM(E142:E145)</f>
        <v>40040.723000000005</v>
      </c>
      <c r="F146" s="609">
        <f>E146/C146</f>
        <v>0.17663389924374664</v>
      </c>
    </row>
    <row r="147" spans="1:6">
      <c r="C147" s="332">
        <f>C146-D117</f>
        <v>0</v>
      </c>
      <c r="D147" s="332"/>
    </row>
    <row r="149" spans="1:6" ht="15.6">
      <c r="B149" s="501" t="s">
        <v>662</v>
      </c>
    </row>
    <row r="150" spans="1:6" ht="13.8" thickBot="1"/>
    <row r="151" spans="1:6" ht="13.8" thickTop="1">
      <c r="A151" s="595" t="s">
        <v>313</v>
      </c>
      <c r="B151" s="596" t="s">
        <v>314</v>
      </c>
      <c r="C151" s="597" t="s">
        <v>600</v>
      </c>
      <c r="D151" s="597" t="s">
        <v>638</v>
      </c>
      <c r="E151" s="597" t="s">
        <v>142</v>
      </c>
      <c r="F151" s="603" t="s">
        <v>142</v>
      </c>
    </row>
    <row r="152" spans="1:6">
      <c r="A152" s="598"/>
      <c r="B152" s="599"/>
      <c r="C152" s="599"/>
      <c r="D152" s="600"/>
      <c r="E152" s="600"/>
      <c r="F152" s="604"/>
    </row>
    <row r="153" spans="1:6">
      <c r="A153" s="728"/>
      <c r="B153" s="729" t="s">
        <v>315</v>
      </c>
      <c r="C153" s="600"/>
      <c r="D153" s="600"/>
      <c r="E153" s="726" t="s">
        <v>326</v>
      </c>
      <c r="F153" s="727" t="s">
        <v>141</v>
      </c>
    </row>
    <row r="154" spans="1:6">
      <c r="A154" s="601">
        <v>4235</v>
      </c>
      <c r="B154" s="613" t="s">
        <v>291</v>
      </c>
      <c r="C154" s="612">
        <f>D125</f>
        <v>106103.75</v>
      </c>
      <c r="D154" s="612">
        <f>-VLOOKUP(A154,'[17]App.2-H_Other_Oper_Rev'!$A$15:$L$63,11,FALSE)</f>
        <v>107197</v>
      </c>
      <c r="E154" s="612">
        <f t="shared" ref="E154:E160" si="23">D154-C154</f>
        <v>1093.25</v>
      </c>
      <c r="F154" s="611">
        <f t="shared" ref="F154:F160" si="24">E154/C154</f>
        <v>1.0303594359294559E-2</v>
      </c>
    </row>
    <row r="155" spans="1:6">
      <c r="A155" s="601">
        <v>4225</v>
      </c>
      <c r="B155" s="613" t="s">
        <v>292</v>
      </c>
      <c r="C155" s="612">
        <f t="shared" ref="C155:C167" si="25">D126</f>
        <v>69106.820000000007</v>
      </c>
      <c r="D155" s="612">
        <f>-VLOOKUP(A155,'[17]App.2-H_Other_Oper_Rev'!$A$15:$L$63,11,FALSE)</f>
        <v>60000</v>
      </c>
      <c r="E155" s="612">
        <f t="shared" si="23"/>
        <v>-9106.820000000007</v>
      </c>
      <c r="F155" s="611">
        <f t="shared" si="24"/>
        <v>-0.13177888955098796</v>
      </c>
    </row>
    <row r="156" spans="1:6">
      <c r="A156" s="601">
        <v>4082</v>
      </c>
      <c r="B156" s="613" t="s">
        <v>316</v>
      </c>
      <c r="C156" s="612">
        <f t="shared" si="25"/>
        <v>7151.58</v>
      </c>
      <c r="D156" s="612">
        <f>-VLOOKUP(A156,'[17]App.2-H_Other_Oper_Rev'!$A$15:$L$63,11,FALSE)</f>
        <v>7260</v>
      </c>
      <c r="E156" s="612">
        <f t="shared" si="23"/>
        <v>108.42000000000007</v>
      </c>
      <c r="F156" s="611">
        <f t="shared" si="24"/>
        <v>1.5160286258421226E-2</v>
      </c>
    </row>
    <row r="157" spans="1:6">
      <c r="A157" s="601">
        <v>4084</v>
      </c>
      <c r="B157" s="733" t="s">
        <v>317</v>
      </c>
      <c r="C157" s="612">
        <f t="shared" si="25"/>
        <v>34</v>
      </c>
      <c r="D157" s="612">
        <f>-VLOOKUP(A157,'[17]App.2-H_Other_Oper_Rev'!$A$15:$L$63,11,FALSE)</f>
        <v>40</v>
      </c>
      <c r="E157" s="612">
        <f t="shared" si="23"/>
        <v>6</v>
      </c>
      <c r="F157" s="611">
        <f t="shared" si="24"/>
        <v>0.17647058823529413</v>
      </c>
    </row>
    <row r="158" spans="1:6">
      <c r="A158" s="1473" t="s">
        <v>661</v>
      </c>
      <c r="B158" s="613" t="s">
        <v>318</v>
      </c>
      <c r="C158" s="612">
        <f t="shared" si="25"/>
        <v>21747.82</v>
      </c>
      <c r="D158" s="612">
        <f>-VLOOKUP(A158,'[17]App.2-H_Other_Oper_Rev'!$A$15:$L$63,11,FALSE)</f>
        <v>21000</v>
      </c>
      <c r="E158" s="612">
        <f t="shared" si="23"/>
        <v>-747.81999999999971</v>
      </c>
      <c r="F158" s="611">
        <f t="shared" si="24"/>
        <v>-3.4385975237977866E-2</v>
      </c>
    </row>
    <row r="159" spans="1:6">
      <c r="A159" s="601">
        <v>4210</v>
      </c>
      <c r="B159" s="613" t="s">
        <v>319</v>
      </c>
      <c r="C159" s="612">
        <f t="shared" si="25"/>
        <v>44409.45</v>
      </c>
      <c r="D159" s="612">
        <f>-VLOOKUP(A159,'[17]App.2-H_Other_Oper_Rev'!$A$15:$L$63,11,FALSE)</f>
        <v>44409.64999999998</v>
      </c>
      <c r="E159" s="612">
        <f t="shared" si="23"/>
        <v>0.1999999999825377</v>
      </c>
      <c r="F159" s="611">
        <f t="shared" si="24"/>
        <v>4.50354597912241E-6</v>
      </c>
    </row>
    <row r="160" spans="1:6">
      <c r="A160" s="601">
        <v>4220</v>
      </c>
      <c r="B160" s="502" t="s">
        <v>319</v>
      </c>
      <c r="C160" s="612">
        <f t="shared" si="25"/>
        <v>11968.3</v>
      </c>
      <c r="D160" s="612">
        <f>-VLOOKUP(A160,'[17]App.2-H_Other_Oper_Rev'!$A$15:$L$63,11,FALSE)</f>
        <v>9000</v>
      </c>
      <c r="E160" s="500">
        <f t="shared" si="23"/>
        <v>-2968.2999999999993</v>
      </c>
      <c r="F160" s="605">
        <f t="shared" si="24"/>
        <v>-0.24801350233533581</v>
      </c>
    </row>
    <row r="161" spans="1:6">
      <c r="A161" s="601"/>
      <c r="B161" s="613"/>
      <c r="C161" s="612">
        <f t="shared" si="25"/>
        <v>0</v>
      </c>
      <c r="D161" s="612"/>
      <c r="E161" s="612"/>
      <c r="F161" s="611"/>
    </row>
    <row r="162" spans="1:6">
      <c r="A162" s="601">
        <v>4355</v>
      </c>
      <c r="B162" s="733" t="s">
        <v>320</v>
      </c>
      <c r="C162" s="612">
        <f t="shared" si="25"/>
        <v>0</v>
      </c>
      <c r="D162" s="612">
        <f>-VLOOKUP(A162,'[17]App.2-H_Other_Oper_Rev'!$A$15:$L$63,11,FALSE)</f>
        <v>0</v>
      </c>
      <c r="E162" s="612">
        <f t="shared" ref="E162:E167" si="26">D162-C162</f>
        <v>0</v>
      </c>
      <c r="F162" s="611"/>
    </row>
    <row r="163" spans="1:6">
      <c r="A163" s="601">
        <v>4360</v>
      </c>
      <c r="B163" s="613" t="s">
        <v>321</v>
      </c>
      <c r="C163" s="612">
        <f t="shared" si="25"/>
        <v>-4075.61</v>
      </c>
      <c r="D163" s="612">
        <f>-VLOOKUP(A163,'[17]App.2-H_Other_Oper_Rev'!$A$15:$L$63,11,FALSE)</f>
        <v>-6000</v>
      </c>
      <c r="E163" s="612">
        <f t="shared" si="26"/>
        <v>-1924.3899999999999</v>
      </c>
      <c r="F163" s="611">
        <f>E163/C163</f>
        <v>0.47217226378382615</v>
      </c>
    </row>
    <row r="164" spans="1:6">
      <c r="A164" s="601">
        <v>4375</v>
      </c>
      <c r="B164" s="613" t="s">
        <v>322</v>
      </c>
      <c r="C164" s="612">
        <f t="shared" si="25"/>
        <v>0</v>
      </c>
      <c r="D164" s="612">
        <f>-VLOOKUP(A164,'[17]App.2-H_Other_Oper_Rev'!$A$15:$L$63,11,FALSE)</f>
        <v>0</v>
      </c>
      <c r="E164" s="612">
        <f t="shared" si="26"/>
        <v>0</v>
      </c>
      <c r="F164" s="611"/>
    </row>
    <row r="165" spans="1:6">
      <c r="A165" s="601">
        <v>4380</v>
      </c>
      <c r="B165" s="613" t="s">
        <v>323</v>
      </c>
      <c r="C165" s="612">
        <f t="shared" si="25"/>
        <v>0</v>
      </c>
      <c r="D165" s="612">
        <f>-VLOOKUP(A165,'[17]App.2-H_Other_Oper_Rev'!$A$15:$L$63,11,FALSE)</f>
        <v>0</v>
      </c>
      <c r="E165" s="612">
        <f t="shared" si="26"/>
        <v>0</v>
      </c>
      <c r="F165" s="611"/>
    </row>
    <row r="166" spans="1:6">
      <c r="A166" s="601">
        <v>4390</v>
      </c>
      <c r="B166" s="613" t="s">
        <v>324</v>
      </c>
      <c r="C166" s="612">
        <f t="shared" si="25"/>
        <v>0</v>
      </c>
      <c r="D166" s="612">
        <f>-VLOOKUP(A166,'[17]App.2-H_Other_Oper_Rev'!$A$15:$L$63,11,FALSE)</f>
        <v>0</v>
      </c>
      <c r="E166" s="612">
        <f t="shared" si="26"/>
        <v>0</v>
      </c>
      <c r="F166" s="611"/>
    </row>
    <row r="167" spans="1:6">
      <c r="A167" s="601">
        <v>4405</v>
      </c>
      <c r="B167" s="733" t="s">
        <v>325</v>
      </c>
      <c r="C167" s="612">
        <f t="shared" si="25"/>
        <v>10282.26</v>
      </c>
      <c r="D167" s="612">
        <f>-VLOOKUP(A167,'[17]App.2-H_Other_Oper_Rev'!$A$15:$L$63,11,FALSE)</f>
        <v>3500</v>
      </c>
      <c r="E167" s="612">
        <f t="shared" si="26"/>
        <v>-6782.26</v>
      </c>
      <c r="F167" s="611">
        <f>E167/C167</f>
        <v>-0.65960790721106066</v>
      </c>
    </row>
    <row r="168" spans="1:6">
      <c r="A168" s="601"/>
      <c r="B168" s="613"/>
      <c r="C168" s="612"/>
      <c r="D168" s="612"/>
      <c r="E168" s="612"/>
      <c r="F168" s="614"/>
    </row>
    <row r="169" spans="1:6">
      <c r="A169" s="601"/>
      <c r="B169" s="613"/>
      <c r="C169" s="612"/>
      <c r="D169" s="612"/>
      <c r="E169" s="612"/>
      <c r="F169" s="614"/>
    </row>
    <row r="170" spans="1:6">
      <c r="A170" s="731"/>
      <c r="B170" s="732"/>
      <c r="C170" s="503"/>
      <c r="D170" s="503"/>
      <c r="E170" s="503"/>
      <c r="F170" s="610"/>
    </row>
    <row r="171" spans="1:6">
      <c r="A171" s="1828" t="s">
        <v>291</v>
      </c>
      <c r="B171" s="1829"/>
      <c r="C171" s="612">
        <f t="shared" ref="C171:E171" si="27">C154</f>
        <v>106103.75</v>
      </c>
      <c r="D171" s="612">
        <f t="shared" si="27"/>
        <v>107197</v>
      </c>
      <c r="E171" s="612">
        <f t="shared" si="27"/>
        <v>1093.25</v>
      </c>
      <c r="F171" s="611">
        <f>E171/C171</f>
        <v>1.0303594359294559E-2</v>
      </c>
    </row>
    <row r="172" spans="1:6">
      <c r="A172" s="1828" t="s">
        <v>292</v>
      </c>
      <c r="B172" s="1829"/>
      <c r="C172" s="612">
        <f t="shared" ref="C172:E172" si="28">C155</f>
        <v>69106.820000000007</v>
      </c>
      <c r="D172" s="612">
        <f t="shared" si="28"/>
        <v>60000</v>
      </c>
      <c r="E172" s="612">
        <f t="shared" si="28"/>
        <v>-9106.820000000007</v>
      </c>
      <c r="F172" s="611">
        <f>E172/C172</f>
        <v>-0.13177888955098796</v>
      </c>
    </row>
    <row r="173" spans="1:6">
      <c r="A173" s="1828" t="s">
        <v>293</v>
      </c>
      <c r="B173" s="1830"/>
      <c r="C173" s="1474">
        <f>SUM(C156:C160)</f>
        <v>85311.150000000009</v>
      </c>
      <c r="D173" s="1474">
        <f>SUM(D156:D160)</f>
        <v>81709.64999999998</v>
      </c>
      <c r="E173" s="1474">
        <f>SUM(E156:E160)</f>
        <v>-3601.5000000000164</v>
      </c>
      <c r="F173" s="611">
        <f>E173/C173</f>
        <v>-4.2216052649624532E-2</v>
      </c>
    </row>
    <row r="174" spans="1:6" ht="13.8" thickBot="1">
      <c r="A174" s="1831" t="s">
        <v>294</v>
      </c>
      <c r="B174" s="1832"/>
      <c r="C174" s="504">
        <f>SUM(C162:C167)</f>
        <v>6206.65</v>
      </c>
      <c r="D174" s="504">
        <f>SUM(D162:D167)</f>
        <v>-2500</v>
      </c>
      <c r="E174" s="504">
        <f>SUM(E162:E167)</f>
        <v>-8706.65</v>
      </c>
      <c r="F174" s="608">
        <f>E174/C174</f>
        <v>-1.402793777641723</v>
      </c>
    </row>
    <row r="175" spans="1:6" ht="14.4" thickTop="1" thickBot="1">
      <c r="A175" s="1833" t="s">
        <v>5</v>
      </c>
      <c r="B175" s="1834"/>
      <c r="C175" s="505">
        <f>SUM(C171:C174)</f>
        <v>266728.37000000005</v>
      </c>
      <c r="D175" s="505">
        <f>SUM(D171:D174)</f>
        <v>246406.64999999997</v>
      </c>
      <c r="E175" s="505">
        <f>SUM(E171:E174)</f>
        <v>-20321.720000000023</v>
      </c>
      <c r="F175" s="609">
        <f>E175/C175</f>
        <v>-7.618882085921351E-2</v>
      </c>
    </row>
    <row r="176" spans="1:6">
      <c r="C176" s="332">
        <f>C175-D146</f>
        <v>0</v>
      </c>
      <c r="D176" s="332"/>
    </row>
    <row r="178" spans="1:6" ht="15.6">
      <c r="B178" s="501" t="s">
        <v>663</v>
      </c>
    </row>
    <row r="179" spans="1:6" ht="13.8" thickBot="1"/>
    <row r="180" spans="1:6" ht="13.8" thickTop="1">
      <c r="A180" s="595" t="s">
        <v>313</v>
      </c>
      <c r="B180" s="596" t="s">
        <v>314</v>
      </c>
      <c r="C180" s="597" t="s">
        <v>638</v>
      </c>
      <c r="D180" s="597" t="s">
        <v>664</v>
      </c>
      <c r="E180" s="597" t="s">
        <v>142</v>
      </c>
      <c r="F180" s="603" t="s">
        <v>142</v>
      </c>
    </row>
    <row r="181" spans="1:6">
      <c r="A181" s="598"/>
      <c r="B181" s="599"/>
      <c r="C181" s="599"/>
      <c r="D181" s="600"/>
      <c r="E181" s="600"/>
      <c r="F181" s="604"/>
    </row>
    <row r="182" spans="1:6">
      <c r="A182" s="728"/>
      <c r="B182" s="729" t="s">
        <v>315</v>
      </c>
      <c r="C182" s="600"/>
      <c r="D182" s="600"/>
      <c r="E182" s="726" t="s">
        <v>326</v>
      </c>
      <c r="F182" s="727" t="s">
        <v>141</v>
      </c>
    </row>
    <row r="183" spans="1:6">
      <c r="A183" s="601">
        <v>4235</v>
      </c>
      <c r="B183" s="613" t="s">
        <v>291</v>
      </c>
      <c r="C183" s="612">
        <f>D154</f>
        <v>107197</v>
      </c>
      <c r="D183" s="612">
        <f>-VLOOKUP(A183,'[17]App.2-H_Other_Oper_Rev'!$A$15:$L$63,12,FALSE)</f>
        <v>23875</v>
      </c>
      <c r="E183" s="612">
        <f t="shared" ref="E183:E189" si="29">D183-C183</f>
        <v>-83322</v>
      </c>
      <c r="F183" s="611">
        <f t="shared" ref="F183:F189" si="30">E183/C183</f>
        <v>-0.77727921490340213</v>
      </c>
    </row>
    <row r="184" spans="1:6">
      <c r="A184" s="601">
        <v>4225</v>
      </c>
      <c r="B184" s="613" t="s">
        <v>292</v>
      </c>
      <c r="C184" s="612">
        <f t="shared" ref="C184:C196" si="31">D155</f>
        <v>60000</v>
      </c>
      <c r="D184" s="612">
        <f>-VLOOKUP(A184,'[17]App.2-H_Other_Oper_Rev'!$A$15:$L$63,12,FALSE)</f>
        <v>60000</v>
      </c>
      <c r="E184" s="612">
        <f t="shared" si="29"/>
        <v>0</v>
      </c>
      <c r="F184" s="611">
        <f t="shared" si="30"/>
        <v>0</v>
      </c>
    </row>
    <row r="185" spans="1:6">
      <c r="A185" s="601">
        <v>4082</v>
      </c>
      <c r="B185" s="613" t="s">
        <v>316</v>
      </c>
      <c r="C185" s="612">
        <f t="shared" si="31"/>
        <v>7260</v>
      </c>
      <c r="D185" s="612">
        <f>-VLOOKUP(A185,'[17]App.2-H_Other_Oper_Rev'!$A$15:$L$63,12,FALSE)</f>
        <v>9300</v>
      </c>
      <c r="E185" s="612">
        <f t="shared" si="29"/>
        <v>2040</v>
      </c>
      <c r="F185" s="611">
        <f t="shared" si="30"/>
        <v>0.28099173553719009</v>
      </c>
    </row>
    <row r="186" spans="1:6">
      <c r="A186" s="601">
        <v>4084</v>
      </c>
      <c r="B186" s="733" t="s">
        <v>317</v>
      </c>
      <c r="C186" s="612">
        <f t="shared" si="31"/>
        <v>40</v>
      </c>
      <c r="D186" s="612">
        <f>-VLOOKUP(A186,'[17]App.2-H_Other_Oper_Rev'!$A$15:$L$63,12,FALSE)</f>
        <v>40</v>
      </c>
      <c r="E186" s="612">
        <f t="shared" si="29"/>
        <v>0</v>
      </c>
      <c r="F186" s="611">
        <f t="shared" si="30"/>
        <v>0</v>
      </c>
    </row>
    <row r="187" spans="1:6">
      <c r="A187" s="1473" t="s">
        <v>661</v>
      </c>
      <c r="B187" s="613" t="s">
        <v>318</v>
      </c>
      <c r="C187" s="612">
        <f t="shared" si="31"/>
        <v>21000</v>
      </c>
      <c r="D187" s="612">
        <f>-VLOOKUP(A187,'[17]App.2-H_Other_Oper_Rev'!$A$15:$L$63,12,FALSE)</f>
        <v>21000</v>
      </c>
      <c r="E187" s="612">
        <f t="shared" si="29"/>
        <v>0</v>
      </c>
      <c r="F187" s="611">
        <f t="shared" si="30"/>
        <v>0</v>
      </c>
    </row>
    <row r="188" spans="1:6">
      <c r="A188" s="601">
        <v>4210</v>
      </c>
      <c r="B188" s="613" t="s">
        <v>319</v>
      </c>
      <c r="C188" s="612">
        <f t="shared" si="31"/>
        <v>44409.64999999998</v>
      </c>
      <c r="D188" s="612">
        <f>-VLOOKUP(A188,'[17]App.2-H_Other_Oper_Rev'!$A$15:$L$63,12,FALSE)</f>
        <v>88902.625140000018</v>
      </c>
      <c r="E188" s="612">
        <f t="shared" si="29"/>
        <v>44492.975140000039</v>
      </c>
      <c r="F188" s="611">
        <f t="shared" si="30"/>
        <v>1.0018762845462654</v>
      </c>
    </row>
    <row r="189" spans="1:6">
      <c r="A189" s="601">
        <v>4220</v>
      </c>
      <c r="B189" s="502" t="s">
        <v>319</v>
      </c>
      <c r="C189" s="612">
        <f t="shared" si="31"/>
        <v>9000</v>
      </c>
      <c r="D189" s="612">
        <f>-VLOOKUP(A189,'[17]App.2-H_Other_Oper_Rev'!$A$15:$L$63,12,FALSE)</f>
        <v>9000</v>
      </c>
      <c r="E189" s="500">
        <f t="shared" si="29"/>
        <v>0</v>
      </c>
      <c r="F189" s="605">
        <f t="shared" si="30"/>
        <v>0</v>
      </c>
    </row>
    <row r="190" spans="1:6">
      <c r="A190" s="601"/>
      <c r="B190" s="613"/>
      <c r="C190" s="612">
        <f t="shared" si="31"/>
        <v>0</v>
      </c>
      <c r="D190" s="612"/>
      <c r="E190" s="612"/>
      <c r="F190" s="611"/>
    </row>
    <row r="191" spans="1:6">
      <c r="A191" s="601">
        <v>4355</v>
      </c>
      <c r="B191" s="733" t="s">
        <v>320</v>
      </c>
      <c r="C191" s="612">
        <f t="shared" si="31"/>
        <v>0</v>
      </c>
      <c r="D191" s="612">
        <f>-VLOOKUP(A191,'[17]App.2-H_Other_Oper_Rev'!$A$15:$L$63,12,FALSE)</f>
        <v>0</v>
      </c>
      <c r="E191" s="612">
        <f t="shared" ref="E191:E196" si="32">D191-C191</f>
        <v>0</v>
      </c>
      <c r="F191" s="611"/>
    </row>
    <row r="192" spans="1:6">
      <c r="A192" s="601">
        <v>4360</v>
      </c>
      <c r="B192" s="613" t="s">
        <v>321</v>
      </c>
      <c r="C192" s="612">
        <f t="shared" si="31"/>
        <v>-6000</v>
      </c>
      <c r="D192" s="612">
        <f>-VLOOKUP(A192,'[17]App.2-H_Other_Oper_Rev'!$A$15:$L$63,12,FALSE)</f>
        <v>-8000</v>
      </c>
      <c r="E192" s="612">
        <f t="shared" si="32"/>
        <v>-2000</v>
      </c>
      <c r="F192" s="611">
        <f>E192/C192</f>
        <v>0.33333333333333331</v>
      </c>
    </row>
    <row r="193" spans="1:6">
      <c r="A193" s="601">
        <v>4375</v>
      </c>
      <c r="B193" s="613" t="s">
        <v>322</v>
      </c>
      <c r="C193" s="612">
        <f t="shared" si="31"/>
        <v>0</v>
      </c>
      <c r="D193" s="612">
        <f>-VLOOKUP(A193,'[17]App.2-H_Other_Oper_Rev'!$A$15:$L$63,12,FALSE)</f>
        <v>0</v>
      </c>
      <c r="E193" s="612">
        <f t="shared" si="32"/>
        <v>0</v>
      </c>
      <c r="F193" s="611"/>
    </row>
    <row r="194" spans="1:6">
      <c r="A194" s="601">
        <v>4380</v>
      </c>
      <c r="B194" s="613" t="s">
        <v>323</v>
      </c>
      <c r="C194" s="612">
        <f t="shared" si="31"/>
        <v>0</v>
      </c>
      <c r="D194" s="612">
        <f>-VLOOKUP(A194,'[17]App.2-H_Other_Oper_Rev'!$A$15:$L$63,12,FALSE)</f>
        <v>0</v>
      </c>
      <c r="E194" s="612">
        <f t="shared" si="32"/>
        <v>0</v>
      </c>
      <c r="F194" s="611"/>
    </row>
    <row r="195" spans="1:6">
      <c r="A195" s="601">
        <v>4390</v>
      </c>
      <c r="B195" s="613" t="s">
        <v>324</v>
      </c>
      <c r="C195" s="612">
        <f t="shared" si="31"/>
        <v>0</v>
      </c>
      <c r="D195" s="612">
        <f>-VLOOKUP(A195,'[17]App.2-H_Other_Oper_Rev'!$A$15:$L$63,12,FALSE)</f>
        <v>0</v>
      </c>
      <c r="E195" s="612">
        <f t="shared" si="32"/>
        <v>0</v>
      </c>
      <c r="F195" s="611"/>
    </row>
    <row r="196" spans="1:6">
      <c r="A196" s="601">
        <v>4405</v>
      </c>
      <c r="B196" s="733" t="s">
        <v>325</v>
      </c>
      <c r="C196" s="612">
        <f t="shared" si="31"/>
        <v>3500</v>
      </c>
      <c r="D196" s="612">
        <f>-VLOOKUP(A196,'[17]App.2-H_Other_Oper_Rev'!$A$15:$L$63,12,FALSE)</f>
        <v>3500</v>
      </c>
      <c r="E196" s="612">
        <f t="shared" si="32"/>
        <v>0</v>
      </c>
      <c r="F196" s="611">
        <f>E196/C196</f>
        <v>0</v>
      </c>
    </row>
    <row r="197" spans="1:6">
      <c r="A197" s="601"/>
      <c r="B197" s="613"/>
      <c r="C197" s="612"/>
      <c r="D197" s="612"/>
      <c r="E197" s="612"/>
      <c r="F197" s="614"/>
    </row>
    <row r="198" spans="1:6">
      <c r="A198" s="601"/>
      <c r="B198" s="613"/>
      <c r="C198" s="612"/>
      <c r="D198" s="612"/>
      <c r="E198" s="612"/>
      <c r="F198" s="614"/>
    </row>
    <row r="199" spans="1:6">
      <c r="A199" s="731"/>
      <c r="B199" s="732"/>
      <c r="C199" s="503"/>
      <c r="D199" s="503"/>
      <c r="E199" s="503"/>
      <c r="F199" s="610"/>
    </row>
    <row r="200" spans="1:6">
      <c r="A200" s="1828" t="s">
        <v>291</v>
      </c>
      <c r="B200" s="1829"/>
      <c r="C200" s="612">
        <f t="shared" ref="C200:E200" si="33">C183</f>
        <v>107197</v>
      </c>
      <c r="D200" s="612">
        <f t="shared" si="33"/>
        <v>23875</v>
      </c>
      <c r="E200" s="612">
        <f t="shared" si="33"/>
        <v>-83322</v>
      </c>
      <c r="F200" s="611">
        <f>E200/C200</f>
        <v>-0.77727921490340213</v>
      </c>
    </row>
    <row r="201" spans="1:6">
      <c r="A201" s="1828" t="s">
        <v>292</v>
      </c>
      <c r="B201" s="1829"/>
      <c r="C201" s="612">
        <f t="shared" ref="C201:E201" si="34">C184</f>
        <v>60000</v>
      </c>
      <c r="D201" s="612">
        <f t="shared" si="34"/>
        <v>60000</v>
      </c>
      <c r="E201" s="612">
        <f t="shared" si="34"/>
        <v>0</v>
      </c>
      <c r="F201" s="611">
        <f>E201/C201</f>
        <v>0</v>
      </c>
    </row>
    <row r="202" spans="1:6">
      <c r="A202" s="1828" t="s">
        <v>293</v>
      </c>
      <c r="B202" s="1830"/>
      <c r="C202" s="1474">
        <f>SUM(C185:C189)</f>
        <v>81709.64999999998</v>
      </c>
      <c r="D202" s="1474">
        <f>SUM(D185:D189)</f>
        <v>128242.62514000002</v>
      </c>
      <c r="E202" s="1474">
        <f>SUM(E185:E189)</f>
        <v>46532.975140000039</v>
      </c>
      <c r="F202" s="611">
        <f>E202/C202</f>
        <v>0.56949179368654801</v>
      </c>
    </row>
    <row r="203" spans="1:6" ht="13.8" thickBot="1">
      <c r="A203" s="1831" t="s">
        <v>294</v>
      </c>
      <c r="B203" s="1832"/>
      <c r="C203" s="504">
        <f>SUM(C191:C196)</f>
        <v>-2500</v>
      </c>
      <c r="D203" s="504">
        <f>SUM(D191:D196)</f>
        <v>-4500</v>
      </c>
      <c r="E203" s="504">
        <f>SUM(E191:E196)</f>
        <v>-2000</v>
      </c>
      <c r="F203" s="608">
        <f>E203/C203</f>
        <v>0.8</v>
      </c>
    </row>
    <row r="204" spans="1:6" ht="14.4" thickTop="1" thickBot="1">
      <c r="A204" s="1833" t="s">
        <v>5</v>
      </c>
      <c r="B204" s="1834"/>
      <c r="C204" s="505">
        <f>SUM(C200:C203)</f>
        <v>246406.64999999997</v>
      </c>
      <c r="D204" s="505">
        <f>SUM(D200:D203)</f>
        <v>207617.62514000002</v>
      </c>
      <c r="E204" s="505">
        <f>SUM(E200:E203)</f>
        <v>-38789.024859999961</v>
      </c>
      <c r="F204" s="609">
        <f>E204/C204</f>
        <v>-0.15741874198606234</v>
      </c>
    </row>
    <row r="205" spans="1:6">
      <c r="C205" s="1045">
        <v>246406.64999999997</v>
      </c>
      <c r="D205" s="1045">
        <v>207617.62514000002</v>
      </c>
    </row>
  </sheetData>
  <mergeCells count="35">
    <mergeCell ref="A88:B88"/>
    <mergeCell ref="A117:B117"/>
    <mergeCell ref="A143:B143"/>
    <mergeCell ref="A144:B144"/>
    <mergeCell ref="A145:B145"/>
    <mergeCell ref="A146:B146"/>
    <mergeCell ref="A113:B113"/>
    <mergeCell ref="A114:B114"/>
    <mergeCell ref="A115:B115"/>
    <mergeCell ref="A116:B116"/>
    <mergeCell ref="A142:B142"/>
    <mergeCell ref="A26:B26"/>
    <mergeCell ref="A27:B27"/>
    <mergeCell ref="A28:B28"/>
    <mergeCell ref="A29:B29"/>
    <mergeCell ref="A87:B87"/>
    <mergeCell ref="A30:B30"/>
    <mergeCell ref="A55:B55"/>
    <mergeCell ref="A56:B56"/>
    <mergeCell ref="A57:B57"/>
    <mergeCell ref="A59:B59"/>
    <mergeCell ref="A84:B84"/>
    <mergeCell ref="A85:B85"/>
    <mergeCell ref="A86:B86"/>
    <mergeCell ref="A58:B58"/>
    <mergeCell ref="A171:B171"/>
    <mergeCell ref="A172:B172"/>
    <mergeCell ref="A173:B173"/>
    <mergeCell ref="A174:B174"/>
    <mergeCell ref="A175:B175"/>
    <mergeCell ref="A200:B200"/>
    <mergeCell ref="A201:B201"/>
    <mergeCell ref="A202:B202"/>
    <mergeCell ref="A203:B203"/>
    <mergeCell ref="A204:B204"/>
  </mergeCells>
  <phoneticPr fontId="320"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P93"/>
  <sheetViews>
    <sheetView tabSelected="1" zoomScaleNormal="100" workbookViewId="0">
      <pane xSplit="1" ySplit="4" topLeftCell="B26" activePane="bottomRight" state="frozen"/>
      <selection pane="topRight" activeCell="B1" sqref="B1"/>
      <selection pane="bottomLeft" activeCell="A4" sqref="A4"/>
      <selection pane="bottomRight" activeCell="M16" sqref="M16:M45"/>
    </sheetView>
  </sheetViews>
  <sheetFormatPr defaultRowHeight="13.2"/>
  <cols>
    <col min="1" max="1" width="23.5546875" customWidth="1"/>
    <col min="2" max="7" width="11.33203125" style="1" customWidth="1"/>
    <col min="8" max="8" width="11.33203125" style="21" customWidth="1"/>
    <col min="9" max="9" width="11.33203125" style="22" customWidth="1"/>
    <col min="10" max="10" width="11.33203125" customWidth="1"/>
    <col min="11" max="11" width="11.33203125" style="13" customWidth="1"/>
    <col min="12" max="13" width="11.109375" style="13" bestFit="1" customWidth="1"/>
    <col min="14" max="14" width="15" style="1046" customWidth="1"/>
    <col min="15" max="15" width="4.109375" customWidth="1"/>
    <col min="16" max="16" width="10.109375" customWidth="1"/>
  </cols>
  <sheetData>
    <row r="1" spans="1:16" ht="15.6">
      <c r="A1" s="524"/>
      <c r="B1" s="655" t="s">
        <v>327</v>
      </c>
      <c r="C1" s="545" t="s">
        <v>767</v>
      </c>
      <c r="D1" s="544"/>
      <c r="E1" s="544"/>
      <c r="F1" s="544"/>
      <c r="G1" s="544"/>
      <c r="H1" s="546"/>
      <c r="I1" s="547"/>
      <c r="J1" s="336"/>
      <c r="K1" s="547"/>
      <c r="L1" s="547"/>
      <c r="M1" s="548"/>
      <c r="N1" s="1793"/>
      <c r="O1" s="548"/>
    </row>
    <row r="2" spans="1:16" ht="13.8" thickBot="1">
      <c r="A2" s="327"/>
      <c r="B2" s="538"/>
      <c r="C2" s="538"/>
      <c r="D2" s="538"/>
      <c r="E2" s="538"/>
      <c r="F2" s="538"/>
      <c r="G2" s="538"/>
      <c r="H2" s="539"/>
      <c r="I2" s="537"/>
      <c r="J2" s="327"/>
      <c r="K2" s="537"/>
      <c r="L2" s="537"/>
      <c r="M2" s="537"/>
    </row>
    <row r="3" spans="1:16" ht="13.8" thickTop="1">
      <c r="A3" s="1171"/>
      <c r="B3" s="1172"/>
      <c r="C3" s="1172"/>
      <c r="D3" s="1172"/>
      <c r="E3" s="1172" t="s">
        <v>448</v>
      </c>
      <c r="F3" s="1172"/>
      <c r="G3" s="1172"/>
      <c r="H3" s="1172"/>
      <c r="I3" s="1172"/>
      <c r="J3" s="1172"/>
      <c r="K3" s="1758"/>
      <c r="L3" s="1762"/>
      <c r="M3" s="1175" t="s">
        <v>449</v>
      </c>
    </row>
    <row r="4" spans="1:16" ht="26.4">
      <c r="A4" s="583"/>
      <c r="B4" s="1170">
        <v>2011</v>
      </c>
      <c r="C4" s="1170">
        <v>2012</v>
      </c>
      <c r="D4" s="1170">
        <v>2013</v>
      </c>
      <c r="E4" s="1170">
        <v>2014</v>
      </c>
      <c r="F4" s="1170">
        <v>2015</v>
      </c>
      <c r="G4" s="1170">
        <v>2016</v>
      </c>
      <c r="H4" s="1170">
        <v>2017</v>
      </c>
      <c r="I4" s="1170">
        <v>2018</v>
      </c>
      <c r="J4" s="1170">
        <v>2019</v>
      </c>
      <c r="K4" s="1719">
        <v>2020</v>
      </c>
      <c r="L4" s="1173">
        <v>2021</v>
      </c>
      <c r="M4" s="525" t="s">
        <v>637</v>
      </c>
      <c r="N4" s="1794"/>
    </row>
    <row r="5" spans="1:16">
      <c r="A5" s="583"/>
      <c r="B5" s="395"/>
      <c r="C5" s="395"/>
      <c r="D5" s="395"/>
      <c r="E5" s="395"/>
      <c r="F5" s="395"/>
      <c r="G5" s="395"/>
      <c r="H5" s="395"/>
      <c r="I5" s="395"/>
      <c r="J5" s="395"/>
      <c r="K5" s="1719"/>
      <c r="L5" s="525"/>
      <c r="M5" s="525"/>
    </row>
    <row r="6" spans="1:16">
      <c r="A6" s="584" t="s">
        <v>45</v>
      </c>
      <c r="B6" s="526">
        <f t="array" ref="B6:K6">TRANSPOSE('Purchased Power Model No CDM'!AD38:AD47)</f>
        <v>118004234</v>
      </c>
      <c r="C6" s="526">
        <v>115280490</v>
      </c>
      <c r="D6" s="526">
        <v>116595095</v>
      </c>
      <c r="E6" s="526">
        <v>115949736</v>
      </c>
      <c r="F6" s="526">
        <v>112684385.95</v>
      </c>
      <c r="G6" s="526">
        <v>109734472.34999999</v>
      </c>
      <c r="H6" s="527">
        <v>107186399</v>
      </c>
      <c r="I6" s="528">
        <v>110285589.34999999</v>
      </c>
      <c r="J6" s="529">
        <v>108750347.28</v>
      </c>
      <c r="K6" s="1759">
        <v>108483759.41</v>
      </c>
      <c r="L6" s="530">
        <f>'Purchased Power Model No CDM'!AD48</f>
        <v>109262971.97</v>
      </c>
      <c r="M6" s="530"/>
    </row>
    <row r="7" spans="1:16">
      <c r="A7" s="584" t="s">
        <v>46</v>
      </c>
      <c r="B7" s="526">
        <f t="array" ref="B7:M7">TRANSPOSE('Purchased Power Model No CDM'!AC38:AC49)</f>
        <v>117835341.89024752</v>
      </c>
      <c r="C7" s="526">
        <v>116839985.73311096</v>
      </c>
      <c r="D7" s="526">
        <v>115474415.95806794</v>
      </c>
      <c r="E7" s="526">
        <v>113780066.95696968</v>
      </c>
      <c r="F7" s="526">
        <v>112477863.27170941</v>
      </c>
      <c r="G7" s="526">
        <v>111720221.87488745</v>
      </c>
      <c r="H7" s="527">
        <v>108565645.46510991</v>
      </c>
      <c r="I7" s="527">
        <v>110196728.8611078</v>
      </c>
      <c r="J7" s="529">
        <v>107474042.1886027</v>
      </c>
      <c r="K7" s="528">
        <v>109620628.99355707</v>
      </c>
      <c r="L7" s="530">
        <v>108232539.11663017</v>
      </c>
      <c r="M7" s="540">
        <v>103699020.77285595</v>
      </c>
      <c r="N7" s="1045"/>
    </row>
    <row r="8" spans="1:16">
      <c r="A8" s="584" t="s">
        <v>4</v>
      </c>
      <c r="B8" s="531">
        <f>(B7-B6)/B6</f>
        <v>-1.4312377109492209E-3</v>
      </c>
      <c r="C8" s="531">
        <f t="shared" ref="C8:L8" si="0">(C7-C6)/C6</f>
        <v>1.352783747805864E-2</v>
      </c>
      <c r="D8" s="531">
        <f t="shared" si="0"/>
        <v>-9.6117168730988321E-3</v>
      </c>
      <c r="E8" s="531">
        <f>(E7-E6)/E6</f>
        <v>-1.8712151643280339E-2</v>
      </c>
      <c r="F8" s="531">
        <f t="shared" si="0"/>
        <v>-1.8327532829812668E-3</v>
      </c>
      <c r="G8" s="531">
        <f t="shared" si="0"/>
        <v>1.8095949999685376E-2</v>
      </c>
      <c r="H8" s="532">
        <f t="shared" si="0"/>
        <v>1.2867737679198594E-2</v>
      </c>
      <c r="I8" s="532">
        <f t="shared" si="0"/>
        <v>-8.0573073432279403E-4</v>
      </c>
      <c r="J8" s="531">
        <f t="shared" si="0"/>
        <v>-1.1736101293646373E-2</v>
      </c>
      <c r="K8" s="532">
        <f t="shared" si="0"/>
        <v>1.0479629298800582E-2</v>
      </c>
      <c r="L8" s="1174">
        <f t="shared" si="0"/>
        <v>-9.4307598886542721E-3</v>
      </c>
      <c r="M8" s="533"/>
      <c r="N8" s="1045"/>
    </row>
    <row r="9" spans="1:16">
      <c r="A9" s="1771" t="s">
        <v>92</v>
      </c>
      <c r="B9" s="531"/>
      <c r="C9" s="531"/>
      <c r="D9" s="531"/>
      <c r="E9" s="531"/>
      <c r="F9" s="531"/>
      <c r="G9" s="531"/>
      <c r="H9" s="532"/>
      <c r="I9" s="532"/>
      <c r="J9" s="531"/>
      <c r="K9" s="532"/>
      <c r="L9" s="1763"/>
      <c r="M9" s="1040">
        <f>-'Purchased Power Model No CDM'!AH64</f>
        <v>0</v>
      </c>
      <c r="N9" s="1045"/>
    </row>
    <row r="10" spans="1:16" s="1046" customFormat="1">
      <c r="A10" s="584"/>
      <c r="B10" s="1043"/>
      <c r="C10" s="1043"/>
      <c r="D10" s="1043"/>
      <c r="E10" s="1043"/>
      <c r="F10" s="1043"/>
      <c r="G10" s="1043"/>
      <c r="H10" s="1044"/>
      <c r="I10" s="1044"/>
      <c r="J10" s="1043"/>
      <c r="K10" s="1044"/>
      <c r="L10" s="530"/>
      <c r="M10" s="540"/>
      <c r="N10" s="1045"/>
      <c r="P10"/>
    </row>
    <row r="11" spans="1:16">
      <c r="A11" s="584"/>
      <c r="B11" s="535"/>
      <c r="C11" s="535"/>
      <c r="D11" s="535"/>
      <c r="E11" s="535"/>
      <c r="F11" s="535"/>
      <c r="G11" s="535"/>
      <c r="H11" s="536"/>
      <c r="I11" s="537"/>
      <c r="J11" s="538"/>
      <c r="K11" s="539"/>
      <c r="L11" s="533"/>
      <c r="M11" s="533"/>
      <c r="N11" s="1045"/>
    </row>
    <row r="12" spans="1:16">
      <c r="A12" s="584" t="s">
        <v>93</v>
      </c>
      <c r="B12" s="526">
        <f t="array" ref="B12:K12">TRANSPOSE('Rate Class Energy Model '!D3:D12)</f>
        <v>108810680</v>
      </c>
      <c r="C12" s="526">
        <v>106397501</v>
      </c>
      <c r="D12" s="526">
        <v>107193012</v>
      </c>
      <c r="E12" s="526">
        <v>107593001</v>
      </c>
      <c r="F12" s="526">
        <v>104215271.962</v>
      </c>
      <c r="G12" s="526">
        <v>101711018.28400001</v>
      </c>
      <c r="H12" s="527">
        <v>98838309.294999987</v>
      </c>
      <c r="I12" s="534">
        <v>101848630.358208</v>
      </c>
      <c r="J12" s="529">
        <v>100219092</v>
      </c>
      <c r="K12" s="528">
        <v>99512150</v>
      </c>
      <c r="L12" s="530">
        <f>'Rate Class Energy Model '!D13</f>
        <v>100472426</v>
      </c>
      <c r="M12" s="540">
        <f>'Rate Class Energy Model '!D14</f>
        <v>95548715.353225797</v>
      </c>
      <c r="N12" s="1795"/>
    </row>
    <row r="13" spans="1:16">
      <c r="A13" s="584"/>
      <c r="B13" s="535"/>
      <c r="C13" s="535"/>
      <c r="D13" s="535"/>
      <c r="E13" s="535"/>
      <c r="F13" s="535"/>
      <c r="G13" s="535"/>
      <c r="H13" s="539"/>
      <c r="I13" s="537"/>
      <c r="J13" s="538"/>
      <c r="K13" s="1760"/>
      <c r="L13" s="533"/>
      <c r="M13" s="533"/>
      <c r="N13" s="1045"/>
    </row>
    <row r="14" spans="1:16" ht="15.6">
      <c r="A14" s="585" t="s">
        <v>47</v>
      </c>
      <c r="B14" s="538"/>
      <c r="C14" s="538"/>
      <c r="D14" s="538"/>
      <c r="E14" s="538"/>
      <c r="F14" s="538"/>
      <c r="G14" s="538"/>
      <c r="H14" s="539"/>
      <c r="I14" s="537"/>
      <c r="J14" s="538"/>
      <c r="K14" s="539"/>
      <c r="L14" s="533"/>
      <c r="M14" s="533"/>
      <c r="N14" s="1045"/>
    </row>
    <row r="15" spans="1:16">
      <c r="A15" s="586" t="str">
        <f>'Rate Class Energy Model '!E2</f>
        <v xml:space="preserve">Residential </v>
      </c>
      <c r="B15" s="538"/>
      <c r="C15" s="538"/>
      <c r="D15" s="538"/>
      <c r="E15" s="538"/>
      <c r="F15" s="538"/>
      <c r="G15" s="538"/>
      <c r="H15" s="539"/>
      <c r="I15" s="537"/>
      <c r="J15" s="538"/>
      <c r="K15" s="539"/>
      <c r="L15" s="533"/>
      <c r="M15" s="533"/>
      <c r="N15" s="1045"/>
    </row>
    <row r="16" spans="1:16">
      <c r="A16" s="583" t="s">
        <v>36</v>
      </c>
      <c r="B16" s="529">
        <f t="array" ref="B16:M16">TRANSPOSE('Rate Class Customer Model'!B4:B15)</f>
        <v>5004</v>
      </c>
      <c r="C16" s="529">
        <v>5025</v>
      </c>
      <c r="D16" s="529">
        <v>5035</v>
      </c>
      <c r="E16" s="529">
        <v>5040</v>
      </c>
      <c r="F16" s="529">
        <v>5054</v>
      </c>
      <c r="G16" s="529">
        <v>5071</v>
      </c>
      <c r="H16" s="528">
        <v>5089</v>
      </c>
      <c r="I16" s="528">
        <v>5105</v>
      </c>
      <c r="J16" s="529">
        <v>5113</v>
      </c>
      <c r="K16" s="528">
        <v>5107</v>
      </c>
      <c r="L16" s="530">
        <v>5117</v>
      </c>
      <c r="M16" s="540">
        <v>5126</v>
      </c>
      <c r="N16" s="1045"/>
    </row>
    <row r="17" spans="1:14">
      <c r="A17" s="583" t="s">
        <v>37</v>
      </c>
      <c r="B17" s="529">
        <f t="array" ref="B17:K17">TRANSPOSE('Rate Class Energy Model '!E3:E12)</f>
        <v>43287278</v>
      </c>
      <c r="C17" s="529">
        <v>42116982</v>
      </c>
      <c r="D17" s="529">
        <v>42764838</v>
      </c>
      <c r="E17" s="529">
        <v>42272228</v>
      </c>
      <c r="F17" s="529">
        <v>40938310.960000001</v>
      </c>
      <c r="G17" s="529">
        <v>40480043.329000004</v>
      </c>
      <c r="H17" s="528">
        <v>39379535.354999997</v>
      </c>
      <c r="I17" s="528">
        <v>42538788.821000002</v>
      </c>
      <c r="J17" s="541">
        <v>42182601</v>
      </c>
      <c r="K17" s="528">
        <v>43593897</v>
      </c>
      <c r="L17" s="530">
        <f>'Rate Class Energy Model '!E13</f>
        <v>43612856</v>
      </c>
      <c r="M17" s="540">
        <f>'Rate Class Energy Model '!E14</f>
        <v>40152604.799600743</v>
      </c>
      <c r="N17" s="1045"/>
    </row>
    <row r="18" spans="1:14">
      <c r="A18" s="583"/>
      <c r="B18" s="538"/>
      <c r="C18" s="538"/>
      <c r="D18" s="538"/>
      <c r="E18" s="538"/>
      <c r="F18" s="538"/>
      <c r="G18" s="538"/>
      <c r="H18" s="539"/>
      <c r="I18" s="537"/>
      <c r="J18" s="541"/>
      <c r="K18" s="539"/>
      <c r="L18" s="533"/>
      <c r="M18" s="1051"/>
      <c r="N18" s="1045"/>
    </row>
    <row r="19" spans="1:14">
      <c r="A19" s="586" t="str">
        <f>'Rate Class Energy Model '!F2</f>
        <v>General Service &lt; 50 kW</v>
      </c>
      <c r="B19" s="538"/>
      <c r="C19" s="538"/>
      <c r="D19" s="538"/>
      <c r="E19" s="538"/>
      <c r="F19" s="538"/>
      <c r="G19" s="538"/>
      <c r="H19" s="539"/>
      <c r="I19" s="537"/>
      <c r="J19" s="542"/>
      <c r="K19" s="539"/>
      <c r="L19" s="533"/>
      <c r="M19" s="1051"/>
      <c r="N19" s="1045"/>
    </row>
    <row r="20" spans="1:14">
      <c r="A20" s="583" t="s">
        <v>36</v>
      </c>
      <c r="B20" s="529">
        <f t="array" ref="B20:M20">TRANSPOSE('Rate Class Customer Model'!C4:C15)</f>
        <v>769</v>
      </c>
      <c r="C20" s="529">
        <v>770</v>
      </c>
      <c r="D20" s="529">
        <v>759</v>
      </c>
      <c r="E20" s="529">
        <v>754</v>
      </c>
      <c r="F20" s="529">
        <v>742</v>
      </c>
      <c r="G20" s="529">
        <v>740</v>
      </c>
      <c r="H20" s="528">
        <v>741</v>
      </c>
      <c r="I20" s="528">
        <v>739</v>
      </c>
      <c r="J20" s="529">
        <v>735</v>
      </c>
      <c r="K20" s="528">
        <v>731</v>
      </c>
      <c r="L20" s="530">
        <v>730</v>
      </c>
      <c r="M20" s="540">
        <v>728</v>
      </c>
      <c r="N20" s="1045"/>
    </row>
    <row r="21" spans="1:14">
      <c r="A21" s="583" t="s">
        <v>37</v>
      </c>
      <c r="B21" s="529">
        <f t="array" ref="B21:K21">TRANSPOSE('Rate Class Energy Model '!F3:F12)</f>
        <v>20434679</v>
      </c>
      <c r="C21" s="529">
        <v>19669183</v>
      </c>
      <c r="D21" s="529">
        <v>20094189</v>
      </c>
      <c r="E21" s="529">
        <v>20739791</v>
      </c>
      <c r="F21" s="529">
        <v>20653133.002</v>
      </c>
      <c r="G21" s="529">
        <v>20348622.955000002</v>
      </c>
      <c r="H21" s="528">
        <v>19816422.939999998</v>
      </c>
      <c r="I21" s="528">
        <v>20252448.662</v>
      </c>
      <c r="J21" s="529">
        <v>19700297</v>
      </c>
      <c r="K21" s="528">
        <v>18533558</v>
      </c>
      <c r="L21" s="530">
        <f>'Rate Class Energy Model '!F13</f>
        <v>17739759</v>
      </c>
      <c r="M21" s="540">
        <f>'Rate Class Energy Model '!F14</f>
        <v>18422392.908433612</v>
      </c>
      <c r="N21" s="1045"/>
    </row>
    <row r="22" spans="1:14">
      <c r="A22" s="583"/>
      <c r="B22" s="538"/>
      <c r="C22" s="538"/>
      <c r="D22" s="538"/>
      <c r="E22" s="538"/>
      <c r="F22" s="538"/>
      <c r="G22" s="538"/>
      <c r="H22" s="539"/>
      <c r="I22" s="528"/>
      <c r="J22" s="538"/>
      <c r="K22" s="539"/>
      <c r="L22" s="533"/>
      <c r="M22" s="1051"/>
      <c r="N22" s="1045"/>
    </row>
    <row r="23" spans="1:14">
      <c r="A23" s="586" t="str">
        <f>'Rate Class Energy Model '!G2</f>
        <v>General Service 50 to 4,999 kW</v>
      </c>
      <c r="B23" s="538"/>
      <c r="C23" s="538"/>
      <c r="D23" s="538"/>
      <c r="E23" s="538"/>
      <c r="F23" s="538"/>
      <c r="G23" s="538"/>
      <c r="H23" s="539"/>
      <c r="I23" s="528"/>
      <c r="J23" s="538"/>
      <c r="K23" s="539"/>
      <c r="L23" s="533"/>
      <c r="M23" s="1051"/>
      <c r="N23" s="1045"/>
    </row>
    <row r="24" spans="1:14">
      <c r="A24" s="583" t="s">
        <v>36</v>
      </c>
      <c r="B24" s="529">
        <f t="array" ref="B24:M24">TRANSPOSE('Rate Class Customer Model'!D4:D15)</f>
        <v>66</v>
      </c>
      <c r="C24" s="529">
        <v>67</v>
      </c>
      <c r="D24" s="529">
        <v>65</v>
      </c>
      <c r="E24" s="529">
        <v>64</v>
      </c>
      <c r="F24" s="529">
        <v>64</v>
      </c>
      <c r="G24" s="529">
        <v>64</v>
      </c>
      <c r="H24" s="528">
        <v>63</v>
      </c>
      <c r="I24" s="528">
        <v>65</v>
      </c>
      <c r="J24" s="529">
        <v>62</v>
      </c>
      <c r="K24" s="528">
        <v>61</v>
      </c>
      <c r="L24" s="530">
        <v>61</v>
      </c>
      <c r="M24" s="540">
        <v>60</v>
      </c>
      <c r="N24" s="1045"/>
    </row>
    <row r="25" spans="1:14">
      <c r="A25" s="583" t="s">
        <v>37</v>
      </c>
      <c r="B25" s="529">
        <f t="array" ref="B25:K25">TRANSPOSE('Rate Class Energy Model '!G3:G12)</f>
        <v>43031208</v>
      </c>
      <c r="C25" s="529">
        <v>42549997</v>
      </c>
      <c r="D25" s="529">
        <v>42246503</v>
      </c>
      <c r="E25" s="529">
        <v>42584416</v>
      </c>
      <c r="F25" s="529">
        <v>40918077</v>
      </c>
      <c r="G25" s="529">
        <v>39456019</v>
      </c>
      <c r="H25" s="528">
        <v>38286678</v>
      </c>
      <c r="I25" s="528">
        <v>37703866.302273989</v>
      </c>
      <c r="J25" s="529">
        <v>37004001</v>
      </c>
      <c r="K25" s="528">
        <v>36107964</v>
      </c>
      <c r="L25" s="530">
        <f>'Rate Class Energy Model '!G13</f>
        <v>37832568</v>
      </c>
      <c r="M25" s="540">
        <f>'Rate Class Energy Model '!G14</f>
        <v>35686578.685481668</v>
      </c>
      <c r="N25" s="1045"/>
    </row>
    <row r="26" spans="1:14">
      <c r="A26" s="583" t="s">
        <v>38</v>
      </c>
      <c r="B26" s="529">
        <f t="array" ref="B26:M26">TRANSPOSE('Rate Class Load Model'!B3:B14)</f>
        <v>130762</v>
      </c>
      <c r="C26" s="529">
        <v>125469</v>
      </c>
      <c r="D26" s="529">
        <v>133148</v>
      </c>
      <c r="E26" s="529">
        <v>131947</v>
      </c>
      <c r="F26" s="529">
        <v>125734.44</v>
      </c>
      <c r="G26" s="529">
        <v>115476.9</v>
      </c>
      <c r="H26" s="528">
        <v>111704.2</v>
      </c>
      <c r="I26" s="528">
        <v>112493.40000000001</v>
      </c>
      <c r="J26" s="529">
        <v>109763.6</v>
      </c>
      <c r="K26" s="528">
        <v>109147</v>
      </c>
      <c r="L26" s="530">
        <v>110834.3</v>
      </c>
      <c r="M26" s="540">
        <v>105773.85165015483</v>
      </c>
      <c r="N26" s="1045"/>
    </row>
    <row r="27" spans="1:14">
      <c r="A27" s="583"/>
      <c r="B27" s="538"/>
      <c r="C27" s="538"/>
      <c r="D27" s="538"/>
      <c r="E27" s="538"/>
      <c r="F27" s="538"/>
      <c r="G27" s="538"/>
      <c r="H27" s="539"/>
      <c r="I27" s="537"/>
      <c r="J27" s="538"/>
      <c r="K27" s="539"/>
      <c r="L27" s="533"/>
      <c r="M27" s="1051"/>
      <c r="N27" s="1045"/>
    </row>
    <row r="28" spans="1:14">
      <c r="A28" s="586" t="str">
        <f>'Rate Class Energy Model '!H2</f>
        <v xml:space="preserve">Street Lights </v>
      </c>
      <c r="B28" s="538"/>
      <c r="C28" s="538"/>
      <c r="D28" s="538"/>
      <c r="E28" s="538"/>
      <c r="F28" s="538"/>
      <c r="G28" s="538"/>
      <c r="H28" s="539"/>
      <c r="I28" s="528"/>
      <c r="J28" s="538"/>
      <c r="K28" s="539"/>
      <c r="L28" s="533"/>
      <c r="M28" s="1051"/>
      <c r="N28" s="1045"/>
    </row>
    <row r="29" spans="1:14">
      <c r="A29" s="583" t="s">
        <v>42</v>
      </c>
      <c r="B29" s="529">
        <f t="array" ref="B29:M29">TRANSPOSE('Rate Class Customer Model'!E4:E15)</f>
        <v>1703</v>
      </c>
      <c r="C29" s="529">
        <v>1703</v>
      </c>
      <c r="D29" s="529">
        <v>1707</v>
      </c>
      <c r="E29" s="529">
        <v>1707</v>
      </c>
      <c r="F29" s="529">
        <v>1711</v>
      </c>
      <c r="G29" s="529">
        <v>1711</v>
      </c>
      <c r="H29" s="528">
        <v>1711</v>
      </c>
      <c r="I29" s="528">
        <v>1711</v>
      </c>
      <c r="J29" s="529">
        <v>1711</v>
      </c>
      <c r="K29" s="528">
        <v>1712</v>
      </c>
      <c r="L29" s="530">
        <v>1712</v>
      </c>
      <c r="M29" s="540">
        <v>1712</v>
      </c>
      <c r="N29" s="1045"/>
    </row>
    <row r="30" spans="1:14">
      <c r="A30" s="583" t="s">
        <v>37</v>
      </c>
      <c r="B30" s="529">
        <f t="array" ref="B30:K30">TRANSPOSE('Rate Class Energy Model '!H3:H12)</f>
        <v>1453874</v>
      </c>
      <c r="C30" s="529">
        <v>1453808</v>
      </c>
      <c r="D30" s="529">
        <v>1447303</v>
      </c>
      <c r="E30" s="529">
        <v>1321505</v>
      </c>
      <c r="F30" s="529">
        <v>1052678</v>
      </c>
      <c r="G30" s="529">
        <v>773158</v>
      </c>
      <c r="H30" s="528">
        <v>716670</v>
      </c>
      <c r="I30" s="528">
        <v>714488.57293399889</v>
      </c>
      <c r="J30" s="529">
        <v>691963</v>
      </c>
      <c r="K30" s="528">
        <v>644755</v>
      </c>
      <c r="L30" s="530">
        <f>'Rate Class Energy Model '!H13</f>
        <v>643596</v>
      </c>
      <c r="M30" s="540">
        <f>'Rate Class Energy Model '!H14</f>
        <v>643596</v>
      </c>
      <c r="N30" s="1045"/>
    </row>
    <row r="31" spans="1:14">
      <c r="A31" s="583" t="s">
        <v>38</v>
      </c>
      <c r="B31" s="529">
        <f>'Rate Class Load Model'!C3</f>
        <v>3941</v>
      </c>
      <c r="C31" s="529">
        <f>'Rate Class Load Model'!C4</f>
        <v>3919</v>
      </c>
      <c r="D31" s="529">
        <f>'Rate Class Load Model'!C5</f>
        <v>3920</v>
      </c>
      <c r="E31" s="529">
        <f>'Rate Class Load Model'!C6</f>
        <v>3620</v>
      </c>
      <c r="F31" s="529">
        <f>'Rate Class Load Model'!C7</f>
        <v>2861.6</v>
      </c>
      <c r="G31" s="529">
        <f>'Rate Class Load Model'!C8</f>
        <v>2070.3199999999997</v>
      </c>
      <c r="H31" s="528">
        <f>'Rate Class Load Model'!C9</f>
        <v>1944.6200000000001</v>
      </c>
      <c r="I31" s="528">
        <f>'Rate Class Load Model'!C10</f>
        <v>1938.5</v>
      </c>
      <c r="J31" s="529">
        <f>'Rate Class Load Model'!C11</f>
        <v>1886.9</v>
      </c>
      <c r="K31" s="528">
        <f>'Rate Class Load Model'!C12</f>
        <v>1743.9</v>
      </c>
      <c r="L31" s="530">
        <f>'Rate Class Load Model'!C13</f>
        <v>1745.6</v>
      </c>
      <c r="M31" s="540">
        <f>'Rate Class Load Model'!C14</f>
        <v>1745.6</v>
      </c>
      <c r="N31" s="1045"/>
    </row>
    <row r="32" spans="1:14">
      <c r="A32" s="583"/>
      <c r="B32" s="538"/>
      <c r="C32" s="538"/>
      <c r="D32" s="538"/>
      <c r="E32" s="538"/>
      <c r="F32" s="538"/>
      <c r="G32" s="538"/>
      <c r="H32" s="539"/>
      <c r="I32" s="528"/>
      <c r="J32" s="538"/>
      <c r="K32" s="539"/>
      <c r="L32" s="533"/>
      <c r="M32" s="1051"/>
      <c r="N32" s="1045"/>
    </row>
    <row r="33" spans="1:16">
      <c r="A33" s="587" t="str">
        <f>'Rate Class Energy Model '!I2</f>
        <v>Sentinel Lights</v>
      </c>
      <c r="B33" s="538"/>
      <c r="C33" s="538"/>
      <c r="D33" s="538"/>
      <c r="E33" s="538"/>
      <c r="F33" s="538"/>
      <c r="G33" s="538"/>
      <c r="H33" s="539"/>
      <c r="I33" s="537"/>
      <c r="J33" s="538"/>
      <c r="K33" s="539"/>
      <c r="L33" s="533"/>
      <c r="M33" s="1051"/>
      <c r="N33" s="1045"/>
    </row>
    <row r="34" spans="1:16">
      <c r="A34" s="583" t="s">
        <v>42</v>
      </c>
      <c r="B34" s="529">
        <f t="array" ref="B34:M34">TRANSPOSE('Rate Class Customer Model'!F4:F15)</f>
        <v>75</v>
      </c>
      <c r="C34" s="529">
        <v>75</v>
      </c>
      <c r="D34" s="529">
        <v>75</v>
      </c>
      <c r="E34" s="529">
        <v>75</v>
      </c>
      <c r="F34" s="529">
        <v>75</v>
      </c>
      <c r="G34" s="529">
        <v>73</v>
      </c>
      <c r="H34" s="528">
        <v>71</v>
      </c>
      <c r="I34" s="528">
        <v>72</v>
      </c>
      <c r="J34" s="529">
        <v>74</v>
      </c>
      <c r="K34" s="528">
        <v>73</v>
      </c>
      <c r="L34" s="530">
        <v>70</v>
      </c>
      <c r="M34" s="540">
        <v>69</v>
      </c>
      <c r="N34" s="1045"/>
    </row>
    <row r="35" spans="1:16">
      <c r="A35" s="583" t="s">
        <v>37</v>
      </c>
      <c r="B35" s="529">
        <f t="array" ref="B35:K35">TRANSPOSE('Rate Class Energy Model '!I3:I12)</f>
        <v>108262</v>
      </c>
      <c r="C35" s="529">
        <v>108266</v>
      </c>
      <c r="D35" s="529">
        <v>108281</v>
      </c>
      <c r="E35" s="529">
        <v>109302</v>
      </c>
      <c r="F35" s="529">
        <v>109502</v>
      </c>
      <c r="G35" s="529">
        <v>106791</v>
      </c>
      <c r="H35" s="528">
        <v>99906</v>
      </c>
      <c r="I35" s="528">
        <v>97401</v>
      </c>
      <c r="J35" s="529">
        <v>98084</v>
      </c>
      <c r="K35" s="528">
        <v>96660</v>
      </c>
      <c r="L35" s="530">
        <f>'Rate Class Energy Model '!I13</f>
        <v>88607</v>
      </c>
      <c r="M35" s="540">
        <f>'Rate Class Energy Model '!I14</f>
        <v>85699.641303017532</v>
      </c>
      <c r="N35" s="1045"/>
    </row>
    <row r="36" spans="1:16">
      <c r="A36" s="583" t="s">
        <v>38</v>
      </c>
      <c r="B36" s="529">
        <f t="array" ref="B36:M36">TRANSPOSE('Rate Class Load Model'!D3:D14)</f>
        <v>300</v>
      </c>
      <c r="C36" s="529">
        <v>300</v>
      </c>
      <c r="D36" s="529">
        <v>300</v>
      </c>
      <c r="E36" s="529">
        <v>302</v>
      </c>
      <c r="F36" s="529">
        <v>302</v>
      </c>
      <c r="G36" s="529">
        <v>302</v>
      </c>
      <c r="H36" s="528">
        <v>275.7</v>
      </c>
      <c r="I36" s="528">
        <v>270.2</v>
      </c>
      <c r="J36" s="529">
        <v>272.39999999999998</v>
      </c>
      <c r="K36" s="528">
        <v>268.5</v>
      </c>
      <c r="L36" s="530">
        <v>246.13055555555553</v>
      </c>
      <c r="M36" s="540">
        <v>238.05455917504869</v>
      </c>
      <c r="N36" s="1045"/>
    </row>
    <row r="37" spans="1:16">
      <c r="A37" s="583"/>
      <c r="B37" s="538"/>
      <c r="C37" s="538"/>
      <c r="D37" s="538"/>
      <c r="E37" s="538"/>
      <c r="F37" s="538"/>
      <c r="G37" s="538"/>
      <c r="H37" s="539"/>
      <c r="I37" s="537"/>
      <c r="J37" s="538"/>
      <c r="K37" s="539"/>
      <c r="L37" s="533"/>
      <c r="M37" s="1051"/>
      <c r="N37" s="1045"/>
    </row>
    <row r="38" spans="1:16">
      <c r="A38" s="586" t="str">
        <f>'Rate Class Energy Model '!J2</f>
        <v xml:space="preserve">Unmetered Loads </v>
      </c>
      <c r="B38" s="538"/>
      <c r="C38" s="538"/>
      <c r="D38" s="538"/>
      <c r="E38" s="538"/>
      <c r="F38" s="538"/>
      <c r="G38" s="538"/>
      <c r="H38" s="539"/>
      <c r="I38" s="537"/>
      <c r="J38" s="538"/>
      <c r="K38" s="539"/>
      <c r="L38" s="533"/>
      <c r="M38" s="1051"/>
      <c r="N38" s="1045"/>
    </row>
    <row r="39" spans="1:16">
      <c r="A39" s="583" t="s">
        <v>42</v>
      </c>
      <c r="B39" s="529">
        <f t="array" ref="B39:M39">TRANSPOSE('Rate Class Customer Model'!G4:G15)</f>
        <v>59</v>
      </c>
      <c r="C39" s="529">
        <v>60</v>
      </c>
      <c r="D39" s="529">
        <v>61</v>
      </c>
      <c r="E39" s="529">
        <v>61</v>
      </c>
      <c r="F39" s="529">
        <v>59</v>
      </c>
      <c r="G39" s="529">
        <v>58</v>
      </c>
      <c r="H39" s="528">
        <v>57</v>
      </c>
      <c r="I39" s="528">
        <v>57</v>
      </c>
      <c r="J39" s="529">
        <v>57</v>
      </c>
      <c r="K39" s="528">
        <v>57</v>
      </c>
      <c r="L39" s="530">
        <v>57</v>
      </c>
      <c r="M39" s="540">
        <v>57</v>
      </c>
      <c r="N39" s="1045"/>
    </row>
    <row r="40" spans="1:16">
      <c r="A40" s="583" t="s">
        <v>37</v>
      </c>
      <c r="B40" s="529">
        <f t="array" ref="B40:K40">TRANSPOSE('Rate Class Energy Model '!J3:J12)</f>
        <v>495379</v>
      </c>
      <c r="C40" s="529">
        <v>499265</v>
      </c>
      <c r="D40" s="529">
        <v>531898</v>
      </c>
      <c r="E40" s="529">
        <v>565759</v>
      </c>
      <c r="F40" s="529">
        <v>543571</v>
      </c>
      <c r="G40" s="529">
        <v>546384</v>
      </c>
      <c r="H40" s="528">
        <v>539097</v>
      </c>
      <c r="I40" s="528">
        <v>541637</v>
      </c>
      <c r="J40" s="529">
        <v>542146</v>
      </c>
      <c r="K40" s="528">
        <v>535316</v>
      </c>
      <c r="L40" s="530">
        <f>'Rate Class Energy Model '!J13</f>
        <v>555040</v>
      </c>
      <c r="M40" s="540">
        <f>'Rate Class Energy Model '!J14</f>
        <v>557843.31840674079</v>
      </c>
      <c r="N40" s="1045"/>
    </row>
    <row r="41" spans="1:16">
      <c r="A41" s="583"/>
      <c r="B41" s="538"/>
      <c r="C41" s="538"/>
      <c r="D41" s="538"/>
      <c r="E41" s="538"/>
      <c r="F41" s="538"/>
      <c r="G41" s="538"/>
      <c r="H41" s="539"/>
      <c r="I41" s="537"/>
      <c r="J41" s="539"/>
      <c r="K41" s="539"/>
      <c r="L41" s="533"/>
      <c r="M41" s="1051"/>
      <c r="N41" s="1045"/>
    </row>
    <row r="42" spans="1:16">
      <c r="A42" s="586" t="s">
        <v>5</v>
      </c>
      <c r="B42" s="538"/>
      <c r="C42" s="538"/>
      <c r="D42" s="538"/>
      <c r="E42" s="538"/>
      <c r="F42" s="538"/>
      <c r="G42" s="538"/>
      <c r="H42" s="539"/>
      <c r="I42" s="537"/>
      <c r="J42" s="539"/>
      <c r="K42" s="539"/>
      <c r="L42" s="533"/>
      <c r="M42" s="1051"/>
      <c r="N42" s="1045"/>
    </row>
    <row r="43" spans="1:16">
      <c r="A43" s="583" t="s">
        <v>44</v>
      </c>
      <c r="B43" s="528">
        <f t="shared" ref="B43:M43" si="1">B16+B20+B24+B29+B34+B39</f>
        <v>7676</v>
      </c>
      <c r="C43" s="528">
        <f t="shared" si="1"/>
        <v>7700</v>
      </c>
      <c r="D43" s="528">
        <f t="shared" si="1"/>
        <v>7702</v>
      </c>
      <c r="E43" s="528">
        <f t="shared" si="1"/>
        <v>7701</v>
      </c>
      <c r="F43" s="528">
        <f t="shared" si="1"/>
        <v>7705</v>
      </c>
      <c r="G43" s="528">
        <f t="shared" si="1"/>
        <v>7717</v>
      </c>
      <c r="H43" s="528">
        <f t="shared" si="1"/>
        <v>7732</v>
      </c>
      <c r="I43" s="528">
        <f t="shared" si="1"/>
        <v>7749</v>
      </c>
      <c r="J43" s="528">
        <f t="shared" si="1"/>
        <v>7752</v>
      </c>
      <c r="K43" s="528">
        <f t="shared" si="1"/>
        <v>7741</v>
      </c>
      <c r="L43" s="530">
        <f t="shared" si="1"/>
        <v>7747</v>
      </c>
      <c r="M43" s="540">
        <f t="shared" si="1"/>
        <v>7752</v>
      </c>
      <c r="N43" s="1045"/>
    </row>
    <row r="44" spans="1:16">
      <c r="A44" s="583" t="s">
        <v>37</v>
      </c>
      <c r="B44" s="528">
        <f t="shared" ref="B44:M44" si="2">B17+B21+B25+B30+B35+B40</f>
        <v>108810680</v>
      </c>
      <c r="C44" s="528">
        <f t="shared" si="2"/>
        <v>106397501</v>
      </c>
      <c r="D44" s="528">
        <f t="shared" si="2"/>
        <v>107193012</v>
      </c>
      <c r="E44" s="528">
        <f t="shared" si="2"/>
        <v>107593001</v>
      </c>
      <c r="F44" s="528">
        <f t="shared" si="2"/>
        <v>104215271.962</v>
      </c>
      <c r="G44" s="528">
        <f t="shared" si="2"/>
        <v>101711018.28400001</v>
      </c>
      <c r="H44" s="528">
        <f t="shared" si="2"/>
        <v>98838309.294999987</v>
      </c>
      <c r="I44" s="528">
        <f t="shared" si="2"/>
        <v>101848630.358208</v>
      </c>
      <c r="J44" s="528">
        <f t="shared" si="2"/>
        <v>100219092</v>
      </c>
      <c r="K44" s="528">
        <f t="shared" si="2"/>
        <v>99512150</v>
      </c>
      <c r="L44" s="530">
        <f t="shared" si="2"/>
        <v>100472426</v>
      </c>
      <c r="M44" s="540">
        <f t="shared" si="2"/>
        <v>95548715.353225783</v>
      </c>
      <c r="N44" s="1045"/>
    </row>
    <row r="45" spans="1:16">
      <c r="A45" s="588" t="s">
        <v>43</v>
      </c>
      <c r="B45" s="543">
        <f t="shared" ref="B45:M45" si="3">B26+B31+B36</f>
        <v>135003</v>
      </c>
      <c r="C45" s="543">
        <f t="shared" si="3"/>
        <v>129688</v>
      </c>
      <c r="D45" s="543">
        <f t="shared" si="3"/>
        <v>137368</v>
      </c>
      <c r="E45" s="543">
        <f t="shared" si="3"/>
        <v>135869</v>
      </c>
      <c r="F45" s="543">
        <f t="shared" si="3"/>
        <v>128898.04000000001</v>
      </c>
      <c r="G45" s="543">
        <f t="shared" si="3"/>
        <v>117849.22</v>
      </c>
      <c r="H45" s="543">
        <f t="shared" si="3"/>
        <v>113924.51999999999</v>
      </c>
      <c r="I45" s="543">
        <f t="shared" si="3"/>
        <v>114702.1</v>
      </c>
      <c r="J45" s="543">
        <f t="shared" si="3"/>
        <v>111922.9</v>
      </c>
      <c r="K45" s="1761">
        <f t="shared" si="3"/>
        <v>111159.4</v>
      </c>
      <c r="L45" s="1764">
        <f t="shared" si="3"/>
        <v>112826.03055555557</v>
      </c>
      <c r="M45" s="1052">
        <f t="shared" si="3"/>
        <v>107757.50620932988</v>
      </c>
      <c r="N45" s="1045"/>
    </row>
    <row r="46" spans="1:16">
      <c r="B46" s="4"/>
      <c r="C46" s="4"/>
      <c r="D46" s="4"/>
      <c r="E46" s="4"/>
      <c r="G46" s="4"/>
      <c r="H46" s="10"/>
      <c r="I46" s="13"/>
      <c r="J46" s="31"/>
      <c r="K46" s="8"/>
      <c r="L46" s="8"/>
      <c r="M46" s="8"/>
      <c r="N46" s="1045"/>
    </row>
    <row r="47" spans="1:16" s="1046" customFormat="1">
      <c r="B47" s="943">
        <f t="array" ref="B47:M47">TRANSPOSE('Rate Class Customer Model'!H4:H15)</f>
        <v>7676</v>
      </c>
      <c r="C47" s="943">
        <v>7700</v>
      </c>
      <c r="D47" s="943">
        <v>7702</v>
      </c>
      <c r="E47" s="943">
        <v>7701</v>
      </c>
      <c r="F47" s="943">
        <v>7705</v>
      </c>
      <c r="G47" s="943">
        <v>7717</v>
      </c>
      <c r="H47" s="1048">
        <v>7732</v>
      </c>
      <c r="I47" s="1048">
        <v>7749</v>
      </c>
      <c r="J47" s="1048">
        <v>7752</v>
      </c>
      <c r="K47" s="1048">
        <v>7741</v>
      </c>
      <c r="L47" s="1048">
        <v>7747</v>
      </c>
      <c r="M47" s="1048">
        <v>7752</v>
      </c>
      <c r="N47" s="1045"/>
      <c r="P47"/>
    </row>
    <row r="48" spans="1:16" s="1046" customFormat="1">
      <c r="B48" s="943">
        <f t="array" ref="B48:K48">TRANSPOSE('Rate Class Energy Model '!D3:D12)</f>
        <v>108810680</v>
      </c>
      <c r="C48" s="943">
        <v>106397501</v>
      </c>
      <c r="D48" s="943">
        <v>107193012</v>
      </c>
      <c r="E48" s="943">
        <v>107593001</v>
      </c>
      <c r="F48" s="943">
        <v>104215271.962</v>
      </c>
      <c r="G48" s="943">
        <v>101711018.28400001</v>
      </c>
      <c r="H48" s="1048">
        <v>98838309.294999987</v>
      </c>
      <c r="I48" s="1048">
        <v>101848630.358208</v>
      </c>
      <c r="J48" s="1048">
        <v>100219092</v>
      </c>
      <c r="K48" s="1048">
        <v>99512150</v>
      </c>
      <c r="L48" s="1048">
        <f>'Rate Class Energy Model '!D13</f>
        <v>100472426</v>
      </c>
      <c r="M48" s="1048">
        <f>'Rate Class Energy Model '!D14</f>
        <v>95548715.353225797</v>
      </c>
      <c r="N48" s="1045"/>
      <c r="P48"/>
    </row>
    <row r="49" spans="1:16" s="1046" customFormat="1">
      <c r="B49" s="943">
        <f t="array" ref="B49:M49">TRANSPOSE('Rate Class Load Model'!E3:E14)</f>
        <v>135003</v>
      </c>
      <c r="C49" s="943">
        <v>129688</v>
      </c>
      <c r="D49" s="943">
        <v>137368</v>
      </c>
      <c r="E49" s="943">
        <v>135869</v>
      </c>
      <c r="F49" s="943">
        <v>128898.04000000001</v>
      </c>
      <c r="G49" s="943">
        <v>117849.22</v>
      </c>
      <c r="H49" s="1048">
        <v>113924.51999999999</v>
      </c>
      <c r="I49" s="1048">
        <v>114702.1</v>
      </c>
      <c r="J49" s="1048">
        <v>111922.9</v>
      </c>
      <c r="K49" s="1048">
        <v>111159.4</v>
      </c>
      <c r="L49" s="1048">
        <v>112826.03055555557</v>
      </c>
      <c r="M49" s="1048">
        <v>107757.50620932988</v>
      </c>
      <c r="N49" s="1045"/>
      <c r="P49"/>
    </row>
    <row r="50" spans="1:16">
      <c r="H50" s="8"/>
      <c r="I50" s="13"/>
      <c r="J50" s="13"/>
      <c r="N50" s="1045"/>
    </row>
    <row r="51" spans="1:16">
      <c r="A51" s="30" t="s">
        <v>10</v>
      </c>
      <c r="H51"/>
      <c r="I51"/>
      <c r="N51" s="1045"/>
    </row>
    <row r="52" spans="1:16">
      <c r="A52" t="s">
        <v>44</v>
      </c>
      <c r="B52" s="4">
        <f t="shared" ref="B52:M52" si="4">B43-B47</f>
        <v>0</v>
      </c>
      <c r="C52" s="4">
        <f t="shared" si="4"/>
        <v>0</v>
      </c>
      <c r="D52" s="4">
        <f t="shared" si="4"/>
        <v>0</v>
      </c>
      <c r="E52" s="4">
        <f t="shared" si="4"/>
        <v>0</v>
      </c>
      <c r="F52" s="4">
        <f t="shared" si="4"/>
        <v>0</v>
      </c>
      <c r="G52" s="4">
        <f t="shared" si="4"/>
        <v>0</v>
      </c>
      <c r="H52" s="4">
        <f t="shared" si="4"/>
        <v>0</v>
      </c>
      <c r="I52" s="4">
        <f t="shared" si="4"/>
        <v>0</v>
      </c>
      <c r="J52" s="4">
        <f t="shared" si="4"/>
        <v>0</v>
      </c>
      <c r="K52" s="10">
        <f t="shared" si="4"/>
        <v>0</v>
      </c>
      <c r="L52" s="10">
        <f t="shared" si="4"/>
        <v>0</v>
      </c>
      <c r="M52" s="10">
        <f t="shared" si="4"/>
        <v>0</v>
      </c>
      <c r="N52" s="1045"/>
    </row>
    <row r="53" spans="1:16">
      <c r="A53" t="s">
        <v>37</v>
      </c>
      <c r="B53" s="4">
        <f t="shared" ref="B53:M53" si="5">B44-B48</f>
        <v>0</v>
      </c>
      <c r="C53" s="4">
        <f t="shared" si="5"/>
        <v>0</v>
      </c>
      <c r="D53" s="4">
        <f t="shared" si="5"/>
        <v>0</v>
      </c>
      <c r="E53" s="4">
        <f t="shared" si="5"/>
        <v>0</v>
      </c>
      <c r="F53" s="4">
        <f t="shared" si="5"/>
        <v>0</v>
      </c>
      <c r="G53" s="4">
        <f t="shared" si="5"/>
        <v>0</v>
      </c>
      <c r="H53" s="4">
        <f t="shared" si="5"/>
        <v>0</v>
      </c>
      <c r="I53" s="4">
        <f t="shared" si="5"/>
        <v>0</v>
      </c>
      <c r="J53" s="4">
        <f t="shared" si="5"/>
        <v>0</v>
      </c>
      <c r="K53" s="10">
        <f t="shared" si="5"/>
        <v>0</v>
      </c>
      <c r="L53" s="10">
        <f t="shared" si="5"/>
        <v>0</v>
      </c>
      <c r="M53" s="10">
        <f t="shared" si="5"/>
        <v>0</v>
      </c>
      <c r="N53" s="1045"/>
    </row>
    <row r="54" spans="1:16">
      <c r="A54" t="s">
        <v>43</v>
      </c>
      <c r="B54" s="4">
        <f t="shared" ref="B54:M54" si="6">B45-B49</f>
        <v>0</v>
      </c>
      <c r="C54" s="4">
        <f t="shared" si="6"/>
        <v>0</v>
      </c>
      <c r="D54" s="4">
        <f t="shared" si="6"/>
        <v>0</v>
      </c>
      <c r="E54" s="4">
        <f t="shared" si="6"/>
        <v>0</v>
      </c>
      <c r="F54" s="4">
        <f t="shared" si="6"/>
        <v>0</v>
      </c>
      <c r="G54" s="4">
        <f t="shared" si="6"/>
        <v>0</v>
      </c>
      <c r="H54" s="4">
        <f t="shared" si="6"/>
        <v>0</v>
      </c>
      <c r="I54" s="4">
        <f t="shared" si="6"/>
        <v>0</v>
      </c>
      <c r="J54" s="4">
        <f t="shared" si="6"/>
        <v>0</v>
      </c>
      <c r="K54" s="10">
        <f t="shared" si="6"/>
        <v>0</v>
      </c>
      <c r="L54" s="10">
        <f t="shared" si="6"/>
        <v>0</v>
      </c>
      <c r="M54" s="10">
        <f t="shared" si="6"/>
        <v>0</v>
      </c>
      <c r="N54" s="1045"/>
    </row>
    <row r="55" spans="1:16">
      <c r="H55"/>
      <c r="I55"/>
      <c r="N55" s="1045"/>
    </row>
    <row r="56" spans="1:16">
      <c r="H56"/>
      <c r="I56"/>
      <c r="N56" s="1045"/>
    </row>
    <row r="57" spans="1:16">
      <c r="H57"/>
      <c r="I57"/>
      <c r="N57" s="1045"/>
    </row>
    <row r="58" spans="1:16">
      <c r="H58"/>
      <c r="I58"/>
      <c r="N58" s="1045"/>
    </row>
    <row r="59" spans="1:16">
      <c r="H59"/>
      <c r="I59"/>
      <c r="N59" s="1045"/>
    </row>
    <row r="60" spans="1:16">
      <c r="H60"/>
      <c r="I60"/>
      <c r="N60" s="1045"/>
    </row>
    <row r="61" spans="1:16">
      <c r="H61"/>
      <c r="I61"/>
      <c r="N61" s="1045"/>
    </row>
    <row r="62" spans="1:16">
      <c r="H62"/>
      <c r="I62"/>
      <c r="N62" s="1045"/>
    </row>
    <row r="63" spans="1:16">
      <c r="H63"/>
      <c r="I63"/>
      <c r="N63" s="1045"/>
    </row>
    <row r="64" spans="1:16">
      <c r="H64"/>
      <c r="I64"/>
      <c r="N64" s="1045"/>
    </row>
    <row r="65" spans="8:14">
      <c r="H65"/>
      <c r="I65"/>
      <c r="N65" s="1045"/>
    </row>
    <row r="66" spans="8:14">
      <c r="H66"/>
      <c r="I66"/>
      <c r="N66" s="1045"/>
    </row>
    <row r="67" spans="8:14">
      <c r="H67"/>
      <c r="I67"/>
      <c r="N67" s="1045"/>
    </row>
    <row r="68" spans="8:14">
      <c r="H68"/>
      <c r="I68"/>
      <c r="N68" s="1045"/>
    </row>
    <row r="69" spans="8:14">
      <c r="H69"/>
      <c r="I69"/>
      <c r="N69" s="1045"/>
    </row>
    <row r="70" spans="8:14">
      <c r="H70"/>
      <c r="I70"/>
      <c r="N70" s="1045"/>
    </row>
    <row r="71" spans="8:14">
      <c r="H71"/>
      <c r="I71"/>
      <c r="N71" s="1045"/>
    </row>
    <row r="72" spans="8:14">
      <c r="H72"/>
      <c r="I72"/>
      <c r="N72" s="1045"/>
    </row>
    <row r="73" spans="8:14">
      <c r="H73"/>
      <c r="I73"/>
      <c r="N73" s="1045"/>
    </row>
    <row r="74" spans="8:14">
      <c r="H74"/>
      <c r="I74"/>
      <c r="N74" s="1045"/>
    </row>
    <row r="75" spans="8:14">
      <c r="H75"/>
      <c r="I75"/>
      <c r="N75" s="1045"/>
    </row>
    <row r="76" spans="8:14">
      <c r="H76"/>
      <c r="I76"/>
      <c r="N76" s="1045"/>
    </row>
    <row r="77" spans="8:14">
      <c r="H77"/>
      <c r="I77"/>
      <c r="N77" s="1045"/>
    </row>
    <row r="78" spans="8:14">
      <c r="H78"/>
      <c r="I78"/>
      <c r="N78" s="1045"/>
    </row>
    <row r="79" spans="8:14">
      <c r="H79"/>
      <c r="I79"/>
      <c r="N79" s="1045"/>
    </row>
    <row r="80" spans="8:14">
      <c r="H80"/>
      <c r="I80"/>
      <c r="N80" s="1045"/>
    </row>
    <row r="81" spans="8:14">
      <c r="H81"/>
      <c r="I81"/>
      <c r="N81" s="1045"/>
    </row>
    <row r="82" spans="8:14">
      <c r="H82"/>
      <c r="I82"/>
      <c r="N82" s="1045"/>
    </row>
    <row r="83" spans="8:14">
      <c r="H83"/>
      <c r="I83"/>
    </row>
    <row r="84" spans="8:14">
      <c r="H84"/>
      <c r="I84"/>
    </row>
    <row r="85" spans="8:14">
      <c r="H85"/>
      <c r="I85"/>
    </row>
    <row r="86" spans="8:14">
      <c r="H86"/>
      <c r="I86"/>
    </row>
    <row r="87" spans="8:14">
      <c r="H87"/>
      <c r="I87"/>
    </row>
    <row r="88" spans="8:14">
      <c r="H88"/>
      <c r="I88"/>
    </row>
    <row r="89" spans="8:14">
      <c r="H89"/>
      <c r="I89"/>
    </row>
    <row r="90" spans="8:14">
      <c r="H90"/>
      <c r="I90"/>
    </row>
    <row r="91" spans="8:14">
      <c r="H91"/>
      <c r="I91"/>
    </row>
    <row r="92" spans="8:14">
      <c r="H92"/>
      <c r="I92"/>
    </row>
    <row r="93" spans="8:14">
      <c r="H93"/>
      <c r="I93"/>
    </row>
  </sheetData>
  <phoneticPr fontId="0" type="noConversion"/>
  <pageMargins left="0.38" right="0.75" top="0.73" bottom="0.74" header="0.5" footer="0.5"/>
  <pageSetup scale="49" orientation="landscape" verticalDpi="300" r:id="rId1"/>
  <headerFooter alignWithMargins="0">
    <oddFooter>&amp;L&amp;Z&amp;F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39997558519241921"/>
  </sheetPr>
  <dimension ref="A1:BQ315"/>
  <sheetViews>
    <sheetView topLeftCell="A22" zoomScale="92" zoomScaleNormal="92" workbookViewId="0">
      <pane xSplit="2" topLeftCell="O1" activePane="topRight" state="frozen"/>
      <selection activeCell="A4" sqref="A4"/>
      <selection pane="topRight" activeCell="AC107" sqref="AC107"/>
    </sheetView>
  </sheetViews>
  <sheetFormatPr defaultColWidth="9.109375" defaultRowHeight="13.2"/>
  <cols>
    <col min="1" max="1" width="5.109375" style="45" bestFit="1" customWidth="1"/>
    <col min="2" max="2" width="9.6640625" style="42" customWidth="1"/>
    <col min="3" max="3" width="11.5546875" style="43" customWidth="1"/>
    <col min="4" max="4" width="12.21875" style="42" customWidth="1"/>
    <col min="5" max="5" width="12" style="42" hidden="1" customWidth="1"/>
    <col min="6" max="6" width="11" style="42" hidden="1" customWidth="1"/>
    <col min="7" max="7" width="14.44140625" style="42" hidden="1" customWidth="1"/>
    <col min="8" max="8" width="15" style="42" customWidth="1"/>
    <col min="9" max="9" width="3.33203125" style="92" customWidth="1"/>
    <col min="10" max="10" width="11.88671875" style="44" bestFit="1" customWidth="1"/>
    <col min="11" max="11" width="11.109375" style="44" customWidth="1"/>
    <col min="12" max="12" width="11.5546875" style="44" customWidth="1"/>
    <col min="13" max="13" width="9.5546875" style="44" customWidth="1"/>
    <col min="14" max="14" width="12.6640625" style="44" customWidth="1"/>
    <col min="15" max="15" width="8" style="44" customWidth="1"/>
    <col min="16" max="16" width="9.33203125" style="44" customWidth="1"/>
    <col min="17" max="17" width="7.44140625" style="44" customWidth="1"/>
    <col min="18" max="18" width="14.44140625" style="44" hidden="1" customWidth="1"/>
    <col min="19" max="19" width="13" style="874" hidden="1" customWidth="1"/>
    <col min="20" max="20" width="14.44140625" style="44" hidden="1" customWidth="1"/>
    <col min="21" max="21" width="3.88671875" style="45" customWidth="1"/>
    <col min="22" max="22" width="15.5546875" style="42" bestFit="1" customWidth="1"/>
    <col min="23" max="23" width="10" style="45" bestFit="1" customWidth="1"/>
    <col min="24" max="24" width="9.109375" style="45" bestFit="1" customWidth="1"/>
    <col min="25" max="25" width="11.109375" style="45" bestFit="1" customWidth="1"/>
    <col min="26" max="26" width="6.88671875" style="157" customWidth="1"/>
    <col min="27" max="27" width="6.77734375" style="45" customWidth="1"/>
    <col min="28" max="28" width="26.109375" style="45" customWidth="1"/>
    <col min="29" max="29" width="22.44140625" style="45" customWidth="1"/>
    <col min="30" max="30" width="14.21875" style="45" customWidth="1"/>
    <col min="31" max="31" width="16.109375" style="45" customWidth="1"/>
    <col min="32" max="32" width="21.21875" style="45" customWidth="1"/>
    <col min="33" max="33" width="17.109375" style="45" customWidth="1"/>
    <col min="34" max="34" width="12.5546875" style="45" customWidth="1"/>
    <col min="35" max="35" width="14.88671875" style="45" customWidth="1"/>
    <col min="36" max="36" width="13.5546875" style="45" customWidth="1"/>
    <col min="37" max="38" width="15" style="45" bestFit="1" customWidth="1"/>
    <col min="39" max="46" width="9.109375" style="45"/>
    <col min="47" max="48" width="12.44140625" style="45" bestFit="1" customWidth="1"/>
    <col min="49" max="50" width="9.109375" style="45"/>
    <col min="51" max="51" width="11.44140625" style="45" customWidth="1"/>
    <col min="52" max="16384" width="9.109375" style="45"/>
  </cols>
  <sheetData>
    <row r="1" spans="1:62">
      <c r="H1" s="842"/>
      <c r="N1" s="50"/>
      <c r="O1" s="50"/>
      <c r="V1" s="50"/>
      <c r="Y1" s="50"/>
      <c r="Z1" s="51"/>
      <c r="AM1" s="46"/>
      <c r="AN1" s="46"/>
      <c r="AO1" s="46"/>
      <c r="AP1" s="46"/>
      <c r="AQ1" s="46"/>
      <c r="AR1" s="46"/>
      <c r="AS1" s="46"/>
      <c r="AT1" s="46"/>
      <c r="AU1" s="46"/>
    </row>
    <row r="2" spans="1:62" ht="22.8">
      <c r="B2" s="47" t="s">
        <v>117</v>
      </c>
      <c r="C2" s="48"/>
      <c r="D2" s="49"/>
      <c r="F2" s="49"/>
      <c r="G2" s="49"/>
      <c r="H2" s="49"/>
      <c r="I2" s="257"/>
      <c r="J2" s="50"/>
      <c r="K2" s="50"/>
      <c r="L2" s="50"/>
      <c r="M2" s="50"/>
      <c r="N2" s="50"/>
      <c r="O2" s="50"/>
      <c r="V2" s="50"/>
      <c r="Y2" s="50"/>
      <c r="Z2" s="51"/>
      <c r="AB2" s="52" t="s">
        <v>118</v>
      </c>
      <c r="AC2" s="51"/>
      <c r="AD2" s="51"/>
      <c r="AE2" s="936"/>
      <c r="AG2" s="51"/>
      <c r="AH2" s="51"/>
      <c r="AI2" s="51"/>
      <c r="AJ2" s="51"/>
      <c r="AK2" s="51"/>
      <c r="AL2" s="51"/>
      <c r="AM2" s="46"/>
      <c r="AN2" s="46"/>
      <c r="AO2" s="46"/>
      <c r="AP2" s="46"/>
      <c r="AQ2" s="46"/>
      <c r="AR2" s="46"/>
      <c r="AS2" s="46"/>
      <c r="AT2" s="46"/>
      <c r="AU2" s="46"/>
    </row>
    <row r="3" spans="1:62" ht="13.8">
      <c r="C3" s="48"/>
      <c r="D3" s="49"/>
      <c r="E3" s="49"/>
      <c r="F3" s="49"/>
      <c r="G3" s="49"/>
      <c r="H3" s="49"/>
      <c r="I3" s="257"/>
      <c r="J3" s="50"/>
      <c r="K3" s="50"/>
      <c r="L3" s="50"/>
      <c r="M3" s="50"/>
      <c r="N3" s="51"/>
      <c r="O3" s="936"/>
      <c r="V3" s="51"/>
      <c r="Z3" s="68"/>
      <c r="AA3" s="51"/>
      <c r="AB3" s="255" t="s">
        <v>176</v>
      </c>
      <c r="AC3" s="256"/>
      <c r="AD3" s="256"/>
      <c r="AE3" s="51"/>
      <c r="AF3" s="51"/>
      <c r="AG3" s="51"/>
      <c r="AH3" s="51"/>
      <c r="AI3" s="51"/>
      <c r="AJ3" s="51"/>
      <c r="AK3" s="51"/>
      <c r="AL3" s="51"/>
      <c r="AM3" s="46"/>
      <c r="AN3" s="46"/>
      <c r="AO3" s="46"/>
      <c r="AP3" s="46"/>
      <c r="AQ3" s="46"/>
      <c r="AR3" s="46"/>
      <c r="AS3" s="46"/>
      <c r="AT3" s="46"/>
      <c r="AU3" s="46"/>
    </row>
    <row r="4" spans="1:62" ht="13.5" customHeight="1">
      <c r="C4" s="53"/>
      <c r="D4" s="47"/>
      <c r="E4" s="47"/>
      <c r="F4" s="47"/>
      <c r="G4" s="47"/>
      <c r="H4" s="49"/>
      <c r="I4" s="257"/>
      <c r="J4" s="50"/>
      <c r="K4" s="50"/>
      <c r="L4" s="50"/>
      <c r="M4" s="50"/>
      <c r="N4" s="50"/>
      <c r="O4" s="50"/>
      <c r="P4" s="50"/>
      <c r="Q4" s="50"/>
      <c r="R4" s="50"/>
      <c r="S4" s="791"/>
      <c r="T4" s="50"/>
      <c r="U4" s="51"/>
      <c r="V4" s="49"/>
      <c r="W4" s="51"/>
      <c r="X4" s="51"/>
      <c r="Y4" s="51"/>
      <c r="Z4" s="68"/>
      <c r="AA4" s="51"/>
      <c r="AB4" s="51"/>
      <c r="AC4" s="51"/>
      <c r="AD4" s="51"/>
      <c r="AE4" s="936"/>
      <c r="AF4" s="51"/>
      <c r="AG4" s="51"/>
      <c r="AH4" s="51"/>
      <c r="AI4" s="51"/>
      <c r="AJ4" s="51"/>
      <c r="AK4" s="51"/>
      <c r="AL4" s="51"/>
      <c r="AM4" s="46"/>
      <c r="AN4" s="46"/>
      <c r="AO4" s="46"/>
      <c r="AP4" s="46"/>
      <c r="AQ4" s="46"/>
      <c r="AR4" s="46"/>
      <c r="AS4" s="46"/>
      <c r="AT4" s="46"/>
      <c r="AU4" s="46"/>
    </row>
    <row r="5" spans="1:62" s="55" customFormat="1" ht="75" customHeight="1">
      <c r="A5" s="863" t="s">
        <v>124</v>
      </c>
      <c r="B5" s="56" t="s">
        <v>95</v>
      </c>
      <c r="C5" s="319" t="s">
        <v>413</v>
      </c>
      <c r="D5" s="319" t="s">
        <v>119</v>
      </c>
      <c r="E5" s="319" t="s">
        <v>397</v>
      </c>
      <c r="F5" s="57" t="s">
        <v>427</v>
      </c>
      <c r="G5" s="1718" t="s">
        <v>758</v>
      </c>
      <c r="H5" s="58" t="s">
        <v>751</v>
      </c>
      <c r="I5" s="258"/>
      <c r="J5" s="319" t="s">
        <v>121</v>
      </c>
      <c r="K5" s="319" t="s">
        <v>122</v>
      </c>
      <c r="L5" s="319" t="s">
        <v>3</v>
      </c>
      <c r="M5" s="319" t="s">
        <v>750</v>
      </c>
      <c r="N5" s="319" t="s">
        <v>422</v>
      </c>
      <c r="O5" s="319" t="s">
        <v>398</v>
      </c>
      <c r="P5" s="938" t="s">
        <v>400</v>
      </c>
      <c r="Q5" s="1718" t="s">
        <v>747</v>
      </c>
      <c r="R5" s="105"/>
      <c r="S5" s="790" t="s">
        <v>123</v>
      </c>
      <c r="T5" s="58" t="s">
        <v>399</v>
      </c>
      <c r="U5" s="59"/>
      <c r="V5" s="60" t="s">
        <v>167</v>
      </c>
      <c r="W5" s="60" t="s">
        <v>6</v>
      </c>
      <c r="X5" s="60" t="s">
        <v>7</v>
      </c>
      <c r="Y5" s="60" t="s">
        <v>82</v>
      </c>
      <c r="Z5" s="153"/>
      <c r="AA5" s="54"/>
      <c r="AB5" t="s">
        <v>13</v>
      </c>
      <c r="AC5"/>
      <c r="AD5"/>
      <c r="AE5"/>
      <c r="AF5"/>
      <c r="AG5"/>
      <c r="AH5"/>
      <c r="AI5"/>
      <c r="AJ5"/>
      <c r="AK5" s="61"/>
      <c r="AL5"/>
      <c r="AM5"/>
      <c r="AN5"/>
      <c r="AO5"/>
      <c r="AP5"/>
      <c r="AQ5"/>
      <c r="AR5"/>
      <c r="AS5"/>
      <c r="AT5"/>
      <c r="AU5" s="45"/>
      <c r="AV5" s="45"/>
      <c r="AW5" s="45"/>
      <c r="AX5" s="45"/>
      <c r="AY5" s="45"/>
      <c r="AZ5" s="45"/>
      <c r="BA5" s="45"/>
      <c r="BB5" s="45"/>
      <c r="BC5" s="45"/>
      <c r="BD5"/>
    </row>
    <row r="6" spans="1:62" s="55" customFormat="1" ht="13.8" thickBot="1">
      <c r="A6" s="864">
        <f>YEAR(B6)</f>
        <v>2011</v>
      </c>
      <c r="B6" s="263">
        <v>40574</v>
      </c>
      <c r="C6" s="63">
        <v>12132585</v>
      </c>
      <c r="D6" s="69">
        <v>1799</v>
      </c>
      <c r="E6" s="858"/>
      <c r="F6" s="888"/>
      <c r="G6" s="63"/>
      <c r="H6" s="65">
        <f t="shared" ref="H6:H37" si="0">SUM(C6:G6)</f>
        <v>12134384</v>
      </c>
      <c r="I6" s="259"/>
      <c r="J6" s="150">
        <f>HLOOKUP(YEAR(B6),'HDD &amp; CDD'!$B$5:$U$17,MONTH(B6)+1,FALSE)</f>
        <v>888.7</v>
      </c>
      <c r="K6" s="857">
        <f>HLOOKUP(YEAR(B6),'HDD &amp; CDD'!$B$23:$U$35,MONTH(B6)+1,FALSE)</f>
        <v>0</v>
      </c>
      <c r="L6" s="322">
        <f t="shared" ref="L6:L37" si="1">DAY(EOMONTH(B6,0))</f>
        <v>31</v>
      </c>
      <c r="M6" s="150">
        <v>1</v>
      </c>
      <c r="N6" s="322">
        <f>[21]Sheet1!D76</f>
        <v>20</v>
      </c>
      <c r="O6" s="841">
        <v>1</v>
      </c>
      <c r="P6" s="841">
        <v>0</v>
      </c>
      <c r="Q6" s="1720">
        <v>0</v>
      </c>
      <c r="R6" s="66"/>
      <c r="S6" s="103">
        <v>0</v>
      </c>
      <c r="T6" s="67">
        <v>1</v>
      </c>
      <c r="U6" s="152"/>
      <c r="V6" s="1723">
        <f>$AC$21+J6*$AC$22+K6*$AC$23+L6*$AC$24+M6*$AC$25+N6*$AC$26+O6*$AC$27+P6*$AC$28+Q6*$AC$29</f>
        <v>11972330.942754088</v>
      </c>
      <c r="W6" s="182">
        <f t="shared" ref="W6:W37" si="2">V6-H6</f>
        <v>-162053.05724591203</v>
      </c>
      <c r="X6" s="183">
        <f t="shared" ref="X6:X37" si="3">W6/H6</f>
        <v>-1.3354864758352136E-2</v>
      </c>
      <c r="Y6" s="183">
        <f>ABS(X6)</f>
        <v>1.3354864758352136E-2</v>
      </c>
      <c r="Z6" s="153"/>
      <c r="AA6" s="54"/>
      <c r="AB6"/>
      <c r="AC6"/>
      <c r="AD6"/>
      <c r="AE6"/>
      <c r="AF6"/>
      <c r="AG6"/>
      <c r="AH6"/>
      <c r="AI6"/>
      <c r="AJ6"/>
      <c r="AK6" s="68"/>
      <c r="AL6" s="45"/>
      <c r="AM6" s="45"/>
      <c r="AN6" s="45"/>
      <c r="AO6" s="45"/>
      <c r="AP6" s="45"/>
      <c r="AQ6" s="45"/>
      <c r="AR6" s="45"/>
      <c r="AS6" s="45"/>
      <c r="AT6" s="45"/>
      <c r="AU6" s="45"/>
      <c r="AV6" s="45"/>
      <c r="AW6" s="45"/>
      <c r="AX6" s="45"/>
      <c r="AY6" s="45"/>
      <c r="AZ6" s="45"/>
      <c r="BA6" s="45"/>
      <c r="BB6" s="45"/>
      <c r="BC6" s="45"/>
      <c r="BD6"/>
      <c r="BE6" s="45"/>
      <c r="BF6" s="45"/>
      <c r="BG6" s="45"/>
    </row>
    <row r="7" spans="1:62" s="55" customFormat="1">
      <c r="A7" s="864">
        <f t="shared" ref="A7:A70" si="4">YEAR(B7)</f>
        <v>2011</v>
      </c>
      <c r="B7" s="62">
        <f>EOMONTH(B6,1)</f>
        <v>40602</v>
      </c>
      <c r="C7" s="69">
        <v>10866454</v>
      </c>
      <c r="D7" s="69">
        <v>1033</v>
      </c>
      <c r="E7" s="858"/>
      <c r="F7" s="888"/>
      <c r="G7" s="63"/>
      <c r="H7" s="71">
        <f t="shared" si="0"/>
        <v>10867487</v>
      </c>
      <c r="I7" s="259"/>
      <c r="J7" s="150">
        <f>HLOOKUP(YEAR(B7),'HDD &amp; CDD'!$B$5:$U$17,MONTH(B7)+1,FALSE)</f>
        <v>731.6</v>
      </c>
      <c r="K7" s="857">
        <f>HLOOKUP(YEAR(B7),'HDD &amp; CDD'!$B$23:$U$35,MONTH(B7)+1,FALSE)</f>
        <v>0</v>
      </c>
      <c r="L7" s="322">
        <f t="shared" si="1"/>
        <v>28</v>
      </c>
      <c r="M7" s="150">
        <v>1</v>
      </c>
      <c r="N7" s="322">
        <f>[21]Sheet1!D77</f>
        <v>19</v>
      </c>
      <c r="O7" s="841">
        <v>2</v>
      </c>
      <c r="P7" s="841">
        <v>0</v>
      </c>
      <c r="Q7" s="1720">
        <v>0</v>
      </c>
      <c r="R7" s="66"/>
      <c r="S7" s="103">
        <v>0</v>
      </c>
      <c r="T7" s="67">
        <v>1</v>
      </c>
      <c r="U7" s="51"/>
      <c r="V7" s="1723">
        <f t="shared" ref="V7:V70" si="5">$AC$21+J7*$AC$22+K7*$AC$23+L7*$AC$24+M7*$AC$25+N7*$AC$26+O7*$AC$27+P7*$AC$28+Q7*$AC$29</f>
        <v>10751088.334753316</v>
      </c>
      <c r="W7" s="182">
        <f t="shared" si="2"/>
        <v>-116398.6652466841</v>
      </c>
      <c r="X7" s="183">
        <f t="shared" si="3"/>
        <v>-1.0710725050481689E-2</v>
      </c>
      <c r="Y7" s="183">
        <f t="shared" ref="Y7:Y17" si="6">ABS(X7)</f>
        <v>1.0710725050481689E-2</v>
      </c>
      <c r="Z7" s="153"/>
      <c r="AA7" s="54"/>
      <c r="AB7" s="17" t="s">
        <v>14</v>
      </c>
      <c r="AC7" s="17"/>
      <c r="AD7"/>
      <c r="AE7"/>
      <c r="AF7"/>
      <c r="AG7"/>
      <c r="AH7"/>
      <c r="AI7"/>
      <c r="AJ7"/>
      <c r="AK7" s="68"/>
      <c r="AL7"/>
      <c r="AM7"/>
      <c r="AN7"/>
      <c r="AO7"/>
      <c r="AP7"/>
      <c r="AQ7"/>
      <c r="AR7"/>
      <c r="AS7"/>
      <c r="AT7"/>
      <c r="AU7" s="45"/>
      <c r="AV7" s="45"/>
      <c r="AW7" s="45"/>
      <c r="AX7" s="45"/>
      <c r="AY7" s="45"/>
      <c r="AZ7" s="45"/>
      <c r="BA7" s="45"/>
      <c r="BB7" s="45"/>
      <c r="BC7" s="45"/>
      <c r="BD7"/>
      <c r="BE7" s="45"/>
      <c r="BF7" s="45"/>
      <c r="BG7" s="45"/>
      <c r="BH7" s="45"/>
      <c r="BI7" s="45"/>
      <c r="BJ7" s="45"/>
    </row>
    <row r="8" spans="1:62" s="55" customFormat="1">
      <c r="A8" s="864">
        <f t="shared" si="4"/>
        <v>2011</v>
      </c>
      <c r="B8" s="62">
        <f t="shared" ref="B8:B18" si="7">EOMONTH(B7,1)</f>
        <v>40633</v>
      </c>
      <c r="C8" s="69">
        <v>11067608</v>
      </c>
      <c r="D8" s="69">
        <v>2402</v>
      </c>
      <c r="E8" s="858"/>
      <c r="F8" s="888"/>
      <c r="G8" s="63"/>
      <c r="H8" s="71">
        <f t="shared" si="0"/>
        <v>11070010</v>
      </c>
      <c r="I8" s="259"/>
      <c r="J8" s="150">
        <f>HLOOKUP(YEAR(B8),'HDD &amp; CDD'!$B$5:$U$17,MONTH(B8)+1,FALSE)</f>
        <v>634.59999999999991</v>
      </c>
      <c r="K8" s="857">
        <f>HLOOKUP(YEAR(B8),'HDD &amp; CDD'!$B$23:$U$35,MONTH(B8)+1,FALSE)</f>
        <v>0</v>
      </c>
      <c r="L8" s="322">
        <f t="shared" si="1"/>
        <v>31</v>
      </c>
      <c r="M8" s="150">
        <v>1</v>
      </c>
      <c r="N8" s="322">
        <f>[21]Sheet1!D78</f>
        <v>23</v>
      </c>
      <c r="O8" s="841">
        <v>3</v>
      </c>
      <c r="P8" s="841">
        <v>0</v>
      </c>
      <c r="Q8" s="1720">
        <v>0</v>
      </c>
      <c r="R8" s="66"/>
      <c r="S8" s="103">
        <v>1</v>
      </c>
      <c r="T8" s="67">
        <v>1</v>
      </c>
      <c r="U8" s="51"/>
      <c r="V8" s="1723">
        <f t="shared" si="5"/>
        <v>11005120.34260444</v>
      </c>
      <c r="W8" s="182">
        <f t="shared" si="2"/>
        <v>-64889.657395560294</v>
      </c>
      <c r="X8" s="183">
        <f t="shared" si="3"/>
        <v>-5.8617523738063735E-3</v>
      </c>
      <c r="Y8" s="183">
        <f t="shared" si="6"/>
        <v>5.8617523738063735E-3</v>
      </c>
      <c r="Z8" s="153"/>
      <c r="AA8" s="54"/>
      <c r="AB8" s="14" t="s">
        <v>15</v>
      </c>
      <c r="AC8" s="14">
        <v>0.98321859288952707</v>
      </c>
      <c r="AD8"/>
      <c r="AE8"/>
      <c r="AF8"/>
      <c r="AG8"/>
      <c r="AH8"/>
      <c r="AI8"/>
      <c r="AJ8"/>
      <c r="AK8" s="68"/>
      <c r="AL8" s="45"/>
      <c r="AM8" s="45"/>
      <c r="AN8" s="45"/>
      <c r="AO8" s="45"/>
      <c r="AP8" s="45"/>
      <c r="AQ8" s="45"/>
      <c r="AR8" s="45"/>
      <c r="AS8" s="45"/>
      <c r="AT8" s="45"/>
      <c r="AU8" s="45"/>
      <c r="AV8" s="45"/>
      <c r="AW8" s="45"/>
      <c r="AX8" s="45"/>
      <c r="AY8" s="45"/>
      <c r="AZ8" s="45"/>
      <c r="BA8" s="45"/>
      <c r="BB8" s="45"/>
      <c r="BC8" s="45"/>
      <c r="BD8"/>
      <c r="BE8" s="45"/>
      <c r="BF8" s="45"/>
      <c r="BG8" s="45"/>
      <c r="BH8" s="45"/>
      <c r="BI8" s="45"/>
      <c r="BJ8" s="45"/>
    </row>
    <row r="9" spans="1:62" s="55" customFormat="1">
      <c r="A9" s="864">
        <f t="shared" si="4"/>
        <v>2011</v>
      </c>
      <c r="B9" s="62">
        <f t="shared" si="7"/>
        <v>40663</v>
      </c>
      <c r="C9" s="69">
        <v>9072415</v>
      </c>
      <c r="D9" s="69">
        <v>2602</v>
      </c>
      <c r="E9" s="858"/>
      <c r="F9" s="888"/>
      <c r="G9" s="63"/>
      <c r="H9" s="71">
        <f t="shared" si="0"/>
        <v>9075017</v>
      </c>
      <c r="I9" s="259"/>
      <c r="J9" s="150">
        <f>HLOOKUP(YEAR(B9),'HDD &amp; CDD'!$B$5:$U$17,MONTH(B9)+1,FALSE)</f>
        <v>347.40000000000009</v>
      </c>
      <c r="K9" s="857">
        <f>HLOOKUP(YEAR(B9),'HDD &amp; CDD'!$B$23:$U$35,MONTH(B9)+1,FALSE)</f>
        <v>0</v>
      </c>
      <c r="L9" s="322">
        <f t="shared" si="1"/>
        <v>30</v>
      </c>
      <c r="M9" s="150">
        <v>0</v>
      </c>
      <c r="N9" s="322">
        <f>[21]Sheet1!D79</f>
        <v>19</v>
      </c>
      <c r="O9" s="841">
        <v>4</v>
      </c>
      <c r="P9" s="841">
        <v>0</v>
      </c>
      <c r="Q9" s="1720">
        <v>0</v>
      </c>
      <c r="R9" s="66"/>
      <c r="S9" s="103">
        <v>1</v>
      </c>
      <c r="T9" s="67">
        <v>0</v>
      </c>
      <c r="U9" s="51"/>
      <c r="V9" s="1723">
        <f t="shared" si="5"/>
        <v>8993227.7856842652</v>
      </c>
      <c r="W9" s="182">
        <f t="shared" si="2"/>
        <v>-81789.214315734804</v>
      </c>
      <c r="X9" s="183">
        <f t="shared" si="3"/>
        <v>-9.0125687164811698E-3</v>
      </c>
      <c r="Y9" s="183">
        <f t="shared" si="6"/>
        <v>9.0125687164811698E-3</v>
      </c>
      <c r="Z9" s="153"/>
      <c r="AA9" s="54"/>
      <c r="AB9" s="14" t="s">
        <v>16</v>
      </c>
      <c r="AC9" s="14">
        <v>0.96671880140366162</v>
      </c>
      <c r="AD9"/>
      <c r="AE9"/>
      <c r="AF9"/>
      <c r="AG9"/>
      <c r="AH9"/>
      <c r="AI9"/>
      <c r="AJ9"/>
      <c r="AK9" s="68"/>
      <c r="AL9"/>
      <c r="AM9"/>
      <c r="AN9"/>
      <c r="AO9"/>
      <c r="AP9"/>
      <c r="AQ9"/>
      <c r="AR9"/>
      <c r="AS9"/>
      <c r="AT9"/>
      <c r="AU9" s="45"/>
      <c r="AV9" s="45"/>
      <c r="AW9" s="45"/>
      <c r="AX9" s="45"/>
      <c r="AY9" s="45"/>
      <c r="AZ9" s="45"/>
      <c r="BA9" s="45"/>
      <c r="BB9" s="45"/>
      <c r="BC9" s="45"/>
      <c r="BD9"/>
      <c r="BE9" s="45"/>
      <c r="BF9" s="45"/>
      <c r="BG9" s="45"/>
      <c r="BH9" s="45"/>
      <c r="BI9" s="45"/>
      <c r="BJ9" s="45"/>
    </row>
    <row r="10" spans="1:62" s="55" customFormat="1">
      <c r="A10" s="864">
        <f t="shared" si="4"/>
        <v>2011</v>
      </c>
      <c r="B10" s="62">
        <f t="shared" si="7"/>
        <v>40694</v>
      </c>
      <c r="C10" s="69">
        <v>8656277</v>
      </c>
      <c r="D10" s="69">
        <v>2828</v>
      </c>
      <c r="E10" s="858"/>
      <c r="F10" s="888"/>
      <c r="G10" s="63"/>
      <c r="H10" s="71">
        <f t="shared" si="0"/>
        <v>8659105</v>
      </c>
      <c r="I10" s="259"/>
      <c r="J10" s="150">
        <f>HLOOKUP(YEAR(B10),'HDD &amp; CDD'!$B$5:$U$17,MONTH(B10)+1,FALSE)</f>
        <v>142.79999999999998</v>
      </c>
      <c r="K10" s="857">
        <f>HLOOKUP(YEAR(B10),'HDD &amp; CDD'!$B$23:$U$35,MONTH(B10)+1,FALSE)</f>
        <v>16.7</v>
      </c>
      <c r="L10" s="322">
        <f t="shared" si="1"/>
        <v>31</v>
      </c>
      <c r="M10" s="150">
        <v>0</v>
      </c>
      <c r="N10" s="322">
        <f>[21]Sheet1!D80</f>
        <v>21</v>
      </c>
      <c r="O10" s="841">
        <v>5</v>
      </c>
      <c r="P10" s="841">
        <v>0</v>
      </c>
      <c r="Q10" s="1720">
        <v>0</v>
      </c>
      <c r="R10" s="66"/>
      <c r="S10" s="103">
        <v>1</v>
      </c>
      <c r="T10" s="67">
        <v>0</v>
      </c>
      <c r="U10" s="51"/>
      <c r="V10" s="1723">
        <f t="shared" si="5"/>
        <v>8607611.8101226855</v>
      </c>
      <c r="W10" s="182">
        <f t="shared" si="2"/>
        <v>-51493.189877314493</v>
      </c>
      <c r="X10" s="183">
        <f t="shared" si="3"/>
        <v>-5.9467104137569064E-3</v>
      </c>
      <c r="Y10" s="183">
        <f t="shared" si="6"/>
        <v>5.9467104137569064E-3</v>
      </c>
      <c r="Z10" s="153"/>
      <c r="AA10" s="54"/>
      <c r="AB10" s="14" t="s">
        <v>17</v>
      </c>
      <c r="AC10" s="14">
        <v>0.96455417060064774</v>
      </c>
      <c r="AD10"/>
      <c r="AE10"/>
      <c r="AF10"/>
      <c r="AG10"/>
      <c r="AH10"/>
      <c r="AI10"/>
      <c r="AJ10"/>
      <c r="AK10" s="68"/>
      <c r="AL10" s="45"/>
      <c r="AM10" s="45"/>
      <c r="AN10" s="45"/>
      <c r="AO10" s="45"/>
      <c r="AP10" s="45"/>
      <c r="AQ10" s="45"/>
      <c r="AR10" s="45"/>
      <c r="AS10" s="45"/>
      <c r="AT10" s="45"/>
      <c r="AU10" s="45"/>
      <c r="AV10" s="45"/>
      <c r="AW10" s="45"/>
      <c r="AX10" s="45"/>
      <c r="AY10" s="45"/>
      <c r="AZ10" s="45"/>
      <c r="BA10" s="45"/>
      <c r="BB10" s="45"/>
      <c r="BC10" s="45"/>
      <c r="BD10"/>
      <c r="BE10" s="45"/>
      <c r="BF10" s="45"/>
      <c r="BG10" s="45"/>
      <c r="BH10" s="45"/>
      <c r="BI10" s="45"/>
      <c r="BJ10" s="45"/>
    </row>
    <row r="11" spans="1:62" s="55" customFormat="1">
      <c r="A11" s="864">
        <f t="shared" si="4"/>
        <v>2011</v>
      </c>
      <c r="B11" s="62">
        <f t="shared" si="7"/>
        <v>40724</v>
      </c>
      <c r="C11" s="69">
        <v>8776092</v>
      </c>
      <c r="D11" s="69">
        <v>3389</v>
      </c>
      <c r="E11" s="858"/>
      <c r="F11" s="888"/>
      <c r="G11" s="63"/>
      <c r="H11" s="71">
        <f t="shared" si="0"/>
        <v>8779481</v>
      </c>
      <c r="I11" s="259"/>
      <c r="J11" s="150">
        <f>HLOOKUP(YEAR(B11),'HDD &amp; CDD'!$B$5:$U$17,MONTH(B11)+1,FALSE)</f>
        <v>18.5</v>
      </c>
      <c r="K11" s="857">
        <f>HLOOKUP(YEAR(B11),'HDD &amp; CDD'!$B$23:$U$35,MONTH(B11)+1,FALSE)</f>
        <v>59.1</v>
      </c>
      <c r="L11" s="322">
        <f t="shared" si="1"/>
        <v>30</v>
      </c>
      <c r="M11" s="150">
        <v>1</v>
      </c>
      <c r="N11" s="322">
        <f>[21]Sheet1!D81</f>
        <v>22</v>
      </c>
      <c r="O11" s="841">
        <v>6</v>
      </c>
      <c r="P11" s="841">
        <v>0</v>
      </c>
      <c r="Q11" s="1720">
        <v>0</v>
      </c>
      <c r="R11" s="66"/>
      <c r="S11" s="103">
        <v>0</v>
      </c>
      <c r="T11" s="67">
        <v>1</v>
      </c>
      <c r="U11" s="51"/>
      <c r="V11" s="1723">
        <f t="shared" si="5"/>
        <v>8966278.0667930637</v>
      </c>
      <c r="W11" s="182">
        <f t="shared" si="2"/>
        <v>186797.06679306366</v>
      </c>
      <c r="X11" s="183">
        <f t="shared" si="3"/>
        <v>2.1276550036734933E-2</v>
      </c>
      <c r="Y11" s="183">
        <f t="shared" si="6"/>
        <v>2.1276550036734933E-2</v>
      </c>
      <c r="Z11" s="153"/>
      <c r="AA11" s="54"/>
      <c r="AB11" s="14" t="s">
        <v>18</v>
      </c>
      <c r="AC11" s="14">
        <v>215497.27885119471</v>
      </c>
      <c r="AD11"/>
      <c r="AE11"/>
      <c r="AF11"/>
      <c r="AG11"/>
      <c r="AH11"/>
      <c r="AI11"/>
      <c r="AJ11"/>
      <c r="AK11" s="68"/>
      <c r="AL11"/>
      <c r="AM11"/>
      <c r="AN11"/>
      <c r="AO11"/>
      <c r="AP11"/>
      <c r="AQ11"/>
      <c r="AR11"/>
      <c r="AS11"/>
      <c r="AT11"/>
      <c r="AU11" s="45"/>
      <c r="AV11" s="45"/>
      <c r="AW11" s="45"/>
      <c r="AX11" s="45"/>
      <c r="AY11" s="45"/>
      <c r="AZ11" s="45"/>
      <c r="BA11" s="45"/>
      <c r="BB11" s="45"/>
      <c r="BC11" s="45"/>
      <c r="BD11"/>
      <c r="BE11" s="45"/>
      <c r="BF11" s="45"/>
      <c r="BG11" s="45"/>
      <c r="BH11" s="45"/>
      <c r="BI11" s="45"/>
      <c r="BJ11" s="45"/>
    </row>
    <row r="12" spans="1:62" s="55" customFormat="1" ht="13.8" thickBot="1">
      <c r="A12" s="864">
        <f t="shared" si="4"/>
        <v>2011</v>
      </c>
      <c r="B12" s="62">
        <f t="shared" si="7"/>
        <v>40755</v>
      </c>
      <c r="C12" s="69">
        <v>9998192</v>
      </c>
      <c r="D12" s="69">
        <v>3782</v>
      </c>
      <c r="E12" s="858"/>
      <c r="F12" s="888"/>
      <c r="G12" s="63"/>
      <c r="H12" s="71">
        <f t="shared" si="0"/>
        <v>10001974</v>
      </c>
      <c r="I12" s="259"/>
      <c r="J12" s="150">
        <f>HLOOKUP(YEAR(B12),'HDD &amp; CDD'!$B$5:$U$17,MONTH(B12)+1,FALSE)</f>
        <v>0</v>
      </c>
      <c r="K12" s="857">
        <f>HLOOKUP(YEAR(B12),'HDD &amp; CDD'!$B$23:$U$35,MONTH(B12)+1,FALSE)</f>
        <v>137.5</v>
      </c>
      <c r="L12" s="322">
        <f t="shared" si="1"/>
        <v>31</v>
      </c>
      <c r="M12" s="150">
        <v>1</v>
      </c>
      <c r="N12" s="322">
        <f>[21]Sheet1!D82</f>
        <v>20</v>
      </c>
      <c r="O12" s="841">
        <v>7</v>
      </c>
      <c r="P12" s="841">
        <v>0</v>
      </c>
      <c r="Q12" s="1720">
        <v>0</v>
      </c>
      <c r="R12" s="66"/>
      <c r="S12" s="103">
        <v>0</v>
      </c>
      <c r="T12" s="67">
        <v>1</v>
      </c>
      <c r="U12" s="51"/>
      <c r="V12" s="1723">
        <f t="shared" si="5"/>
        <v>10110536.752904996</v>
      </c>
      <c r="W12" s="182">
        <f t="shared" si="2"/>
        <v>108562.75290499628</v>
      </c>
      <c r="X12" s="183">
        <f t="shared" si="3"/>
        <v>1.0854132684707666E-2</v>
      </c>
      <c r="Y12" s="183">
        <f t="shared" si="6"/>
        <v>1.0854132684707666E-2</v>
      </c>
      <c r="Z12" s="153"/>
      <c r="AA12" s="54"/>
      <c r="AB12" s="15" t="s">
        <v>19</v>
      </c>
      <c r="AC12" s="15">
        <v>132</v>
      </c>
      <c r="AD12"/>
      <c r="AE12"/>
      <c r="AF12"/>
      <c r="AG12"/>
      <c r="AH12"/>
      <c r="AI12"/>
      <c r="AJ12"/>
      <c r="AK12" s="68"/>
      <c r="AL12" s="45"/>
      <c r="AM12" s="45"/>
      <c r="AN12" s="45"/>
      <c r="AO12" s="45"/>
      <c r="AP12" s="45"/>
      <c r="AQ12" s="45"/>
      <c r="AR12" s="45"/>
      <c r="AS12" s="45"/>
      <c r="AT12" s="45"/>
      <c r="AU12" s="45"/>
      <c r="AV12" s="45"/>
      <c r="AW12" s="45"/>
      <c r="AX12" s="45"/>
      <c r="AY12" s="45"/>
      <c r="AZ12" s="45"/>
      <c r="BA12" s="45"/>
      <c r="BB12" s="45"/>
      <c r="BC12" s="45"/>
      <c r="BD12"/>
      <c r="BE12" s="45"/>
      <c r="BF12" s="45"/>
      <c r="BG12" s="45"/>
      <c r="BH12" s="45"/>
      <c r="BI12" s="45"/>
      <c r="BJ12" s="45"/>
    </row>
    <row r="13" spans="1:62" s="55" customFormat="1">
      <c r="A13" s="864">
        <f t="shared" si="4"/>
        <v>2011</v>
      </c>
      <c r="B13" s="62">
        <f t="shared" si="7"/>
        <v>40786</v>
      </c>
      <c r="C13" s="69">
        <v>9450654</v>
      </c>
      <c r="D13" s="69">
        <v>3038</v>
      </c>
      <c r="E13" s="858"/>
      <c r="F13" s="888"/>
      <c r="G13" s="63"/>
      <c r="H13" s="71">
        <f t="shared" si="0"/>
        <v>9453692</v>
      </c>
      <c r="I13" s="259"/>
      <c r="J13" s="150">
        <f>HLOOKUP(YEAR(B13),'HDD &amp; CDD'!$B$5:$U$17,MONTH(B13)+1,FALSE)</f>
        <v>2.3000000000000003</v>
      </c>
      <c r="K13" s="857">
        <f>HLOOKUP(YEAR(B13),'HDD &amp; CDD'!$B$23:$U$35,MONTH(B13)+1,FALSE)</f>
        <v>82.300000000000011</v>
      </c>
      <c r="L13" s="322">
        <f t="shared" si="1"/>
        <v>31</v>
      </c>
      <c r="M13" s="150">
        <v>1</v>
      </c>
      <c r="N13" s="322">
        <f>[21]Sheet1!D83</f>
        <v>22</v>
      </c>
      <c r="O13" s="841">
        <v>8</v>
      </c>
      <c r="P13" s="841">
        <v>1</v>
      </c>
      <c r="Q13" s="1720">
        <v>0</v>
      </c>
      <c r="R13" s="66"/>
      <c r="S13" s="103">
        <v>0</v>
      </c>
      <c r="T13" s="67">
        <v>1</v>
      </c>
      <c r="U13" s="51"/>
      <c r="V13" s="1723">
        <f t="shared" si="5"/>
        <v>9804949.3374186158</v>
      </c>
      <c r="W13" s="182">
        <f t="shared" si="2"/>
        <v>351257.33741861582</v>
      </c>
      <c r="X13" s="183">
        <f t="shared" si="3"/>
        <v>3.7155572385753184E-2</v>
      </c>
      <c r="Y13" s="183">
        <f t="shared" si="6"/>
        <v>3.7155572385753184E-2</v>
      </c>
      <c r="Z13" s="153"/>
      <c r="AA13" s="54"/>
      <c r="AB13"/>
      <c r="AC13"/>
      <c r="AD13"/>
      <c r="AE13"/>
      <c r="AF13"/>
      <c r="AG13"/>
      <c r="AH13"/>
      <c r="AI13"/>
      <c r="AJ13"/>
      <c r="AK13" s="68"/>
      <c r="AL13"/>
      <c r="AM13"/>
      <c r="AN13"/>
      <c r="AO13"/>
      <c r="AP13"/>
      <c r="AQ13"/>
      <c r="AR13"/>
      <c r="AS13"/>
      <c r="AT13"/>
      <c r="AU13" s="45"/>
      <c r="AV13" s="45"/>
      <c r="AW13" s="45"/>
      <c r="AX13" s="45"/>
      <c r="AY13" s="45"/>
      <c r="AZ13" s="45"/>
      <c r="BA13" s="45"/>
      <c r="BB13" s="45"/>
      <c r="BC13" s="45"/>
      <c r="BD13"/>
      <c r="BE13" s="45"/>
      <c r="BF13" s="45"/>
      <c r="BG13" s="45"/>
      <c r="BH13" s="45"/>
      <c r="BI13" s="45"/>
      <c r="BJ13" s="45"/>
    </row>
    <row r="14" spans="1:62" s="55" customFormat="1" ht="13.8" thickBot="1">
      <c r="A14" s="864">
        <f t="shared" si="4"/>
        <v>2011</v>
      </c>
      <c r="B14" s="62">
        <f t="shared" si="7"/>
        <v>40816</v>
      </c>
      <c r="C14" s="69">
        <v>8631923</v>
      </c>
      <c r="D14" s="69">
        <v>5616</v>
      </c>
      <c r="E14" s="858"/>
      <c r="F14" s="888"/>
      <c r="G14" s="63"/>
      <c r="H14" s="71">
        <f t="shared" si="0"/>
        <v>8637539</v>
      </c>
      <c r="I14" s="259"/>
      <c r="J14" s="150">
        <f>HLOOKUP(YEAR(B14),'HDD &amp; CDD'!$B$5:$U$17,MONTH(B14)+1,FALSE)</f>
        <v>55.4</v>
      </c>
      <c r="K14" s="857">
        <f>HLOOKUP(YEAR(B14),'HDD &amp; CDD'!$B$23:$U$35,MONTH(B14)+1,FALSE)</f>
        <v>32.9</v>
      </c>
      <c r="L14" s="322">
        <f t="shared" si="1"/>
        <v>30</v>
      </c>
      <c r="M14" s="150">
        <v>1</v>
      </c>
      <c r="N14" s="322">
        <f>[21]Sheet1!D84</f>
        <v>21</v>
      </c>
      <c r="O14" s="841">
        <v>9</v>
      </c>
      <c r="P14" s="841">
        <v>0</v>
      </c>
      <c r="Q14" s="1720">
        <v>0</v>
      </c>
      <c r="R14" s="66"/>
      <c r="S14" s="103">
        <v>1</v>
      </c>
      <c r="T14" s="67">
        <v>1</v>
      </c>
      <c r="U14" s="51"/>
      <c r="V14" s="1723">
        <f t="shared" si="5"/>
        <v>8645782.6765183602</v>
      </c>
      <c r="W14" s="182">
        <f t="shared" si="2"/>
        <v>8243.6765183601528</v>
      </c>
      <c r="X14" s="183">
        <f t="shared" si="3"/>
        <v>9.5440107632048347E-4</v>
      </c>
      <c r="Y14" s="183">
        <f t="shared" si="6"/>
        <v>9.5440107632048347E-4</v>
      </c>
      <c r="Z14" s="153"/>
      <c r="AA14" s="54"/>
      <c r="AB14" t="s">
        <v>20</v>
      </c>
      <c r="AC14"/>
      <c r="AD14"/>
      <c r="AE14"/>
      <c r="AF14"/>
      <c r="AG14"/>
      <c r="AH14"/>
      <c r="AI14"/>
      <c r="AJ14"/>
      <c r="AK14" s="68"/>
      <c r="AL14" s="45"/>
      <c r="AM14" s="45"/>
      <c r="AN14" s="45"/>
      <c r="AO14" s="45"/>
      <c r="AP14" s="45"/>
      <c r="AQ14" s="45"/>
      <c r="AR14" s="45"/>
      <c r="AS14" s="45"/>
      <c r="AT14" s="45"/>
      <c r="AU14" s="45"/>
      <c r="AV14" s="45"/>
      <c r="AW14" s="45"/>
      <c r="AX14" s="45"/>
      <c r="AY14" s="45"/>
      <c r="AZ14" s="45"/>
      <c r="BA14" s="45"/>
      <c r="BB14" s="45"/>
      <c r="BC14" s="45"/>
      <c r="BD14"/>
      <c r="BE14" s="45"/>
      <c r="BF14" s="45"/>
      <c r="BG14" s="45"/>
      <c r="BH14" s="45"/>
      <c r="BI14" s="45"/>
      <c r="BJ14" s="45"/>
    </row>
    <row r="15" spans="1:62" s="55" customFormat="1">
      <c r="A15" s="864">
        <f t="shared" si="4"/>
        <v>2011</v>
      </c>
      <c r="B15" s="62">
        <f t="shared" si="7"/>
        <v>40847</v>
      </c>
      <c r="C15" s="69">
        <v>8921515</v>
      </c>
      <c r="D15" s="69">
        <v>3860</v>
      </c>
      <c r="E15" s="858"/>
      <c r="F15" s="888"/>
      <c r="G15" s="63"/>
      <c r="H15" s="71">
        <f t="shared" si="0"/>
        <v>8925375</v>
      </c>
      <c r="I15" s="259"/>
      <c r="J15" s="150">
        <f>HLOOKUP(YEAR(B15),'HDD &amp; CDD'!$B$5:$U$17,MONTH(B15)+1,FALSE)</f>
        <v>259.10000000000002</v>
      </c>
      <c r="K15" s="857">
        <f>HLOOKUP(YEAR(B15),'HDD &amp; CDD'!$B$23:$U$35,MONTH(B15)+1,FALSE)</f>
        <v>1.4</v>
      </c>
      <c r="L15" s="322">
        <f t="shared" si="1"/>
        <v>31</v>
      </c>
      <c r="M15" s="150">
        <v>0</v>
      </c>
      <c r="N15" s="322">
        <f>[21]Sheet1!D85</f>
        <v>20</v>
      </c>
      <c r="O15" s="841">
        <v>10</v>
      </c>
      <c r="P15" s="841">
        <v>0</v>
      </c>
      <c r="Q15" s="1720">
        <v>0</v>
      </c>
      <c r="R15" s="66"/>
      <c r="S15" s="103">
        <v>1</v>
      </c>
      <c r="T15" s="67">
        <v>0</v>
      </c>
      <c r="U15" s="51"/>
      <c r="V15" s="1723">
        <f t="shared" si="5"/>
        <v>8778961.5167932753</v>
      </c>
      <c r="W15" s="182">
        <f t="shared" si="2"/>
        <v>-146413.48320672475</v>
      </c>
      <c r="X15" s="183">
        <f t="shared" si="3"/>
        <v>-1.6404182816601515E-2</v>
      </c>
      <c r="Y15" s="183">
        <f t="shared" si="6"/>
        <v>1.6404182816601515E-2</v>
      </c>
      <c r="Z15" s="153"/>
      <c r="AA15" s="54"/>
      <c r="AB15" s="16"/>
      <c r="AC15" s="16" t="s">
        <v>24</v>
      </c>
      <c r="AD15" s="16" t="s">
        <v>25</v>
      </c>
      <c r="AE15" s="16" t="s">
        <v>26</v>
      </c>
      <c r="AF15" s="16" t="s">
        <v>27</v>
      </c>
      <c r="AG15" s="16" t="s">
        <v>28</v>
      </c>
      <c r="AH15"/>
      <c r="AI15"/>
      <c r="AJ15"/>
      <c r="AK15" s="68"/>
      <c r="AL15"/>
      <c r="AM15"/>
      <c r="AN15"/>
      <c r="AO15"/>
      <c r="AP15"/>
      <c r="AQ15"/>
      <c r="AR15"/>
      <c r="AS15"/>
      <c r="AT15"/>
      <c r="AU15" s="45"/>
      <c r="AV15" s="45"/>
      <c r="AW15" s="45"/>
      <c r="AX15" s="45"/>
      <c r="AY15" s="45"/>
      <c r="AZ15" s="45"/>
      <c r="BA15" s="45"/>
      <c r="BB15" s="45"/>
      <c r="BC15" s="45"/>
      <c r="BD15"/>
      <c r="BE15" s="45"/>
      <c r="BF15" s="45"/>
      <c r="BG15" s="45"/>
      <c r="BH15" s="45"/>
      <c r="BI15" s="45"/>
      <c r="BJ15" s="45"/>
    </row>
    <row r="16" spans="1:62" s="55" customFormat="1">
      <c r="A16" s="864">
        <f t="shared" si="4"/>
        <v>2011</v>
      </c>
      <c r="B16" s="62">
        <f t="shared" si="7"/>
        <v>40877</v>
      </c>
      <c r="C16" s="69">
        <v>9478715</v>
      </c>
      <c r="D16" s="69">
        <v>2771</v>
      </c>
      <c r="E16" s="858"/>
      <c r="F16" s="888"/>
      <c r="G16" s="63"/>
      <c r="H16" s="71">
        <f t="shared" si="0"/>
        <v>9481486</v>
      </c>
      <c r="I16" s="259"/>
      <c r="J16" s="150">
        <f>HLOOKUP(YEAR(B16),'HDD &amp; CDD'!$B$5:$U$17,MONTH(B16)+1,FALSE)</f>
        <v>392.9</v>
      </c>
      <c r="K16" s="857">
        <f>HLOOKUP(YEAR(B16),'HDD &amp; CDD'!$B$23:$U$35,MONTH(B16)+1,FALSE)</f>
        <v>0</v>
      </c>
      <c r="L16" s="322">
        <f t="shared" si="1"/>
        <v>30</v>
      </c>
      <c r="M16" s="150">
        <v>0</v>
      </c>
      <c r="N16" s="322">
        <f>[21]Sheet1!D86</f>
        <v>22</v>
      </c>
      <c r="O16" s="841">
        <v>11</v>
      </c>
      <c r="P16" s="841">
        <v>0</v>
      </c>
      <c r="Q16" s="1720">
        <v>0</v>
      </c>
      <c r="R16" s="66"/>
      <c r="S16" s="103">
        <v>1</v>
      </c>
      <c r="T16" s="67">
        <v>0</v>
      </c>
      <c r="U16" s="51"/>
      <c r="V16" s="1723">
        <f t="shared" si="5"/>
        <v>9284688.499026848</v>
      </c>
      <c r="W16" s="182">
        <f t="shared" si="2"/>
        <v>-196797.500973152</v>
      </c>
      <c r="X16" s="183">
        <f t="shared" si="3"/>
        <v>-2.0755976539242056E-2</v>
      </c>
      <c r="Y16" s="183">
        <f t="shared" si="6"/>
        <v>2.0755976539242056E-2</v>
      </c>
      <c r="Z16" s="153"/>
      <c r="AA16" s="54"/>
      <c r="AB16" s="14" t="s">
        <v>21</v>
      </c>
      <c r="AC16" s="14">
        <v>8</v>
      </c>
      <c r="AD16" s="14">
        <v>165916622748217.09</v>
      </c>
      <c r="AE16" s="14">
        <v>20739577843527.137</v>
      </c>
      <c r="AF16" s="14">
        <v>446.59754451321277</v>
      </c>
      <c r="AG16" s="14">
        <v>5.0340382964613031E-87</v>
      </c>
      <c r="AH16"/>
      <c r="AI16"/>
      <c r="AJ16"/>
      <c r="AK16" s="68"/>
      <c r="AL16" s="45"/>
      <c r="AM16" s="45"/>
      <c r="AN16" s="45"/>
      <c r="AO16" s="45"/>
      <c r="AP16" s="45"/>
      <c r="AQ16" s="45"/>
      <c r="AR16" s="45"/>
      <c r="AS16" s="45"/>
      <c r="AT16" s="45"/>
      <c r="AU16" s="45"/>
      <c r="AV16" s="45"/>
      <c r="AW16" s="45"/>
      <c r="AX16" s="45"/>
      <c r="AY16" s="45"/>
      <c r="AZ16" s="45"/>
      <c r="BA16" s="45"/>
      <c r="BB16" s="45"/>
      <c r="BC16" s="45"/>
      <c r="BD16"/>
      <c r="BE16" s="45"/>
      <c r="BF16" s="45"/>
      <c r="BG16" s="45"/>
      <c r="BH16" s="45"/>
      <c r="BI16" s="45"/>
      <c r="BJ16" s="45"/>
    </row>
    <row r="17" spans="1:62" s="55" customFormat="1">
      <c r="A17" s="916">
        <f t="shared" si="4"/>
        <v>2011</v>
      </c>
      <c r="B17" s="151">
        <f t="shared" si="7"/>
        <v>40908</v>
      </c>
      <c r="C17" s="74">
        <v>10916892</v>
      </c>
      <c r="D17" s="81">
        <v>1792</v>
      </c>
      <c r="E17" s="859"/>
      <c r="F17" s="952"/>
      <c r="G17" s="81"/>
      <c r="H17" s="76">
        <f t="shared" si="0"/>
        <v>10918684</v>
      </c>
      <c r="I17" s="260"/>
      <c r="J17" s="104">
        <f>HLOOKUP(YEAR(B17),'HDD &amp; CDD'!$B$5:$U$17,MONTH(B17)+1,FALSE)</f>
        <v>672.19999999999993</v>
      </c>
      <c r="K17" s="839">
        <f>HLOOKUP(YEAR(B17),'HDD &amp; CDD'!$B$23:$U$35,MONTH(B17)+1,FALSE)</f>
        <v>0</v>
      </c>
      <c r="L17" s="323">
        <f t="shared" si="1"/>
        <v>31</v>
      </c>
      <c r="M17" s="104">
        <v>1</v>
      </c>
      <c r="N17" s="323">
        <f>[21]Sheet1!D87</f>
        <v>20</v>
      </c>
      <c r="O17" s="873">
        <v>12</v>
      </c>
      <c r="P17" s="873">
        <v>0</v>
      </c>
      <c r="Q17" s="1721">
        <v>0</v>
      </c>
      <c r="R17" s="77"/>
      <c r="S17" s="103">
        <v>0</v>
      </c>
      <c r="T17" s="78">
        <v>1</v>
      </c>
      <c r="U17" s="79"/>
      <c r="V17" s="80">
        <f>$AC$21+J17*$AC$22+K17*$AC$23+L17*$AC$24+M17*$AC$25+N17*$AC$26+O17*$AC$27+P17*$AC$28+Q17*$AC$29</f>
        <v>10914765.824873568</v>
      </c>
      <c r="W17" s="190">
        <f t="shared" si="2"/>
        <v>-3918.1751264315099</v>
      </c>
      <c r="X17" s="184">
        <f t="shared" si="3"/>
        <v>-3.5885049209515631E-4</v>
      </c>
      <c r="Y17" s="184">
        <f t="shared" si="6"/>
        <v>3.5885049209515631E-4</v>
      </c>
      <c r="Z17" s="153"/>
      <c r="AA17" s="54"/>
      <c r="AB17" s="14" t="s">
        <v>22</v>
      </c>
      <c r="AC17" s="14">
        <v>123</v>
      </c>
      <c r="AD17" s="14">
        <v>5712006494649.1582</v>
      </c>
      <c r="AE17" s="14">
        <v>46439077192.269577</v>
      </c>
      <c r="AF17" s="14"/>
      <c r="AG17" s="14"/>
      <c r="AH17"/>
      <c r="AI17"/>
      <c r="AJ17"/>
      <c r="AK17" s="68"/>
      <c r="AL17"/>
      <c r="AM17"/>
      <c r="AN17"/>
      <c r="AO17"/>
      <c r="AP17"/>
      <c r="AQ17"/>
      <c r="AR17"/>
      <c r="AS17"/>
      <c r="AT17"/>
      <c r="AU17" s="45"/>
      <c r="AV17" s="45"/>
      <c r="AW17" s="45"/>
      <c r="AX17" s="45"/>
      <c r="AY17" s="45"/>
      <c r="AZ17" s="45"/>
      <c r="BA17" s="45"/>
      <c r="BB17" s="45"/>
      <c r="BC17" s="45"/>
      <c r="BD17"/>
      <c r="BE17" s="45"/>
      <c r="BF17" s="45"/>
      <c r="BG17" s="45"/>
      <c r="BH17" s="45"/>
      <c r="BI17" s="45"/>
      <c r="BJ17" s="45"/>
    </row>
    <row r="18" spans="1:62" ht="13.8" thickBot="1">
      <c r="A18" s="864">
        <f t="shared" si="4"/>
        <v>2012</v>
      </c>
      <c r="B18" s="62">
        <f t="shared" si="7"/>
        <v>40939</v>
      </c>
      <c r="C18" s="63">
        <v>11698538</v>
      </c>
      <c r="D18" s="63">
        <v>1495</v>
      </c>
      <c r="E18" s="858"/>
      <c r="F18" s="888"/>
      <c r="G18" s="63"/>
      <c r="H18" s="65">
        <f t="shared" si="0"/>
        <v>11700033</v>
      </c>
      <c r="I18" s="259"/>
      <c r="J18" s="150">
        <f>HLOOKUP(YEAR(B18),'HDD &amp; CDD'!$B$5:$U$17,MONTH(B18)+1,FALSE)</f>
        <v>831.00000000000023</v>
      </c>
      <c r="K18" s="857">
        <f>HLOOKUP(YEAR(B18),'HDD &amp; CDD'!$B$23:$U$35,MONTH(B18)+1,FALSE)</f>
        <v>0</v>
      </c>
      <c r="L18" s="322">
        <f t="shared" si="1"/>
        <v>31</v>
      </c>
      <c r="M18" s="150">
        <v>1</v>
      </c>
      <c r="N18" s="322">
        <f>[21]Sheet1!D88</f>
        <v>21</v>
      </c>
      <c r="O18" s="841">
        <v>13</v>
      </c>
      <c r="P18" s="841">
        <v>0</v>
      </c>
      <c r="Q18" s="1720">
        <v>0</v>
      </c>
      <c r="R18" s="66"/>
      <c r="S18" s="103">
        <f>S6</f>
        <v>0</v>
      </c>
      <c r="T18" s="67"/>
      <c r="U18" s="152"/>
      <c r="V18" s="1723">
        <f t="shared" ref="V18" si="8">$AC$21+J18*$AC$22+K18*$AC$23+L18*$AC$24+M18*$AC$25+N18*$AC$26+O18*$AC$27+P18*$AC$28+Q18*$AC$29</f>
        <v>11653131.861446839</v>
      </c>
      <c r="W18" s="182">
        <f t="shared" si="2"/>
        <v>-46901.138553161174</v>
      </c>
      <c r="X18" s="183">
        <f t="shared" si="3"/>
        <v>-4.0086330143821961E-3</v>
      </c>
      <c r="Y18" s="183">
        <f>ABS(X18)</f>
        <v>4.0086330143821961E-3</v>
      </c>
      <c r="Z18" s="154"/>
      <c r="AA18" s="264"/>
      <c r="AB18" s="15" t="s">
        <v>5</v>
      </c>
      <c r="AC18" s="15">
        <v>131</v>
      </c>
      <c r="AD18" s="15">
        <v>171628629242866.25</v>
      </c>
      <c r="AE18" s="15"/>
      <c r="AF18" s="15"/>
      <c r="AG18" s="15"/>
      <c r="AH18"/>
      <c r="AI18"/>
      <c r="AJ18"/>
      <c r="AK18" s="68"/>
      <c r="BD18"/>
    </row>
    <row r="19" spans="1:62" ht="13.8" thickBot="1">
      <c r="A19" s="864">
        <f t="shared" si="4"/>
        <v>2012</v>
      </c>
      <c r="B19" s="62">
        <f>EOMONTH(B18,1)</f>
        <v>40968</v>
      </c>
      <c r="C19" s="69">
        <v>10394346</v>
      </c>
      <c r="D19" s="69">
        <v>3678</v>
      </c>
      <c r="E19" s="858"/>
      <c r="F19" s="888"/>
      <c r="G19" s="63"/>
      <c r="H19" s="71">
        <f t="shared" si="0"/>
        <v>10398024</v>
      </c>
      <c r="I19" s="259"/>
      <c r="J19" s="150">
        <f>HLOOKUP(YEAR(B19),'HDD &amp; CDD'!$B$5:$U$17,MONTH(B19)+1,FALSE)</f>
        <v>671.39999999999986</v>
      </c>
      <c r="K19" s="857">
        <f>HLOOKUP(YEAR(B19),'HDD &amp; CDD'!$B$23:$U$35,MONTH(B19)+1,FALSE)</f>
        <v>0</v>
      </c>
      <c r="L19" s="322">
        <f t="shared" si="1"/>
        <v>29</v>
      </c>
      <c r="M19" s="150">
        <v>1</v>
      </c>
      <c r="N19" s="322">
        <f>[21]Sheet1!D89</f>
        <v>20</v>
      </c>
      <c r="O19" s="841">
        <v>14</v>
      </c>
      <c r="P19" s="841">
        <v>0</v>
      </c>
      <c r="Q19" s="1720">
        <v>0</v>
      </c>
      <c r="R19" s="66"/>
      <c r="S19" s="103">
        <f t="shared" ref="S19:S82" si="9">S7</f>
        <v>0</v>
      </c>
      <c r="T19" s="67"/>
      <c r="U19" s="51"/>
      <c r="V19" s="1723">
        <f t="shared" si="5"/>
        <v>10577646.618456421</v>
      </c>
      <c r="W19" s="182">
        <f t="shared" si="2"/>
        <v>179622.61845642142</v>
      </c>
      <c r="X19" s="183">
        <f t="shared" si="3"/>
        <v>1.7274687811493935E-2</v>
      </c>
      <c r="Y19" s="183">
        <f t="shared" ref="Y19:Y82" si="10">ABS(X19)</f>
        <v>1.7274687811493935E-2</v>
      </c>
      <c r="Z19" s="154"/>
      <c r="AA19" s="264"/>
      <c r="AB19"/>
      <c r="AC19"/>
      <c r="AD19"/>
      <c r="AE19"/>
      <c r="AF19"/>
      <c r="AG19"/>
      <c r="AH19"/>
      <c r="AI19"/>
      <c r="AJ19"/>
      <c r="AK19" s="68"/>
      <c r="AL19"/>
      <c r="AM19"/>
      <c r="AN19"/>
      <c r="AO19"/>
      <c r="AP19"/>
      <c r="AQ19"/>
      <c r="AR19"/>
      <c r="AS19"/>
      <c r="AT19"/>
      <c r="BD19"/>
    </row>
    <row r="20" spans="1:62">
      <c r="A20" s="864">
        <f t="shared" si="4"/>
        <v>2012</v>
      </c>
      <c r="B20" s="62">
        <f t="shared" ref="B20:B83" si="11">EOMONTH(B19,1)</f>
        <v>40999</v>
      </c>
      <c r="C20" s="69">
        <v>9868346</v>
      </c>
      <c r="D20" s="69">
        <v>5711</v>
      </c>
      <c r="E20" s="858"/>
      <c r="F20" s="888"/>
      <c r="G20" s="63"/>
      <c r="H20" s="71">
        <f t="shared" si="0"/>
        <v>9874057</v>
      </c>
      <c r="I20" s="259"/>
      <c r="J20" s="150">
        <f>HLOOKUP(YEAR(B20),'HDD &amp; CDD'!$B$5:$U$17,MONTH(B20)+1,FALSE)</f>
        <v>460.29999999999984</v>
      </c>
      <c r="K20" s="857">
        <f>HLOOKUP(YEAR(B20),'HDD &amp; CDD'!$B$23:$U$35,MONTH(B20)+1,FALSE)</f>
        <v>0</v>
      </c>
      <c r="L20" s="322">
        <f t="shared" si="1"/>
        <v>31</v>
      </c>
      <c r="M20" s="150">
        <v>1</v>
      </c>
      <c r="N20" s="322">
        <f>[21]Sheet1!D90</f>
        <v>22</v>
      </c>
      <c r="O20" s="841">
        <v>15</v>
      </c>
      <c r="P20" s="841">
        <v>0</v>
      </c>
      <c r="Q20" s="1720">
        <v>0</v>
      </c>
      <c r="R20" s="66"/>
      <c r="S20" s="103">
        <f t="shared" si="9"/>
        <v>1</v>
      </c>
      <c r="T20" s="67"/>
      <c r="U20" s="51"/>
      <c r="V20" s="1723">
        <f t="shared" si="5"/>
        <v>10067343.839188626</v>
      </c>
      <c r="W20" s="182">
        <f t="shared" si="2"/>
        <v>193286.83918862604</v>
      </c>
      <c r="X20" s="183">
        <f t="shared" si="3"/>
        <v>1.957522011353854E-2</v>
      </c>
      <c r="Y20" s="183">
        <f t="shared" si="10"/>
        <v>1.957522011353854E-2</v>
      </c>
      <c r="Z20" s="155"/>
      <c r="AA20" s="264"/>
      <c r="AB20" s="16"/>
      <c r="AC20" s="16" t="s">
        <v>29</v>
      </c>
      <c r="AD20" s="16" t="s">
        <v>18</v>
      </c>
      <c r="AE20" s="16" t="s">
        <v>30</v>
      </c>
      <c r="AF20" s="16" t="s">
        <v>31</v>
      </c>
      <c r="AG20" s="16" t="s">
        <v>32</v>
      </c>
      <c r="AH20" s="16" t="s">
        <v>33</v>
      </c>
      <c r="AI20" s="16" t="s">
        <v>115</v>
      </c>
      <c r="AJ20" s="16" t="s">
        <v>116</v>
      </c>
      <c r="AK20" s="68"/>
      <c r="BD20"/>
    </row>
    <row r="21" spans="1:62">
      <c r="A21" s="864">
        <f t="shared" si="4"/>
        <v>2012</v>
      </c>
      <c r="B21" s="62">
        <f t="shared" si="11"/>
        <v>41029</v>
      </c>
      <c r="C21" s="69">
        <v>8701738</v>
      </c>
      <c r="D21" s="69">
        <v>6666</v>
      </c>
      <c r="E21" s="858"/>
      <c r="F21" s="888"/>
      <c r="G21" s="63"/>
      <c r="H21" s="71">
        <f t="shared" si="0"/>
        <v>8708404</v>
      </c>
      <c r="I21" s="259"/>
      <c r="J21" s="150">
        <f>HLOOKUP(YEAR(B21),'HDD &amp; CDD'!$B$5:$U$17,MONTH(B21)+1,FALSE)</f>
        <v>363.30000000000007</v>
      </c>
      <c r="K21" s="857">
        <f>HLOOKUP(YEAR(B21),'HDD &amp; CDD'!$B$23:$U$35,MONTH(B21)+1,FALSE)</f>
        <v>3.2</v>
      </c>
      <c r="L21" s="322">
        <f t="shared" si="1"/>
        <v>30</v>
      </c>
      <c r="M21" s="150">
        <v>0</v>
      </c>
      <c r="N21" s="322">
        <f>[21]Sheet1!D91</f>
        <v>19</v>
      </c>
      <c r="O21" s="841">
        <v>16</v>
      </c>
      <c r="P21" s="841">
        <v>0</v>
      </c>
      <c r="Q21" s="1720">
        <v>0</v>
      </c>
      <c r="R21" s="66"/>
      <c r="S21" s="103">
        <f t="shared" si="9"/>
        <v>1</v>
      </c>
      <c r="T21" s="67"/>
      <c r="U21" s="51"/>
      <c r="V21" s="1723">
        <f t="shared" si="5"/>
        <v>8989642.5168151055</v>
      </c>
      <c r="W21" s="182">
        <f t="shared" si="2"/>
        <v>281238.51681510545</v>
      </c>
      <c r="X21" s="183">
        <f t="shared" si="3"/>
        <v>3.2295070005377041E-2</v>
      </c>
      <c r="Y21" s="183">
        <f t="shared" si="10"/>
        <v>3.2295070005377041E-2</v>
      </c>
      <c r="Z21" s="155"/>
      <c r="AA21" s="264"/>
      <c r="AB21" s="14" t="s">
        <v>23</v>
      </c>
      <c r="AC21" s="14">
        <v>1779439.7759714294</v>
      </c>
      <c r="AD21" s="14">
        <v>742709.39412889048</v>
      </c>
      <c r="AE21" s="14">
        <v>2.3958762202792654</v>
      </c>
      <c r="AF21" s="14">
        <v>1.8087723087900034E-2</v>
      </c>
      <c r="AG21" s="14">
        <v>309292.0694504932</v>
      </c>
      <c r="AH21" s="14">
        <v>3249587.4824923659</v>
      </c>
      <c r="AI21" s="14">
        <v>309292.0694504932</v>
      </c>
      <c r="AJ21" s="14">
        <v>3249587.4824923659</v>
      </c>
      <c r="AK21" s="68"/>
      <c r="AL21"/>
      <c r="AM21"/>
      <c r="AN21"/>
      <c r="AO21"/>
      <c r="AP21"/>
      <c r="AQ21"/>
      <c r="AR21"/>
      <c r="AS21"/>
      <c r="AT21"/>
      <c r="AV21"/>
      <c r="AW21"/>
      <c r="AX21"/>
      <c r="AY21"/>
      <c r="AZ21"/>
      <c r="BA21"/>
      <c r="BB21"/>
      <c r="BC21"/>
      <c r="BD21"/>
    </row>
    <row r="22" spans="1:62">
      <c r="A22" s="864">
        <f t="shared" si="4"/>
        <v>2012</v>
      </c>
      <c r="B22" s="62">
        <f t="shared" si="11"/>
        <v>41060</v>
      </c>
      <c r="C22" s="69">
        <v>8473818</v>
      </c>
      <c r="D22" s="69">
        <v>8514</v>
      </c>
      <c r="E22" s="858"/>
      <c r="F22" s="888"/>
      <c r="G22" s="63"/>
      <c r="H22" s="71">
        <f t="shared" si="0"/>
        <v>8482332</v>
      </c>
      <c r="I22" s="259"/>
      <c r="J22" s="150">
        <f>HLOOKUP(YEAR(B22),'HDD &amp; CDD'!$B$5:$U$17,MONTH(B22)+1,FALSE)</f>
        <v>102.4</v>
      </c>
      <c r="K22" s="857">
        <f>HLOOKUP(YEAR(B22),'HDD &amp; CDD'!$B$23:$U$35,MONTH(B22)+1,FALSE)</f>
        <v>21</v>
      </c>
      <c r="L22" s="322">
        <f t="shared" si="1"/>
        <v>31</v>
      </c>
      <c r="M22" s="150">
        <v>0</v>
      </c>
      <c r="N22" s="322">
        <f>[21]Sheet1!D92</f>
        <v>22</v>
      </c>
      <c r="O22" s="841">
        <v>17</v>
      </c>
      <c r="P22" s="841">
        <v>0</v>
      </c>
      <c r="Q22" s="1720">
        <v>0</v>
      </c>
      <c r="R22" s="66"/>
      <c r="S22" s="103">
        <f t="shared" si="9"/>
        <v>1</v>
      </c>
      <c r="T22" s="67"/>
      <c r="U22" s="51"/>
      <c r="V22" s="1723">
        <f t="shared" si="5"/>
        <v>8429151.6084366757</v>
      </c>
      <c r="W22" s="182">
        <f t="shared" si="2"/>
        <v>-53180.391563324258</v>
      </c>
      <c r="X22" s="183">
        <f t="shared" si="3"/>
        <v>-6.269548464187002E-3</v>
      </c>
      <c r="Y22" s="183">
        <f t="shared" si="10"/>
        <v>6.269548464187002E-3</v>
      </c>
      <c r="Z22" s="155"/>
      <c r="AA22" s="264"/>
      <c r="AB22" s="14" t="s">
        <v>121</v>
      </c>
      <c r="AC22" s="14">
        <v>4370.2085465880464</v>
      </c>
      <c r="AD22" s="14">
        <v>94.700475171904102</v>
      </c>
      <c r="AE22" s="14">
        <v>46.147693965157707</v>
      </c>
      <c r="AF22" s="14">
        <v>1.6109284717183762E-79</v>
      </c>
      <c r="AG22" s="14">
        <v>4182.7547625360612</v>
      </c>
      <c r="AH22" s="14">
        <v>4557.6623306400315</v>
      </c>
      <c r="AI22" s="14">
        <v>4182.7547625360612</v>
      </c>
      <c r="AJ22" s="14">
        <v>4557.6623306400315</v>
      </c>
      <c r="AK22" s="68"/>
      <c r="AV22"/>
      <c r="AW22"/>
      <c r="AX22"/>
      <c r="AY22"/>
      <c r="AZ22"/>
      <c r="BA22"/>
      <c r="BB22"/>
      <c r="BC22"/>
      <c r="BD22"/>
    </row>
    <row r="23" spans="1:62">
      <c r="A23" s="864">
        <f t="shared" si="4"/>
        <v>2012</v>
      </c>
      <c r="B23" s="62">
        <f t="shared" si="11"/>
        <v>41090</v>
      </c>
      <c r="C23" s="69">
        <v>9028518</v>
      </c>
      <c r="D23" s="69">
        <v>8372</v>
      </c>
      <c r="E23" s="858"/>
      <c r="F23" s="888"/>
      <c r="G23" s="63"/>
      <c r="H23" s="71">
        <f t="shared" si="0"/>
        <v>9036890</v>
      </c>
      <c r="I23" s="259"/>
      <c r="J23" s="150">
        <f>HLOOKUP(YEAR(B23),'HDD &amp; CDD'!$B$5:$U$17,MONTH(B23)+1,FALSE)</f>
        <v>31.4</v>
      </c>
      <c r="K23" s="857">
        <f>HLOOKUP(YEAR(B23),'HDD &amp; CDD'!$B$23:$U$35,MONTH(B23)+1,FALSE)</f>
        <v>70.399999999999991</v>
      </c>
      <c r="L23" s="322">
        <f t="shared" si="1"/>
        <v>30</v>
      </c>
      <c r="M23" s="150">
        <v>1</v>
      </c>
      <c r="N23" s="322">
        <f>[21]Sheet1!D93</f>
        <v>21</v>
      </c>
      <c r="O23" s="841">
        <v>18</v>
      </c>
      <c r="P23" s="841">
        <v>0</v>
      </c>
      <c r="Q23" s="1720">
        <v>0</v>
      </c>
      <c r="R23" s="66"/>
      <c r="S23" s="103">
        <f t="shared" si="9"/>
        <v>0</v>
      </c>
      <c r="T23" s="67"/>
      <c r="U23" s="51"/>
      <c r="V23" s="1723">
        <f t="shared" si="5"/>
        <v>9017771.4104956314</v>
      </c>
      <c r="W23" s="182">
        <f t="shared" si="2"/>
        <v>-19118.589504368603</v>
      </c>
      <c r="X23" s="183">
        <f t="shared" si="3"/>
        <v>-2.1156160475969722E-3</v>
      </c>
      <c r="Y23" s="183">
        <f t="shared" si="10"/>
        <v>2.1156160475969722E-3</v>
      </c>
      <c r="Z23" s="155"/>
      <c r="AA23" s="264"/>
      <c r="AB23" s="14" t="s">
        <v>122</v>
      </c>
      <c r="AC23" s="14">
        <v>15147.505061689913</v>
      </c>
      <c r="AD23" s="14">
        <v>772.59799234625359</v>
      </c>
      <c r="AE23" s="14">
        <v>19.605933760828734</v>
      </c>
      <c r="AF23" s="14">
        <v>1.1635442169421912E-39</v>
      </c>
      <c r="AG23" s="14">
        <v>13618.194707614319</v>
      </c>
      <c r="AH23" s="14">
        <v>16676.815415765508</v>
      </c>
      <c r="AI23" s="14">
        <v>13618.194707614319</v>
      </c>
      <c r="AJ23" s="14">
        <v>16676.815415765508</v>
      </c>
      <c r="AK23" s="68"/>
      <c r="AL23"/>
      <c r="AM23"/>
      <c r="AN23"/>
      <c r="AO23"/>
      <c r="AP23"/>
      <c r="AQ23"/>
      <c r="AR23"/>
      <c r="AS23"/>
      <c r="AT23"/>
      <c r="AV23"/>
      <c r="AW23"/>
      <c r="AX23"/>
      <c r="AY23"/>
      <c r="AZ23"/>
      <c r="BA23"/>
      <c r="BB23"/>
      <c r="BC23"/>
      <c r="BD23"/>
    </row>
    <row r="24" spans="1:62">
      <c r="A24" s="864">
        <f t="shared" si="4"/>
        <v>2012</v>
      </c>
      <c r="B24" s="62">
        <f t="shared" si="11"/>
        <v>41121</v>
      </c>
      <c r="C24" s="69">
        <v>9776500</v>
      </c>
      <c r="D24" s="69">
        <v>8141</v>
      </c>
      <c r="E24" s="858"/>
      <c r="F24" s="888"/>
      <c r="G24" s="63"/>
      <c r="H24" s="71">
        <f t="shared" si="0"/>
        <v>9784641</v>
      </c>
      <c r="I24" s="259"/>
      <c r="J24" s="150">
        <f>HLOOKUP(YEAR(B24),'HDD &amp; CDD'!$B$5:$U$17,MONTH(B24)+1,FALSE)</f>
        <v>0</v>
      </c>
      <c r="K24" s="857">
        <f>HLOOKUP(YEAR(B24),'HDD &amp; CDD'!$B$23:$U$35,MONTH(B24)+1,FALSE)</f>
        <v>142.20000000000005</v>
      </c>
      <c r="L24" s="322">
        <f t="shared" si="1"/>
        <v>31</v>
      </c>
      <c r="M24" s="150">
        <v>1</v>
      </c>
      <c r="N24" s="322">
        <f>[21]Sheet1!D94</f>
        <v>21</v>
      </c>
      <c r="O24" s="841">
        <v>19</v>
      </c>
      <c r="P24" s="841">
        <v>0</v>
      </c>
      <c r="Q24" s="1720">
        <v>0</v>
      </c>
      <c r="R24" s="66"/>
      <c r="S24" s="103">
        <f t="shared" si="9"/>
        <v>0</v>
      </c>
      <c r="T24" s="67"/>
      <c r="U24" s="51"/>
      <c r="V24" s="1723">
        <f t="shared" si="5"/>
        <v>10114691.978525821</v>
      </c>
      <c r="W24" s="182">
        <f t="shared" si="2"/>
        <v>330050.97852582112</v>
      </c>
      <c r="X24" s="183">
        <f t="shared" si="3"/>
        <v>3.373153685718476E-2</v>
      </c>
      <c r="Y24" s="183">
        <f t="shared" si="10"/>
        <v>3.373153685718476E-2</v>
      </c>
      <c r="Z24" s="155"/>
      <c r="AA24" s="264"/>
      <c r="AB24" s="14" t="s">
        <v>3</v>
      </c>
      <c r="AC24" s="14">
        <v>156682.88637682746</v>
      </c>
      <c r="AD24" s="14">
        <v>26924.661509143232</v>
      </c>
      <c r="AE24" s="14">
        <v>5.8193075639454257</v>
      </c>
      <c r="AF24" s="14">
        <v>4.8039147213012112E-8</v>
      </c>
      <c r="AG24" s="14">
        <v>103387.16980258666</v>
      </c>
      <c r="AH24" s="14">
        <v>209978.60295106826</v>
      </c>
      <c r="AI24" s="14">
        <v>103387.16980258666</v>
      </c>
      <c r="AJ24" s="14">
        <v>209978.60295106826</v>
      </c>
      <c r="AK24" s="68"/>
      <c r="AV24"/>
      <c r="AW24"/>
      <c r="AX24"/>
      <c r="AY24"/>
      <c r="AZ24"/>
      <c r="BA24"/>
      <c r="BB24"/>
      <c r="BC24"/>
      <c r="BD24"/>
    </row>
    <row r="25" spans="1:62">
      <c r="A25" s="864">
        <f t="shared" si="4"/>
        <v>2012</v>
      </c>
      <c r="B25" s="62">
        <f t="shared" si="11"/>
        <v>41152</v>
      </c>
      <c r="C25" s="69">
        <v>9430200</v>
      </c>
      <c r="D25" s="69">
        <v>7448</v>
      </c>
      <c r="E25" s="858"/>
      <c r="F25" s="888"/>
      <c r="G25" s="63"/>
      <c r="H25" s="71">
        <f t="shared" si="0"/>
        <v>9437648</v>
      </c>
      <c r="I25" s="259"/>
      <c r="J25" s="150">
        <f>HLOOKUP(YEAR(B25),'HDD &amp; CDD'!$B$5:$U$17,MONTH(B25)+1,FALSE)</f>
        <v>8.4</v>
      </c>
      <c r="K25" s="857">
        <f>HLOOKUP(YEAR(B25),'HDD &amp; CDD'!$B$23:$U$35,MONTH(B25)+1,FALSE)</f>
        <v>97.600000000000009</v>
      </c>
      <c r="L25" s="322">
        <f t="shared" si="1"/>
        <v>31</v>
      </c>
      <c r="M25" s="150">
        <v>1</v>
      </c>
      <c r="N25" s="322">
        <f>[21]Sheet1!D95</f>
        <v>22</v>
      </c>
      <c r="O25" s="841">
        <v>20</v>
      </c>
      <c r="P25" s="841">
        <v>1</v>
      </c>
      <c r="Q25" s="1720">
        <v>0</v>
      </c>
      <c r="R25" s="66"/>
      <c r="S25" s="103">
        <f t="shared" si="9"/>
        <v>0</v>
      </c>
      <c r="T25" s="67"/>
      <c r="U25" s="51"/>
      <c r="V25" s="1723">
        <f t="shared" si="5"/>
        <v>9941820.8360393401</v>
      </c>
      <c r="W25" s="182">
        <f t="shared" si="2"/>
        <v>504172.83603934012</v>
      </c>
      <c r="X25" s="183">
        <f t="shared" si="3"/>
        <v>5.3421449500907443E-2</v>
      </c>
      <c r="Y25" s="183">
        <f t="shared" si="10"/>
        <v>5.3421449500907443E-2</v>
      </c>
      <c r="Z25" s="155"/>
      <c r="AA25" s="264"/>
      <c r="AB25" s="14" t="s">
        <v>750</v>
      </c>
      <c r="AC25" s="14">
        <v>371934.93139735772</v>
      </c>
      <c r="AD25" s="14">
        <v>49054.040037083047</v>
      </c>
      <c r="AE25" s="14">
        <v>7.5821467735621493</v>
      </c>
      <c r="AF25" s="14">
        <v>7.1588782711109915E-12</v>
      </c>
      <c r="AG25" s="14">
        <v>274835.46688783972</v>
      </c>
      <c r="AH25" s="14">
        <v>469034.39590687572</v>
      </c>
      <c r="AI25" s="14">
        <v>274835.46688783972</v>
      </c>
      <c r="AJ25" s="14">
        <v>469034.39590687572</v>
      </c>
      <c r="AK25" s="68"/>
      <c r="AL25"/>
      <c r="AM25"/>
      <c r="AN25"/>
      <c r="AO25"/>
      <c r="AP25"/>
      <c r="AQ25"/>
      <c r="AR25"/>
      <c r="AS25"/>
      <c r="AT25"/>
      <c r="AV25"/>
      <c r="AW25"/>
      <c r="AX25"/>
      <c r="AY25"/>
      <c r="AZ25"/>
      <c r="BA25"/>
      <c r="BB25"/>
      <c r="BC25"/>
      <c r="BD25"/>
    </row>
    <row r="26" spans="1:62">
      <c r="A26" s="864">
        <f t="shared" si="4"/>
        <v>2012</v>
      </c>
      <c r="B26" s="62">
        <f t="shared" si="11"/>
        <v>41182</v>
      </c>
      <c r="C26" s="69">
        <v>8456345</v>
      </c>
      <c r="D26" s="69">
        <v>6062</v>
      </c>
      <c r="E26" s="858"/>
      <c r="F26" s="888"/>
      <c r="G26" s="63"/>
      <c r="H26" s="71">
        <f t="shared" si="0"/>
        <v>8462407</v>
      </c>
      <c r="I26" s="259"/>
      <c r="J26" s="150">
        <f>HLOOKUP(YEAR(B26),'HDD &amp; CDD'!$B$5:$U$17,MONTH(B26)+1,FALSE)</f>
        <v>127.30000000000001</v>
      </c>
      <c r="K26" s="857">
        <f>HLOOKUP(YEAR(B26),'HDD &amp; CDD'!$B$23:$U$35,MONTH(B26)+1,FALSE)</f>
        <v>20.6</v>
      </c>
      <c r="L26" s="322">
        <f t="shared" si="1"/>
        <v>30</v>
      </c>
      <c r="M26" s="150">
        <v>1</v>
      </c>
      <c r="N26" s="322">
        <f>[21]Sheet1!D96</f>
        <v>19</v>
      </c>
      <c r="O26" s="841">
        <v>21</v>
      </c>
      <c r="P26" s="841">
        <v>0</v>
      </c>
      <c r="Q26" s="1720">
        <v>0</v>
      </c>
      <c r="R26" s="66"/>
      <c r="S26" s="103">
        <f t="shared" si="9"/>
        <v>1</v>
      </c>
      <c r="T26" s="67"/>
      <c r="U26" s="51"/>
      <c r="V26" s="1723">
        <f t="shared" si="5"/>
        <v>8543131.652225541</v>
      </c>
      <c r="W26" s="182">
        <f t="shared" si="2"/>
        <v>80724.652225540951</v>
      </c>
      <c r="X26" s="183">
        <f t="shared" si="3"/>
        <v>9.5392070158692374E-3</v>
      </c>
      <c r="Y26" s="183">
        <f t="shared" si="10"/>
        <v>9.5392070158692374E-3</v>
      </c>
      <c r="Z26" s="155"/>
      <c r="AA26" s="264"/>
      <c r="AB26" s="14" t="s">
        <v>422</v>
      </c>
      <c r="AC26" s="14">
        <v>54505.552788198103</v>
      </c>
      <c r="AD26" s="14">
        <v>19817.651815285401</v>
      </c>
      <c r="AE26" s="14">
        <v>2.7503537400005102</v>
      </c>
      <c r="AF26" s="14">
        <v>6.8521341783036116E-3</v>
      </c>
      <c r="AG26" s="14">
        <v>15277.726137312624</v>
      </c>
      <c r="AH26" s="14">
        <v>93733.379439083583</v>
      </c>
      <c r="AI26" s="14">
        <v>15277.726137312624</v>
      </c>
      <c r="AJ26" s="14">
        <v>93733.379439083583</v>
      </c>
      <c r="AK26" s="68"/>
      <c r="AV26"/>
      <c r="AW26"/>
      <c r="AX26"/>
      <c r="AY26"/>
      <c r="AZ26"/>
      <c r="BA26"/>
      <c r="BB26"/>
      <c r="BC26"/>
      <c r="BD26"/>
    </row>
    <row r="27" spans="1:62">
      <c r="A27" s="864">
        <f t="shared" si="4"/>
        <v>2012</v>
      </c>
      <c r="B27" s="62">
        <f t="shared" si="11"/>
        <v>41213</v>
      </c>
      <c r="C27" s="69">
        <v>8663345</v>
      </c>
      <c r="D27" s="69">
        <v>3812</v>
      </c>
      <c r="E27" s="858"/>
      <c r="F27" s="888"/>
      <c r="G27" s="63"/>
      <c r="H27" s="71">
        <f t="shared" si="0"/>
        <v>8667157</v>
      </c>
      <c r="I27" s="259"/>
      <c r="J27" s="345">
        <f>HLOOKUP(YEAR(B27),'HDD &amp; CDD'!$B$5:$U$17,MONTH(B27)+1,FALSE)</f>
        <v>259.8595782569019</v>
      </c>
      <c r="K27" s="857">
        <f>HLOOKUP(YEAR(B27),'HDD &amp; CDD'!$B$23:$U$35,MONTH(B27)+1,FALSE)</f>
        <v>0</v>
      </c>
      <c r="L27" s="322">
        <f t="shared" si="1"/>
        <v>31</v>
      </c>
      <c r="M27" s="150">
        <v>0</v>
      </c>
      <c r="N27" s="322">
        <f>[21]Sheet1!D97</f>
        <v>22</v>
      </c>
      <c r="O27" s="841">
        <v>22</v>
      </c>
      <c r="P27" s="841">
        <v>0</v>
      </c>
      <c r="Q27" s="1720">
        <v>0</v>
      </c>
      <c r="R27" s="66"/>
      <c r="S27" s="103">
        <f t="shared" si="9"/>
        <v>1</v>
      </c>
      <c r="T27" s="67"/>
      <c r="U27" s="51"/>
      <c r="V27" s="1723">
        <f t="shared" si="5"/>
        <v>8748542.0297161024</v>
      </c>
      <c r="W27" s="182">
        <f t="shared" si="2"/>
        <v>81385.029716102406</v>
      </c>
      <c r="X27" s="183">
        <f t="shared" si="3"/>
        <v>9.390049091772816E-3</v>
      </c>
      <c r="Y27" s="183">
        <f t="shared" si="10"/>
        <v>9.390049091772816E-3</v>
      </c>
      <c r="Z27" s="155"/>
      <c r="AA27" s="264"/>
      <c r="AB27" s="14" t="s">
        <v>398</v>
      </c>
      <c r="AC27" s="14">
        <v>-10128.633413109766</v>
      </c>
      <c r="AD27" s="14">
        <v>629.18866380826728</v>
      </c>
      <c r="AE27" s="14">
        <v>-16.097927371743406</v>
      </c>
      <c r="AF27" s="14">
        <v>4.5821189742864609E-32</v>
      </c>
      <c r="AG27" s="14">
        <v>-11374.073794474016</v>
      </c>
      <c r="AH27" s="14">
        <v>-8883.1930317455171</v>
      </c>
      <c r="AI27" s="14">
        <v>-11374.073794474016</v>
      </c>
      <c r="AJ27" s="14">
        <v>-8883.1930317455171</v>
      </c>
      <c r="AK27" s="68"/>
      <c r="AL27"/>
      <c r="AM27"/>
      <c r="AN27"/>
      <c r="AO27"/>
      <c r="AP27"/>
      <c r="AQ27"/>
      <c r="AR27"/>
      <c r="AS27"/>
      <c r="AT27"/>
      <c r="AV27"/>
      <c r="AW27"/>
      <c r="AX27"/>
      <c r="AY27"/>
      <c r="AZ27"/>
      <c r="BA27"/>
      <c r="BB27"/>
      <c r="BC27"/>
      <c r="BD27"/>
    </row>
    <row r="28" spans="1:62">
      <c r="A28" s="864">
        <f t="shared" si="4"/>
        <v>2012</v>
      </c>
      <c r="B28" s="62">
        <f t="shared" si="11"/>
        <v>41243</v>
      </c>
      <c r="C28" s="69">
        <v>9765918</v>
      </c>
      <c r="D28" s="69">
        <v>3380</v>
      </c>
      <c r="E28" s="858"/>
      <c r="F28" s="888"/>
      <c r="G28" s="63"/>
      <c r="H28" s="71">
        <f t="shared" si="0"/>
        <v>9769298</v>
      </c>
      <c r="I28" s="259"/>
      <c r="J28" s="150">
        <f>HLOOKUP(YEAR(B28),'HDD &amp; CDD'!$B$5:$U$17,MONTH(B28)+1,FALSE)</f>
        <v>541.70000000000005</v>
      </c>
      <c r="K28" s="857">
        <f>HLOOKUP(YEAR(B28),'HDD &amp; CDD'!$B$23:$U$35,MONTH(B28)+1,FALSE)</f>
        <v>0</v>
      </c>
      <c r="L28" s="322">
        <f t="shared" si="1"/>
        <v>30</v>
      </c>
      <c r="M28" s="150">
        <v>0</v>
      </c>
      <c r="N28" s="322">
        <f>[21]Sheet1!D98</f>
        <v>22</v>
      </c>
      <c r="O28" s="841">
        <v>23</v>
      </c>
      <c r="P28" s="841">
        <v>0</v>
      </c>
      <c r="Q28" s="1720">
        <v>0</v>
      </c>
      <c r="R28" s="66"/>
      <c r="S28" s="103">
        <f t="shared" si="9"/>
        <v>1</v>
      </c>
      <c r="T28" s="67"/>
      <c r="U28" s="51"/>
      <c r="V28" s="1723">
        <f t="shared" si="5"/>
        <v>9813431.929801831</v>
      </c>
      <c r="W28" s="182">
        <f t="shared" si="2"/>
        <v>44133.929801831022</v>
      </c>
      <c r="X28" s="183">
        <f t="shared" si="3"/>
        <v>4.5176152679374734E-3</v>
      </c>
      <c r="Y28" s="183">
        <f t="shared" si="10"/>
        <v>4.5176152679374734E-3</v>
      </c>
      <c r="Z28" s="155"/>
      <c r="AA28" s="264"/>
      <c r="AB28" s="14" t="s">
        <v>400</v>
      </c>
      <c r="AC28" s="14">
        <v>421620.91209846403</v>
      </c>
      <c r="AD28" s="14">
        <v>77163.470259142108</v>
      </c>
      <c r="AE28" s="14">
        <v>5.4639962495532215</v>
      </c>
      <c r="AF28" s="14">
        <v>2.4737139570894186E-7</v>
      </c>
      <c r="AG28" s="14">
        <v>268880.55399147142</v>
      </c>
      <c r="AH28" s="14">
        <v>574361.27020545665</v>
      </c>
      <c r="AI28" s="14">
        <v>268880.55399147142</v>
      </c>
      <c r="AJ28" s="14">
        <v>574361.27020545665</v>
      </c>
      <c r="AK28" s="68"/>
      <c r="AV28"/>
      <c r="AW28"/>
      <c r="AX28"/>
      <c r="AY28"/>
      <c r="AZ28"/>
      <c r="BA28"/>
      <c r="BB28"/>
      <c r="BC28"/>
      <c r="BD28"/>
    </row>
    <row r="29" spans="1:62" ht="13.8" thickBot="1">
      <c r="A29" s="865">
        <f t="shared" si="4"/>
        <v>2012</v>
      </c>
      <c r="B29" s="151">
        <f t="shared" si="11"/>
        <v>41274</v>
      </c>
      <c r="C29" s="74">
        <v>10958364</v>
      </c>
      <c r="D29" s="81">
        <v>1235</v>
      </c>
      <c r="E29" s="859"/>
      <c r="F29" s="952"/>
      <c r="G29" s="81"/>
      <c r="H29" s="76">
        <f t="shared" si="0"/>
        <v>10959599</v>
      </c>
      <c r="I29" s="260"/>
      <c r="J29" s="104">
        <f>HLOOKUP(YEAR(B29),'HDD &amp; CDD'!$B$5:$U$17,MONTH(B29)+1,FALSE)</f>
        <v>719.1</v>
      </c>
      <c r="K29" s="839">
        <f>HLOOKUP(YEAR(B29),'HDD &amp; CDD'!$B$23:$U$35,MONTH(B29)+1,FALSE)</f>
        <v>0</v>
      </c>
      <c r="L29" s="323">
        <f t="shared" si="1"/>
        <v>31</v>
      </c>
      <c r="M29" s="104">
        <v>1</v>
      </c>
      <c r="N29" s="323">
        <f>[21]Sheet1!D99</f>
        <v>19</v>
      </c>
      <c r="O29" s="873">
        <v>24</v>
      </c>
      <c r="P29" s="873">
        <v>0</v>
      </c>
      <c r="Q29" s="1721">
        <v>0</v>
      </c>
      <c r="R29" s="77"/>
      <c r="S29" s="103">
        <f t="shared" si="9"/>
        <v>0</v>
      </c>
      <c r="T29" s="78"/>
      <c r="U29" s="79"/>
      <c r="V29" s="80">
        <f t="shared" si="5"/>
        <v>10943679.451963034</v>
      </c>
      <c r="W29" s="190">
        <f t="shared" si="2"/>
        <v>-15919.548036966473</v>
      </c>
      <c r="X29" s="184">
        <f t="shared" si="3"/>
        <v>-1.4525666529374363E-3</v>
      </c>
      <c r="Y29" s="184">
        <f t="shared" si="10"/>
        <v>1.4525666529374363E-3</v>
      </c>
      <c r="Z29" s="156"/>
      <c r="AA29" s="264"/>
      <c r="AB29" s="15" t="s">
        <v>747</v>
      </c>
      <c r="AC29" s="15">
        <v>442260.3335863633</v>
      </c>
      <c r="AD29" s="15">
        <v>67259.79526155538</v>
      </c>
      <c r="AE29" s="15">
        <v>6.5754041008678508</v>
      </c>
      <c r="AF29" s="15">
        <v>1.2409154136365392E-9</v>
      </c>
      <c r="AG29" s="15">
        <v>309123.69289418519</v>
      </c>
      <c r="AH29" s="15">
        <v>575396.9742785414</v>
      </c>
      <c r="AI29" s="15">
        <v>309123.69289418519</v>
      </c>
      <c r="AJ29" s="15">
        <v>575396.9742785414</v>
      </c>
      <c r="AK29" s="68"/>
      <c r="AL29"/>
      <c r="AM29"/>
      <c r="AN29"/>
      <c r="AO29"/>
      <c r="AP29"/>
      <c r="AQ29"/>
      <c r="AR29"/>
      <c r="AS29"/>
      <c r="AT29"/>
      <c r="AV29"/>
      <c r="AW29"/>
      <c r="AX29"/>
      <c r="AY29"/>
      <c r="AZ29"/>
      <c r="BA29"/>
      <c r="BB29"/>
      <c r="BC29"/>
      <c r="BD29"/>
    </row>
    <row r="30" spans="1:62">
      <c r="A30" s="864">
        <f t="shared" si="4"/>
        <v>2013</v>
      </c>
      <c r="B30" s="62">
        <f t="shared" si="11"/>
        <v>41305</v>
      </c>
      <c r="C30" s="69">
        <v>11999817</v>
      </c>
      <c r="D30" s="69">
        <v>1814</v>
      </c>
      <c r="E30" s="858"/>
      <c r="F30" s="885"/>
      <c r="G30" s="63"/>
      <c r="H30" s="71">
        <f t="shared" si="0"/>
        <v>12001631</v>
      </c>
      <c r="I30" s="259"/>
      <c r="J30" s="150">
        <f>HLOOKUP(YEAR(B30),'HDD &amp; CDD'!$B$5:$U$17,MONTH(B30)+1,FALSE)</f>
        <v>839.90000000000009</v>
      </c>
      <c r="K30" s="857">
        <f>HLOOKUP(YEAR(B30),'HDD &amp; CDD'!$B$23:$U$35,MONTH(B30)+1,FALSE)</f>
        <v>0</v>
      </c>
      <c r="L30" s="322">
        <f t="shared" si="1"/>
        <v>31</v>
      </c>
      <c r="M30" s="150">
        <v>1</v>
      </c>
      <c r="N30" s="322">
        <f>[21]Sheet1!D100</f>
        <v>22</v>
      </c>
      <c r="O30" s="841">
        <v>25</v>
      </c>
      <c r="P30" s="841">
        <v>0</v>
      </c>
      <c r="Q30" s="1720">
        <v>0</v>
      </c>
      <c r="R30" s="66"/>
      <c r="S30" s="103">
        <f t="shared" si="9"/>
        <v>0</v>
      </c>
      <c r="T30" s="67"/>
      <c r="U30" s="51"/>
      <c r="V30" s="1723">
        <f t="shared" si="5"/>
        <v>11624988.669342354</v>
      </c>
      <c r="W30" s="182">
        <f t="shared" si="2"/>
        <v>-376642.33065764606</v>
      </c>
      <c r="X30" s="183">
        <f t="shared" si="3"/>
        <v>-3.1382595470369493E-2</v>
      </c>
      <c r="Y30" s="183">
        <f t="shared" si="10"/>
        <v>3.1382595470369493E-2</v>
      </c>
      <c r="Z30" s="156"/>
      <c r="AA30" s="264"/>
      <c r="AB30"/>
      <c r="AC30"/>
      <c r="AD30"/>
      <c r="AE30"/>
      <c r="AF30"/>
      <c r="AG30"/>
      <c r="AH30"/>
      <c r="AI30"/>
      <c r="AJ30"/>
      <c r="AZ30"/>
      <c r="BA30"/>
      <c r="BB30"/>
      <c r="BC30"/>
      <c r="BD30"/>
    </row>
    <row r="31" spans="1:62">
      <c r="A31" s="864">
        <f t="shared" si="4"/>
        <v>2013</v>
      </c>
      <c r="B31" s="62">
        <f t="shared" si="11"/>
        <v>41333</v>
      </c>
      <c r="C31" s="69">
        <v>10701983</v>
      </c>
      <c r="D31" s="69">
        <v>2546</v>
      </c>
      <c r="E31" s="843"/>
      <c r="F31" s="885"/>
      <c r="G31" s="63"/>
      <c r="H31" s="71">
        <f t="shared" si="0"/>
        <v>10704529</v>
      </c>
      <c r="I31" s="259"/>
      <c r="J31" s="150">
        <f>HLOOKUP(YEAR(B31),'HDD &amp; CDD'!$B$5:$U$17,MONTH(B31)+1,FALSE)</f>
        <v>728.5</v>
      </c>
      <c r="K31" s="857">
        <f>HLOOKUP(YEAR(B31),'HDD &amp; CDD'!$B$23:$U$35,MONTH(B31)+1,FALSE)</f>
        <v>0</v>
      </c>
      <c r="L31" s="322">
        <f t="shared" si="1"/>
        <v>28</v>
      </c>
      <c r="M31" s="150">
        <v>1</v>
      </c>
      <c r="N31" s="322">
        <f>[21]Sheet1!D101</f>
        <v>19</v>
      </c>
      <c r="O31" s="841">
        <v>26</v>
      </c>
      <c r="P31" s="841">
        <v>0</v>
      </c>
      <c r="Q31" s="1720">
        <v>0</v>
      </c>
      <c r="R31" s="66"/>
      <c r="S31" s="103">
        <f t="shared" si="9"/>
        <v>0</v>
      </c>
      <c r="T31" s="67"/>
      <c r="U31" s="51"/>
      <c r="V31" s="1723">
        <f t="shared" si="5"/>
        <v>10494453.486344257</v>
      </c>
      <c r="W31" s="182">
        <f t="shared" si="2"/>
        <v>-210075.51365574263</v>
      </c>
      <c r="X31" s="183">
        <f t="shared" si="3"/>
        <v>-1.9624918915698453E-2</v>
      </c>
      <c r="Y31" s="183">
        <f t="shared" si="10"/>
        <v>1.9624918915698453E-2</v>
      </c>
      <c r="Z31" s="156"/>
      <c r="AA31" s="264"/>
      <c r="AB31"/>
      <c r="AC31"/>
      <c r="AD31"/>
      <c r="AE31"/>
      <c r="AF31"/>
      <c r="AG31"/>
      <c r="AH31"/>
      <c r="AI31"/>
      <c r="AJ31"/>
      <c r="AL31"/>
      <c r="AM31"/>
      <c r="AN31"/>
      <c r="AP31"/>
      <c r="AQ31"/>
      <c r="AR31"/>
      <c r="AS31"/>
      <c r="AT31"/>
    </row>
    <row r="32" spans="1:62">
      <c r="A32" s="864">
        <f t="shared" si="4"/>
        <v>2013</v>
      </c>
      <c r="B32" s="62">
        <f t="shared" si="11"/>
        <v>41364</v>
      </c>
      <c r="C32" s="69">
        <v>10574475</v>
      </c>
      <c r="D32" s="69">
        <v>4962</v>
      </c>
      <c r="E32" s="843"/>
      <c r="F32" s="885"/>
      <c r="G32" s="63"/>
      <c r="H32" s="71">
        <f t="shared" si="0"/>
        <v>10579437</v>
      </c>
      <c r="I32" s="259"/>
      <c r="J32" s="150">
        <f>HLOOKUP(YEAR(B32),'HDD &amp; CDD'!$B$5:$U$17,MONTH(B32)+1,FALSE)</f>
        <v>612.9</v>
      </c>
      <c r="K32" s="857">
        <f>HLOOKUP(YEAR(B32),'HDD &amp; CDD'!$B$23:$U$35,MONTH(B32)+1,FALSE)</f>
        <v>0</v>
      </c>
      <c r="L32" s="322">
        <f t="shared" si="1"/>
        <v>31</v>
      </c>
      <c r="M32" s="150">
        <v>1</v>
      </c>
      <c r="N32" s="322">
        <f>[21]Sheet1!D102</f>
        <v>20</v>
      </c>
      <c r="O32" s="841">
        <v>27</v>
      </c>
      <c r="P32" s="841">
        <v>0</v>
      </c>
      <c r="Q32" s="1720">
        <v>0</v>
      </c>
      <c r="R32" s="66"/>
      <c r="S32" s="103">
        <f t="shared" si="9"/>
        <v>1</v>
      </c>
      <c r="T32" s="67"/>
      <c r="U32" s="51"/>
      <c r="V32" s="1723">
        <f t="shared" si="5"/>
        <v>10503682.956864249</v>
      </c>
      <c r="W32" s="182">
        <f t="shared" si="2"/>
        <v>-75754.043135751039</v>
      </c>
      <c r="X32" s="183">
        <f t="shared" si="3"/>
        <v>-7.1604985346338411E-3</v>
      </c>
      <c r="Y32" s="183">
        <f t="shared" si="10"/>
        <v>7.1604985346338411E-3</v>
      </c>
      <c r="Z32" s="156"/>
      <c r="AA32" s="264"/>
      <c r="AB32"/>
      <c r="AC32"/>
      <c r="AD32"/>
      <c r="AE32"/>
      <c r="AF32"/>
      <c r="AG32"/>
      <c r="AH32"/>
      <c r="AI32"/>
      <c r="AJ32"/>
    </row>
    <row r="33" spans="1:69">
      <c r="A33" s="864">
        <f t="shared" si="4"/>
        <v>2013</v>
      </c>
      <c r="B33" s="62">
        <f t="shared" si="11"/>
        <v>41394</v>
      </c>
      <c r="C33" s="69">
        <v>9116700</v>
      </c>
      <c r="D33" s="69">
        <v>6326</v>
      </c>
      <c r="E33" s="843"/>
      <c r="F33" s="885"/>
      <c r="G33" s="63"/>
      <c r="H33" s="71">
        <f t="shared" si="0"/>
        <v>9123026</v>
      </c>
      <c r="I33" s="259"/>
      <c r="J33" s="150">
        <f>HLOOKUP(YEAR(B33),'HDD &amp; CDD'!$B$5:$U$17,MONTH(B33)+1,FALSE)</f>
        <v>381.1</v>
      </c>
      <c r="K33" s="857">
        <f>HLOOKUP(YEAR(B33),'HDD &amp; CDD'!$B$23:$U$35,MONTH(B33)+1,FALSE)</f>
        <v>0</v>
      </c>
      <c r="L33" s="322">
        <f t="shared" si="1"/>
        <v>30</v>
      </c>
      <c r="M33" s="150">
        <v>0</v>
      </c>
      <c r="N33" s="322">
        <f>[21]Sheet1!D103</f>
        <v>21</v>
      </c>
      <c r="O33" s="841">
        <v>28</v>
      </c>
      <c r="P33" s="841">
        <v>0</v>
      </c>
      <c r="Q33" s="1720">
        <v>0</v>
      </c>
      <c r="R33" s="66"/>
      <c r="S33" s="103">
        <f t="shared" si="9"/>
        <v>1</v>
      </c>
      <c r="T33" s="67"/>
      <c r="U33" s="51"/>
      <c r="V33" s="1723">
        <f t="shared" si="5"/>
        <v>9006427.7173660435</v>
      </c>
      <c r="W33" s="182">
        <f t="shared" si="2"/>
        <v>-116598.28263395652</v>
      </c>
      <c r="X33" s="183">
        <f t="shared" si="3"/>
        <v>-1.278065881144661E-2</v>
      </c>
      <c r="Y33" s="183">
        <f t="shared" si="10"/>
        <v>1.278065881144661E-2</v>
      </c>
      <c r="Z33" s="156"/>
      <c r="AA33" s="264"/>
      <c r="AB33"/>
      <c r="AC33"/>
      <c r="AD33"/>
      <c r="AE33"/>
      <c r="AF33"/>
      <c r="AG33"/>
      <c r="BA33"/>
      <c r="BB33"/>
      <c r="BC33"/>
    </row>
    <row r="34" spans="1:69">
      <c r="A34" s="864">
        <f t="shared" si="4"/>
        <v>2013</v>
      </c>
      <c r="B34" s="62">
        <f t="shared" si="11"/>
        <v>41425</v>
      </c>
      <c r="C34" s="69">
        <v>8204917</v>
      </c>
      <c r="D34" s="69">
        <v>8173</v>
      </c>
      <c r="E34" s="843"/>
      <c r="F34" s="885"/>
      <c r="G34" s="63"/>
      <c r="H34" s="71">
        <f t="shared" si="0"/>
        <v>8213090</v>
      </c>
      <c r="I34" s="259"/>
      <c r="J34" s="150">
        <f>HLOOKUP(YEAR(B34),'HDD &amp; CDD'!$B$5:$U$17,MONTH(B34)+1,FALSE)</f>
        <v>121.2</v>
      </c>
      <c r="K34" s="857">
        <f>HLOOKUP(YEAR(B34),'HDD &amp; CDD'!$B$23:$U$35,MONTH(B34)+1,FALSE)</f>
        <v>15.3</v>
      </c>
      <c r="L34" s="322">
        <f t="shared" si="1"/>
        <v>31</v>
      </c>
      <c r="M34" s="150">
        <v>0</v>
      </c>
      <c r="N34" s="322">
        <f>[21]Sheet1!D104</f>
        <v>22</v>
      </c>
      <c r="O34" s="841">
        <v>29</v>
      </c>
      <c r="P34" s="841">
        <v>0</v>
      </c>
      <c r="Q34" s="1720">
        <v>0</v>
      </c>
      <c r="R34" s="66"/>
      <c r="S34" s="103">
        <f t="shared" si="9"/>
        <v>1</v>
      </c>
      <c r="T34" s="67"/>
      <c r="U34" s="51"/>
      <c r="V34" s="1723">
        <f t="shared" si="5"/>
        <v>8303427.1493035825</v>
      </c>
      <c r="W34" s="182">
        <f t="shared" si="2"/>
        <v>90337.149303582497</v>
      </c>
      <c r="X34" s="183">
        <f t="shared" si="3"/>
        <v>1.0999167098325052E-2</v>
      </c>
      <c r="Y34" s="183">
        <f t="shared" si="10"/>
        <v>1.0999167098325052E-2</v>
      </c>
      <c r="Z34" s="156"/>
      <c r="AA34" s="264"/>
      <c r="AB34"/>
      <c r="AC34"/>
      <c r="AD34"/>
      <c r="AE34"/>
      <c r="AF34"/>
      <c r="AG34"/>
      <c r="AY34"/>
      <c r="BM34"/>
      <c r="BO34"/>
      <c r="BP34"/>
      <c r="BQ34"/>
    </row>
    <row r="35" spans="1:69">
      <c r="A35" s="864">
        <f t="shared" si="4"/>
        <v>2013</v>
      </c>
      <c r="B35" s="62">
        <f t="shared" si="11"/>
        <v>41455</v>
      </c>
      <c r="C35" s="69">
        <v>8279408</v>
      </c>
      <c r="D35" s="69">
        <v>6943</v>
      </c>
      <c r="E35" s="843"/>
      <c r="F35" s="885"/>
      <c r="G35" s="63"/>
      <c r="H35" s="71">
        <f t="shared" si="0"/>
        <v>8286351</v>
      </c>
      <c r="I35" s="259"/>
      <c r="J35" s="150">
        <f>HLOOKUP(YEAR(B35),'HDD &amp; CDD'!$B$5:$U$17,MONTH(B35)+1,FALSE)</f>
        <v>58.1</v>
      </c>
      <c r="K35" s="857">
        <f>HLOOKUP(YEAR(B35),'HDD &amp; CDD'!$B$23:$U$35,MONTH(B35)+1,FALSE)</f>
        <v>39.400000000000006</v>
      </c>
      <c r="L35" s="322">
        <f t="shared" si="1"/>
        <v>30</v>
      </c>
      <c r="M35" s="150">
        <v>1</v>
      </c>
      <c r="N35" s="322">
        <f>[21]Sheet1!D105</f>
        <v>20</v>
      </c>
      <c r="O35" s="841">
        <v>30</v>
      </c>
      <c r="P35" s="841">
        <v>0</v>
      </c>
      <c r="Q35" s="1720">
        <v>0</v>
      </c>
      <c r="R35" s="66"/>
      <c r="S35" s="103">
        <f t="shared" si="9"/>
        <v>0</v>
      </c>
      <c r="T35" s="67"/>
      <c r="U35" s="51"/>
      <c r="V35" s="1723">
        <f t="shared" si="5"/>
        <v>8488834.1680316292</v>
      </c>
      <c r="W35" s="182">
        <f t="shared" si="2"/>
        <v>202483.16803162917</v>
      </c>
      <c r="X35" s="183">
        <f t="shared" si="3"/>
        <v>2.443574596726945E-2</v>
      </c>
      <c r="Y35" s="183">
        <f t="shared" si="10"/>
        <v>2.443574596726945E-2</v>
      </c>
      <c r="Z35" s="156"/>
      <c r="AA35" s="264"/>
      <c r="AC35" s="55" t="s">
        <v>759</v>
      </c>
      <c r="AJ35"/>
      <c r="AK35"/>
      <c r="AL35"/>
      <c r="AN35"/>
      <c r="AO35"/>
      <c r="AP35"/>
      <c r="AQ35" t="s">
        <v>403</v>
      </c>
      <c r="AR35"/>
      <c r="AS35"/>
      <c r="AT35"/>
      <c r="AU35"/>
    </row>
    <row r="36" spans="1:69" ht="13.8" thickBot="1">
      <c r="A36" s="864">
        <f t="shared" si="4"/>
        <v>2013</v>
      </c>
      <c r="B36" s="62">
        <f t="shared" si="11"/>
        <v>41486</v>
      </c>
      <c r="C36" s="69">
        <v>9591758</v>
      </c>
      <c r="D36" s="69">
        <v>8290</v>
      </c>
      <c r="E36" s="843"/>
      <c r="F36" s="885"/>
      <c r="G36" s="63"/>
      <c r="H36" s="71">
        <f t="shared" si="0"/>
        <v>9600048</v>
      </c>
      <c r="I36" s="259"/>
      <c r="J36" s="150">
        <f>HLOOKUP(YEAR(B36),'HDD &amp; CDD'!$B$5:$U$17,MONTH(B36)+1,FALSE)</f>
        <v>7.7</v>
      </c>
      <c r="K36" s="857">
        <f>HLOOKUP(YEAR(B36),'HDD &amp; CDD'!$B$23:$U$35,MONTH(B36)+1,FALSE)</f>
        <v>114.89999999999999</v>
      </c>
      <c r="L36" s="322">
        <f t="shared" si="1"/>
        <v>31</v>
      </c>
      <c r="M36" s="150">
        <v>1</v>
      </c>
      <c r="N36" s="322">
        <f>[21]Sheet1!D106</f>
        <v>22</v>
      </c>
      <c r="O36" s="841">
        <v>31</v>
      </c>
      <c r="P36" s="841">
        <v>0</v>
      </c>
      <c r="Q36" s="1720">
        <v>0</v>
      </c>
      <c r="R36" s="66"/>
      <c r="S36" s="103">
        <f t="shared" si="9"/>
        <v>0</v>
      </c>
      <c r="T36" s="67"/>
      <c r="U36" s="51"/>
      <c r="V36" s="1723">
        <f t="shared" si="5"/>
        <v>9667777.6479812935</v>
      </c>
      <c r="W36" s="182">
        <f t="shared" si="2"/>
        <v>67729.647981293499</v>
      </c>
      <c r="X36" s="183">
        <f t="shared" si="3"/>
        <v>7.055136389036128E-3</v>
      </c>
      <c r="Y36" s="183">
        <f t="shared" si="10"/>
        <v>7.055136389036128E-3</v>
      </c>
      <c r="Z36" s="156"/>
      <c r="AA36" s="264"/>
      <c r="AB36"/>
      <c r="AC36"/>
      <c r="AD36"/>
      <c r="AE36"/>
      <c r="AF36"/>
      <c r="AG36"/>
      <c r="AQ36" s="45" t="s">
        <v>404</v>
      </c>
      <c r="BK36" s="51"/>
      <c r="BL36" s="51"/>
      <c r="BM36" s="51"/>
    </row>
    <row r="37" spans="1:69" ht="12.75" customHeight="1" thickTop="1">
      <c r="A37" s="864">
        <f t="shared" si="4"/>
        <v>2013</v>
      </c>
      <c r="B37" s="62">
        <f t="shared" si="11"/>
        <v>41517</v>
      </c>
      <c r="C37" s="69">
        <v>9610958</v>
      </c>
      <c r="D37" s="69">
        <v>7556</v>
      </c>
      <c r="E37" s="843"/>
      <c r="F37" s="885"/>
      <c r="G37" s="63"/>
      <c r="H37" s="71">
        <f t="shared" si="0"/>
        <v>9618514</v>
      </c>
      <c r="I37" s="259"/>
      <c r="J37" s="150">
        <f>HLOOKUP(YEAR(B37),'HDD &amp; CDD'!$B$5:$U$17,MONTH(B37)+1,FALSE)</f>
        <v>13.400000000000004</v>
      </c>
      <c r="K37" s="857">
        <f>HLOOKUP(YEAR(B37),'HDD &amp; CDD'!$B$23:$U$35,MONTH(B37)+1,FALSE)</f>
        <v>57.199999999999996</v>
      </c>
      <c r="L37" s="322">
        <f t="shared" si="1"/>
        <v>31</v>
      </c>
      <c r="M37" s="150">
        <v>1</v>
      </c>
      <c r="N37" s="322">
        <f>[21]Sheet1!D107</f>
        <v>21</v>
      </c>
      <c r="O37" s="841">
        <v>32</v>
      </c>
      <c r="P37" s="841">
        <v>1</v>
      </c>
      <c r="Q37" s="1720">
        <v>0</v>
      </c>
      <c r="R37" s="66"/>
      <c r="S37" s="103">
        <f t="shared" si="9"/>
        <v>0</v>
      </c>
      <c r="T37" s="67"/>
      <c r="U37" s="51"/>
      <c r="V37" s="1723">
        <f t="shared" si="5"/>
        <v>9175663.520534493</v>
      </c>
      <c r="W37" s="182">
        <f t="shared" si="2"/>
        <v>-442850.47946550697</v>
      </c>
      <c r="X37" s="183">
        <f t="shared" si="3"/>
        <v>-4.6041465393251699E-2</v>
      </c>
      <c r="Y37" s="183">
        <f t="shared" si="10"/>
        <v>4.6041465393251699E-2</v>
      </c>
      <c r="Z37" s="156"/>
      <c r="AA37" s="264"/>
      <c r="AB37" s="687" t="s">
        <v>124</v>
      </c>
      <c r="AC37" s="882" t="s">
        <v>407</v>
      </c>
      <c r="AD37" s="881" t="s">
        <v>408</v>
      </c>
      <c r="AE37" s="688" t="s">
        <v>241</v>
      </c>
      <c r="AF37" s="688" t="s">
        <v>242</v>
      </c>
      <c r="AG37" s="688" t="s">
        <v>243</v>
      </c>
      <c r="AJ37"/>
      <c r="AK37"/>
      <c r="AL37"/>
      <c r="AM37"/>
      <c r="AN37"/>
      <c r="AO37" s="68"/>
      <c r="AP37" s="51"/>
      <c r="AQ37" s="51"/>
      <c r="AR37" s="51"/>
      <c r="AS37" s="51"/>
      <c r="AT37" s="51"/>
      <c r="AU37" s="51"/>
      <c r="BK37" s="51"/>
    </row>
    <row r="38" spans="1:69">
      <c r="A38" s="864">
        <f t="shared" si="4"/>
        <v>2013</v>
      </c>
      <c r="B38" s="62">
        <f t="shared" si="11"/>
        <v>41547</v>
      </c>
      <c r="C38" s="69">
        <v>8187217</v>
      </c>
      <c r="D38" s="69">
        <v>6244</v>
      </c>
      <c r="E38" s="843"/>
      <c r="F38" s="885"/>
      <c r="G38" s="63"/>
      <c r="H38" s="71">
        <f t="shared" ref="H38:H69" si="12">SUM(C38:G38)</f>
        <v>8193461</v>
      </c>
      <c r="I38" s="259"/>
      <c r="J38" s="150">
        <f>HLOOKUP(YEAR(B38),'HDD &amp; CDD'!$B$5:$U$17,MONTH(B38)+1,FALSE)</f>
        <v>133.20000000000005</v>
      </c>
      <c r="K38" s="857">
        <f>HLOOKUP(YEAR(B38),'HDD &amp; CDD'!$B$23:$U$35,MONTH(B38)+1,FALSE)</f>
        <v>10.1</v>
      </c>
      <c r="L38" s="322">
        <f t="shared" ref="L38:L69" si="13">DAY(EOMONTH(B38,0))</f>
        <v>30</v>
      </c>
      <c r="M38" s="150">
        <v>1</v>
      </c>
      <c r="N38" s="322">
        <f>[21]Sheet1!D108</f>
        <v>20</v>
      </c>
      <c r="O38" s="841">
        <v>33</v>
      </c>
      <c r="P38" s="841">
        <v>0</v>
      </c>
      <c r="Q38" s="1720">
        <v>0</v>
      </c>
      <c r="R38" s="66"/>
      <c r="S38" s="103">
        <f t="shared" si="9"/>
        <v>1</v>
      </c>
      <c r="T38" s="67"/>
      <c r="U38" s="51"/>
      <c r="V38" s="1723">
        <f t="shared" si="5"/>
        <v>8342829.0313335471</v>
      </c>
      <c r="W38" s="182">
        <f t="shared" ref="W38:W69" si="14">V38-H38</f>
        <v>149368.03133354709</v>
      </c>
      <c r="X38" s="183">
        <f t="shared" ref="X38:X69" si="15">W38/H38</f>
        <v>1.8230151011098619E-2</v>
      </c>
      <c r="Y38" s="183">
        <f t="shared" si="10"/>
        <v>1.8230151011098619E-2</v>
      </c>
      <c r="Z38" s="156"/>
      <c r="AA38" s="264"/>
      <c r="AB38" s="689" t="s">
        <v>388</v>
      </c>
      <c r="AC38" s="690">
        <f>SUMIF($A$6:$A$149,AB38,$V$6:$V$149)</f>
        <v>117835341.89024752</v>
      </c>
      <c r="AD38" s="690">
        <f>SUMIF($A$6:$A$149,AB38,$H$6:$H$149)</f>
        <v>118004234</v>
      </c>
      <c r="AE38" s="691">
        <f>AC38-AD38</f>
        <v>-168892.10975247622</v>
      </c>
      <c r="AF38" s="692">
        <f>AE38/AD38</f>
        <v>-1.4312377109492209E-3</v>
      </c>
      <c r="AG38" s="692">
        <f t="shared" ref="AG38:AG48" si="16">ABS(AF38)</f>
        <v>1.4312377109492209E-3</v>
      </c>
      <c r="AK38" s="199" t="s">
        <v>125</v>
      </c>
      <c r="AL38" s="200"/>
      <c r="AM38" s="200"/>
      <c r="AN38" s="201"/>
      <c r="AO38" s="201"/>
      <c r="AP38" s="201"/>
      <c r="AQ38" s="201"/>
      <c r="AR38" s="201"/>
      <c r="AS38" s="201"/>
      <c r="AT38" s="202"/>
      <c r="AU38" s="51"/>
      <c r="BK38" s="51"/>
    </row>
    <row r="39" spans="1:69">
      <c r="A39" s="864">
        <f t="shared" si="4"/>
        <v>2013</v>
      </c>
      <c r="B39" s="62">
        <f t="shared" si="11"/>
        <v>41578</v>
      </c>
      <c r="C39" s="69">
        <v>8725825</v>
      </c>
      <c r="D39" s="69">
        <v>4461</v>
      </c>
      <c r="E39" s="843"/>
      <c r="F39" s="885"/>
      <c r="G39" s="63"/>
      <c r="H39" s="71">
        <f t="shared" si="12"/>
        <v>8730286</v>
      </c>
      <c r="I39" s="259"/>
      <c r="J39" s="345">
        <f>HLOOKUP(YEAR(B39),'HDD &amp; CDD'!$B$5:$U$17,MONTH(B39)+1,FALSE)</f>
        <v>265.2</v>
      </c>
      <c r="K39" s="857">
        <f>HLOOKUP(YEAR(B39),'HDD &amp; CDD'!$B$23:$U$35,MONTH(B39)+1,FALSE)</f>
        <v>0.7</v>
      </c>
      <c r="L39" s="322">
        <f t="shared" si="13"/>
        <v>31</v>
      </c>
      <c r="M39" s="150">
        <v>0</v>
      </c>
      <c r="N39" s="322">
        <f>[21]Sheet1!D109</f>
        <v>22</v>
      </c>
      <c r="O39" s="841">
        <v>34</v>
      </c>
      <c r="P39" s="841">
        <v>0</v>
      </c>
      <c r="Q39" s="1720">
        <v>0</v>
      </c>
      <c r="R39" s="66"/>
      <c r="S39" s="103">
        <f t="shared" si="9"/>
        <v>1</v>
      </c>
      <c r="T39" s="67"/>
      <c r="U39" s="51"/>
      <c r="V39" s="1723">
        <f t="shared" si="5"/>
        <v>8660940.4390460402</v>
      </c>
      <c r="W39" s="182">
        <f t="shared" si="14"/>
        <v>-69345.560953959823</v>
      </c>
      <c r="X39" s="183">
        <f t="shared" si="15"/>
        <v>-7.9431030041810565E-3</v>
      </c>
      <c r="Y39" s="183">
        <f t="shared" si="10"/>
        <v>7.9431030041810565E-3</v>
      </c>
      <c r="Z39" s="156"/>
      <c r="AA39" s="264"/>
      <c r="AB39" s="689" t="s">
        <v>389</v>
      </c>
      <c r="AC39" s="690">
        <f t="shared" ref="AC39:AC49" si="17">SUMIF($A$6:$A$149,AB39,$V$6:$V$149)</f>
        <v>116839985.73311096</v>
      </c>
      <c r="AD39" s="690">
        <f t="shared" ref="AD39:AD48" si="18">SUMIF($A$6:$A$149,AB39,$H$6:$H$149)</f>
        <v>115280490</v>
      </c>
      <c r="AE39" s="691">
        <f t="shared" ref="AE39:AE48" si="19">AC39-AD39</f>
        <v>1559495.7331109643</v>
      </c>
      <c r="AF39" s="692">
        <f t="shared" ref="AF39:AF48" si="20">AE39/AD39</f>
        <v>1.352783747805864E-2</v>
      </c>
      <c r="AG39" s="692">
        <f t="shared" si="16"/>
        <v>1.352783747805864E-2</v>
      </c>
      <c r="AK39" s="203"/>
      <c r="AL39" s="204"/>
      <c r="AM39" s="204"/>
      <c r="AN39" s="205"/>
      <c r="AO39" s="422">
        <f>AM41</f>
        <v>0.96455417060064774</v>
      </c>
      <c r="AP39" s="30" t="s">
        <v>760</v>
      </c>
      <c r="AQ39" s="205"/>
      <c r="AR39" s="205"/>
      <c r="AS39" s="205"/>
      <c r="AT39" s="206"/>
      <c r="AU39" s="51"/>
      <c r="BK39" s="51"/>
    </row>
    <row r="40" spans="1:69" ht="15.6">
      <c r="A40" s="864">
        <f t="shared" si="4"/>
        <v>2013</v>
      </c>
      <c r="B40" s="62">
        <f t="shared" si="11"/>
        <v>41608</v>
      </c>
      <c r="C40" s="69">
        <v>9926917</v>
      </c>
      <c r="D40" s="69">
        <v>2266</v>
      </c>
      <c r="E40" s="843"/>
      <c r="F40" s="885"/>
      <c r="G40" s="63"/>
      <c r="H40" s="71">
        <f t="shared" si="12"/>
        <v>9929183</v>
      </c>
      <c r="I40" s="259"/>
      <c r="J40" s="150">
        <f>HLOOKUP(YEAR(B40),'HDD &amp; CDD'!$B$5:$U$17,MONTH(B40)+1,FALSE)</f>
        <v>560.79999999999995</v>
      </c>
      <c r="K40" s="857">
        <f>HLOOKUP(YEAR(B40),'HDD &amp; CDD'!$B$23:$U$35,MONTH(B40)+1,FALSE)</f>
        <v>0</v>
      </c>
      <c r="L40" s="322">
        <f t="shared" si="13"/>
        <v>30</v>
      </c>
      <c r="M40" s="150">
        <v>0</v>
      </c>
      <c r="N40" s="322">
        <f>[21]Sheet1!D110</f>
        <v>21</v>
      </c>
      <c r="O40" s="841">
        <v>35</v>
      </c>
      <c r="P40" s="841">
        <v>0</v>
      </c>
      <c r="Q40" s="1720">
        <v>0</v>
      </c>
      <c r="R40" s="66"/>
      <c r="S40" s="103">
        <f t="shared" si="9"/>
        <v>1</v>
      </c>
      <c r="T40" s="67"/>
      <c r="U40" s="51"/>
      <c r="V40" s="1723">
        <f t="shared" si="5"/>
        <v>9720853.7592961472</v>
      </c>
      <c r="W40" s="182">
        <f t="shared" si="14"/>
        <v>-208329.24070385285</v>
      </c>
      <c r="X40" s="183">
        <f t="shared" si="15"/>
        <v>-2.0981508821405835E-2</v>
      </c>
      <c r="Y40" s="183">
        <f t="shared" si="10"/>
        <v>2.0981508821405835E-2</v>
      </c>
      <c r="Z40" s="156"/>
      <c r="AA40" s="264"/>
      <c r="AB40" s="689" t="s">
        <v>390</v>
      </c>
      <c r="AC40" s="690">
        <f t="shared" si="17"/>
        <v>115474415.95806794</v>
      </c>
      <c r="AD40" s="690">
        <f t="shared" si="18"/>
        <v>116595095</v>
      </c>
      <c r="AE40" s="691">
        <f t="shared" si="19"/>
        <v>-1120679.0419320613</v>
      </c>
      <c r="AF40" s="692">
        <f t="shared" si="20"/>
        <v>-9.6117168730988321E-3</v>
      </c>
      <c r="AG40" s="692">
        <f t="shared" si="16"/>
        <v>9.6117168730988321E-3</v>
      </c>
      <c r="AJ40" s="870"/>
      <c r="AK40" s="207" t="s">
        <v>126</v>
      </c>
      <c r="AL40" s="205" t="s">
        <v>127</v>
      </c>
      <c r="AM40" s="208">
        <f>AC9</f>
        <v>0.96671880140366162</v>
      </c>
      <c r="AN40" s="204"/>
      <c r="AO40" s="205" t="s">
        <v>128</v>
      </c>
      <c r="AP40" s="204"/>
      <c r="AQ40" s="204"/>
      <c r="AR40" s="205" t="s">
        <v>129</v>
      </c>
      <c r="AS40" s="204"/>
      <c r="AT40" s="206" t="s">
        <v>130</v>
      </c>
      <c r="AU40" s="51"/>
      <c r="BK40" s="51"/>
    </row>
    <row r="41" spans="1:69" ht="13.5" customHeight="1">
      <c r="A41" s="865">
        <f t="shared" si="4"/>
        <v>2013</v>
      </c>
      <c r="B41" s="151">
        <f t="shared" si="11"/>
        <v>41639</v>
      </c>
      <c r="C41" s="81">
        <v>11614675</v>
      </c>
      <c r="D41" s="81">
        <v>864</v>
      </c>
      <c r="E41" s="853"/>
      <c r="F41" s="886"/>
      <c r="G41" s="81"/>
      <c r="H41" s="76">
        <f t="shared" si="12"/>
        <v>11615539</v>
      </c>
      <c r="I41" s="260"/>
      <c r="J41" s="104">
        <f>HLOOKUP(YEAR(B41),'HDD &amp; CDD'!$B$5:$U$17,MONTH(B41)+1,FALSE)</f>
        <v>858.20000000000016</v>
      </c>
      <c r="K41" s="839">
        <f>HLOOKUP(YEAR(B41),'HDD &amp; CDD'!$B$23:$U$35,MONTH(B41)+1,FALSE)</f>
        <v>0</v>
      </c>
      <c r="L41" s="323">
        <f t="shared" si="13"/>
        <v>31</v>
      </c>
      <c r="M41" s="104">
        <v>1</v>
      </c>
      <c r="N41" s="323">
        <f>[21]Sheet1!D111</f>
        <v>20</v>
      </c>
      <c r="O41" s="873">
        <v>36</v>
      </c>
      <c r="P41" s="873">
        <v>0</v>
      </c>
      <c r="Q41" s="1721">
        <v>0</v>
      </c>
      <c r="R41" s="77"/>
      <c r="S41" s="103">
        <f t="shared" si="9"/>
        <v>0</v>
      </c>
      <c r="T41" s="78"/>
      <c r="U41" s="79"/>
      <c r="V41" s="80">
        <f t="shared" si="5"/>
        <v>11484537.412624311</v>
      </c>
      <c r="W41" s="190">
        <f t="shared" si="14"/>
        <v>-131001.5873756893</v>
      </c>
      <c r="X41" s="184">
        <f t="shared" si="15"/>
        <v>-1.1278132454782279E-2</v>
      </c>
      <c r="Y41" s="184">
        <f t="shared" si="10"/>
        <v>1.1278132454782279E-2</v>
      </c>
      <c r="Z41" s="156"/>
      <c r="AA41" s="264"/>
      <c r="AB41" s="689" t="s">
        <v>391</v>
      </c>
      <c r="AC41" s="690">
        <f t="shared" si="17"/>
        <v>113780066.95696968</v>
      </c>
      <c r="AD41" s="690">
        <f t="shared" si="18"/>
        <v>115949736</v>
      </c>
      <c r="AE41" s="691">
        <f t="shared" si="19"/>
        <v>-2169669.0430303216</v>
      </c>
      <c r="AF41" s="692">
        <f t="shared" si="20"/>
        <v>-1.8712151643280339E-2</v>
      </c>
      <c r="AG41" s="692">
        <f t="shared" si="16"/>
        <v>1.8712151643280339E-2</v>
      </c>
      <c r="AJ41" s="870"/>
      <c r="AK41" s="207"/>
      <c r="AL41" s="205" t="s">
        <v>401</v>
      </c>
      <c r="AM41" s="208">
        <f>AC10</f>
        <v>0.96455417060064774</v>
      </c>
      <c r="AN41" s="204"/>
      <c r="AO41" s="205"/>
      <c r="AP41" s="204"/>
      <c r="AQ41" s="204"/>
      <c r="AR41" s="204"/>
      <c r="AS41" s="205"/>
      <c r="AT41" s="206"/>
      <c r="AU41" s="51"/>
      <c r="BK41" s="51"/>
    </row>
    <row r="42" spans="1:69">
      <c r="A42" s="864">
        <f t="shared" si="4"/>
        <v>2014</v>
      </c>
      <c r="B42" s="62">
        <f t="shared" si="11"/>
        <v>41670</v>
      </c>
      <c r="C42" s="69">
        <v>12521267</v>
      </c>
      <c r="D42" s="69">
        <v>1826</v>
      </c>
      <c r="E42" s="843"/>
      <c r="F42" s="885"/>
      <c r="G42" s="63"/>
      <c r="H42" s="71">
        <f t="shared" si="12"/>
        <v>12523093</v>
      </c>
      <c r="I42" s="259"/>
      <c r="J42" s="150">
        <f>HLOOKUP(YEAR(B42),'HDD &amp; CDD'!$B$5:$U$17,MONTH(B42)+1,FALSE)</f>
        <v>918.30000000000007</v>
      </c>
      <c r="K42" s="857">
        <f>HLOOKUP(YEAR(B42),'HDD &amp; CDD'!$B$23:$U$35,MONTH(B42)+1,FALSE)</f>
        <v>0</v>
      </c>
      <c r="L42" s="322">
        <f t="shared" si="13"/>
        <v>31</v>
      </c>
      <c r="M42" s="150">
        <v>1</v>
      </c>
      <c r="N42" s="322">
        <f>[21]Sheet1!D112</f>
        <v>22</v>
      </c>
      <c r="O42" s="841">
        <v>37</v>
      </c>
      <c r="P42" s="841">
        <v>0</v>
      </c>
      <c r="Q42" s="1720">
        <v>0</v>
      </c>
      <c r="R42" s="66"/>
      <c r="S42" s="103">
        <f t="shared" si="9"/>
        <v>0</v>
      </c>
      <c r="T42" s="67"/>
      <c r="U42" s="51"/>
      <c r="V42" s="1723">
        <f t="shared" si="5"/>
        <v>11846069.418437539</v>
      </c>
      <c r="W42" s="182">
        <f t="shared" si="14"/>
        <v>-677023.58156246133</v>
      </c>
      <c r="X42" s="183">
        <f t="shared" si="15"/>
        <v>-5.4062010204864029E-2</v>
      </c>
      <c r="Y42" s="183">
        <f t="shared" si="10"/>
        <v>5.4062010204864029E-2</v>
      </c>
      <c r="Z42" s="156"/>
      <c r="AA42" s="264"/>
      <c r="AB42" s="689" t="s">
        <v>392</v>
      </c>
      <c r="AC42" s="690">
        <f t="shared" si="17"/>
        <v>112477863.27170941</v>
      </c>
      <c r="AD42" s="690">
        <f t="shared" si="18"/>
        <v>112684385.95</v>
      </c>
      <c r="AE42" s="691">
        <f t="shared" si="19"/>
        <v>-206522.67829059064</v>
      </c>
      <c r="AF42" s="692">
        <f t="shared" si="20"/>
        <v>-1.8327532829812668E-3</v>
      </c>
      <c r="AG42" s="692">
        <f t="shared" si="16"/>
        <v>1.8327532829812668E-3</v>
      </c>
      <c r="AJ42" s="870"/>
      <c r="AK42" s="877"/>
      <c r="AL42" s="205"/>
      <c r="AM42" s="208"/>
      <c r="AN42" s="204"/>
      <c r="AO42" s="205"/>
      <c r="AP42" s="204"/>
      <c r="AQ42" s="204"/>
      <c r="AR42" s="204"/>
      <c r="AS42" s="205"/>
      <c r="AT42" s="206"/>
      <c r="AU42" s="51"/>
      <c r="BK42" s="51"/>
    </row>
    <row r="43" spans="1:69" ht="15.6">
      <c r="A43" s="864">
        <f t="shared" si="4"/>
        <v>2014</v>
      </c>
      <c r="B43" s="62">
        <f t="shared" si="11"/>
        <v>41698</v>
      </c>
      <c r="C43" s="69">
        <v>10693642</v>
      </c>
      <c r="D43" s="69">
        <v>2647</v>
      </c>
      <c r="E43" s="843"/>
      <c r="F43" s="885"/>
      <c r="G43" s="63"/>
      <c r="H43" s="71">
        <f t="shared" si="12"/>
        <v>10696289</v>
      </c>
      <c r="I43" s="259"/>
      <c r="J43" s="150">
        <f>HLOOKUP(YEAR(B43),'HDD &amp; CDD'!$B$5:$U$17,MONTH(B43)+1,FALSE)</f>
        <v>793.2</v>
      </c>
      <c r="K43" s="857">
        <f>HLOOKUP(YEAR(B43),'HDD &amp; CDD'!$B$23:$U$35,MONTH(B43)+1,FALSE)</f>
        <v>0</v>
      </c>
      <c r="L43" s="322">
        <f t="shared" si="13"/>
        <v>28</v>
      </c>
      <c r="M43" s="150">
        <v>1</v>
      </c>
      <c r="N43" s="322">
        <f>[21]Sheet1!D113</f>
        <v>19</v>
      </c>
      <c r="O43" s="841">
        <v>38</v>
      </c>
      <c r="P43" s="841">
        <v>0</v>
      </c>
      <c r="Q43" s="1720">
        <v>0</v>
      </c>
      <c r="R43" s="66"/>
      <c r="S43" s="103">
        <f t="shared" si="9"/>
        <v>0</v>
      </c>
      <c r="T43" s="67"/>
      <c r="U43" s="51"/>
      <c r="V43" s="1723">
        <f t="shared" si="5"/>
        <v>10655662.378351187</v>
      </c>
      <c r="W43" s="182">
        <f t="shared" si="14"/>
        <v>-40626.621648812667</v>
      </c>
      <c r="X43" s="183">
        <f t="shared" si="15"/>
        <v>-3.7981978281264339E-3</v>
      </c>
      <c r="Y43" s="183">
        <f t="shared" si="10"/>
        <v>3.7981978281264339E-3</v>
      </c>
      <c r="Z43" s="156"/>
      <c r="AA43" s="264"/>
      <c r="AB43" s="689" t="s">
        <v>393</v>
      </c>
      <c r="AC43" s="690">
        <f t="shared" si="17"/>
        <v>111720221.87488745</v>
      </c>
      <c r="AD43" s="690">
        <f t="shared" si="18"/>
        <v>109734472.34999999</v>
      </c>
      <c r="AE43" s="691">
        <f t="shared" si="19"/>
        <v>1985749.5248874575</v>
      </c>
      <c r="AF43" s="692">
        <f t="shared" si="20"/>
        <v>1.8095949999685376E-2</v>
      </c>
      <c r="AG43" s="692">
        <f t="shared" si="16"/>
        <v>1.8095949999685376E-2</v>
      </c>
      <c r="AJ43" s="870"/>
      <c r="AK43" s="207" t="s">
        <v>131</v>
      </c>
      <c r="AL43" s="205" t="s">
        <v>132</v>
      </c>
      <c r="AM43" s="209">
        <f>AC11</f>
        <v>215497.27885119471</v>
      </c>
      <c r="AN43" s="204"/>
      <c r="AO43" s="154"/>
      <c r="AP43" s="204"/>
      <c r="AQ43" s="204"/>
      <c r="AR43" s="204"/>
      <c r="AS43" s="205"/>
      <c r="AT43" s="206"/>
      <c r="AU43" s="51"/>
      <c r="BK43" s="51"/>
    </row>
    <row r="44" spans="1:69">
      <c r="A44" s="864">
        <f t="shared" si="4"/>
        <v>2014</v>
      </c>
      <c r="B44" s="62">
        <f t="shared" si="11"/>
        <v>41729</v>
      </c>
      <c r="C44" s="69">
        <v>11270883</v>
      </c>
      <c r="D44" s="69">
        <v>5510</v>
      </c>
      <c r="E44" s="843"/>
      <c r="F44" s="885"/>
      <c r="G44" s="63"/>
      <c r="H44" s="71">
        <f t="shared" si="12"/>
        <v>11276393</v>
      </c>
      <c r="I44" s="259"/>
      <c r="J44" s="150">
        <f>HLOOKUP(YEAR(B44),'HDD &amp; CDD'!$B$5:$U$17,MONTH(B44)+1,FALSE)</f>
        <v>783.6</v>
      </c>
      <c r="K44" s="857">
        <f>HLOOKUP(YEAR(B44),'HDD &amp; CDD'!$B$23:$U$35,MONTH(B44)+1,FALSE)</f>
        <v>0</v>
      </c>
      <c r="L44" s="322">
        <f t="shared" si="13"/>
        <v>31</v>
      </c>
      <c r="M44" s="150">
        <v>1</v>
      </c>
      <c r="N44" s="322">
        <f>[21]Sheet1!D114</f>
        <v>21</v>
      </c>
      <c r="O44" s="841">
        <v>39</v>
      </c>
      <c r="P44" s="841">
        <v>0</v>
      </c>
      <c r="Q44" s="1720">
        <v>0</v>
      </c>
      <c r="R44" s="66"/>
      <c r="S44" s="103">
        <f t="shared" si="9"/>
        <v>1</v>
      </c>
      <c r="T44" s="67"/>
      <c r="U44" s="51"/>
      <c r="V44" s="1723">
        <f t="shared" si="5"/>
        <v>11182639.507597711</v>
      </c>
      <c r="W44" s="182">
        <f t="shared" si="14"/>
        <v>-93753.492402289063</v>
      </c>
      <c r="X44" s="183">
        <f t="shared" si="15"/>
        <v>-8.3141384308164021E-3</v>
      </c>
      <c r="Y44" s="183">
        <f t="shared" si="10"/>
        <v>8.3141384308164021E-3</v>
      </c>
      <c r="Z44" s="156"/>
      <c r="AA44" s="264"/>
      <c r="AB44" s="689" t="s">
        <v>394</v>
      </c>
      <c r="AC44" s="690">
        <f t="shared" si="17"/>
        <v>108565645.46510991</v>
      </c>
      <c r="AD44" s="690">
        <f t="shared" si="18"/>
        <v>107186399</v>
      </c>
      <c r="AE44" s="691">
        <f t="shared" si="19"/>
        <v>1379246.4651099145</v>
      </c>
      <c r="AF44" s="692">
        <f t="shared" si="20"/>
        <v>1.2867737679198594E-2</v>
      </c>
      <c r="AG44" s="692">
        <f t="shared" si="16"/>
        <v>1.2867737679198594E-2</v>
      </c>
      <c r="AJ44" s="870"/>
      <c r="AK44" s="207"/>
      <c r="AL44" s="205" t="s">
        <v>244</v>
      </c>
      <c r="AM44" s="210">
        <f>AM43/AVERAGE(H6:H137)</f>
        <v>2.3084919068995322E-2</v>
      </c>
      <c r="AN44" s="204"/>
      <c r="AO44" s="154" t="s">
        <v>133</v>
      </c>
      <c r="AP44" s="204"/>
      <c r="AQ44" s="204"/>
      <c r="AR44" s="205" t="s">
        <v>134</v>
      </c>
      <c r="AS44" s="204"/>
      <c r="AT44" s="206" t="s">
        <v>130</v>
      </c>
      <c r="AU44" s="51"/>
      <c r="BK44" s="51"/>
    </row>
    <row r="45" spans="1:69">
      <c r="A45" s="864">
        <f t="shared" si="4"/>
        <v>2014</v>
      </c>
      <c r="B45" s="62">
        <f t="shared" si="11"/>
        <v>41759</v>
      </c>
      <c r="C45" s="69">
        <v>9026483</v>
      </c>
      <c r="D45" s="69">
        <v>8035</v>
      </c>
      <c r="E45" s="843"/>
      <c r="F45" s="885"/>
      <c r="G45" s="63"/>
      <c r="H45" s="71">
        <f t="shared" si="12"/>
        <v>9034518</v>
      </c>
      <c r="I45" s="259"/>
      <c r="J45" s="150">
        <f>HLOOKUP(YEAR(B45),'HDD &amp; CDD'!$B$5:$U$17,MONTH(B45)+1,FALSE)</f>
        <v>384.20000000000005</v>
      </c>
      <c r="K45" s="857">
        <f>HLOOKUP(YEAR(B45),'HDD &amp; CDD'!$B$23:$U$35,MONTH(B45)+1,FALSE)</f>
        <v>0</v>
      </c>
      <c r="L45" s="322">
        <f t="shared" si="13"/>
        <v>30</v>
      </c>
      <c r="M45" s="150">
        <v>0</v>
      </c>
      <c r="N45" s="322">
        <f>[21]Sheet1!D115</f>
        <v>20</v>
      </c>
      <c r="O45" s="841">
        <v>40</v>
      </c>
      <c r="P45" s="841">
        <v>0</v>
      </c>
      <c r="Q45" s="1720">
        <v>0</v>
      </c>
      <c r="R45" s="66"/>
      <c r="S45" s="103">
        <f t="shared" si="9"/>
        <v>1</v>
      </c>
      <c r="T45" s="67"/>
      <c r="U45" s="51"/>
      <c r="V45" s="1723">
        <f t="shared" si="5"/>
        <v>8843926.2101149522</v>
      </c>
      <c r="W45" s="182">
        <f t="shared" si="14"/>
        <v>-190591.78988504782</v>
      </c>
      <c r="X45" s="183">
        <f t="shared" si="15"/>
        <v>-2.1095955521373451E-2</v>
      </c>
      <c r="Y45" s="183">
        <f t="shared" si="10"/>
        <v>2.1095955521373451E-2</v>
      </c>
      <c r="AA45" s="264"/>
      <c r="AB45" s="689" t="s">
        <v>395</v>
      </c>
      <c r="AC45" s="690">
        <f t="shared" si="17"/>
        <v>110196728.8611078</v>
      </c>
      <c r="AD45" s="690">
        <f t="shared" si="18"/>
        <v>110285589.34999999</v>
      </c>
      <c r="AE45" s="691">
        <f t="shared" si="19"/>
        <v>-88860.488892197609</v>
      </c>
      <c r="AF45" s="692">
        <f t="shared" si="20"/>
        <v>-8.0573073432279403E-4</v>
      </c>
      <c r="AG45" s="692">
        <f t="shared" si="16"/>
        <v>8.0573073432279403E-4</v>
      </c>
      <c r="AJ45" s="870"/>
      <c r="AK45" s="207"/>
      <c r="AL45" s="204"/>
      <c r="AM45" s="204"/>
      <c r="AN45" s="204"/>
      <c r="AO45" s="205"/>
      <c r="AP45" s="205"/>
      <c r="AQ45" s="204"/>
      <c r="AR45" s="204"/>
      <c r="AS45" s="205"/>
      <c r="AT45" s="206"/>
      <c r="AU45" s="51"/>
      <c r="BK45" s="51"/>
    </row>
    <row r="46" spans="1:69" ht="15.6">
      <c r="A46" s="864">
        <f t="shared" si="4"/>
        <v>2014</v>
      </c>
      <c r="B46" s="62">
        <f t="shared" si="11"/>
        <v>41790</v>
      </c>
      <c r="C46" s="69">
        <v>8278885</v>
      </c>
      <c r="D46" s="69">
        <v>9577</v>
      </c>
      <c r="E46" s="843"/>
      <c r="F46" s="885"/>
      <c r="G46" s="63"/>
      <c r="H46" s="71">
        <f t="shared" si="12"/>
        <v>8288462</v>
      </c>
      <c r="I46" s="259"/>
      <c r="J46" s="150">
        <f>HLOOKUP(YEAR(B46),'HDD &amp; CDD'!$B$5:$U$17,MONTH(B46)+1,FALSE)</f>
        <v>127.3</v>
      </c>
      <c r="K46" s="857">
        <f>HLOOKUP(YEAR(B46),'HDD &amp; CDD'!$B$23:$U$35,MONTH(B46)+1,FALSE)</f>
        <v>8.8000000000000007</v>
      </c>
      <c r="L46" s="322">
        <f t="shared" si="13"/>
        <v>31</v>
      </c>
      <c r="M46" s="150">
        <v>0</v>
      </c>
      <c r="N46" s="322">
        <f>[21]Sheet1!D116</f>
        <v>21</v>
      </c>
      <c r="O46" s="841">
        <v>41</v>
      </c>
      <c r="P46" s="841">
        <v>0</v>
      </c>
      <c r="Q46" s="1720">
        <v>0</v>
      </c>
      <c r="R46" s="66"/>
      <c r="S46" s="103">
        <f t="shared" si="9"/>
        <v>1</v>
      </c>
      <c r="T46" s="67"/>
      <c r="U46" s="51"/>
      <c r="V46" s="1723">
        <f t="shared" si="5"/>
        <v>8055577.4847912705</v>
      </c>
      <c r="W46" s="182">
        <f t="shared" si="14"/>
        <v>-232884.51520872954</v>
      </c>
      <c r="X46" s="183">
        <f t="shared" si="15"/>
        <v>-2.8097434145047603E-2</v>
      </c>
      <c r="Y46" s="183">
        <f t="shared" si="10"/>
        <v>2.8097434145047603E-2</v>
      </c>
      <c r="Z46" s="156"/>
      <c r="AA46" s="264"/>
      <c r="AB46" s="689" t="s">
        <v>396</v>
      </c>
      <c r="AC46" s="690">
        <f t="shared" si="17"/>
        <v>107474042.1886027</v>
      </c>
      <c r="AD46" s="690">
        <f t="shared" si="18"/>
        <v>108750347.28</v>
      </c>
      <c r="AE46" s="691">
        <f t="shared" si="19"/>
        <v>-1276305.0913973004</v>
      </c>
      <c r="AF46" s="692">
        <f t="shared" si="20"/>
        <v>-1.1736101293646373E-2</v>
      </c>
      <c r="AG46" s="692">
        <f t="shared" si="16"/>
        <v>1.1736101293646373E-2</v>
      </c>
      <c r="AJ46" s="870"/>
      <c r="AK46" s="207" t="s">
        <v>135</v>
      </c>
      <c r="AL46" s="205" t="s">
        <v>27</v>
      </c>
      <c r="AM46" s="878">
        <f>AF16</f>
        <v>446.59754451321277</v>
      </c>
      <c r="AN46" s="204"/>
      <c r="AO46" s="1792" t="s">
        <v>765</v>
      </c>
      <c r="AP46" s="205"/>
      <c r="AQ46" s="1791">
        <v>2.02</v>
      </c>
      <c r="AR46" s="204" t="s">
        <v>129</v>
      </c>
      <c r="AS46" s="205"/>
      <c r="AT46" s="206" t="s">
        <v>130</v>
      </c>
      <c r="AU46" s="51" t="s">
        <v>595</v>
      </c>
      <c r="BK46" s="51"/>
    </row>
    <row r="47" spans="1:69">
      <c r="A47" s="864">
        <f t="shared" si="4"/>
        <v>2014</v>
      </c>
      <c r="B47" s="62">
        <f t="shared" si="11"/>
        <v>41820</v>
      </c>
      <c r="C47" s="69">
        <v>8570154</v>
      </c>
      <c r="D47" s="69">
        <v>9467</v>
      </c>
      <c r="E47" s="843"/>
      <c r="F47" s="885"/>
      <c r="G47" s="63"/>
      <c r="H47" s="71">
        <f t="shared" si="12"/>
        <v>8579621</v>
      </c>
      <c r="I47" s="259"/>
      <c r="J47" s="150">
        <f>HLOOKUP(YEAR(B47),'HDD &amp; CDD'!$B$5:$U$17,MONTH(B47)+1,FALSE)</f>
        <v>20.299999999999997</v>
      </c>
      <c r="K47" s="857">
        <f>HLOOKUP(YEAR(B47),'HDD &amp; CDD'!$B$23:$U$35,MONTH(B47)+1,FALSE)</f>
        <v>54.9</v>
      </c>
      <c r="L47" s="322">
        <f t="shared" si="13"/>
        <v>30</v>
      </c>
      <c r="M47" s="150">
        <v>1</v>
      </c>
      <c r="N47" s="322">
        <f>[21]Sheet1!D117</f>
        <v>21</v>
      </c>
      <c r="O47" s="841">
        <v>42</v>
      </c>
      <c r="P47" s="841">
        <v>0</v>
      </c>
      <c r="Q47" s="1720">
        <v>0</v>
      </c>
      <c r="R47" s="66"/>
      <c r="S47" s="103">
        <f t="shared" si="9"/>
        <v>0</v>
      </c>
      <c r="T47" s="67"/>
      <c r="U47" s="51"/>
      <c r="V47" s="1723">
        <f t="shared" si="5"/>
        <v>8491388.5652576759</v>
      </c>
      <c r="W47" s="182">
        <f t="shared" si="14"/>
        <v>-88232.434742324054</v>
      </c>
      <c r="X47" s="183">
        <f t="shared" si="15"/>
        <v>-1.0283954820652808E-2</v>
      </c>
      <c r="Y47" s="183">
        <f t="shared" si="10"/>
        <v>1.0283954820652808E-2</v>
      </c>
      <c r="Z47" s="156"/>
      <c r="AA47" s="264"/>
      <c r="AB47" s="689" t="s">
        <v>405</v>
      </c>
      <c r="AC47" s="690">
        <f t="shared" si="17"/>
        <v>109620628.99355707</v>
      </c>
      <c r="AD47" s="690">
        <f t="shared" si="18"/>
        <v>108483759.41</v>
      </c>
      <c r="AE47" s="691">
        <f t="shared" si="19"/>
        <v>1136869.5835570693</v>
      </c>
      <c r="AF47" s="692">
        <f t="shared" si="20"/>
        <v>1.0479629298800582E-2</v>
      </c>
      <c r="AG47" s="692">
        <f t="shared" si="16"/>
        <v>1.0479629298800582E-2</v>
      </c>
      <c r="AJ47" s="870"/>
      <c r="AK47" s="207"/>
      <c r="AL47" s="205"/>
      <c r="AM47" s="205"/>
      <c r="AN47" s="205"/>
      <c r="AO47" s="205" t="s">
        <v>136</v>
      </c>
      <c r="AP47" s="205"/>
      <c r="AQ47" s="205"/>
      <c r="AR47" s="205"/>
      <c r="AS47" s="205"/>
      <c r="AT47" s="206"/>
      <c r="AU47" s="51"/>
      <c r="BK47" s="51"/>
    </row>
    <row r="48" spans="1:69">
      <c r="A48" s="864">
        <f t="shared" si="4"/>
        <v>2014</v>
      </c>
      <c r="B48" s="62">
        <f t="shared" si="11"/>
        <v>41851</v>
      </c>
      <c r="C48" s="69">
        <v>9070654</v>
      </c>
      <c r="D48" s="69">
        <v>9127</v>
      </c>
      <c r="E48" s="843"/>
      <c r="F48" s="885"/>
      <c r="G48" s="63"/>
      <c r="H48" s="71">
        <f t="shared" si="12"/>
        <v>9079781</v>
      </c>
      <c r="I48" s="259"/>
      <c r="J48" s="150">
        <f>HLOOKUP(YEAR(B48),'HDD &amp; CDD'!$B$5:$U$17,MONTH(B48)+1,FALSE)</f>
        <v>8.8000000000000007</v>
      </c>
      <c r="K48" s="857">
        <f>HLOOKUP(YEAR(B48),'HDD &amp; CDD'!$B$23:$U$35,MONTH(B48)+1,FALSE)</f>
        <v>62.800000000000011</v>
      </c>
      <c r="L48" s="322">
        <f t="shared" si="13"/>
        <v>31</v>
      </c>
      <c r="M48" s="150">
        <v>1</v>
      </c>
      <c r="N48" s="322">
        <f>[21]Sheet1!D118</f>
        <v>22</v>
      </c>
      <c r="O48" s="841">
        <v>43</v>
      </c>
      <c r="P48" s="841">
        <v>0</v>
      </c>
      <c r="Q48" s="1720">
        <v>0</v>
      </c>
      <c r="R48" s="66"/>
      <c r="S48" s="103">
        <f t="shared" si="9"/>
        <v>0</v>
      </c>
      <c r="T48" s="67"/>
      <c r="U48" s="51"/>
      <c r="V48" s="1723">
        <f t="shared" si="5"/>
        <v>8761856.2627111785</v>
      </c>
      <c r="W48" s="182">
        <f t="shared" si="14"/>
        <v>-317924.73728882149</v>
      </c>
      <c r="X48" s="183">
        <f t="shared" si="15"/>
        <v>-3.5014582101575084E-2</v>
      </c>
      <c r="Y48" s="183">
        <f t="shared" si="10"/>
        <v>3.5014582101575084E-2</v>
      </c>
      <c r="Z48" s="156"/>
      <c r="AA48" s="264"/>
      <c r="AB48" s="689" t="s">
        <v>406</v>
      </c>
      <c r="AC48" s="690">
        <f t="shared" si="17"/>
        <v>108232539.11663017</v>
      </c>
      <c r="AD48" s="690">
        <f t="shared" si="18"/>
        <v>109262971.97</v>
      </c>
      <c r="AE48" s="691">
        <f t="shared" si="19"/>
        <v>-1030432.853369832</v>
      </c>
      <c r="AF48" s="692">
        <f t="shared" si="20"/>
        <v>-9.4307598886542721E-3</v>
      </c>
      <c r="AG48" s="692">
        <f t="shared" si="16"/>
        <v>9.4307598886542721E-3</v>
      </c>
      <c r="AJ48" s="870"/>
      <c r="AK48" s="207"/>
      <c r="AL48" s="205"/>
      <c r="AM48" s="205"/>
      <c r="AN48" s="205"/>
      <c r="AO48" s="205"/>
      <c r="AP48" s="205"/>
      <c r="AQ48" s="205"/>
      <c r="AR48" s="205"/>
      <c r="AS48" s="205"/>
      <c r="AT48" s="206"/>
      <c r="AU48" s="51"/>
      <c r="BK48" s="51"/>
    </row>
    <row r="49" spans="1:63" ht="14.25" customHeight="1">
      <c r="A49" s="864">
        <f t="shared" si="4"/>
        <v>2014</v>
      </c>
      <c r="B49" s="62">
        <f t="shared" si="11"/>
        <v>41882</v>
      </c>
      <c r="C49" s="69">
        <v>8980123</v>
      </c>
      <c r="D49" s="69">
        <v>8673</v>
      </c>
      <c r="E49" s="843"/>
      <c r="F49" s="885"/>
      <c r="G49" s="63"/>
      <c r="H49" s="71">
        <f t="shared" si="12"/>
        <v>8988796</v>
      </c>
      <c r="I49" s="259"/>
      <c r="J49" s="150">
        <f>HLOOKUP(YEAR(B49),'HDD &amp; CDD'!$B$5:$U$17,MONTH(B49)+1,FALSE)</f>
        <v>21.400000000000002</v>
      </c>
      <c r="K49" s="857">
        <f>HLOOKUP(YEAR(B49),'HDD &amp; CDD'!$B$23:$U$35,MONTH(B49)+1,FALSE)</f>
        <v>55.800000000000004</v>
      </c>
      <c r="L49" s="322">
        <f t="shared" si="13"/>
        <v>31</v>
      </c>
      <c r="M49" s="150">
        <v>1</v>
      </c>
      <c r="N49" s="322">
        <f>[21]Sheet1!D119</f>
        <v>20</v>
      </c>
      <c r="O49" s="841">
        <v>44</v>
      </c>
      <c r="P49" s="841">
        <v>1</v>
      </c>
      <c r="Q49" s="1720">
        <v>0</v>
      </c>
      <c r="R49" s="66"/>
      <c r="S49" s="103">
        <f t="shared" si="9"/>
        <v>0</v>
      </c>
      <c r="T49" s="67"/>
      <c r="U49" s="51"/>
      <c r="V49" s="1723">
        <f t="shared" si="5"/>
        <v>9013369.5280753169</v>
      </c>
      <c r="W49" s="182">
        <f t="shared" si="14"/>
        <v>24573.528075316921</v>
      </c>
      <c r="X49" s="183">
        <f t="shared" si="15"/>
        <v>2.7337952797367878E-3</v>
      </c>
      <c r="Y49" s="183">
        <f t="shared" si="10"/>
        <v>2.7337952797367878E-3</v>
      </c>
      <c r="Z49" s="156"/>
      <c r="AA49" s="264"/>
      <c r="AB49" s="689" t="s">
        <v>596</v>
      </c>
      <c r="AC49" s="951">
        <f t="shared" si="17"/>
        <v>103699020.77285595</v>
      </c>
      <c r="AD49" s="940">
        <v>103699020.77285595</v>
      </c>
      <c r="AE49" s="87"/>
      <c r="AF49" s="420"/>
      <c r="AG49" s="884"/>
      <c r="AJ49" s="870"/>
      <c r="AK49" s="211" t="s">
        <v>137</v>
      </c>
      <c r="AL49" s="212"/>
      <c r="AM49" s="212"/>
      <c r="AN49" s="212" t="s">
        <v>766</v>
      </c>
      <c r="AO49" s="212"/>
      <c r="AP49" s="212" t="s">
        <v>402</v>
      </c>
      <c r="AQ49" s="212"/>
      <c r="AR49" s="212"/>
      <c r="AS49" s="212" t="s">
        <v>138</v>
      </c>
      <c r="AT49" s="213"/>
      <c r="AU49" s="51"/>
      <c r="BK49" s="51"/>
    </row>
    <row r="50" spans="1:63">
      <c r="A50" s="864">
        <f t="shared" si="4"/>
        <v>2014</v>
      </c>
      <c r="B50" s="62">
        <f t="shared" si="11"/>
        <v>41912</v>
      </c>
      <c r="C50" s="69">
        <v>8455877</v>
      </c>
      <c r="D50" s="69">
        <v>7439</v>
      </c>
      <c r="E50" s="843"/>
      <c r="F50" s="885"/>
      <c r="G50" s="63"/>
      <c r="H50" s="71">
        <f t="shared" si="12"/>
        <v>8463316</v>
      </c>
      <c r="I50" s="259"/>
      <c r="J50" s="150">
        <f>HLOOKUP(YEAR(B50),'HDD &amp; CDD'!$B$5:$U$17,MONTH(B50)+1,FALSE)</f>
        <v>110.3</v>
      </c>
      <c r="K50" s="857">
        <f>HLOOKUP(YEAR(B50),'HDD &amp; CDD'!$B$23:$U$35,MONTH(B50)+1,FALSE)</f>
        <v>21.600000000000005</v>
      </c>
      <c r="L50" s="322">
        <f t="shared" si="13"/>
        <v>30</v>
      </c>
      <c r="M50" s="150">
        <v>1</v>
      </c>
      <c r="N50" s="322">
        <f>[21]Sheet1!D120</f>
        <v>21</v>
      </c>
      <c r="O50" s="841">
        <v>45</v>
      </c>
      <c r="P50" s="841">
        <v>0</v>
      </c>
      <c r="Q50" s="1720">
        <v>0</v>
      </c>
      <c r="R50" s="66"/>
      <c r="S50" s="103">
        <f t="shared" si="9"/>
        <v>1</v>
      </c>
      <c r="T50" s="67"/>
      <c r="U50" s="51"/>
      <c r="V50" s="1723">
        <f t="shared" si="5"/>
        <v>8349909.5156569965</v>
      </c>
      <c r="W50" s="182">
        <f t="shared" si="14"/>
        <v>-113406.48434300348</v>
      </c>
      <c r="X50" s="183">
        <f t="shared" si="15"/>
        <v>-1.3399769587122055E-2</v>
      </c>
      <c r="Y50" s="183">
        <f t="shared" si="10"/>
        <v>1.3399769587122055E-2</v>
      </c>
      <c r="Z50" s="156"/>
      <c r="AA50" s="264"/>
      <c r="AB50" s="1767" t="s">
        <v>752</v>
      </c>
      <c r="AC50" s="1768">
        <f>AC49</f>
        <v>103699020.77285595</v>
      </c>
      <c r="AD50" s="788"/>
      <c r="AE50" s="87"/>
      <c r="AF50" s="420"/>
      <c r="AG50" s="884"/>
      <c r="AH50" s="87"/>
      <c r="AK50" s="788"/>
      <c r="AL50" s="870"/>
      <c r="AM50" s="328"/>
      <c r="AN50" s="205"/>
      <c r="AO50" s="205"/>
      <c r="AP50" s="205"/>
      <c r="AQ50" s="205"/>
      <c r="AR50" s="205"/>
      <c r="AS50" s="205"/>
      <c r="AT50" s="205"/>
      <c r="AU50" s="205"/>
      <c r="AV50" s="205"/>
      <c r="AW50" s="51"/>
    </row>
    <row r="51" spans="1:63">
      <c r="A51" s="864">
        <f t="shared" si="4"/>
        <v>2014</v>
      </c>
      <c r="B51" s="62">
        <f t="shared" si="11"/>
        <v>41943</v>
      </c>
      <c r="C51" s="69">
        <v>8663323</v>
      </c>
      <c r="D51" s="69">
        <v>4365</v>
      </c>
      <c r="E51" s="843"/>
      <c r="F51" s="885"/>
      <c r="G51" s="63"/>
      <c r="H51" s="71">
        <f t="shared" si="12"/>
        <v>8667688</v>
      </c>
      <c r="I51" s="259"/>
      <c r="J51" s="150">
        <f>HLOOKUP(YEAR(B51),'HDD &amp; CDD'!$B$5:$U$17,MONTH(B51)+1,FALSE)</f>
        <v>257.90000000000003</v>
      </c>
      <c r="K51" s="857">
        <f>HLOOKUP(YEAR(B51),'HDD &amp; CDD'!$B$23:$U$35,MONTH(B51)+1,FALSE)</f>
        <v>3.1</v>
      </c>
      <c r="L51" s="322">
        <f t="shared" si="13"/>
        <v>31</v>
      </c>
      <c r="M51" s="150">
        <v>0</v>
      </c>
      <c r="N51" s="322">
        <f>[21]Sheet1!D121</f>
        <v>22</v>
      </c>
      <c r="O51" s="841">
        <v>46</v>
      </c>
      <c r="P51" s="841">
        <v>0</v>
      </c>
      <c r="Q51" s="1720">
        <v>0</v>
      </c>
      <c r="R51" s="66"/>
      <c r="S51" s="103">
        <f t="shared" si="9"/>
        <v>1</v>
      </c>
      <c r="T51" s="67"/>
      <c r="U51" s="51"/>
      <c r="V51" s="1723">
        <f t="shared" si="5"/>
        <v>8543848.3278466854</v>
      </c>
      <c r="W51" s="182">
        <f t="shared" si="14"/>
        <v>-123839.67215331458</v>
      </c>
      <c r="X51" s="183">
        <f t="shared" si="15"/>
        <v>-1.4287509212758301E-2</v>
      </c>
      <c r="Y51" s="183">
        <f t="shared" si="10"/>
        <v>1.4287509212758301E-2</v>
      </c>
      <c r="Z51" s="156"/>
      <c r="AA51" s="264"/>
      <c r="AB51" s="1769" t="s">
        <v>597</v>
      </c>
      <c r="AC51" s="1770">
        <f>SUM(V154:V165)</f>
        <v>102346139.70099306</v>
      </c>
      <c r="AD51" s="896"/>
      <c r="AE51" s="87"/>
      <c r="AF51" s="420"/>
      <c r="AG51" s="884"/>
      <c r="AI51" s="892"/>
      <c r="AJ51" s="883"/>
      <c r="AK51" s="896"/>
      <c r="AL51" s="87"/>
      <c r="AM51" s="420"/>
      <c r="AN51" s="884"/>
      <c r="AO51" s="205"/>
      <c r="AP51" s="205"/>
      <c r="AQ51" s="205"/>
      <c r="AR51" s="205"/>
      <c r="AS51" s="51"/>
      <c r="AT51" s="51"/>
    </row>
    <row r="52" spans="1:63" ht="13.5" customHeight="1">
      <c r="A52" s="864">
        <f t="shared" si="4"/>
        <v>2014</v>
      </c>
      <c r="B52" s="62">
        <f t="shared" si="11"/>
        <v>41973</v>
      </c>
      <c r="C52" s="69">
        <v>9594308</v>
      </c>
      <c r="D52" s="69">
        <v>2388</v>
      </c>
      <c r="E52" s="843"/>
      <c r="F52" s="885"/>
      <c r="G52" s="63"/>
      <c r="H52" s="71">
        <f t="shared" si="12"/>
        <v>9596696</v>
      </c>
      <c r="I52" s="259"/>
      <c r="J52" s="150">
        <f>HLOOKUP(YEAR(B52),'HDD &amp; CDD'!$B$5:$U$17,MONTH(B52)+1,FALSE)</f>
        <v>510.6</v>
      </c>
      <c r="K52" s="857">
        <f>HLOOKUP(YEAR(B52),'HDD &amp; CDD'!$B$23:$U$35,MONTH(B52)+1,FALSE)</f>
        <v>0</v>
      </c>
      <c r="L52" s="322">
        <f t="shared" si="13"/>
        <v>30</v>
      </c>
      <c r="M52" s="150">
        <v>0</v>
      </c>
      <c r="N52" s="322">
        <f>[21]Sheet1!D122</f>
        <v>20</v>
      </c>
      <c r="O52" s="841">
        <v>47</v>
      </c>
      <c r="P52" s="841">
        <v>0</v>
      </c>
      <c r="Q52" s="1720">
        <v>0</v>
      </c>
      <c r="R52" s="66"/>
      <c r="S52" s="103">
        <f t="shared" si="9"/>
        <v>1</v>
      </c>
      <c r="T52" s="67"/>
      <c r="U52" s="51"/>
      <c r="V52" s="1723">
        <f t="shared" si="5"/>
        <v>9325420.1365119126</v>
      </c>
      <c r="W52" s="182">
        <f t="shared" si="14"/>
        <v>-271275.86348808743</v>
      </c>
      <c r="X52" s="183">
        <f t="shared" si="15"/>
        <v>-2.8267631223088386E-2</v>
      </c>
      <c r="Y52" s="183">
        <f t="shared" si="10"/>
        <v>2.8267631223088386E-2</v>
      </c>
      <c r="Z52" s="156"/>
      <c r="AA52" s="264"/>
      <c r="AB52" s="891"/>
      <c r="AC52" s="883"/>
      <c r="AD52" s="883"/>
      <c r="AE52" s="419"/>
      <c r="AF52" s="896"/>
      <c r="AG52" s="87"/>
      <c r="AI52" s="328"/>
      <c r="AJ52" s="205"/>
      <c r="AK52" s="205"/>
      <c r="AL52" s="205"/>
      <c r="AM52" s="205"/>
      <c r="AN52" s="205"/>
      <c r="AO52" s="205"/>
      <c r="AP52" s="205"/>
      <c r="AQ52" s="205"/>
      <c r="AR52" s="205"/>
      <c r="AS52" s="51"/>
      <c r="AT52" s="51"/>
    </row>
    <row r="53" spans="1:63">
      <c r="A53" s="865">
        <f t="shared" si="4"/>
        <v>2014</v>
      </c>
      <c r="B53" s="151">
        <f t="shared" si="11"/>
        <v>42004</v>
      </c>
      <c r="C53" s="81">
        <v>10753031</v>
      </c>
      <c r="D53" s="81">
        <v>2052</v>
      </c>
      <c r="E53" s="853"/>
      <c r="F53" s="886"/>
      <c r="G53" s="81"/>
      <c r="H53" s="76">
        <f t="shared" si="12"/>
        <v>10755083</v>
      </c>
      <c r="I53" s="260"/>
      <c r="J53" s="104">
        <f>HLOOKUP(YEAR(B53),'HDD &amp; CDD'!$B$5:$U$17,MONTH(B53)+1,FALSE)</f>
        <v>696.39999999999986</v>
      </c>
      <c r="K53" s="839">
        <f>HLOOKUP(YEAR(B53),'HDD &amp; CDD'!$B$23:$U$35,MONTH(B53)+1,FALSE)</f>
        <v>0</v>
      </c>
      <c r="L53" s="323">
        <f t="shared" si="13"/>
        <v>31</v>
      </c>
      <c r="M53" s="104">
        <v>1</v>
      </c>
      <c r="N53" s="323">
        <f>[21]Sheet1!D123</f>
        <v>21</v>
      </c>
      <c r="O53" s="873">
        <v>48</v>
      </c>
      <c r="P53" s="873">
        <v>0</v>
      </c>
      <c r="Q53" s="1721">
        <v>0</v>
      </c>
      <c r="R53" s="77"/>
      <c r="S53" s="103">
        <f t="shared" si="9"/>
        <v>0</v>
      </c>
      <c r="T53" s="78"/>
      <c r="U53" s="79"/>
      <c r="V53" s="80">
        <f t="shared" si="5"/>
        <v>10710399.621617245</v>
      </c>
      <c r="W53" s="190">
        <f t="shared" si="14"/>
        <v>-44683.378382755443</v>
      </c>
      <c r="X53" s="184">
        <f t="shared" si="15"/>
        <v>-4.1546288748078881E-3</v>
      </c>
      <c r="Y53" s="184">
        <f t="shared" si="10"/>
        <v>4.1546288748078881E-3</v>
      </c>
      <c r="Z53" s="156"/>
      <c r="AA53" s="264"/>
      <c r="AG53" s="51"/>
      <c r="AH53" s="51"/>
      <c r="AI53" s="51"/>
      <c r="AJ53" s="51"/>
      <c r="AK53" s="51"/>
      <c r="AL53" s="51"/>
      <c r="AM53" s="51"/>
      <c r="AN53" s="51"/>
      <c r="AO53" s="51"/>
      <c r="AP53" s="51"/>
      <c r="AQ53" s="51"/>
      <c r="AR53" s="51"/>
      <c r="AS53" s="51"/>
      <c r="AT53" s="51"/>
    </row>
    <row r="54" spans="1:63">
      <c r="A54" s="864">
        <f t="shared" si="4"/>
        <v>2015</v>
      </c>
      <c r="B54" s="62">
        <f t="shared" si="11"/>
        <v>42035</v>
      </c>
      <c r="C54" s="69">
        <v>12178875.15</v>
      </c>
      <c r="D54" s="69">
        <v>2693</v>
      </c>
      <c r="E54" s="843"/>
      <c r="F54" s="885"/>
      <c r="G54" s="63"/>
      <c r="H54" s="71">
        <f t="shared" si="12"/>
        <v>12181568.15</v>
      </c>
      <c r="I54" s="259"/>
      <c r="J54" s="150">
        <f>HLOOKUP(YEAR(B54),'HDD &amp; CDD'!$B$5:$U$17,MONTH(B54)+1,FALSE)</f>
        <v>968.19999999999982</v>
      </c>
      <c r="K54" s="857">
        <f>HLOOKUP(YEAR(B54),'HDD &amp; CDD'!$B$23:$U$35,MONTH(B54)+1,FALSE)</f>
        <v>0</v>
      </c>
      <c r="L54" s="322">
        <f t="shared" si="13"/>
        <v>31</v>
      </c>
      <c r="M54" s="150">
        <v>1</v>
      </c>
      <c r="N54" s="322">
        <f>[21]Sheet1!D124</f>
        <v>21</v>
      </c>
      <c r="O54" s="841">
        <v>49</v>
      </c>
      <c r="P54" s="841">
        <v>0</v>
      </c>
      <c r="Q54" s="1720">
        <v>0</v>
      </c>
      <c r="R54" s="66"/>
      <c r="S54" s="103">
        <f t="shared" si="9"/>
        <v>0</v>
      </c>
      <c r="T54" s="67"/>
      <c r="U54" s="51"/>
      <c r="V54" s="1723">
        <f t="shared" si="5"/>
        <v>11888093.671166766</v>
      </c>
      <c r="W54" s="182">
        <f t="shared" si="14"/>
        <v>-293474.47883323394</v>
      </c>
      <c r="X54" s="183">
        <f t="shared" si="15"/>
        <v>-2.4091683042731564E-2</v>
      </c>
      <c r="Y54" s="183">
        <f t="shared" si="10"/>
        <v>2.4091683042731564E-2</v>
      </c>
      <c r="Z54" s="156"/>
      <c r="AA54" s="264"/>
      <c r="AB54" s="185" t="s">
        <v>165</v>
      </c>
      <c r="AC54" s="186"/>
      <c r="AD54" s="188">
        <f>AVERAGE(AG38:AG48)</f>
        <v>9.8665096256978432E-3</v>
      </c>
      <c r="AE54" s="419"/>
      <c r="AF54" s="896"/>
      <c r="AG54" s="87"/>
      <c r="AI54" s="328"/>
      <c r="AJ54" s="51"/>
      <c r="AK54" s="51"/>
      <c r="AL54" s="51"/>
      <c r="AM54" s="51"/>
      <c r="AN54" s="51"/>
      <c r="AO54" s="51"/>
      <c r="AP54" s="51"/>
      <c r="AQ54" s="51"/>
      <c r="AR54" s="51"/>
    </row>
    <row r="55" spans="1:63">
      <c r="A55" s="864">
        <f t="shared" si="4"/>
        <v>2015</v>
      </c>
      <c r="B55" s="62">
        <f t="shared" si="11"/>
        <v>42063</v>
      </c>
      <c r="C55" s="69">
        <v>11445612.18</v>
      </c>
      <c r="D55" s="69">
        <v>2302</v>
      </c>
      <c r="E55" s="843"/>
      <c r="F55" s="885"/>
      <c r="G55" s="63"/>
      <c r="H55" s="71">
        <f t="shared" si="12"/>
        <v>11447914.18</v>
      </c>
      <c r="I55" s="259"/>
      <c r="J55" s="150">
        <f>HLOOKUP(YEAR(B55),'HDD &amp; CDD'!$B$5:$U$17,MONTH(B55)+1,FALSE)</f>
        <v>957.8000000000003</v>
      </c>
      <c r="K55" s="857">
        <f>HLOOKUP(YEAR(B55),'HDD &amp; CDD'!$B$23:$U$35,MONTH(B55)+1,FALSE)</f>
        <v>0</v>
      </c>
      <c r="L55" s="322">
        <f t="shared" si="13"/>
        <v>28</v>
      </c>
      <c r="M55" s="150">
        <v>1</v>
      </c>
      <c r="N55" s="322">
        <f>[21]Sheet1!D125</f>
        <v>19</v>
      </c>
      <c r="O55" s="841">
        <v>50</v>
      </c>
      <c r="P55" s="841">
        <v>0</v>
      </c>
      <c r="Q55" s="1720">
        <v>0</v>
      </c>
      <c r="R55" s="66"/>
      <c r="S55" s="103">
        <f t="shared" si="9"/>
        <v>0</v>
      </c>
      <c r="T55" s="67"/>
      <c r="U55" s="51"/>
      <c r="V55" s="1723">
        <f t="shared" si="5"/>
        <v>11253455.104162265</v>
      </c>
      <c r="W55" s="182">
        <f t="shared" si="14"/>
        <v>-194459.07583773509</v>
      </c>
      <c r="X55" s="183">
        <f t="shared" si="15"/>
        <v>-1.6986419777452865E-2</v>
      </c>
      <c r="Y55" s="183">
        <f t="shared" si="10"/>
        <v>1.6986419777452865E-2</v>
      </c>
      <c r="Z55" s="156"/>
      <c r="AA55" s="264"/>
      <c r="AB55" s="185" t="s">
        <v>166</v>
      </c>
      <c r="AC55" s="187"/>
      <c r="AD55" s="189">
        <f>AVERAGE(Y6:Y137)</f>
        <v>1.7823151523504912E-2</v>
      </c>
      <c r="AE55" s="55"/>
      <c r="AG55" s="51"/>
      <c r="AH55" s="51"/>
      <c r="AI55" s="51"/>
    </row>
    <row r="56" spans="1:63">
      <c r="A56" s="864">
        <f t="shared" si="4"/>
        <v>2015</v>
      </c>
      <c r="B56" s="62">
        <f t="shared" si="11"/>
        <v>42094</v>
      </c>
      <c r="C56" s="69">
        <v>10922675.359999999</v>
      </c>
      <c r="D56" s="69">
        <v>7189</v>
      </c>
      <c r="E56" s="843"/>
      <c r="F56" s="885"/>
      <c r="G56" s="63"/>
      <c r="H56" s="71">
        <f t="shared" si="12"/>
        <v>10929864.359999999</v>
      </c>
      <c r="I56" s="259"/>
      <c r="J56" s="150">
        <f>HLOOKUP(YEAR(B56),'HDD &amp; CDD'!$B$5:$U$17,MONTH(B56)+1,FALSE)</f>
        <v>718.59999999999991</v>
      </c>
      <c r="K56" s="857">
        <f>HLOOKUP(YEAR(B56),'HDD &amp; CDD'!$B$23:$U$35,MONTH(B56)+1,FALSE)</f>
        <v>0</v>
      </c>
      <c r="L56" s="322">
        <f t="shared" si="13"/>
        <v>31</v>
      </c>
      <c r="M56" s="150">
        <v>1</v>
      </c>
      <c r="N56" s="322">
        <f>[21]Sheet1!D126</f>
        <v>22</v>
      </c>
      <c r="O56" s="841">
        <v>51</v>
      </c>
      <c r="P56" s="841">
        <v>0</v>
      </c>
      <c r="Q56" s="1720">
        <v>0</v>
      </c>
      <c r="R56" s="66"/>
      <c r="S56" s="103">
        <f t="shared" si="9"/>
        <v>1</v>
      </c>
      <c r="T56" s="67"/>
      <c r="U56" s="51"/>
      <c r="V56" s="1723">
        <f t="shared" si="5"/>
        <v>10831537.903900368</v>
      </c>
      <c r="W56" s="182">
        <f t="shared" si="14"/>
        <v>-98326.456099631265</v>
      </c>
      <c r="X56" s="183">
        <f t="shared" si="15"/>
        <v>-8.9961277524610809E-3</v>
      </c>
      <c r="Y56" s="183">
        <f t="shared" si="10"/>
        <v>8.9961277524610809E-3</v>
      </c>
      <c r="Z56" s="156"/>
      <c r="AA56" s="264"/>
      <c r="AE56" s="419"/>
      <c r="AF56" s="896"/>
      <c r="AG56" s="87"/>
      <c r="AI56" s="328"/>
      <c r="AK56" s="421"/>
      <c r="AL56" s="422"/>
      <c r="AS56" s="51"/>
      <c r="AT56" s="51"/>
    </row>
    <row r="57" spans="1:63">
      <c r="A57" s="864">
        <f t="shared" si="4"/>
        <v>2015</v>
      </c>
      <c r="B57" s="62">
        <f t="shared" si="11"/>
        <v>42124</v>
      </c>
      <c r="C57" s="69">
        <v>8724747</v>
      </c>
      <c r="D57" s="69">
        <v>8877</v>
      </c>
      <c r="E57" s="843"/>
      <c r="F57" s="885"/>
      <c r="G57" s="63"/>
      <c r="H57" s="71">
        <f t="shared" si="12"/>
        <v>8733624</v>
      </c>
      <c r="I57" s="259"/>
      <c r="J57" s="150">
        <f>HLOOKUP(YEAR(B57),'HDD &amp; CDD'!$B$5:$U$17,MONTH(B57)+1,FALSE)</f>
        <v>352.59999999999991</v>
      </c>
      <c r="K57" s="857">
        <f>HLOOKUP(YEAR(B57),'HDD &amp; CDD'!$B$23:$U$35,MONTH(B57)+1,FALSE)</f>
        <v>0</v>
      </c>
      <c r="L57" s="322">
        <f t="shared" si="13"/>
        <v>30</v>
      </c>
      <c r="M57" s="150">
        <v>0</v>
      </c>
      <c r="N57" s="322">
        <f>[21]Sheet1!D127</f>
        <v>20</v>
      </c>
      <c r="O57" s="841">
        <v>52</v>
      </c>
      <c r="P57" s="841">
        <v>0</v>
      </c>
      <c r="Q57" s="1720">
        <v>0</v>
      </c>
      <c r="R57" s="66"/>
      <c r="S57" s="103">
        <f t="shared" si="9"/>
        <v>1</v>
      </c>
      <c r="T57" s="67"/>
      <c r="U57" s="51"/>
      <c r="V57" s="1723">
        <f t="shared" si="5"/>
        <v>8584284.019085452</v>
      </c>
      <c r="W57" s="182">
        <f t="shared" si="14"/>
        <v>-149339.98091454804</v>
      </c>
      <c r="X57" s="183">
        <f t="shared" si="15"/>
        <v>-1.7099428703886043E-2</v>
      </c>
      <c r="Y57" s="183">
        <f t="shared" si="10"/>
        <v>1.7099428703886043E-2</v>
      </c>
      <c r="Z57" s="156"/>
      <c r="AA57" s="264"/>
      <c r="AB57" s="51" t="s">
        <v>139</v>
      </c>
      <c r="AC57" s="51"/>
      <c r="AD57" s="51"/>
      <c r="AG57" s="51"/>
      <c r="AH57" s="51"/>
      <c r="AI57" s="51"/>
      <c r="AJ57" s="51"/>
      <c r="AK57" s="51"/>
      <c r="AL57" s="51"/>
      <c r="AM57" s="51"/>
      <c r="AN57" s="51"/>
      <c r="AO57" s="51"/>
      <c r="AP57" s="51"/>
      <c r="AQ57" s="51"/>
      <c r="AR57" s="51"/>
      <c r="AS57" s="51"/>
      <c r="AT57" s="51"/>
    </row>
    <row r="58" spans="1:63">
      <c r="A58" s="864">
        <f t="shared" si="4"/>
        <v>2015</v>
      </c>
      <c r="B58" s="62">
        <f t="shared" si="11"/>
        <v>42155</v>
      </c>
      <c r="C58" s="69">
        <v>8214245.5700000003</v>
      </c>
      <c r="D58" s="69">
        <v>10420</v>
      </c>
      <c r="E58" s="843"/>
      <c r="F58" s="885"/>
      <c r="G58" s="63"/>
      <c r="H58" s="71">
        <f t="shared" si="12"/>
        <v>8224665.5700000003</v>
      </c>
      <c r="I58" s="259"/>
      <c r="J58" s="150">
        <f>HLOOKUP(YEAR(B58),'HDD &amp; CDD'!$B$5:$U$17,MONTH(B58)+1,FALSE)</f>
        <v>94.200000000000031</v>
      </c>
      <c r="K58" s="857">
        <f>HLOOKUP(YEAR(B58),'HDD &amp; CDD'!$B$23:$U$35,MONTH(B58)+1,FALSE)</f>
        <v>25.299999999999997</v>
      </c>
      <c r="L58" s="322">
        <f t="shared" si="13"/>
        <v>31</v>
      </c>
      <c r="M58" s="150">
        <v>0</v>
      </c>
      <c r="N58" s="322">
        <f>[21]Sheet1!D128</f>
        <v>20</v>
      </c>
      <c r="O58" s="841">
        <v>53</v>
      </c>
      <c r="P58" s="841">
        <v>0</v>
      </c>
      <c r="Q58" s="1720">
        <v>0</v>
      </c>
      <c r="R58" s="66"/>
      <c r="S58" s="103">
        <f t="shared" si="9"/>
        <v>1</v>
      </c>
      <c r="T58" s="67"/>
      <c r="U58" s="51"/>
      <c r="V58" s="1723">
        <f t="shared" si="5"/>
        <v>7984808.2616715739</v>
      </c>
      <c r="W58" s="182">
        <f t="shared" si="14"/>
        <v>-239857.30832842644</v>
      </c>
      <c r="X58" s="183">
        <f t="shared" si="15"/>
        <v>-2.9163168555244545E-2</v>
      </c>
      <c r="Y58" s="183">
        <f t="shared" si="10"/>
        <v>2.9163168555244545E-2</v>
      </c>
      <c r="Z58" s="156"/>
      <c r="AA58" s="264"/>
      <c r="AB58" s="51" t="s">
        <v>140</v>
      </c>
      <c r="AC58" s="51"/>
      <c r="AD58" s="51"/>
      <c r="AE58" s="419"/>
      <c r="AF58" s="896"/>
      <c r="AI58" s="328"/>
      <c r="AJ58" s="51"/>
      <c r="AK58" s="51"/>
      <c r="AL58" s="51"/>
      <c r="AM58" s="51"/>
      <c r="AN58" s="51"/>
      <c r="AO58" s="51"/>
      <c r="AP58" s="51"/>
      <c r="AQ58" s="51"/>
      <c r="AR58" s="51"/>
      <c r="AS58" s="51"/>
      <c r="AT58" s="51"/>
    </row>
    <row r="59" spans="1:63">
      <c r="A59" s="864">
        <f t="shared" si="4"/>
        <v>2015</v>
      </c>
      <c r="B59" s="62">
        <f t="shared" si="11"/>
        <v>42185</v>
      </c>
      <c r="C59" s="69">
        <v>8082238.46</v>
      </c>
      <c r="D59" s="69">
        <v>9244</v>
      </c>
      <c r="E59" s="843"/>
      <c r="F59" s="885"/>
      <c r="G59" s="63"/>
      <c r="H59" s="71">
        <f t="shared" si="12"/>
        <v>8091482.46</v>
      </c>
      <c r="I59" s="259"/>
      <c r="J59" s="150">
        <f>HLOOKUP(YEAR(B59),'HDD &amp; CDD'!$B$5:$U$17,MONTH(B59)+1,FALSE)</f>
        <v>45.199999999999996</v>
      </c>
      <c r="K59" s="857">
        <f>HLOOKUP(YEAR(B59),'HDD &amp; CDD'!$B$23:$U$35,MONTH(B59)+1,FALSE)</f>
        <v>20.3</v>
      </c>
      <c r="L59" s="322">
        <f t="shared" si="13"/>
        <v>30</v>
      </c>
      <c r="M59" s="150">
        <v>1</v>
      </c>
      <c r="N59" s="322">
        <f>[21]Sheet1!D129</f>
        <v>22</v>
      </c>
      <c r="O59" s="841">
        <v>54</v>
      </c>
      <c r="P59" s="841">
        <v>0</v>
      </c>
      <c r="Q59" s="1720">
        <v>0</v>
      </c>
      <c r="R59" s="66"/>
      <c r="S59" s="103">
        <f t="shared" si="9"/>
        <v>0</v>
      </c>
      <c r="T59" s="67"/>
      <c r="U59" s="51"/>
      <c r="V59" s="1723">
        <f t="shared" si="5"/>
        <v>8009065.0347641269</v>
      </c>
      <c r="W59" s="182">
        <f t="shared" si="14"/>
        <v>-82417.425235873088</v>
      </c>
      <c r="X59" s="183">
        <f t="shared" si="15"/>
        <v>-1.0185701525437539E-2</v>
      </c>
      <c r="Y59" s="183">
        <f t="shared" si="10"/>
        <v>1.0185701525437539E-2</v>
      </c>
      <c r="Z59" s="156"/>
      <c r="AA59" s="264"/>
      <c r="AB59" s="205"/>
      <c r="AC59" s="205"/>
      <c r="AD59" s="205"/>
      <c r="AE59" s="205"/>
      <c r="AF59" s="205"/>
      <c r="AG59" s="204"/>
      <c r="AH59" s="204"/>
      <c r="AI59" s="328"/>
      <c r="AJ59" s="51"/>
      <c r="AK59" s="51"/>
      <c r="AL59" s="51"/>
      <c r="AM59" s="51"/>
      <c r="AN59" s="51"/>
      <c r="AO59" s="51"/>
      <c r="AP59" s="51"/>
      <c r="AQ59" s="51"/>
      <c r="AR59" s="51"/>
      <c r="AS59" s="51"/>
      <c r="AT59" s="51"/>
    </row>
    <row r="60" spans="1:63">
      <c r="A60" s="864">
        <f t="shared" si="4"/>
        <v>2015</v>
      </c>
      <c r="B60" s="62">
        <f t="shared" si="11"/>
        <v>42216</v>
      </c>
      <c r="C60" s="69">
        <v>8969560.4600000009</v>
      </c>
      <c r="D60" s="69">
        <v>10629</v>
      </c>
      <c r="E60" s="843"/>
      <c r="F60" s="885"/>
      <c r="G60" s="63"/>
      <c r="H60" s="71">
        <f t="shared" si="12"/>
        <v>8980189.4600000009</v>
      </c>
      <c r="I60" s="259"/>
      <c r="J60" s="150">
        <f>HLOOKUP(YEAR(B60),'HDD &amp; CDD'!$B$5:$U$17,MONTH(B60)+1,FALSE)</f>
        <v>9.3000000000000007</v>
      </c>
      <c r="K60" s="857">
        <f>HLOOKUP(YEAR(B60),'HDD &amp; CDD'!$B$23:$U$35,MONTH(B60)+1,FALSE)</f>
        <v>99.999999999999986</v>
      </c>
      <c r="L60" s="322">
        <f t="shared" si="13"/>
        <v>31</v>
      </c>
      <c r="M60" s="150">
        <v>1</v>
      </c>
      <c r="N60" s="322">
        <f>[21]Sheet1!D130</f>
        <v>22</v>
      </c>
      <c r="O60" s="841">
        <v>55</v>
      </c>
      <c r="P60" s="841">
        <v>0</v>
      </c>
      <c r="Q60" s="1720">
        <v>0</v>
      </c>
      <c r="R60" s="66"/>
      <c r="S60" s="103">
        <f t="shared" si="9"/>
        <v>0</v>
      </c>
      <c r="T60" s="67"/>
      <c r="U60" s="51"/>
      <c r="V60" s="1723">
        <f t="shared" si="5"/>
        <v>9205984.9543220196</v>
      </c>
      <c r="W60" s="182">
        <f t="shared" si="14"/>
        <v>225795.4943220187</v>
      </c>
      <c r="X60" s="183">
        <f t="shared" si="15"/>
        <v>2.5143733918729448E-2</v>
      </c>
      <c r="Y60" s="183">
        <f t="shared" si="10"/>
        <v>2.5143733918729448E-2</v>
      </c>
      <c r="Z60" s="156"/>
      <c r="AA60" s="264"/>
      <c r="AB60" s="204"/>
      <c r="AC60" s="204"/>
      <c r="AD60" s="204"/>
      <c r="AE60" s="205"/>
      <c r="AF60" s="328"/>
      <c r="AG60" s="204"/>
      <c r="AH60" s="204"/>
      <c r="AI60" s="328"/>
      <c r="AJ60" s="51"/>
      <c r="AK60" s="51"/>
      <c r="AL60" s="51"/>
      <c r="AM60" s="51"/>
      <c r="AN60" s="51"/>
      <c r="AO60" s="51"/>
      <c r="AP60" s="51"/>
      <c r="AQ60" s="51"/>
      <c r="AR60" s="51"/>
      <c r="AS60" s="51"/>
      <c r="AT60" s="51"/>
    </row>
    <row r="61" spans="1:63">
      <c r="A61" s="864">
        <f t="shared" si="4"/>
        <v>2015</v>
      </c>
      <c r="B61" s="62">
        <f t="shared" si="11"/>
        <v>42247</v>
      </c>
      <c r="C61" s="69">
        <v>8928792.9100000001</v>
      </c>
      <c r="D61" s="69">
        <v>9115</v>
      </c>
      <c r="E61" s="843"/>
      <c r="F61" s="885"/>
      <c r="G61" s="63"/>
      <c r="H61" s="71">
        <f t="shared" si="12"/>
        <v>8937907.9100000001</v>
      </c>
      <c r="I61" s="259"/>
      <c r="J61" s="150">
        <f>HLOOKUP(YEAR(B61),'HDD &amp; CDD'!$B$5:$U$17,MONTH(B61)+1,FALSE)</f>
        <v>5.6</v>
      </c>
      <c r="K61" s="857">
        <f>HLOOKUP(YEAR(B61),'HDD &amp; CDD'!$B$23:$U$35,MONTH(B61)+1,FALSE)</f>
        <v>67.399999999999991</v>
      </c>
      <c r="L61" s="322">
        <f t="shared" si="13"/>
        <v>31</v>
      </c>
      <c r="M61" s="150">
        <v>1</v>
      </c>
      <c r="N61" s="322">
        <f>[21]Sheet1!D131</f>
        <v>20</v>
      </c>
      <c r="O61" s="841">
        <v>56</v>
      </c>
      <c r="P61" s="841">
        <v>1</v>
      </c>
      <c r="Q61" s="1720">
        <v>0</v>
      </c>
      <c r="R61" s="66"/>
      <c r="S61" s="103">
        <f t="shared" si="9"/>
        <v>0</v>
      </c>
      <c r="T61" s="67"/>
      <c r="U61" s="51"/>
      <c r="V61" s="1723">
        <f t="shared" si="5"/>
        <v>8998487.6907975115</v>
      </c>
      <c r="W61" s="182">
        <f t="shared" si="14"/>
        <v>60579.780797511339</v>
      </c>
      <c r="X61" s="183">
        <f t="shared" si="15"/>
        <v>6.7778479491529394E-3</v>
      </c>
      <c r="Y61" s="183">
        <f t="shared" si="10"/>
        <v>6.7778479491529394E-3</v>
      </c>
      <c r="Z61" s="156"/>
      <c r="AA61" s="264"/>
      <c r="AB61" s="1774" t="s">
        <v>124</v>
      </c>
      <c r="AC61" s="1774"/>
      <c r="AD61" s="1775"/>
      <c r="AE61" s="1776" t="s">
        <v>761</v>
      </c>
      <c r="AF61" s="204"/>
      <c r="AG61" s="204"/>
      <c r="AH61" s="204"/>
      <c r="AI61" s="205"/>
      <c r="AK61" s="51"/>
      <c r="AL61" s="51"/>
      <c r="AM61" s="51"/>
      <c r="AN61" s="51"/>
      <c r="AO61" s="51"/>
      <c r="AP61" s="51"/>
      <c r="AQ61" s="51"/>
      <c r="AR61" s="51"/>
      <c r="AS61" s="51"/>
      <c r="AT61" s="51"/>
      <c r="AU61" s="51"/>
    </row>
    <row r="62" spans="1:63">
      <c r="A62" s="864">
        <f t="shared" si="4"/>
        <v>2015</v>
      </c>
      <c r="B62" s="62">
        <f t="shared" si="11"/>
        <v>42277</v>
      </c>
      <c r="C62" s="69">
        <v>8487585.6799999997</v>
      </c>
      <c r="D62" s="69">
        <v>7694</v>
      </c>
      <c r="E62" s="843"/>
      <c r="F62" s="885"/>
      <c r="G62" s="63"/>
      <c r="H62" s="71">
        <f t="shared" si="12"/>
        <v>8495279.6799999997</v>
      </c>
      <c r="I62" s="259"/>
      <c r="J62" s="150">
        <f>HLOOKUP(YEAR(B62),'HDD &amp; CDD'!$B$5:$U$17,MONTH(B62)+1,FALSE)</f>
        <v>48.400000000000006</v>
      </c>
      <c r="K62" s="857">
        <f>HLOOKUP(YEAR(B62),'HDD &amp; CDD'!$B$23:$U$35,MONTH(B62)+1,FALSE)</f>
        <v>46.500000000000007</v>
      </c>
      <c r="L62" s="322">
        <f t="shared" si="13"/>
        <v>30</v>
      </c>
      <c r="M62" s="150">
        <v>1</v>
      </c>
      <c r="N62" s="322">
        <f>[21]Sheet1!D132</f>
        <v>21</v>
      </c>
      <c r="O62" s="841">
        <v>57</v>
      </c>
      <c r="P62" s="841">
        <v>0</v>
      </c>
      <c r="Q62" s="1720">
        <v>0</v>
      </c>
      <c r="R62" s="66"/>
      <c r="S62" s="103">
        <f t="shared" si="9"/>
        <v>1</v>
      </c>
      <c r="T62" s="67"/>
      <c r="U62" s="51"/>
      <c r="V62" s="1723">
        <f t="shared" si="5"/>
        <v>8335022.8817019574</v>
      </c>
      <c r="W62" s="182">
        <f t="shared" si="14"/>
        <v>-160256.79829804227</v>
      </c>
      <c r="X62" s="183">
        <f t="shared" si="15"/>
        <v>-1.8864216875087304E-2</v>
      </c>
      <c r="Y62" s="183">
        <f t="shared" si="10"/>
        <v>1.8864216875087304E-2</v>
      </c>
      <c r="Z62" s="156"/>
      <c r="AA62" s="264"/>
      <c r="AB62" s="1777"/>
      <c r="AC62" s="1778"/>
      <c r="AD62" s="1779"/>
      <c r="AE62" s="1780"/>
      <c r="AF62" s="204"/>
      <c r="AG62" s="204"/>
      <c r="AH62" s="204"/>
      <c r="AI62" s="204"/>
      <c r="AL62" s="51"/>
      <c r="AM62" s="51"/>
      <c r="AN62" s="51"/>
      <c r="AO62" s="51"/>
      <c r="AP62" s="51"/>
      <c r="AQ62" s="51"/>
      <c r="AR62" s="51"/>
      <c r="AS62" s="51"/>
      <c r="AT62" s="51"/>
      <c r="AU62" s="51"/>
    </row>
    <row r="63" spans="1:63">
      <c r="A63" s="864">
        <f t="shared" si="4"/>
        <v>2015</v>
      </c>
      <c r="B63" s="62">
        <f t="shared" si="11"/>
        <v>42308</v>
      </c>
      <c r="C63" s="69">
        <v>8442807.8100000005</v>
      </c>
      <c r="D63" s="69">
        <v>5620</v>
      </c>
      <c r="E63" s="843"/>
      <c r="F63" s="885"/>
      <c r="G63" s="63"/>
      <c r="H63" s="71">
        <f t="shared" si="12"/>
        <v>8448427.8100000005</v>
      </c>
      <c r="I63" s="259"/>
      <c r="J63" s="150">
        <f>HLOOKUP(YEAR(B63),'HDD &amp; CDD'!$B$5:$U$17,MONTH(B63)+1,FALSE)</f>
        <v>337.30000000000007</v>
      </c>
      <c r="K63" s="857">
        <f>HLOOKUP(YEAR(B63),'HDD &amp; CDD'!$B$23:$U$35,MONTH(B63)+1,FALSE)</f>
        <v>0</v>
      </c>
      <c r="L63" s="322">
        <f t="shared" si="13"/>
        <v>31</v>
      </c>
      <c r="M63" s="150">
        <v>0</v>
      </c>
      <c r="N63" s="322">
        <f>[21]Sheet1!D133</f>
        <v>21</v>
      </c>
      <c r="O63" s="841">
        <v>58</v>
      </c>
      <c r="P63" s="841">
        <v>0</v>
      </c>
      <c r="Q63" s="1720">
        <v>0</v>
      </c>
      <c r="R63" s="66"/>
      <c r="S63" s="103">
        <f t="shared" si="9"/>
        <v>1</v>
      </c>
      <c r="T63" s="67"/>
      <c r="U63" s="51"/>
      <c r="V63" s="1723">
        <f t="shared" si="5"/>
        <v>8667836.4670090228</v>
      </c>
      <c r="W63" s="182">
        <f t="shared" si="14"/>
        <v>219408.65700902231</v>
      </c>
      <c r="X63" s="183">
        <f t="shared" si="15"/>
        <v>2.5970353531259243E-2</v>
      </c>
      <c r="Y63" s="183">
        <f t="shared" si="10"/>
        <v>2.5970353531259243E-2</v>
      </c>
      <c r="Z63" s="156"/>
      <c r="AA63" s="264"/>
      <c r="AB63" s="1781" t="s">
        <v>406</v>
      </c>
      <c r="AC63" s="1778" t="s">
        <v>763</v>
      </c>
      <c r="AD63" s="1782">
        <f>AD48</f>
        <v>109262971.97</v>
      </c>
      <c r="AE63" s="1780"/>
      <c r="AF63" s="1726"/>
      <c r="AG63" s="204"/>
      <c r="AH63" s="1724"/>
      <c r="AI63" s="1755"/>
      <c r="AL63" s="51"/>
      <c r="AM63" s="51"/>
      <c r="AN63" s="51"/>
      <c r="AO63" s="51"/>
      <c r="AP63" s="51"/>
      <c r="AQ63" s="51"/>
      <c r="AR63" s="51"/>
      <c r="AS63" s="51"/>
      <c r="AT63" s="51"/>
      <c r="AU63" s="51"/>
    </row>
    <row r="64" spans="1:63">
      <c r="A64" s="864">
        <f t="shared" si="4"/>
        <v>2015</v>
      </c>
      <c r="B64" s="62">
        <f t="shared" si="11"/>
        <v>42338</v>
      </c>
      <c r="C64" s="69">
        <v>8788398.0199999996</v>
      </c>
      <c r="D64" s="69">
        <v>3629</v>
      </c>
      <c r="E64" s="843"/>
      <c r="F64" s="885"/>
      <c r="G64" s="63"/>
      <c r="H64" s="71">
        <f t="shared" si="12"/>
        <v>8792027.0199999996</v>
      </c>
      <c r="I64" s="259"/>
      <c r="J64" s="150">
        <f>HLOOKUP(YEAR(B64),'HDD &amp; CDD'!$B$5:$U$17,MONTH(B64)+1,FALSE)</f>
        <v>429.00000000000006</v>
      </c>
      <c r="K64" s="857">
        <f>HLOOKUP(YEAR(B64),'HDD &amp; CDD'!$B$23:$U$35,MONTH(B64)+1,FALSE)</f>
        <v>0</v>
      </c>
      <c r="L64" s="322">
        <f t="shared" si="13"/>
        <v>30</v>
      </c>
      <c r="M64" s="150">
        <v>0</v>
      </c>
      <c r="N64" s="322">
        <f>[21]Sheet1!D134</f>
        <v>21</v>
      </c>
      <c r="O64" s="841">
        <v>59</v>
      </c>
      <c r="P64" s="841">
        <v>0</v>
      </c>
      <c r="Q64" s="1720">
        <v>0</v>
      </c>
      <c r="R64" s="66"/>
      <c r="S64" s="103">
        <f t="shared" si="9"/>
        <v>1</v>
      </c>
      <c r="T64" s="67"/>
      <c r="U64" s="51"/>
      <c r="V64" s="1723">
        <f t="shared" si="5"/>
        <v>8901773.0709412098</v>
      </c>
      <c r="W64" s="182">
        <f t="shared" si="14"/>
        <v>109746.05094121024</v>
      </c>
      <c r="X64" s="183">
        <f t="shared" si="15"/>
        <v>1.24824515088001E-2</v>
      </c>
      <c r="Y64" s="183">
        <f t="shared" si="10"/>
        <v>1.24824515088001E-2</v>
      </c>
      <c r="Z64" s="156"/>
      <c r="AA64" s="264"/>
      <c r="AB64" s="1777" t="s">
        <v>596</v>
      </c>
      <c r="AC64" s="1783" t="s">
        <v>762</v>
      </c>
      <c r="AD64" s="1785">
        <f>AC49</f>
        <v>103699020.77285595</v>
      </c>
      <c r="AE64" s="1780">
        <f>AD64/AD63-1</f>
        <v>-5.0922568705816684E-2</v>
      </c>
      <c r="AF64" s="1726"/>
      <c r="AG64" s="204"/>
      <c r="AH64" s="1726"/>
      <c r="AI64" s="1756"/>
      <c r="AL64" s="51"/>
      <c r="AM64" s="51"/>
      <c r="AN64" s="51"/>
      <c r="AO64" s="51"/>
      <c r="AP64" s="51"/>
      <c r="AQ64" s="51"/>
      <c r="AR64" s="51"/>
      <c r="AS64" s="51"/>
      <c r="AT64" s="51"/>
      <c r="AU64" s="51"/>
    </row>
    <row r="65" spans="1:47">
      <c r="A65" s="865">
        <f t="shared" si="4"/>
        <v>2015</v>
      </c>
      <c r="B65" s="151">
        <f t="shared" si="11"/>
        <v>42369</v>
      </c>
      <c r="C65" s="81">
        <v>9419775.3499999996</v>
      </c>
      <c r="D65" s="81">
        <v>1660</v>
      </c>
      <c r="E65" s="853"/>
      <c r="F65" s="886"/>
      <c r="G65" s="81"/>
      <c r="H65" s="76">
        <f t="shared" si="12"/>
        <v>9421435.3499999996</v>
      </c>
      <c r="I65" s="260"/>
      <c r="J65" s="104">
        <f>HLOOKUP(YEAR(B65),'HDD &amp; CDD'!$B$5:$U$17,MONTH(B65)+1,FALSE)</f>
        <v>519.90000000000009</v>
      </c>
      <c r="K65" s="839">
        <f>HLOOKUP(YEAR(B65),'HDD &amp; CDD'!$B$23:$U$35,MONTH(B65)+1,FALSE)</f>
        <v>0</v>
      </c>
      <c r="L65" s="323">
        <f t="shared" si="13"/>
        <v>31</v>
      </c>
      <c r="M65" s="104">
        <v>1</v>
      </c>
      <c r="N65" s="323">
        <f>[21]Sheet1!D135</f>
        <v>21</v>
      </c>
      <c r="O65" s="873">
        <v>60</v>
      </c>
      <c r="P65" s="873">
        <v>0</v>
      </c>
      <c r="Q65" s="1721">
        <v>0</v>
      </c>
      <c r="R65" s="77"/>
      <c r="S65" s="103">
        <f t="shared" si="9"/>
        <v>0</v>
      </c>
      <c r="T65" s="78"/>
      <c r="U65" s="79"/>
      <c r="V65" s="80">
        <f t="shared" si="5"/>
        <v>9817514.2121871375</v>
      </c>
      <c r="W65" s="190">
        <f t="shared" si="14"/>
        <v>396078.86218713783</v>
      </c>
      <c r="X65" s="184">
        <f t="shared" si="15"/>
        <v>4.2040182570178955E-2</v>
      </c>
      <c r="Y65" s="184">
        <f t="shared" si="10"/>
        <v>4.2040182570178955E-2</v>
      </c>
      <c r="Z65" s="156"/>
      <c r="AA65" s="264"/>
      <c r="AB65" s="897"/>
      <c r="AC65" s="325"/>
      <c r="AD65" s="987"/>
      <c r="AE65" s="376"/>
      <c r="AF65" s="205"/>
      <c r="AG65" s="204"/>
      <c r="AH65" s="204"/>
      <c r="AI65" s="328"/>
      <c r="AJ65" s="51"/>
      <c r="AK65" s="51"/>
      <c r="AL65" s="51"/>
      <c r="AM65" s="51"/>
      <c r="AN65" s="51"/>
      <c r="AO65" s="51"/>
      <c r="AP65" s="51"/>
      <c r="AQ65" s="51"/>
      <c r="AR65" s="51"/>
      <c r="AS65" s="51"/>
      <c r="AT65" s="51"/>
      <c r="AU65" s="51"/>
    </row>
    <row r="66" spans="1:47">
      <c r="A66" s="864">
        <f t="shared" si="4"/>
        <v>2016</v>
      </c>
      <c r="B66" s="62">
        <f t="shared" si="11"/>
        <v>42400</v>
      </c>
      <c r="C66" s="69">
        <v>10989034.470000001</v>
      </c>
      <c r="D66" s="69">
        <v>2253</v>
      </c>
      <c r="E66" s="843"/>
      <c r="F66" s="885"/>
      <c r="G66" s="63"/>
      <c r="H66" s="71">
        <f t="shared" si="12"/>
        <v>10991287.470000001</v>
      </c>
      <c r="I66" s="259"/>
      <c r="J66" s="150">
        <f>HLOOKUP(YEAR(B66),'HDD &amp; CDD'!$B$5:$U$17,MONTH(B66)+1,FALSE)</f>
        <v>804.80000000000018</v>
      </c>
      <c r="K66" s="857">
        <f>HLOOKUP(YEAR(B66),'HDD &amp; CDD'!$B$23:$U$35,MONTH(B66)+1,FALSE)</f>
        <v>0</v>
      </c>
      <c r="L66" s="322">
        <f t="shared" si="13"/>
        <v>31</v>
      </c>
      <c r="M66" s="150">
        <v>1</v>
      </c>
      <c r="N66" s="322">
        <f>[21]Sheet1!D136</f>
        <v>20</v>
      </c>
      <c r="O66" s="841">
        <v>61</v>
      </c>
      <c r="P66" s="841">
        <v>0</v>
      </c>
      <c r="Q66" s="1720">
        <v>0</v>
      </c>
      <c r="R66" s="66"/>
      <c r="S66" s="103">
        <f t="shared" si="9"/>
        <v>0</v>
      </c>
      <c r="T66" s="67"/>
      <c r="U66" s="51"/>
      <c r="V66" s="1723">
        <f t="shared" si="5"/>
        <v>10997952.440908765</v>
      </c>
      <c r="W66" s="182">
        <f t="shared" si="14"/>
        <v>6664.9709087647498</v>
      </c>
      <c r="X66" s="183">
        <f t="shared" si="15"/>
        <v>6.063867337612952E-4</v>
      </c>
      <c r="Y66" s="183">
        <f t="shared" si="10"/>
        <v>6.063867337612952E-4</v>
      </c>
      <c r="Z66" s="156"/>
      <c r="AA66" s="264"/>
      <c r="AB66" s="204"/>
      <c r="AC66" s="328"/>
      <c r="AD66" s="204"/>
      <c r="AE66" s="205"/>
      <c r="AF66" s="205"/>
      <c r="AG66" s="204"/>
      <c r="AH66" s="204"/>
      <c r="AI66" s="328"/>
      <c r="AJ66" s="1725"/>
      <c r="AK66" s="51"/>
      <c r="AL66" s="51"/>
      <c r="AM66" s="51"/>
      <c r="AN66" s="51"/>
      <c r="AO66" s="51"/>
      <c r="AP66" s="51"/>
      <c r="AQ66" s="51"/>
      <c r="AR66" s="51"/>
      <c r="AS66" s="51"/>
      <c r="AT66" s="51"/>
      <c r="AU66" s="51"/>
    </row>
    <row r="67" spans="1:47">
      <c r="A67" s="864">
        <f t="shared" si="4"/>
        <v>2016</v>
      </c>
      <c r="B67" s="62">
        <f t="shared" si="11"/>
        <v>42429</v>
      </c>
      <c r="C67" s="69">
        <v>10461168.439999999</v>
      </c>
      <c r="D67" s="69">
        <v>2428</v>
      </c>
      <c r="E67" s="843"/>
      <c r="F67" s="885"/>
      <c r="G67" s="63"/>
      <c r="H67" s="71">
        <f t="shared" si="12"/>
        <v>10463596.439999999</v>
      </c>
      <c r="I67" s="259"/>
      <c r="J67" s="150">
        <f>HLOOKUP(YEAR(B67),'HDD &amp; CDD'!$B$5:$U$17,MONTH(B67)+1,FALSE)</f>
        <v>756.3</v>
      </c>
      <c r="K67" s="857">
        <f>HLOOKUP(YEAR(B67),'HDD &amp; CDD'!$B$23:$U$35,MONTH(B67)+1,FALSE)</f>
        <v>0</v>
      </c>
      <c r="L67" s="322">
        <f t="shared" si="13"/>
        <v>29</v>
      </c>
      <c r="M67" s="150">
        <v>1</v>
      </c>
      <c r="N67" s="322">
        <f>[21]Sheet1!D137</f>
        <v>20</v>
      </c>
      <c r="O67" s="841">
        <v>62</v>
      </c>
      <c r="P67" s="841">
        <v>0</v>
      </c>
      <c r="Q67" s="1720">
        <v>0</v>
      </c>
      <c r="R67" s="66"/>
      <c r="S67" s="103">
        <f t="shared" si="9"/>
        <v>0</v>
      </c>
      <c r="T67" s="67"/>
      <c r="U67" s="51"/>
      <c r="V67" s="1723">
        <f t="shared" si="5"/>
        <v>10462502.92023248</v>
      </c>
      <c r="W67" s="182">
        <f t="shared" si="14"/>
        <v>-1093.5197675190866</v>
      </c>
      <c r="X67" s="183">
        <f t="shared" si="15"/>
        <v>-1.0450706635997582E-4</v>
      </c>
      <c r="Y67" s="183">
        <f t="shared" si="10"/>
        <v>1.0450706635997582E-4</v>
      </c>
      <c r="Z67" s="156"/>
      <c r="AA67" s="264"/>
      <c r="AB67" s="1753"/>
      <c r="AC67" s="1753"/>
      <c r="AD67" s="1754"/>
      <c r="AE67" s="1784"/>
      <c r="AF67" s="1757"/>
      <c r="AG67" s="205"/>
      <c r="AH67" s="205"/>
      <c r="AI67" s="205"/>
      <c r="AJ67" s="377"/>
      <c r="AK67" s="51"/>
      <c r="AL67" s="51"/>
      <c r="AM67" s="51"/>
      <c r="AN67" s="51"/>
      <c r="AO67" s="51"/>
      <c r="AP67" s="51"/>
      <c r="AQ67" s="51"/>
      <c r="AR67" s="51"/>
      <c r="AS67" s="51"/>
      <c r="AT67" s="51"/>
    </row>
    <row r="68" spans="1:47">
      <c r="A68" s="864">
        <f t="shared" si="4"/>
        <v>2016</v>
      </c>
      <c r="B68" s="62">
        <f t="shared" si="11"/>
        <v>42460</v>
      </c>
      <c r="C68" s="69">
        <v>9905017</v>
      </c>
      <c r="D68" s="69">
        <v>6599</v>
      </c>
      <c r="E68" s="843"/>
      <c r="F68" s="885"/>
      <c r="G68" s="63"/>
      <c r="H68" s="71">
        <f t="shared" si="12"/>
        <v>9911616</v>
      </c>
      <c r="I68" s="259"/>
      <c r="J68" s="150">
        <f>HLOOKUP(YEAR(B68),'HDD &amp; CDD'!$B$5:$U$17,MONTH(B68)+1,FALSE)</f>
        <v>591.39999999999975</v>
      </c>
      <c r="K68" s="857">
        <f>HLOOKUP(YEAR(B68),'HDD &amp; CDD'!$B$23:$U$35,MONTH(B68)+1,FALSE)</f>
        <v>0</v>
      </c>
      <c r="L68" s="322">
        <f t="shared" si="13"/>
        <v>31</v>
      </c>
      <c r="M68" s="150">
        <v>1</v>
      </c>
      <c r="N68" s="322">
        <f>[21]Sheet1!D138</f>
        <v>21</v>
      </c>
      <c r="O68" s="841">
        <v>63</v>
      </c>
      <c r="P68" s="841">
        <v>0</v>
      </c>
      <c r="Q68" s="1720">
        <v>0</v>
      </c>
      <c r="R68" s="66"/>
      <c r="S68" s="103">
        <f t="shared" si="9"/>
        <v>1</v>
      </c>
      <c r="T68" s="67"/>
      <c r="U68" s="51"/>
      <c r="V68" s="1723">
        <f t="shared" si="5"/>
        <v>10099598.223028854</v>
      </c>
      <c r="W68" s="182">
        <f t="shared" si="14"/>
        <v>187982.22302885354</v>
      </c>
      <c r="X68" s="183">
        <f t="shared" si="15"/>
        <v>1.896585007216316E-2</v>
      </c>
      <c r="Y68" s="183">
        <f t="shared" si="10"/>
        <v>1.896585007216316E-2</v>
      </c>
      <c r="Z68" s="156"/>
      <c r="AA68" s="264"/>
      <c r="AB68" s="897"/>
      <c r="AC68" s="325"/>
      <c r="AD68" s="987"/>
      <c r="AE68" s="376"/>
      <c r="AF68" s="204"/>
      <c r="AG68" s="204"/>
      <c r="AH68" s="204"/>
      <c r="AI68" s="205"/>
      <c r="AJ68" s="51"/>
      <c r="AK68" s="51"/>
      <c r="AL68" s="51"/>
      <c r="AM68" s="51"/>
      <c r="AN68" s="51"/>
      <c r="AO68" s="51"/>
      <c r="AP68" s="51"/>
      <c r="AQ68" s="51"/>
      <c r="AR68" s="51"/>
      <c r="AS68" s="51"/>
      <c r="AT68" s="51"/>
    </row>
    <row r="69" spans="1:47">
      <c r="A69" s="864">
        <f t="shared" si="4"/>
        <v>2016</v>
      </c>
      <c r="B69" s="62">
        <f t="shared" si="11"/>
        <v>42490</v>
      </c>
      <c r="C69" s="69">
        <v>8448753</v>
      </c>
      <c r="D69" s="69">
        <v>9898</v>
      </c>
      <c r="E69" s="843"/>
      <c r="F69" s="885"/>
      <c r="G69" s="63"/>
      <c r="H69" s="71">
        <f t="shared" si="12"/>
        <v>8458651</v>
      </c>
      <c r="I69" s="259"/>
      <c r="J69" s="150">
        <f>HLOOKUP(YEAR(B69),'HDD &amp; CDD'!$B$5:$U$17,MONTH(B69)+1,FALSE)</f>
        <v>433.7999999999999</v>
      </c>
      <c r="K69" s="857">
        <f>HLOOKUP(YEAR(B69),'HDD &amp; CDD'!$B$23:$U$35,MONTH(B69)+1,FALSE)</f>
        <v>0</v>
      </c>
      <c r="L69" s="322">
        <f t="shared" si="13"/>
        <v>30</v>
      </c>
      <c r="M69" s="150">
        <v>0</v>
      </c>
      <c r="N69" s="322">
        <f>[21]Sheet1!D139</f>
        <v>21</v>
      </c>
      <c r="O69" s="841">
        <v>64</v>
      </c>
      <c r="P69" s="841">
        <v>0</v>
      </c>
      <c r="Q69" s="1720">
        <v>0</v>
      </c>
      <c r="R69" s="66"/>
      <c r="S69" s="103">
        <f t="shared" si="9"/>
        <v>1</v>
      </c>
      <c r="T69" s="67"/>
      <c r="U69" s="51"/>
      <c r="V69" s="1723">
        <f t="shared" si="5"/>
        <v>8872106.9048992824</v>
      </c>
      <c r="W69" s="182">
        <f t="shared" si="14"/>
        <v>413455.90489928238</v>
      </c>
      <c r="X69" s="183">
        <f t="shared" si="15"/>
        <v>4.8879650537571817E-2</v>
      </c>
      <c r="Y69" s="183">
        <f t="shared" si="10"/>
        <v>4.8879650537571817E-2</v>
      </c>
      <c r="Z69" s="156"/>
      <c r="AA69" s="264"/>
      <c r="AC69" s="55" t="s">
        <v>755</v>
      </c>
      <c r="AJ69" s="51"/>
      <c r="AK69" s="51"/>
      <c r="AL69" s="51"/>
      <c r="AM69" s="51"/>
      <c r="AN69" s="51"/>
      <c r="AO69" s="51"/>
      <c r="AP69" s="51"/>
      <c r="AQ69" s="51"/>
      <c r="AR69" s="51"/>
      <c r="AS69" s="51"/>
      <c r="AT69" s="51"/>
    </row>
    <row r="70" spans="1:47">
      <c r="A70" s="864">
        <f t="shared" si="4"/>
        <v>2016</v>
      </c>
      <c r="B70" s="62">
        <f t="shared" si="11"/>
        <v>42521</v>
      </c>
      <c r="C70" s="69">
        <v>7971052</v>
      </c>
      <c r="D70" s="69">
        <v>10642</v>
      </c>
      <c r="E70" s="843"/>
      <c r="F70" s="885"/>
      <c r="G70" s="63"/>
      <c r="H70" s="71">
        <f t="shared" ref="H70:H101" si="21">SUM(C70:G70)</f>
        <v>7981694</v>
      </c>
      <c r="I70" s="259"/>
      <c r="J70" s="150">
        <f>HLOOKUP(YEAR(B70),'HDD &amp; CDD'!$B$5:$U$17,MONTH(B70)+1,FALSE)</f>
        <v>145.39999999999998</v>
      </c>
      <c r="K70" s="857">
        <f>HLOOKUP(YEAR(B70),'HDD &amp; CDD'!$B$23:$U$35,MONTH(B70)+1,FALSE)</f>
        <v>28.7</v>
      </c>
      <c r="L70" s="322">
        <f t="shared" ref="L70:L101" si="22">DAY(EOMONTH(B70,0))</f>
        <v>31</v>
      </c>
      <c r="M70" s="150">
        <v>0</v>
      </c>
      <c r="N70" s="322">
        <f>[21]Sheet1!D140</f>
        <v>21</v>
      </c>
      <c r="O70" s="841">
        <v>65</v>
      </c>
      <c r="P70" s="841">
        <v>0</v>
      </c>
      <c r="Q70" s="1720">
        <v>0</v>
      </c>
      <c r="R70" s="66"/>
      <c r="S70" s="103">
        <f t="shared" si="9"/>
        <v>1</v>
      </c>
      <c r="T70" s="67"/>
      <c r="U70" s="51"/>
      <c r="V70" s="1723">
        <f t="shared" si="5"/>
        <v>8193026.408297508</v>
      </c>
      <c r="W70" s="182">
        <f t="shared" ref="W70:W101" si="23">V70-H70</f>
        <v>211332.40829750802</v>
      </c>
      <c r="X70" s="183">
        <f t="shared" ref="X70:X101" si="24">W70/H70</f>
        <v>2.6477137346722138E-2</v>
      </c>
      <c r="Y70" s="183">
        <f t="shared" si="10"/>
        <v>2.6477137346722138E-2</v>
      </c>
      <c r="Z70" s="156"/>
      <c r="AA70" s="264"/>
      <c r="AE70" s="51"/>
      <c r="AF70" s="84"/>
      <c r="AG70" s="51"/>
      <c r="AH70" s="51"/>
      <c r="AJ70" s="51"/>
      <c r="AK70" s="51"/>
      <c r="AL70" s="51"/>
      <c r="AM70" s="51"/>
      <c r="AN70" s="51"/>
      <c r="AO70" s="51"/>
      <c r="AP70" s="51"/>
      <c r="AQ70" s="51"/>
      <c r="AR70" s="51"/>
      <c r="AS70" s="51"/>
      <c r="AT70" s="51"/>
    </row>
    <row r="71" spans="1:47">
      <c r="A71" s="864">
        <f t="shared" ref="A71:A134" si="25">YEAR(B71)</f>
        <v>2016</v>
      </c>
      <c r="B71" s="62">
        <f t="shared" si="11"/>
        <v>42551</v>
      </c>
      <c r="C71" s="69">
        <v>8152771</v>
      </c>
      <c r="D71" s="69">
        <v>10263</v>
      </c>
      <c r="E71" s="843"/>
      <c r="F71" s="885"/>
      <c r="G71" s="63"/>
      <c r="H71" s="71">
        <f t="shared" si="21"/>
        <v>8163034</v>
      </c>
      <c r="I71" s="259"/>
      <c r="J71" s="150">
        <f>HLOOKUP(YEAR(B71),'HDD &amp; CDD'!$B$5:$U$17,MONTH(B71)+1,FALSE)</f>
        <v>36.300000000000004</v>
      </c>
      <c r="K71" s="857">
        <f>HLOOKUP(YEAR(B71),'HDD &amp; CDD'!$B$23:$U$35,MONTH(B71)+1,FALSE)</f>
        <v>51.999999999999993</v>
      </c>
      <c r="L71" s="322">
        <f t="shared" si="22"/>
        <v>30</v>
      </c>
      <c r="M71" s="150">
        <v>1</v>
      </c>
      <c r="N71" s="322">
        <f>[21]Sheet1!D141</f>
        <v>22</v>
      </c>
      <c r="O71" s="841">
        <v>66</v>
      </c>
      <c r="P71" s="841">
        <v>0</v>
      </c>
      <c r="Q71" s="1720">
        <v>0</v>
      </c>
      <c r="R71" s="66"/>
      <c r="S71" s="103">
        <f t="shared" si="9"/>
        <v>0</v>
      </c>
      <c r="T71" s="67"/>
      <c r="U71" s="51"/>
      <c r="V71" s="1723">
        <f t="shared" ref="V71:V134" si="26">$AC$21+J71*$AC$22+K71*$AC$23+L71*$AC$24+M71*$AC$25+N71*$AC$26+O71*$AC$27+P71*$AC$28+Q71*$AC$29</f>
        <v>8328802.4881977458</v>
      </c>
      <c r="W71" s="182">
        <f t="shared" si="23"/>
        <v>165768.48819774576</v>
      </c>
      <c r="X71" s="183">
        <f t="shared" si="24"/>
        <v>2.0307215209166805E-2</v>
      </c>
      <c r="Y71" s="183">
        <f t="shared" si="10"/>
        <v>2.0307215209166805E-2</v>
      </c>
      <c r="Z71" s="156"/>
      <c r="AA71" s="264"/>
      <c r="AB71" s="51"/>
      <c r="AC71" s="51"/>
      <c r="AD71" s="51"/>
      <c r="AE71" s="51"/>
      <c r="AF71" s="84"/>
      <c r="AG71" s="51"/>
      <c r="AH71" s="51"/>
      <c r="AI71" s="51"/>
      <c r="AJ71" s="51"/>
      <c r="AK71" s="51"/>
      <c r="AL71" s="51"/>
      <c r="AM71" s="51"/>
      <c r="AN71" s="51"/>
      <c r="AO71" s="51"/>
      <c r="AP71" s="51"/>
      <c r="AQ71" s="51"/>
      <c r="AR71" s="51"/>
      <c r="AS71" s="51"/>
      <c r="AT71" s="51"/>
    </row>
    <row r="72" spans="1:47">
      <c r="A72" s="864">
        <f t="shared" si="25"/>
        <v>2016</v>
      </c>
      <c r="B72" s="62">
        <f t="shared" si="11"/>
        <v>42582</v>
      </c>
      <c r="C72" s="69">
        <v>9080665</v>
      </c>
      <c r="D72" s="69">
        <v>10379</v>
      </c>
      <c r="E72" s="843"/>
      <c r="F72" s="885"/>
      <c r="G72" s="63"/>
      <c r="H72" s="71">
        <f t="shared" si="21"/>
        <v>9091044</v>
      </c>
      <c r="I72" s="259"/>
      <c r="J72" s="150">
        <f>HLOOKUP(YEAR(B72),'HDD &amp; CDD'!$B$5:$U$17,MONTH(B72)+1,FALSE)</f>
        <v>3.4</v>
      </c>
      <c r="K72" s="857">
        <f>HLOOKUP(YEAR(B72),'HDD &amp; CDD'!$B$23:$U$35,MONTH(B72)+1,FALSE)</f>
        <v>112.6</v>
      </c>
      <c r="L72" s="322">
        <f t="shared" si="22"/>
        <v>31</v>
      </c>
      <c r="M72" s="150">
        <v>1</v>
      </c>
      <c r="N72" s="322">
        <f>[21]Sheet1!D142</f>
        <v>20</v>
      </c>
      <c r="O72" s="841">
        <v>67</v>
      </c>
      <c r="P72" s="841">
        <v>0</v>
      </c>
      <c r="Q72" s="1720">
        <v>0</v>
      </c>
      <c r="R72" s="66"/>
      <c r="S72" s="103">
        <f t="shared" si="9"/>
        <v>0</v>
      </c>
      <c r="T72" s="67"/>
      <c r="U72" s="51"/>
      <c r="V72" s="1723">
        <f t="shared" si="26"/>
        <v>9140504.5811407305</v>
      </c>
      <c r="W72" s="182">
        <f t="shared" si="23"/>
        <v>49460.58114073053</v>
      </c>
      <c r="X72" s="183">
        <f t="shared" si="24"/>
        <v>5.4405831872258595E-3</v>
      </c>
      <c r="Y72" s="183">
        <f t="shared" si="10"/>
        <v>5.4405831872258595E-3</v>
      </c>
      <c r="Z72" s="156"/>
      <c r="AA72" s="264"/>
      <c r="AB72" s="51"/>
      <c r="AC72" s="51"/>
      <c r="AD72" s="51"/>
      <c r="AE72" s="51"/>
      <c r="AF72" s="51"/>
      <c r="AG72" s="51"/>
      <c r="AH72" s="51"/>
      <c r="AI72" s="51"/>
      <c r="AJ72" s="51"/>
      <c r="AK72" s="51"/>
      <c r="AL72" s="51"/>
      <c r="AM72" s="51"/>
      <c r="AN72" s="51"/>
      <c r="AO72" s="51"/>
      <c r="AP72" s="51"/>
      <c r="AQ72" s="51"/>
      <c r="AR72" s="51"/>
      <c r="AS72" s="51"/>
      <c r="AT72" s="51"/>
    </row>
    <row r="73" spans="1:47">
      <c r="A73" s="864">
        <f t="shared" si="25"/>
        <v>2016</v>
      </c>
      <c r="B73" s="62">
        <f t="shared" si="11"/>
        <v>42613</v>
      </c>
      <c r="C73" s="69">
        <v>9517733</v>
      </c>
      <c r="D73" s="69">
        <v>9442</v>
      </c>
      <c r="E73" s="843"/>
      <c r="F73" s="885"/>
      <c r="G73" s="63"/>
      <c r="H73" s="71">
        <f t="shared" si="21"/>
        <v>9527175</v>
      </c>
      <c r="I73" s="259"/>
      <c r="J73" s="150">
        <f>HLOOKUP(YEAR(B73),'HDD &amp; CDD'!$B$5:$U$17,MONTH(B73)+1,FALSE)</f>
        <v>1.4</v>
      </c>
      <c r="K73" s="857">
        <f>HLOOKUP(YEAR(B73),'HDD &amp; CDD'!$B$23:$U$35,MONTH(B73)+1,FALSE)</f>
        <v>124.60000000000001</v>
      </c>
      <c r="L73" s="322">
        <f t="shared" si="22"/>
        <v>31</v>
      </c>
      <c r="M73" s="150">
        <v>1</v>
      </c>
      <c r="N73" s="322">
        <f>[21]Sheet1!D143</f>
        <v>22</v>
      </c>
      <c r="O73" s="841">
        <v>68</v>
      </c>
      <c r="P73" s="841">
        <v>1</v>
      </c>
      <c r="Q73" s="1720">
        <v>0</v>
      </c>
      <c r="R73" s="66"/>
      <c r="S73" s="103">
        <f t="shared" si="9"/>
        <v>0</v>
      </c>
      <c r="T73" s="67"/>
      <c r="U73" s="51"/>
      <c r="V73" s="1723">
        <f t="shared" si="26"/>
        <v>9834037.6090495829</v>
      </c>
      <c r="W73" s="182">
        <f t="shared" si="23"/>
        <v>306862.60904958285</v>
      </c>
      <c r="X73" s="183">
        <f t="shared" si="24"/>
        <v>3.2209192026973671E-2</v>
      </c>
      <c r="Y73" s="183">
        <f t="shared" si="10"/>
        <v>3.2209192026973671E-2</v>
      </c>
      <c r="Z73" s="156"/>
      <c r="AA73" s="264"/>
      <c r="AB73" s="51"/>
      <c r="AC73" s="51"/>
      <c r="AD73" s="51"/>
      <c r="AE73" s="51"/>
      <c r="AF73" s="51"/>
      <c r="AG73" s="51"/>
      <c r="AH73" s="51"/>
      <c r="AI73" s="51"/>
      <c r="AJ73" s="51"/>
      <c r="AK73" s="51"/>
      <c r="AL73" s="51"/>
      <c r="AM73" s="51"/>
      <c r="AN73" s="51"/>
      <c r="AO73" s="51"/>
      <c r="AP73" s="51"/>
      <c r="AQ73" s="51"/>
      <c r="AR73" s="51"/>
      <c r="AS73" s="51"/>
      <c r="AT73" s="51"/>
    </row>
    <row r="74" spans="1:47">
      <c r="A74" s="864">
        <f t="shared" si="25"/>
        <v>2016</v>
      </c>
      <c r="B74" s="62">
        <f t="shared" si="11"/>
        <v>42643</v>
      </c>
      <c r="C74" s="69">
        <v>8054076.4400000004</v>
      </c>
      <c r="D74" s="69">
        <v>8262</v>
      </c>
      <c r="E74" s="843"/>
      <c r="F74" s="885"/>
      <c r="G74" s="63"/>
      <c r="H74" s="71">
        <f t="shared" si="21"/>
        <v>8062338.4400000004</v>
      </c>
      <c r="I74" s="259"/>
      <c r="J74" s="150">
        <f>HLOOKUP(YEAR(B74),'HDD &amp; CDD'!$B$5:$U$17,MONTH(B74)+1,FALSE)</f>
        <v>75.100000000000009</v>
      </c>
      <c r="K74" s="857">
        <f>HLOOKUP(YEAR(B74),'HDD &amp; CDD'!$B$23:$U$35,MONTH(B74)+1,FALSE)</f>
        <v>24.900000000000006</v>
      </c>
      <c r="L74" s="322">
        <f t="shared" si="22"/>
        <v>30</v>
      </c>
      <c r="M74" s="150">
        <v>1</v>
      </c>
      <c r="N74" s="322">
        <f>[21]Sheet1!D144</f>
        <v>21</v>
      </c>
      <c r="O74" s="841">
        <v>69</v>
      </c>
      <c r="P74" s="841">
        <v>0</v>
      </c>
      <c r="Q74" s="1720">
        <v>0</v>
      </c>
      <c r="R74" s="66"/>
      <c r="S74" s="103">
        <f t="shared" si="9"/>
        <v>1</v>
      </c>
      <c r="T74" s="67"/>
      <c r="U74" s="51"/>
      <c r="V74" s="1723">
        <f t="shared" si="26"/>
        <v>8002977.7396060377</v>
      </c>
      <c r="W74" s="182">
        <f t="shared" si="23"/>
        <v>-59360.700393962674</v>
      </c>
      <c r="X74" s="183">
        <f t="shared" si="24"/>
        <v>-7.3627150281181534E-3</v>
      </c>
      <c r="Y74" s="183">
        <f t="shared" si="10"/>
        <v>7.3627150281181534E-3</v>
      </c>
      <c r="Z74" s="156"/>
      <c r="AA74" s="264"/>
      <c r="AB74" s="51"/>
      <c r="AC74" s="51"/>
      <c r="AD74" s="51"/>
      <c r="AE74" s="51"/>
      <c r="AF74" s="51"/>
      <c r="AG74" s="51"/>
      <c r="AH74" s="51"/>
      <c r="AI74" s="51"/>
      <c r="AJ74" s="51"/>
      <c r="AK74" s="51"/>
      <c r="AL74" s="51"/>
      <c r="AM74" s="51"/>
      <c r="AN74" s="51"/>
      <c r="AO74" s="51"/>
      <c r="AP74" s="51"/>
      <c r="AQ74" s="51"/>
      <c r="AR74" s="51"/>
      <c r="AS74" s="51"/>
      <c r="AT74" s="51"/>
    </row>
    <row r="75" spans="1:47">
      <c r="A75" s="864">
        <f t="shared" si="25"/>
        <v>2016</v>
      </c>
      <c r="B75" s="62">
        <f t="shared" si="11"/>
        <v>42674</v>
      </c>
      <c r="C75" s="69">
        <v>8074621</v>
      </c>
      <c r="D75" s="69">
        <v>4981</v>
      </c>
      <c r="E75" s="843"/>
      <c r="F75" s="885"/>
      <c r="G75" s="63"/>
      <c r="H75" s="71">
        <f t="shared" si="21"/>
        <v>8079602</v>
      </c>
      <c r="I75" s="259"/>
      <c r="J75" s="150">
        <f>HLOOKUP(YEAR(B75),'HDD &amp; CDD'!$B$5:$U$17,MONTH(B75)+1,FALSE)</f>
        <v>291.09999999999997</v>
      </c>
      <c r="K75" s="857">
        <f>HLOOKUP(YEAR(B75),'HDD &amp; CDD'!$B$23:$U$35,MONTH(B75)+1,FALSE)</f>
        <v>0</v>
      </c>
      <c r="L75" s="322">
        <f t="shared" si="22"/>
        <v>31</v>
      </c>
      <c r="M75" s="150">
        <v>0</v>
      </c>
      <c r="N75" s="322">
        <f>[21]Sheet1!D145</f>
        <v>20</v>
      </c>
      <c r="O75" s="841">
        <v>70</v>
      </c>
      <c r="P75" s="841">
        <v>0</v>
      </c>
      <c r="Q75" s="1720">
        <v>0</v>
      </c>
      <c r="R75" s="66"/>
      <c r="S75" s="103">
        <f t="shared" si="9"/>
        <v>1</v>
      </c>
      <c r="T75" s="67"/>
      <c r="U75" s="51"/>
      <c r="V75" s="1723">
        <f t="shared" si="26"/>
        <v>8289883.6784111392</v>
      </c>
      <c r="W75" s="182">
        <f t="shared" si="23"/>
        <v>210281.67841113918</v>
      </c>
      <c r="X75" s="183">
        <f t="shared" si="24"/>
        <v>2.6026242185090202E-2</v>
      </c>
      <c r="Y75" s="183">
        <f t="shared" si="10"/>
        <v>2.6026242185090202E-2</v>
      </c>
      <c r="Z75" s="156"/>
      <c r="AA75" s="264"/>
      <c r="AB75" s="51"/>
      <c r="AC75" s="51"/>
      <c r="AD75" s="51"/>
      <c r="AE75" s="51"/>
      <c r="AF75" s="51"/>
      <c r="AG75" s="51"/>
      <c r="AH75" s="51"/>
      <c r="AI75" s="51"/>
      <c r="AJ75" s="46"/>
      <c r="AK75" s="51"/>
      <c r="AL75" s="51"/>
      <c r="AM75" s="51"/>
      <c r="AN75" s="51"/>
      <c r="AO75" s="51"/>
      <c r="AP75" s="51"/>
      <c r="AQ75" s="51"/>
      <c r="AR75" s="51"/>
      <c r="AS75" s="51"/>
      <c r="AT75" s="51"/>
    </row>
    <row r="76" spans="1:47">
      <c r="A76" s="864">
        <f t="shared" si="25"/>
        <v>2016</v>
      </c>
      <c r="B76" s="62">
        <f t="shared" si="11"/>
        <v>42704</v>
      </c>
      <c r="C76" s="69">
        <v>8792790</v>
      </c>
      <c r="D76" s="69">
        <v>3468</v>
      </c>
      <c r="E76" s="843"/>
      <c r="F76" s="885"/>
      <c r="G76" s="63"/>
      <c r="H76" s="71">
        <f t="shared" si="21"/>
        <v>8796258</v>
      </c>
      <c r="I76" s="259"/>
      <c r="J76" s="150">
        <f>HLOOKUP(YEAR(B76),'HDD &amp; CDD'!$B$5:$U$17,MONTH(B76)+1,FALSE)</f>
        <v>449.50000000000006</v>
      </c>
      <c r="K76" s="857">
        <f>HLOOKUP(YEAR(B76),'HDD &amp; CDD'!$B$23:$U$35,MONTH(B76)+1,FALSE)</f>
        <v>0</v>
      </c>
      <c r="L76" s="322">
        <f t="shared" si="22"/>
        <v>30</v>
      </c>
      <c r="M76" s="150">
        <v>0</v>
      </c>
      <c r="N76" s="322">
        <f>[21]Sheet1!D146</f>
        <v>22</v>
      </c>
      <c r="O76" s="841">
        <v>71</v>
      </c>
      <c r="P76" s="841">
        <v>0</v>
      </c>
      <c r="Q76" s="1720">
        <v>0</v>
      </c>
      <c r="R76" s="66"/>
      <c r="S76" s="103">
        <f t="shared" si="9"/>
        <v>1</v>
      </c>
      <c r="T76" s="67"/>
      <c r="U76" s="51"/>
      <c r="V76" s="1723">
        <f t="shared" si="26"/>
        <v>8924324.2979771439</v>
      </c>
      <c r="W76" s="182">
        <f t="shared" si="23"/>
        <v>128066.2979771439</v>
      </c>
      <c r="X76" s="183">
        <f t="shared" si="24"/>
        <v>1.4559179366628844E-2</v>
      </c>
      <c r="Y76" s="183">
        <f t="shared" si="10"/>
        <v>1.4559179366628844E-2</v>
      </c>
      <c r="Z76" s="156"/>
      <c r="AA76" s="264"/>
      <c r="AB76" s="51"/>
      <c r="AC76" s="51"/>
      <c r="AD76" s="51"/>
      <c r="AE76" s="51"/>
      <c r="AF76" s="51"/>
      <c r="AG76" s="51"/>
      <c r="AH76" s="51"/>
      <c r="AI76" s="51"/>
      <c r="AJ76" s="46"/>
      <c r="AK76" s="51"/>
      <c r="AL76" s="51"/>
      <c r="AM76" s="51"/>
      <c r="AN76" s="51"/>
      <c r="AO76" s="51"/>
      <c r="AP76" s="51"/>
      <c r="AQ76" s="51"/>
      <c r="AR76" s="51"/>
      <c r="AS76" s="51"/>
      <c r="AT76" s="51"/>
    </row>
    <row r="77" spans="1:47">
      <c r="A77" s="865">
        <f t="shared" si="25"/>
        <v>2016</v>
      </c>
      <c r="B77" s="151">
        <f t="shared" si="11"/>
        <v>42735</v>
      </c>
      <c r="C77" s="81">
        <v>10206407</v>
      </c>
      <c r="D77" s="81">
        <v>1769</v>
      </c>
      <c r="E77" s="853"/>
      <c r="F77" s="886"/>
      <c r="G77" s="81"/>
      <c r="H77" s="76">
        <f t="shared" si="21"/>
        <v>10208176</v>
      </c>
      <c r="I77" s="260"/>
      <c r="J77" s="104">
        <f>HLOOKUP(YEAR(B77),'HDD &amp; CDD'!$B$5:$U$17,MONTH(B77)+1,FALSE)</f>
        <v>733.40000000000009</v>
      </c>
      <c r="K77" s="839">
        <f>HLOOKUP(YEAR(B77),'HDD &amp; CDD'!$B$23:$U$35,MONTH(B77)+1,FALSE)</f>
        <v>0</v>
      </c>
      <c r="L77" s="323">
        <f t="shared" si="22"/>
        <v>31</v>
      </c>
      <c r="M77" s="104">
        <v>1</v>
      </c>
      <c r="N77" s="323">
        <f>[21]Sheet1!D147</f>
        <v>20</v>
      </c>
      <c r="O77" s="873">
        <v>72</v>
      </c>
      <c r="P77" s="873">
        <v>0</v>
      </c>
      <c r="Q77" s="1721">
        <v>0</v>
      </c>
      <c r="R77" s="77"/>
      <c r="S77" s="103">
        <f t="shared" si="9"/>
        <v>0</v>
      </c>
      <c r="T77" s="78"/>
      <c r="U77" s="79"/>
      <c r="V77" s="80">
        <f t="shared" si="26"/>
        <v>10574504.583138172</v>
      </c>
      <c r="W77" s="190">
        <f t="shared" si="23"/>
        <v>366328.58313817158</v>
      </c>
      <c r="X77" s="184">
        <f t="shared" si="24"/>
        <v>3.5885802041243371E-2</v>
      </c>
      <c r="Y77" s="184">
        <f t="shared" si="10"/>
        <v>3.5885802041243371E-2</v>
      </c>
      <c r="Z77" s="156"/>
      <c r="AA77" s="264"/>
      <c r="AB77" s="51"/>
      <c r="AC77" s="51"/>
      <c r="AD77" s="51"/>
      <c r="AE77" s="51"/>
      <c r="AF77" s="51"/>
      <c r="AG77" s="51"/>
      <c r="AH77" s="51"/>
      <c r="AI77" s="51"/>
      <c r="AJ77" s="46"/>
      <c r="AK77" s="51"/>
      <c r="AL77" s="51"/>
      <c r="AM77" s="51"/>
      <c r="AN77" s="51"/>
      <c r="AO77" s="51"/>
      <c r="AP77" s="51"/>
      <c r="AQ77" s="51"/>
      <c r="AR77" s="51"/>
      <c r="AS77" s="51"/>
      <c r="AT77" s="51"/>
    </row>
    <row r="78" spans="1:47">
      <c r="A78" s="864">
        <f t="shared" si="25"/>
        <v>2017</v>
      </c>
      <c r="B78" s="62">
        <f t="shared" si="11"/>
        <v>42766</v>
      </c>
      <c r="C78" s="69">
        <v>10464420</v>
      </c>
      <c r="D78" s="69">
        <v>2425</v>
      </c>
      <c r="E78" s="843"/>
      <c r="F78" s="885"/>
      <c r="G78" s="63"/>
      <c r="H78" s="71">
        <f t="shared" si="21"/>
        <v>10466845</v>
      </c>
      <c r="I78" s="259"/>
      <c r="J78" s="150">
        <f>HLOOKUP(YEAR(B78),'HDD &amp; CDD'!$B$5:$U$17,MONTH(B78)+1,FALSE)</f>
        <v>732.49999999999989</v>
      </c>
      <c r="K78" s="857">
        <f>HLOOKUP(YEAR(B78),'HDD &amp; CDD'!$B$23:$U$35,MONTH(B78)+1,FALSE)</f>
        <v>0</v>
      </c>
      <c r="L78" s="322">
        <f t="shared" si="22"/>
        <v>31</v>
      </c>
      <c r="M78" s="150">
        <v>1</v>
      </c>
      <c r="N78" s="322">
        <f>[21]Sheet1!D148</f>
        <v>21</v>
      </c>
      <c r="O78" s="841">
        <v>73</v>
      </c>
      <c r="P78" s="841">
        <v>0</v>
      </c>
      <c r="Q78" s="1720">
        <v>0</v>
      </c>
      <c r="R78" s="66"/>
      <c r="S78" s="103">
        <f t="shared" si="9"/>
        <v>0</v>
      </c>
      <c r="T78" s="67"/>
      <c r="U78" s="51"/>
      <c r="V78" s="1723">
        <f t="shared" si="26"/>
        <v>10614948.314821329</v>
      </c>
      <c r="W78" s="182">
        <f t="shared" si="23"/>
        <v>148103.31482132897</v>
      </c>
      <c r="X78" s="183">
        <f t="shared" si="24"/>
        <v>1.4149757144710652E-2</v>
      </c>
      <c r="Y78" s="183">
        <f t="shared" si="10"/>
        <v>1.4149757144710652E-2</v>
      </c>
      <c r="Z78" s="156"/>
      <c r="AA78" s="264"/>
      <c r="AE78" s="51"/>
      <c r="AF78" s="51"/>
      <c r="AG78" s="51"/>
      <c r="AH78" s="51"/>
      <c r="AI78" s="51"/>
      <c r="AJ78" s="46"/>
      <c r="AK78" s="51"/>
      <c r="AL78" s="51"/>
      <c r="AM78" s="51"/>
      <c r="AN78" s="51"/>
      <c r="AO78" s="51"/>
      <c r="AP78" s="51"/>
      <c r="AQ78" s="51"/>
      <c r="AR78" s="51"/>
      <c r="AS78" s="51"/>
      <c r="AT78" s="51"/>
    </row>
    <row r="79" spans="1:47">
      <c r="A79" s="864">
        <f t="shared" si="25"/>
        <v>2017</v>
      </c>
      <c r="B79" s="62">
        <f t="shared" si="11"/>
        <v>42794</v>
      </c>
      <c r="C79" s="69">
        <v>9412266</v>
      </c>
      <c r="D79" s="69">
        <v>3267</v>
      </c>
      <c r="E79" s="843"/>
      <c r="F79" s="885"/>
      <c r="G79" s="63"/>
      <c r="H79" s="71">
        <f t="shared" si="21"/>
        <v>9415533</v>
      </c>
      <c r="I79" s="259"/>
      <c r="J79" s="150">
        <f>HLOOKUP(YEAR(B79),'HDD &amp; CDD'!$B$5:$U$17,MONTH(B79)+1,FALSE)</f>
        <v>662.10000000000014</v>
      </c>
      <c r="K79" s="857">
        <f>HLOOKUP(YEAR(B79),'HDD &amp; CDD'!$B$23:$U$35,MONTH(B79)+1,FALSE)</f>
        <v>0</v>
      </c>
      <c r="L79" s="322">
        <f t="shared" si="22"/>
        <v>28</v>
      </c>
      <c r="M79" s="150">
        <v>1</v>
      </c>
      <c r="N79" s="322">
        <f>[21]Sheet1!D149</f>
        <v>19</v>
      </c>
      <c r="O79" s="841">
        <v>74</v>
      </c>
      <c r="P79" s="841">
        <v>0</v>
      </c>
      <c r="Q79" s="1720">
        <v>0</v>
      </c>
      <c r="R79" s="66"/>
      <c r="S79" s="103">
        <f t="shared" si="9"/>
        <v>0</v>
      </c>
      <c r="T79" s="67"/>
      <c r="U79" s="51"/>
      <c r="V79" s="1723">
        <f t="shared" si="26"/>
        <v>9718097.2350215428</v>
      </c>
      <c r="W79" s="182">
        <f t="shared" si="23"/>
        <v>302564.23502154276</v>
      </c>
      <c r="X79" s="183">
        <f t="shared" si="24"/>
        <v>3.2134583886174344E-2</v>
      </c>
      <c r="Y79" s="183">
        <f t="shared" si="10"/>
        <v>3.2134583886174344E-2</v>
      </c>
      <c r="Z79" s="156"/>
      <c r="AA79" s="264"/>
      <c r="AE79" s="51"/>
      <c r="AF79" s="51"/>
      <c r="AG79" s="51"/>
      <c r="AH79" s="51"/>
      <c r="AI79" s="51"/>
      <c r="AJ79" s="46"/>
      <c r="AK79" s="51"/>
      <c r="AL79" s="51"/>
      <c r="AM79" s="51"/>
      <c r="AN79" s="51"/>
      <c r="AO79" s="51"/>
      <c r="AP79" s="51"/>
      <c r="AQ79" s="51"/>
      <c r="AR79" s="51"/>
      <c r="AS79" s="51"/>
      <c r="AT79" s="51"/>
    </row>
    <row r="80" spans="1:47">
      <c r="A80" s="864">
        <f t="shared" si="25"/>
        <v>2017</v>
      </c>
      <c r="B80" s="62">
        <f t="shared" si="11"/>
        <v>42825</v>
      </c>
      <c r="C80" s="69">
        <v>10449490</v>
      </c>
      <c r="D80" s="69">
        <v>6309</v>
      </c>
      <c r="E80" s="843"/>
      <c r="F80" s="885"/>
      <c r="G80" s="63"/>
      <c r="H80" s="71">
        <f t="shared" si="21"/>
        <v>10455799</v>
      </c>
      <c r="I80" s="259"/>
      <c r="J80" s="150">
        <f>HLOOKUP(YEAR(B80),'HDD &amp; CDD'!$B$5:$U$17,MONTH(B80)+1,FALSE)</f>
        <v>731.7</v>
      </c>
      <c r="K80" s="857">
        <f>HLOOKUP(YEAR(B80),'HDD &amp; CDD'!$B$23:$U$35,MONTH(B80)+1,FALSE)</f>
        <v>0</v>
      </c>
      <c r="L80" s="322">
        <f t="shared" si="22"/>
        <v>31</v>
      </c>
      <c r="M80" s="150">
        <v>1</v>
      </c>
      <c r="N80" s="322">
        <f>[21]Sheet1!D150</f>
        <v>23</v>
      </c>
      <c r="O80" s="841">
        <v>75</v>
      </c>
      <c r="P80" s="841">
        <v>0</v>
      </c>
      <c r="Q80" s="1720">
        <v>0</v>
      </c>
      <c r="R80" s="66"/>
      <c r="S80" s="103">
        <f t="shared" si="9"/>
        <v>1</v>
      </c>
      <c r="T80" s="67"/>
      <c r="U80" s="51"/>
      <c r="V80" s="1723">
        <f t="shared" si="26"/>
        <v>10700205.986734238</v>
      </c>
      <c r="W80" s="182">
        <f t="shared" si="23"/>
        <v>244406.98673423752</v>
      </c>
      <c r="X80" s="183">
        <f t="shared" si="24"/>
        <v>2.3375256805743639E-2</v>
      </c>
      <c r="Y80" s="183">
        <f t="shared" si="10"/>
        <v>2.3375256805743639E-2</v>
      </c>
      <c r="Z80" s="156"/>
      <c r="AA80" s="264"/>
      <c r="AE80" s="51"/>
      <c r="AF80" s="51"/>
      <c r="AG80" s="51"/>
      <c r="AH80" s="51"/>
      <c r="AI80" s="51"/>
      <c r="AK80" s="51"/>
      <c r="AL80" s="51"/>
      <c r="AM80" s="51"/>
      <c r="AN80" s="51"/>
      <c r="AO80" s="51"/>
      <c r="AP80" s="51"/>
      <c r="AQ80" s="51"/>
      <c r="AR80" s="51"/>
      <c r="AS80" s="51"/>
      <c r="AT80" s="51"/>
    </row>
    <row r="81" spans="1:46">
      <c r="A81" s="864">
        <f t="shared" si="25"/>
        <v>2017</v>
      </c>
      <c r="B81" s="62">
        <f t="shared" si="11"/>
        <v>42855</v>
      </c>
      <c r="C81" s="69">
        <v>8073164</v>
      </c>
      <c r="D81" s="69">
        <v>7362</v>
      </c>
      <c r="E81" s="843"/>
      <c r="F81" s="885"/>
      <c r="G81" s="63"/>
      <c r="H81" s="71">
        <f t="shared" si="21"/>
        <v>8080526</v>
      </c>
      <c r="I81" s="259"/>
      <c r="J81" s="150">
        <f>HLOOKUP(YEAR(B81),'HDD &amp; CDD'!$B$5:$U$17,MONTH(B81)+1,FALSE)</f>
        <v>319.39999999999998</v>
      </c>
      <c r="K81" s="857">
        <f>HLOOKUP(YEAR(B81),'HDD &amp; CDD'!$B$23:$U$35,MONTH(B81)+1,FALSE)</f>
        <v>1.2</v>
      </c>
      <c r="L81" s="322">
        <f t="shared" si="22"/>
        <v>30</v>
      </c>
      <c r="M81" s="150">
        <v>0</v>
      </c>
      <c r="N81" s="322">
        <f>[21]Sheet1!D151</f>
        <v>18</v>
      </c>
      <c r="O81" s="841">
        <v>76</v>
      </c>
      <c r="P81" s="841">
        <v>0</v>
      </c>
      <c r="Q81" s="1720">
        <v>0</v>
      </c>
      <c r="R81" s="66"/>
      <c r="S81" s="103">
        <f t="shared" si="9"/>
        <v>1</v>
      </c>
      <c r="T81" s="67"/>
      <c r="U81" s="51"/>
      <c r="V81" s="1723">
        <f t="shared" si="26"/>
        <v>8105271.7939217268</v>
      </c>
      <c r="W81" s="182">
        <f t="shared" si="23"/>
        <v>24745.793921726756</v>
      </c>
      <c r="X81" s="183">
        <f t="shared" si="24"/>
        <v>3.0623988985032354E-3</v>
      </c>
      <c r="Y81" s="183">
        <f t="shared" si="10"/>
        <v>3.0623988985032354E-3</v>
      </c>
      <c r="Z81" s="156"/>
      <c r="AA81" s="264"/>
      <c r="AE81" s="51"/>
      <c r="AF81" s="51"/>
      <c r="AG81" s="51"/>
      <c r="AH81" s="51"/>
      <c r="AI81" s="46"/>
      <c r="AK81" s="51"/>
      <c r="AL81" s="51"/>
      <c r="AM81" s="51"/>
      <c r="AN81" s="51"/>
      <c r="AO81" s="51"/>
      <c r="AP81" s="51"/>
      <c r="AQ81" s="51"/>
      <c r="AR81" s="51"/>
      <c r="AS81" s="51"/>
      <c r="AT81" s="51"/>
    </row>
    <row r="82" spans="1:46">
      <c r="A82" s="864">
        <f t="shared" si="25"/>
        <v>2017</v>
      </c>
      <c r="B82" s="62">
        <f t="shared" si="11"/>
        <v>42886</v>
      </c>
      <c r="C82" s="69">
        <v>7836699</v>
      </c>
      <c r="D82" s="69">
        <v>7740</v>
      </c>
      <c r="E82" s="843"/>
      <c r="F82" s="885"/>
      <c r="G82" s="63"/>
      <c r="H82" s="71">
        <f t="shared" si="21"/>
        <v>7844439</v>
      </c>
      <c r="I82" s="259"/>
      <c r="J82" s="150">
        <f>HLOOKUP(YEAR(B82),'HDD &amp; CDD'!$B$5:$U$17,MONTH(B82)+1,FALSE)</f>
        <v>190.40000000000003</v>
      </c>
      <c r="K82" s="857">
        <f>HLOOKUP(YEAR(B82),'HDD &amp; CDD'!$B$23:$U$35,MONTH(B82)+1,FALSE)</f>
        <v>9.1000000000000014</v>
      </c>
      <c r="L82" s="322">
        <f t="shared" si="22"/>
        <v>31</v>
      </c>
      <c r="M82" s="150">
        <v>0</v>
      </c>
      <c r="N82" s="322">
        <f>[21]Sheet1!D152</f>
        <v>22</v>
      </c>
      <c r="O82" s="841">
        <v>77</v>
      </c>
      <c r="P82" s="841">
        <v>0</v>
      </c>
      <c r="Q82" s="1720">
        <v>0</v>
      </c>
      <c r="R82" s="66"/>
      <c r="S82" s="103">
        <f t="shared" si="9"/>
        <v>1</v>
      </c>
      <c r="T82" s="67"/>
      <c r="U82" s="51"/>
      <c r="V82" s="1723">
        <f t="shared" si="26"/>
        <v>8025756.6455157297</v>
      </c>
      <c r="W82" s="182">
        <f t="shared" si="23"/>
        <v>181317.64551572967</v>
      </c>
      <c r="X82" s="183">
        <f t="shared" si="24"/>
        <v>2.3114163487756061E-2</v>
      </c>
      <c r="Y82" s="183">
        <f t="shared" si="10"/>
        <v>2.3114163487756061E-2</v>
      </c>
      <c r="Z82" s="156"/>
      <c r="AA82" s="264"/>
      <c r="AE82" s="51"/>
      <c r="AF82" s="51"/>
      <c r="AG82" s="51"/>
      <c r="AH82" s="51"/>
      <c r="AI82" s="46"/>
      <c r="AK82" s="51"/>
      <c r="AL82" s="51"/>
      <c r="AM82" s="51"/>
      <c r="AN82" s="51"/>
      <c r="AO82" s="51"/>
      <c r="AP82" s="51"/>
      <c r="AQ82" s="51"/>
      <c r="AR82" s="51"/>
      <c r="AS82" s="51"/>
      <c r="AT82" s="51"/>
    </row>
    <row r="83" spans="1:46">
      <c r="A83" s="864">
        <f t="shared" si="25"/>
        <v>2017</v>
      </c>
      <c r="B83" s="62">
        <f t="shared" si="11"/>
        <v>42916</v>
      </c>
      <c r="C83" s="69">
        <v>7883609</v>
      </c>
      <c r="D83" s="69">
        <v>8370</v>
      </c>
      <c r="E83" s="843"/>
      <c r="F83" s="885"/>
      <c r="G83" s="63"/>
      <c r="H83" s="71">
        <f t="shared" si="21"/>
        <v>7891979</v>
      </c>
      <c r="I83" s="259"/>
      <c r="J83" s="150">
        <f>HLOOKUP(YEAR(B83),'HDD &amp; CDD'!$B$5:$U$17,MONTH(B83)+1,FALSE)</f>
        <v>52.100000000000009</v>
      </c>
      <c r="K83" s="857">
        <f>HLOOKUP(YEAR(B83),'HDD &amp; CDD'!$B$23:$U$35,MONTH(B83)+1,FALSE)</f>
        <v>45</v>
      </c>
      <c r="L83" s="322">
        <f t="shared" si="22"/>
        <v>30</v>
      </c>
      <c r="M83" s="150">
        <v>1</v>
      </c>
      <c r="N83" s="322">
        <f>[21]Sheet1!D153</f>
        <v>22</v>
      </c>
      <c r="O83" s="841">
        <v>78</v>
      </c>
      <c r="P83" s="841">
        <v>0</v>
      </c>
      <c r="Q83" s="1720">
        <v>0</v>
      </c>
      <c r="R83" s="66"/>
      <c r="S83" s="103">
        <f t="shared" ref="S83:S146" si="27">S71</f>
        <v>0</v>
      </c>
      <c r="T83" s="67"/>
      <c r="U83" s="51"/>
      <c r="V83" s="1723">
        <f t="shared" si="26"/>
        <v>8170275.6468446907</v>
      </c>
      <c r="W83" s="182">
        <f t="shared" si="23"/>
        <v>278296.64684469067</v>
      </c>
      <c r="X83" s="183">
        <f t="shared" si="24"/>
        <v>3.5263226985866369E-2</v>
      </c>
      <c r="Y83" s="183">
        <f t="shared" ref="Y83:Y125" si="28">ABS(X83)</f>
        <v>3.5263226985866369E-2</v>
      </c>
      <c r="Z83" s="156"/>
      <c r="AA83" s="264"/>
      <c r="AE83" s="51"/>
      <c r="AF83" s="51"/>
      <c r="AG83" s="51"/>
      <c r="AH83" s="51"/>
      <c r="AI83" s="46"/>
      <c r="AK83" s="51"/>
      <c r="AL83" s="51"/>
      <c r="AM83" s="51"/>
      <c r="AN83" s="51"/>
      <c r="AO83" s="51"/>
      <c r="AP83" s="51"/>
      <c r="AQ83" s="51"/>
      <c r="AR83" s="51"/>
      <c r="AS83" s="51"/>
      <c r="AT83" s="51"/>
    </row>
    <row r="84" spans="1:46">
      <c r="A84" s="864">
        <f t="shared" si="25"/>
        <v>2017</v>
      </c>
      <c r="B84" s="62">
        <f t="shared" ref="B84:B147" si="29">EOMONTH(B83,1)</f>
        <v>42947</v>
      </c>
      <c r="C84" s="69">
        <v>8447553</v>
      </c>
      <c r="D84" s="69">
        <v>7521</v>
      </c>
      <c r="E84" s="843"/>
      <c r="F84" s="885"/>
      <c r="G84" s="63"/>
      <c r="H84" s="71">
        <f t="shared" si="21"/>
        <v>8455074</v>
      </c>
      <c r="I84" s="259"/>
      <c r="J84" s="150">
        <f>HLOOKUP(YEAR(B84),'HDD &amp; CDD'!$B$5:$U$17,MONTH(B84)+1,FALSE)</f>
        <v>4.8000000000000007</v>
      </c>
      <c r="K84" s="857">
        <f>HLOOKUP(YEAR(B84),'HDD &amp; CDD'!$B$23:$U$35,MONTH(B84)+1,FALSE)</f>
        <v>63.800000000000011</v>
      </c>
      <c r="L84" s="322">
        <f t="shared" si="22"/>
        <v>31</v>
      </c>
      <c r="M84" s="150">
        <v>1</v>
      </c>
      <c r="N84" s="322">
        <f>[21]Sheet1!D154</f>
        <v>20</v>
      </c>
      <c r="O84" s="841">
        <v>79</v>
      </c>
      <c r="P84" s="841">
        <v>0</v>
      </c>
      <c r="Q84" s="1720">
        <v>0</v>
      </c>
      <c r="R84" s="66"/>
      <c r="S84" s="103">
        <f t="shared" si="27"/>
        <v>0</v>
      </c>
      <c r="T84" s="67"/>
      <c r="U84" s="51"/>
      <c r="V84" s="1723">
        <f t="shared" si="26"/>
        <v>8285881.0251381695</v>
      </c>
      <c r="W84" s="182">
        <f t="shared" si="23"/>
        <v>-169192.97486183047</v>
      </c>
      <c r="X84" s="183">
        <f t="shared" si="24"/>
        <v>-2.0010821296399119E-2</v>
      </c>
      <c r="Y84" s="183">
        <f t="shared" si="28"/>
        <v>2.0010821296399119E-2</v>
      </c>
      <c r="Z84" s="156"/>
      <c r="AA84" s="264"/>
      <c r="AB84" s="85"/>
      <c r="AC84" s="86"/>
      <c r="AD84" s="46"/>
      <c r="AE84" s="46"/>
      <c r="AF84" s="46"/>
      <c r="AG84" s="46"/>
      <c r="AH84" s="46"/>
      <c r="AI84" s="46"/>
      <c r="AK84" s="51"/>
      <c r="AL84" s="51"/>
      <c r="AM84" s="51"/>
      <c r="AN84" s="51"/>
      <c r="AO84" s="51"/>
      <c r="AP84" s="51"/>
      <c r="AQ84" s="51"/>
      <c r="AR84" s="51"/>
      <c r="AS84" s="51"/>
      <c r="AT84" s="51"/>
    </row>
    <row r="85" spans="1:46">
      <c r="A85" s="864">
        <f t="shared" si="25"/>
        <v>2017</v>
      </c>
      <c r="B85" s="62">
        <f t="shared" si="29"/>
        <v>42978</v>
      </c>
      <c r="C85" s="69">
        <v>8640906</v>
      </c>
      <c r="D85" s="69">
        <v>7732</v>
      </c>
      <c r="E85" s="843"/>
      <c r="F85" s="885"/>
      <c r="G85" s="63"/>
      <c r="H85" s="71">
        <f t="shared" si="21"/>
        <v>8648638</v>
      </c>
      <c r="I85" s="259"/>
      <c r="J85" s="150">
        <f>HLOOKUP(YEAR(B85),'HDD &amp; CDD'!$B$5:$U$17,MONTH(B85)+1,FALSE)</f>
        <v>26.9</v>
      </c>
      <c r="K85" s="857">
        <f>HLOOKUP(YEAR(B85),'HDD &amp; CDD'!$B$23:$U$35,MONTH(B85)+1,FALSE)</f>
        <v>51.000000000000007</v>
      </c>
      <c r="L85" s="322">
        <f t="shared" si="22"/>
        <v>31</v>
      </c>
      <c r="M85" s="150">
        <v>1</v>
      </c>
      <c r="N85" s="322">
        <f>[21]Sheet1!D155</f>
        <v>22</v>
      </c>
      <c r="O85" s="841">
        <v>80</v>
      </c>
      <c r="P85" s="841">
        <v>1</v>
      </c>
      <c r="Q85" s="1720">
        <v>0</v>
      </c>
      <c r="R85" s="66"/>
      <c r="S85" s="103">
        <f t="shared" si="27"/>
        <v>0</v>
      </c>
      <c r="T85" s="67"/>
      <c r="U85" s="51"/>
      <c r="V85" s="1723">
        <f t="shared" si="26"/>
        <v>8709077.9534898829</v>
      </c>
      <c r="W85" s="182">
        <f t="shared" si="23"/>
        <v>60439.953489882872</v>
      </c>
      <c r="X85" s="183">
        <f t="shared" si="24"/>
        <v>6.9883782267083985E-3</v>
      </c>
      <c r="Y85" s="183">
        <f t="shared" si="28"/>
        <v>6.9883782267083985E-3</v>
      </c>
      <c r="Z85" s="156"/>
      <c r="AA85" s="264"/>
      <c r="AB85" s="46"/>
      <c r="AC85" s="85"/>
      <c r="AD85" s="46"/>
      <c r="AE85" s="46"/>
      <c r="AF85" s="46"/>
      <c r="AG85" s="46"/>
      <c r="AH85" s="46"/>
      <c r="AI85" s="46"/>
      <c r="AK85" s="51"/>
      <c r="AL85" s="51"/>
      <c r="AM85" s="51"/>
      <c r="AN85" s="51"/>
      <c r="AO85" s="51"/>
      <c r="AP85" s="51"/>
      <c r="AQ85" s="51"/>
      <c r="AR85" s="51"/>
      <c r="AS85" s="51"/>
      <c r="AT85" s="51"/>
    </row>
    <row r="86" spans="1:46">
      <c r="A86" s="864">
        <f t="shared" si="25"/>
        <v>2017</v>
      </c>
      <c r="B86" s="62">
        <f t="shared" si="29"/>
        <v>43008</v>
      </c>
      <c r="C86" s="69">
        <v>8076439</v>
      </c>
      <c r="D86" s="69">
        <v>7202</v>
      </c>
      <c r="E86" s="843"/>
      <c r="F86" s="885"/>
      <c r="G86" s="63"/>
      <c r="H86" s="71">
        <f t="shared" si="21"/>
        <v>8083641</v>
      </c>
      <c r="I86" s="259"/>
      <c r="J86" s="150">
        <f>HLOOKUP(YEAR(B86),'HDD &amp; CDD'!$B$5:$U$17,MONTH(B86)+1,FALSE)</f>
        <v>69.800000000000011</v>
      </c>
      <c r="K86" s="857">
        <f>HLOOKUP(YEAR(B86),'HDD &amp; CDD'!$B$23:$U$35,MONTH(B86)+1,FALSE)</f>
        <v>52</v>
      </c>
      <c r="L86" s="322">
        <f t="shared" si="22"/>
        <v>30</v>
      </c>
      <c r="M86" s="150">
        <v>1</v>
      </c>
      <c r="N86" s="322">
        <f>[21]Sheet1!D156</f>
        <v>20</v>
      </c>
      <c r="O86" s="841">
        <v>81</v>
      </c>
      <c r="P86" s="841">
        <v>0</v>
      </c>
      <c r="Q86" s="1720">
        <v>0</v>
      </c>
      <c r="R86" s="66"/>
      <c r="S86" s="103">
        <f t="shared" si="27"/>
        <v>1</v>
      </c>
      <c r="T86" s="67"/>
      <c r="U86" s="51"/>
      <c r="V86" s="1723">
        <f t="shared" si="26"/>
        <v>8214263.8677354027</v>
      </c>
      <c r="W86" s="182">
        <f t="shared" si="23"/>
        <v>130622.86773540266</v>
      </c>
      <c r="X86" s="183">
        <f t="shared" si="24"/>
        <v>1.6158914990831812E-2</v>
      </c>
      <c r="Y86" s="183">
        <f t="shared" si="28"/>
        <v>1.6158914990831812E-2</v>
      </c>
      <c r="Z86" s="156"/>
      <c r="AA86" s="264"/>
      <c r="AK86" s="51"/>
      <c r="AL86" s="51"/>
      <c r="AM86" s="51"/>
      <c r="AN86" s="51"/>
      <c r="AO86" s="51"/>
      <c r="AP86" s="51"/>
      <c r="AQ86" s="51"/>
      <c r="AR86" s="51"/>
      <c r="AS86" s="51"/>
      <c r="AT86" s="51"/>
    </row>
    <row r="87" spans="1:46">
      <c r="A87" s="864">
        <f t="shared" si="25"/>
        <v>2017</v>
      </c>
      <c r="B87" s="62">
        <f t="shared" si="29"/>
        <v>43039</v>
      </c>
      <c r="C87" s="69">
        <v>7983759</v>
      </c>
      <c r="D87" s="69">
        <v>5439</v>
      </c>
      <c r="E87" s="843"/>
      <c r="F87" s="885"/>
      <c r="G87" s="63"/>
      <c r="H87" s="71">
        <f t="shared" si="21"/>
        <v>7989198</v>
      </c>
      <c r="I87" s="259"/>
      <c r="J87" s="150">
        <f>HLOOKUP(YEAR(B87),'HDD &amp; CDD'!$B$5:$U$17,MONTH(B87)+1,FALSE)</f>
        <v>197.3</v>
      </c>
      <c r="K87" s="857">
        <f>HLOOKUP(YEAR(B87),'HDD &amp; CDD'!$B$23:$U$35,MONTH(B87)+1,FALSE)</f>
        <v>0.4</v>
      </c>
      <c r="L87" s="322">
        <f t="shared" si="22"/>
        <v>31</v>
      </c>
      <c r="M87" s="150">
        <v>0</v>
      </c>
      <c r="N87" s="322">
        <f>[21]Sheet1!D157</f>
        <v>21</v>
      </c>
      <c r="O87" s="841">
        <v>82</v>
      </c>
      <c r="P87" s="841">
        <v>0</v>
      </c>
      <c r="Q87" s="1720">
        <v>0</v>
      </c>
      <c r="R87" s="66"/>
      <c r="S87" s="103">
        <f t="shared" si="27"/>
        <v>1</v>
      </c>
      <c r="T87" s="67"/>
      <c r="U87" s="51"/>
      <c r="V87" s="1723">
        <f t="shared" si="26"/>
        <v>7818979.0705967378</v>
      </c>
      <c r="W87" s="182">
        <f t="shared" si="23"/>
        <v>-170218.92940326221</v>
      </c>
      <c r="X87" s="183">
        <f t="shared" si="24"/>
        <v>-2.1306134783899738E-2</v>
      </c>
      <c r="Y87" s="183">
        <f t="shared" si="28"/>
        <v>2.1306134783899738E-2</v>
      </c>
      <c r="Z87" s="156"/>
      <c r="AA87" s="264"/>
      <c r="AK87" s="51"/>
      <c r="AL87" s="51"/>
      <c r="AM87" s="51"/>
      <c r="AN87" s="51"/>
      <c r="AO87" s="51"/>
      <c r="AP87" s="51"/>
      <c r="AQ87" s="51"/>
      <c r="AR87" s="51"/>
      <c r="AS87" s="51"/>
      <c r="AT87" s="51"/>
    </row>
    <row r="88" spans="1:46">
      <c r="A88" s="864">
        <f t="shared" si="25"/>
        <v>2017</v>
      </c>
      <c r="B88" s="62">
        <f t="shared" si="29"/>
        <v>43069</v>
      </c>
      <c r="C88" s="69">
        <v>9161805</v>
      </c>
      <c r="D88" s="69">
        <v>2750</v>
      </c>
      <c r="E88" s="843"/>
      <c r="F88" s="885"/>
      <c r="G88" s="63"/>
      <c r="H88" s="71">
        <f t="shared" si="21"/>
        <v>9164555</v>
      </c>
      <c r="I88" s="259"/>
      <c r="J88" s="150">
        <f>HLOOKUP(YEAR(B88),'HDD &amp; CDD'!$B$5:$U$17,MONTH(B88)+1,FALSE)</f>
        <v>540.79999999999995</v>
      </c>
      <c r="K88" s="857">
        <f>HLOOKUP(YEAR(B88),'HDD &amp; CDD'!$B$23:$U$35,MONTH(B88)+1,FALSE)</f>
        <v>0</v>
      </c>
      <c r="L88" s="322">
        <f t="shared" si="22"/>
        <v>30</v>
      </c>
      <c r="M88" s="150">
        <v>0</v>
      </c>
      <c r="N88" s="322">
        <f>[21]Sheet1!D158</f>
        <v>22</v>
      </c>
      <c r="O88" s="841">
        <v>83</v>
      </c>
      <c r="P88" s="841">
        <v>0</v>
      </c>
      <c r="Q88" s="1720">
        <v>0</v>
      </c>
      <c r="R88" s="66"/>
      <c r="S88" s="103">
        <f t="shared" si="27"/>
        <v>1</v>
      </c>
      <c r="T88" s="67"/>
      <c r="U88" s="51"/>
      <c r="V88" s="1723">
        <f t="shared" si="26"/>
        <v>9201780.7373233158</v>
      </c>
      <c r="W88" s="182">
        <f t="shared" si="23"/>
        <v>37225.737323315814</v>
      </c>
      <c r="X88" s="183">
        <f t="shared" si="24"/>
        <v>4.0619252460502245E-3</v>
      </c>
      <c r="Y88" s="183">
        <f t="shared" si="28"/>
        <v>4.0619252460502245E-3</v>
      </c>
      <c r="Z88" s="156"/>
      <c r="AA88" s="264"/>
      <c r="AK88" s="51"/>
      <c r="AL88" s="51"/>
      <c r="AM88" s="51"/>
      <c r="AN88" s="51"/>
      <c r="AO88" s="51"/>
      <c r="AP88" s="51"/>
      <c r="AQ88" s="51"/>
      <c r="AR88" s="51"/>
      <c r="AS88" s="51"/>
      <c r="AT88" s="51"/>
    </row>
    <row r="89" spans="1:46">
      <c r="A89" s="865">
        <f t="shared" si="25"/>
        <v>2017</v>
      </c>
      <c r="B89" s="151">
        <f t="shared" si="29"/>
        <v>43100</v>
      </c>
      <c r="C89" s="81">
        <v>10688479</v>
      </c>
      <c r="D89" s="81">
        <v>1693</v>
      </c>
      <c r="E89" s="853"/>
      <c r="F89" s="886"/>
      <c r="G89" s="81"/>
      <c r="H89" s="76">
        <f t="shared" si="21"/>
        <v>10690172</v>
      </c>
      <c r="I89" s="260"/>
      <c r="J89" s="104">
        <f>HLOOKUP(YEAR(B89),'HDD &amp; CDD'!$B$5:$U$17,MONTH(B89)+1,FALSE)</f>
        <v>871.29999999999973</v>
      </c>
      <c r="K89" s="839">
        <f>HLOOKUP(YEAR(B89),'HDD &amp; CDD'!$B$23:$U$35,MONTH(B89)+1,FALSE)</f>
        <v>0</v>
      </c>
      <c r="L89" s="323">
        <f t="shared" si="22"/>
        <v>31</v>
      </c>
      <c r="M89" s="104">
        <v>1</v>
      </c>
      <c r="N89" s="323">
        <f>[21]Sheet1!D159</f>
        <v>19</v>
      </c>
      <c r="O89" s="873">
        <v>84</v>
      </c>
      <c r="P89" s="873">
        <v>0</v>
      </c>
      <c r="Q89" s="1721">
        <v>0</v>
      </c>
      <c r="R89" s="77"/>
      <c r="S89" s="103">
        <f t="shared" si="27"/>
        <v>0</v>
      </c>
      <c r="T89" s="78"/>
      <c r="U89" s="79"/>
      <c r="V89" s="80">
        <f t="shared" si="26"/>
        <v>11001107.187967146</v>
      </c>
      <c r="W89" s="190">
        <f t="shared" si="23"/>
        <v>310935.18796714582</v>
      </c>
      <c r="X89" s="184">
        <f t="shared" si="24"/>
        <v>2.9086079060949236E-2</v>
      </c>
      <c r="Y89" s="184">
        <f t="shared" si="28"/>
        <v>2.9086079060949236E-2</v>
      </c>
      <c r="Z89" s="156"/>
      <c r="AA89" s="264"/>
      <c r="AK89" s="51"/>
      <c r="AL89" s="51"/>
      <c r="AM89" s="51"/>
      <c r="AN89" s="51"/>
      <c r="AO89" s="51"/>
      <c r="AP89" s="51"/>
      <c r="AQ89" s="51"/>
      <c r="AR89" s="51"/>
      <c r="AS89" s="51"/>
      <c r="AT89" s="51"/>
    </row>
    <row r="90" spans="1:46">
      <c r="A90" s="864">
        <f t="shared" si="25"/>
        <v>2018</v>
      </c>
      <c r="B90" s="62">
        <f t="shared" si="29"/>
        <v>43131</v>
      </c>
      <c r="C90" s="69">
        <v>11412898</v>
      </c>
      <c r="D90" s="69">
        <v>1775</v>
      </c>
      <c r="E90" s="860"/>
      <c r="F90" s="887"/>
      <c r="G90" s="63"/>
      <c r="H90" s="71">
        <f t="shared" si="21"/>
        <v>11414673</v>
      </c>
      <c r="I90" s="259"/>
      <c r="J90" s="150">
        <f>HLOOKUP(YEAR(B90),'HDD &amp; CDD'!$B$5:$U$17,MONTH(B90)+1,FALSE)</f>
        <v>881.50000000000011</v>
      </c>
      <c r="K90" s="857">
        <f>HLOOKUP(YEAR(B90),'HDD &amp; CDD'!$B$23:$U$35,MONTH(B90)+1,FALSE)</f>
        <v>0</v>
      </c>
      <c r="L90" s="322">
        <f t="shared" si="22"/>
        <v>31</v>
      </c>
      <c r="M90" s="150">
        <v>1</v>
      </c>
      <c r="N90" s="322">
        <f>[21]Sheet1!D160</f>
        <v>22</v>
      </c>
      <c r="O90" s="841">
        <v>85</v>
      </c>
      <c r="P90" s="841">
        <v>0</v>
      </c>
      <c r="Q90" s="1720">
        <v>0</v>
      </c>
      <c r="R90" s="66"/>
      <c r="S90" s="103">
        <f t="shared" si="27"/>
        <v>0</v>
      </c>
      <c r="T90" s="67"/>
      <c r="U90" s="51"/>
      <c r="V90" s="1723">
        <f t="shared" si="26"/>
        <v>11199071.340093829</v>
      </c>
      <c r="W90" s="182">
        <f t="shared" si="23"/>
        <v>-215601.65990617126</v>
      </c>
      <c r="X90" s="183">
        <f t="shared" si="24"/>
        <v>-1.8888115314925909E-2</v>
      </c>
      <c r="Y90" s="183">
        <f t="shared" si="28"/>
        <v>1.8888115314925909E-2</v>
      </c>
      <c r="Z90" s="156"/>
      <c r="AA90" s="264"/>
      <c r="AK90" s="51"/>
      <c r="AL90" s="51"/>
      <c r="AM90" s="51"/>
      <c r="AN90" s="51"/>
      <c r="AO90" s="51"/>
      <c r="AP90" s="51"/>
      <c r="AQ90" s="51"/>
      <c r="AR90" s="51"/>
      <c r="AS90" s="51"/>
      <c r="AT90" s="51"/>
    </row>
    <row r="91" spans="1:46">
      <c r="A91" s="864">
        <f t="shared" si="25"/>
        <v>2018</v>
      </c>
      <c r="B91" s="62">
        <f t="shared" si="29"/>
        <v>43159</v>
      </c>
      <c r="C91" s="69">
        <v>9438920.3499999996</v>
      </c>
      <c r="D91" s="69">
        <v>2631</v>
      </c>
      <c r="E91" s="860"/>
      <c r="F91" s="887"/>
      <c r="G91" s="63"/>
      <c r="H91" s="71">
        <f t="shared" si="21"/>
        <v>9441551.3499999996</v>
      </c>
      <c r="I91" s="259"/>
      <c r="J91" s="150">
        <f>HLOOKUP(YEAR(B91),'HDD &amp; CDD'!$B$5:$U$17,MONTH(B91)+1,FALSE)</f>
        <v>644.6</v>
      </c>
      <c r="K91" s="857">
        <f>HLOOKUP(YEAR(B91),'HDD &amp; CDD'!$B$23:$U$35,MONTH(B91)+1,FALSE)</f>
        <v>0</v>
      </c>
      <c r="L91" s="322">
        <f t="shared" si="22"/>
        <v>28</v>
      </c>
      <c r="M91" s="150">
        <v>1</v>
      </c>
      <c r="N91" s="322">
        <f>[21]Sheet1!D161</f>
        <v>19</v>
      </c>
      <c r="O91" s="841">
        <v>86</v>
      </c>
      <c r="P91" s="841">
        <v>0</v>
      </c>
      <c r="Q91" s="1720">
        <v>0</v>
      </c>
      <c r="R91" s="66"/>
      <c r="S91" s="103">
        <f t="shared" si="27"/>
        <v>0</v>
      </c>
      <c r="T91" s="67"/>
      <c r="U91" s="51"/>
      <c r="V91" s="1723">
        <f t="shared" si="26"/>
        <v>9520074.9844989367</v>
      </c>
      <c r="W91" s="182">
        <f t="shared" si="23"/>
        <v>78523.634498937055</v>
      </c>
      <c r="X91" s="183">
        <f t="shared" si="24"/>
        <v>8.3168148525652047E-3</v>
      </c>
      <c r="Y91" s="183">
        <f t="shared" si="28"/>
        <v>8.3168148525652047E-3</v>
      </c>
      <c r="Z91" s="156"/>
      <c r="AA91" s="264"/>
      <c r="AK91" s="51"/>
      <c r="AL91" s="51"/>
      <c r="AM91" s="51"/>
      <c r="AN91" s="51"/>
      <c r="AO91" s="51"/>
      <c r="AP91" s="51"/>
      <c r="AQ91" s="51"/>
      <c r="AR91" s="51"/>
      <c r="AS91" s="51"/>
      <c r="AT91" s="51"/>
    </row>
    <row r="92" spans="1:46">
      <c r="A92" s="864">
        <f t="shared" si="25"/>
        <v>2018</v>
      </c>
      <c r="B92" s="62">
        <f t="shared" si="29"/>
        <v>43190</v>
      </c>
      <c r="C92" s="69">
        <v>9778013</v>
      </c>
      <c r="D92" s="69">
        <v>5363</v>
      </c>
      <c r="E92" s="860"/>
      <c r="F92" s="887"/>
      <c r="G92" s="63"/>
      <c r="H92" s="71">
        <f t="shared" si="21"/>
        <v>9783376</v>
      </c>
      <c r="I92" s="259"/>
      <c r="J92" s="150">
        <f>HLOOKUP(YEAR(B92),'HDD &amp; CDD'!$B$5:$U$17,MONTH(B92)+1,FALSE)</f>
        <v>611.6</v>
      </c>
      <c r="K92" s="857">
        <f>HLOOKUP(YEAR(B92),'HDD &amp; CDD'!$B$23:$U$35,MONTH(B92)+1,FALSE)</f>
        <v>0</v>
      </c>
      <c r="L92" s="322">
        <f t="shared" si="22"/>
        <v>31</v>
      </c>
      <c r="M92" s="150">
        <v>1</v>
      </c>
      <c r="N92" s="322">
        <f>[21]Sheet1!D162</f>
        <v>21</v>
      </c>
      <c r="O92" s="841">
        <v>87</v>
      </c>
      <c r="P92" s="841">
        <v>0</v>
      </c>
      <c r="Q92" s="1720">
        <v>0</v>
      </c>
      <c r="R92" s="66"/>
      <c r="S92" s="103">
        <f t="shared" si="27"/>
        <v>1</v>
      </c>
      <c r="T92" s="67"/>
      <c r="U92" s="51"/>
      <c r="V92" s="1723">
        <f t="shared" si="26"/>
        <v>9944789.2337552998</v>
      </c>
      <c r="W92" s="182">
        <f t="shared" si="23"/>
        <v>161413.23375529982</v>
      </c>
      <c r="X92" s="183">
        <f t="shared" si="24"/>
        <v>1.6498725363851888E-2</v>
      </c>
      <c r="Y92" s="183">
        <f t="shared" si="28"/>
        <v>1.6498725363851888E-2</v>
      </c>
      <c r="Z92" s="156"/>
      <c r="AA92" s="264"/>
      <c r="AK92" s="51"/>
      <c r="AL92" s="51"/>
      <c r="AM92" s="51"/>
      <c r="AN92" s="51"/>
      <c r="AO92" s="51"/>
      <c r="AP92" s="51"/>
      <c r="AQ92" s="51"/>
      <c r="AR92" s="51"/>
      <c r="AS92" s="51"/>
      <c r="AT92" s="51"/>
    </row>
    <row r="93" spans="1:46">
      <c r="A93" s="864">
        <f t="shared" si="25"/>
        <v>2018</v>
      </c>
      <c r="B93" s="62">
        <f t="shared" si="29"/>
        <v>43220</v>
      </c>
      <c r="C93" s="69">
        <v>8757348</v>
      </c>
      <c r="D93" s="69">
        <v>6637</v>
      </c>
      <c r="E93" s="860"/>
      <c r="F93" s="887"/>
      <c r="G93" s="63"/>
      <c r="H93" s="71">
        <f t="shared" si="21"/>
        <v>8763985</v>
      </c>
      <c r="I93" s="259"/>
      <c r="J93" s="150">
        <f>HLOOKUP(YEAR(B93),'HDD &amp; CDD'!$B$5:$U$17,MONTH(B93)+1,FALSE)</f>
        <v>454.39999999999992</v>
      </c>
      <c r="K93" s="857">
        <f>HLOOKUP(YEAR(B93),'HDD &amp; CDD'!$B$23:$U$35,MONTH(B93)+1,FALSE)</f>
        <v>0</v>
      </c>
      <c r="L93" s="322">
        <f t="shared" si="22"/>
        <v>30</v>
      </c>
      <c r="M93" s="150">
        <v>0</v>
      </c>
      <c r="N93" s="322">
        <f>[21]Sheet1!D163</f>
        <v>20</v>
      </c>
      <c r="O93" s="841">
        <v>88</v>
      </c>
      <c r="P93" s="841">
        <v>0</v>
      </c>
      <c r="Q93" s="1720">
        <v>0</v>
      </c>
      <c r="R93" s="66"/>
      <c r="S93" s="103">
        <f t="shared" si="27"/>
        <v>1</v>
      </c>
      <c r="T93" s="67"/>
      <c r="U93" s="51"/>
      <c r="V93" s="1723">
        <f t="shared" si="26"/>
        <v>8664540.4462561645</v>
      </c>
      <c r="W93" s="182">
        <f t="shared" si="23"/>
        <v>-99444.553743835539</v>
      </c>
      <c r="X93" s="183">
        <f t="shared" si="24"/>
        <v>-1.134695617847766E-2</v>
      </c>
      <c r="Y93" s="183">
        <f t="shared" si="28"/>
        <v>1.134695617847766E-2</v>
      </c>
      <c r="Z93" s="156"/>
      <c r="AA93" s="264"/>
      <c r="AK93" s="51"/>
      <c r="AL93" s="51"/>
      <c r="AM93" s="51"/>
      <c r="AN93" s="51"/>
      <c r="AO93" s="51"/>
      <c r="AP93" s="51"/>
      <c r="AQ93" s="51"/>
      <c r="AR93" s="51"/>
      <c r="AS93" s="51"/>
      <c r="AT93" s="51"/>
    </row>
    <row r="94" spans="1:46">
      <c r="A94" s="864">
        <f t="shared" si="25"/>
        <v>2018</v>
      </c>
      <c r="B94" s="62">
        <f t="shared" si="29"/>
        <v>43251</v>
      </c>
      <c r="C94" s="69">
        <v>7670323</v>
      </c>
      <c r="D94" s="69">
        <v>10087</v>
      </c>
      <c r="E94" s="860"/>
      <c r="F94" s="887"/>
      <c r="G94" s="63"/>
      <c r="H94" s="71">
        <f t="shared" si="21"/>
        <v>7680410</v>
      </c>
      <c r="I94" s="259"/>
      <c r="J94" s="150">
        <f>HLOOKUP(YEAR(B94),'HDD &amp; CDD'!$B$5:$U$17,MONTH(B94)+1,FALSE)</f>
        <v>110.4</v>
      </c>
      <c r="K94" s="857">
        <f>HLOOKUP(YEAR(B94),'HDD &amp; CDD'!$B$23:$U$35,MONTH(B94)+1,FALSE)</f>
        <v>15.7</v>
      </c>
      <c r="L94" s="322">
        <f t="shared" si="22"/>
        <v>31</v>
      </c>
      <c r="M94" s="150">
        <v>0</v>
      </c>
      <c r="N94" s="322">
        <f>[21]Sheet1!D164</f>
        <v>22</v>
      </c>
      <c r="O94" s="841">
        <v>89</v>
      </c>
      <c r="P94" s="841">
        <v>0</v>
      </c>
      <c r="Q94" s="1720">
        <v>0</v>
      </c>
      <c r="R94" s="66"/>
      <c r="S94" s="103">
        <f t="shared" si="27"/>
        <v>1</v>
      </c>
      <c r="T94" s="67"/>
      <c r="U94" s="51"/>
      <c r="V94" s="1723">
        <f t="shared" si="26"/>
        <v>7654569.8942385223</v>
      </c>
      <c r="W94" s="182">
        <f t="shared" si="23"/>
        <v>-25840.105761477724</v>
      </c>
      <c r="X94" s="183">
        <f t="shared" si="24"/>
        <v>-3.3644174935293461E-3</v>
      </c>
      <c r="Y94" s="183">
        <f t="shared" si="28"/>
        <v>3.3644174935293461E-3</v>
      </c>
      <c r="Z94" s="156"/>
      <c r="AA94" s="264"/>
      <c r="AK94" s="51"/>
      <c r="AL94" s="51"/>
      <c r="AM94" s="51"/>
      <c r="AN94" s="51"/>
      <c r="AO94" s="51"/>
      <c r="AP94" s="51"/>
      <c r="AQ94" s="51"/>
      <c r="AR94" s="51"/>
      <c r="AS94" s="51"/>
      <c r="AT94" s="51"/>
    </row>
    <row r="95" spans="1:46">
      <c r="A95" s="864">
        <f t="shared" si="25"/>
        <v>2018</v>
      </c>
      <c r="B95" s="62">
        <f t="shared" si="29"/>
        <v>43281</v>
      </c>
      <c r="C95" s="69">
        <v>7836187</v>
      </c>
      <c r="D95" s="69">
        <v>9769</v>
      </c>
      <c r="E95" s="860"/>
      <c r="F95" s="887"/>
      <c r="G95" s="63"/>
      <c r="H95" s="71">
        <f t="shared" si="21"/>
        <v>7845956</v>
      </c>
      <c r="I95" s="259"/>
      <c r="J95" s="150">
        <f>HLOOKUP(YEAR(B95),'HDD &amp; CDD'!$B$5:$U$17,MONTH(B95)+1,FALSE)</f>
        <v>39</v>
      </c>
      <c r="K95" s="857">
        <f>HLOOKUP(YEAR(B95),'HDD &amp; CDD'!$B$23:$U$35,MONTH(B95)+1,FALSE)</f>
        <v>36.199999999999996</v>
      </c>
      <c r="L95" s="322">
        <f t="shared" si="22"/>
        <v>30</v>
      </c>
      <c r="M95" s="150">
        <v>1</v>
      </c>
      <c r="N95" s="322">
        <f>[21]Sheet1!D165</f>
        <v>21</v>
      </c>
      <c r="O95" s="841">
        <v>90</v>
      </c>
      <c r="P95" s="841">
        <v>0</v>
      </c>
      <c r="Q95" s="1720">
        <v>0</v>
      </c>
      <c r="R95" s="66"/>
      <c r="S95" s="103">
        <f t="shared" si="27"/>
        <v>0</v>
      </c>
      <c r="T95" s="67"/>
      <c r="U95" s="51"/>
      <c r="V95" s="1723">
        <f t="shared" si="26"/>
        <v>7803678.7165960018</v>
      </c>
      <c r="W95" s="182">
        <f t="shared" si="23"/>
        <v>-42277.283403998241</v>
      </c>
      <c r="X95" s="183">
        <f t="shared" si="24"/>
        <v>-5.3884170907915162E-3</v>
      </c>
      <c r="Y95" s="183">
        <f t="shared" si="28"/>
        <v>5.3884170907915162E-3</v>
      </c>
      <c r="Z95" s="156"/>
      <c r="AA95" s="264"/>
      <c r="AK95" s="51"/>
      <c r="AL95" s="51"/>
      <c r="AM95" s="51"/>
      <c r="AN95" s="51"/>
      <c r="AO95" s="51"/>
      <c r="AP95" s="51"/>
      <c r="AQ95" s="51"/>
      <c r="AR95" s="51"/>
      <c r="AS95" s="51"/>
      <c r="AT95" s="51"/>
    </row>
    <row r="96" spans="1:46">
      <c r="A96" s="864">
        <f t="shared" si="25"/>
        <v>2018</v>
      </c>
      <c r="B96" s="62">
        <f t="shared" si="29"/>
        <v>43312</v>
      </c>
      <c r="C96" s="69">
        <v>9698694</v>
      </c>
      <c r="D96" s="69">
        <v>11027</v>
      </c>
      <c r="E96" s="860"/>
      <c r="F96" s="887"/>
      <c r="G96" s="63"/>
      <c r="H96" s="71">
        <f t="shared" si="21"/>
        <v>9709721</v>
      </c>
      <c r="I96" s="259"/>
      <c r="J96" s="150">
        <f>HLOOKUP(YEAR(B96),'HDD &amp; CDD'!$B$5:$U$17,MONTH(B96)+1,FALSE)</f>
        <v>0</v>
      </c>
      <c r="K96" s="857">
        <f>HLOOKUP(YEAR(B96),'HDD &amp; CDD'!$B$23:$U$35,MONTH(B96)+1,FALSE)</f>
        <v>156.9</v>
      </c>
      <c r="L96" s="322">
        <f t="shared" si="22"/>
        <v>31</v>
      </c>
      <c r="M96" s="150">
        <v>1</v>
      </c>
      <c r="N96" s="322">
        <f>[21]Sheet1!D166</f>
        <v>21</v>
      </c>
      <c r="O96" s="841">
        <v>91</v>
      </c>
      <c r="P96" s="841">
        <v>0</v>
      </c>
      <c r="Q96" s="1720">
        <v>0</v>
      </c>
      <c r="R96" s="66"/>
      <c r="S96" s="103">
        <f t="shared" si="27"/>
        <v>0</v>
      </c>
      <c r="T96" s="67"/>
      <c r="U96" s="51"/>
      <c r="V96" s="1723">
        <f t="shared" si="26"/>
        <v>9608098.6971887574</v>
      </c>
      <c r="W96" s="182">
        <f t="shared" si="23"/>
        <v>-101622.30281124264</v>
      </c>
      <c r="X96" s="183">
        <f t="shared" si="24"/>
        <v>-1.0466037367216076E-2</v>
      </c>
      <c r="Y96" s="183">
        <f t="shared" si="28"/>
        <v>1.0466037367216076E-2</v>
      </c>
      <c r="Z96" s="156"/>
      <c r="AA96" s="264"/>
    </row>
    <row r="97" spans="1:27">
      <c r="A97" s="864">
        <f t="shared" si="25"/>
        <v>2018</v>
      </c>
      <c r="B97" s="62">
        <f t="shared" si="29"/>
        <v>43343</v>
      </c>
      <c r="C97" s="69">
        <v>9512830</v>
      </c>
      <c r="D97" s="69">
        <v>8582</v>
      </c>
      <c r="E97" s="860"/>
      <c r="F97" s="887"/>
      <c r="G97" s="63"/>
      <c r="H97" s="71">
        <f t="shared" si="21"/>
        <v>9521412</v>
      </c>
      <c r="I97" s="259"/>
      <c r="J97" s="150">
        <f>HLOOKUP(YEAR(B97),'HDD &amp; CDD'!$B$5:$U$17,MONTH(B97)+1,FALSE)</f>
        <v>3.6</v>
      </c>
      <c r="K97" s="857">
        <f>HLOOKUP(YEAR(B97),'HDD &amp; CDD'!$B$23:$U$35,MONTH(B97)+1,FALSE)</f>
        <v>115.39999999999998</v>
      </c>
      <c r="L97" s="322">
        <f t="shared" si="22"/>
        <v>31</v>
      </c>
      <c r="M97" s="150">
        <v>1</v>
      </c>
      <c r="N97" s="322">
        <f>[21]Sheet1!D167</f>
        <v>22</v>
      </c>
      <c r="O97" s="841">
        <v>92</v>
      </c>
      <c r="P97" s="841">
        <v>1</v>
      </c>
      <c r="Q97" s="1720">
        <v>0</v>
      </c>
      <c r="R97" s="66"/>
      <c r="S97" s="103">
        <f t="shared" si="27"/>
        <v>0</v>
      </c>
      <c r="T97" s="67"/>
      <c r="U97" s="51"/>
      <c r="V97" s="1723">
        <f t="shared" si="26"/>
        <v>9461207.8193698935</v>
      </c>
      <c r="W97" s="182">
        <f t="shared" si="23"/>
        <v>-60204.180630106479</v>
      </c>
      <c r="X97" s="183">
        <f t="shared" si="24"/>
        <v>-6.3230307259161227E-3</v>
      </c>
      <c r="Y97" s="183">
        <f t="shared" si="28"/>
        <v>6.3230307259161227E-3</v>
      </c>
      <c r="Z97" s="156"/>
      <c r="AA97" s="264"/>
    </row>
    <row r="98" spans="1:27">
      <c r="A98" s="864">
        <f t="shared" si="25"/>
        <v>2018</v>
      </c>
      <c r="B98" s="62">
        <f t="shared" si="29"/>
        <v>43373</v>
      </c>
      <c r="C98" s="69">
        <v>8248876</v>
      </c>
      <c r="D98" s="69">
        <v>7700</v>
      </c>
      <c r="E98" s="860"/>
      <c r="F98" s="887"/>
      <c r="G98" s="63"/>
      <c r="H98" s="71">
        <f t="shared" si="21"/>
        <v>8256576</v>
      </c>
      <c r="I98" s="259"/>
      <c r="J98" s="150">
        <f>HLOOKUP(YEAR(B98),'HDD &amp; CDD'!$B$5:$U$17,MONTH(B98)+1,FALSE)</f>
        <v>96.799999999999983</v>
      </c>
      <c r="K98" s="857">
        <f>HLOOKUP(YEAR(B98),'HDD &amp; CDD'!$B$23:$U$35,MONTH(B98)+1,FALSE)</f>
        <v>49.5</v>
      </c>
      <c r="L98" s="322">
        <f t="shared" si="22"/>
        <v>30</v>
      </c>
      <c r="M98" s="150">
        <v>1</v>
      </c>
      <c r="N98" s="322">
        <f>[21]Sheet1!D168</f>
        <v>19</v>
      </c>
      <c r="O98" s="841">
        <v>93</v>
      </c>
      <c r="P98" s="841">
        <v>0</v>
      </c>
      <c r="Q98" s="1720">
        <v>0</v>
      </c>
      <c r="R98" s="66"/>
      <c r="S98" s="103">
        <f t="shared" si="27"/>
        <v>1</v>
      </c>
      <c r="T98" s="67"/>
      <c r="U98" s="51"/>
      <c r="V98" s="1723">
        <f t="shared" si="26"/>
        <v>8118341.5820935406</v>
      </c>
      <c r="W98" s="182">
        <f t="shared" si="23"/>
        <v>-138234.41790645942</v>
      </c>
      <c r="X98" s="183">
        <f t="shared" si="24"/>
        <v>-1.6742341850478869E-2</v>
      </c>
      <c r="Y98" s="183">
        <f t="shared" si="28"/>
        <v>1.6742341850478869E-2</v>
      </c>
      <c r="Z98" s="156"/>
      <c r="AA98" s="264"/>
    </row>
    <row r="99" spans="1:27">
      <c r="A99" s="864">
        <f t="shared" si="25"/>
        <v>2018</v>
      </c>
      <c r="B99" s="62">
        <f t="shared" si="29"/>
        <v>43404</v>
      </c>
      <c r="C99" s="69">
        <v>8273205</v>
      </c>
      <c r="D99" s="69">
        <v>4102</v>
      </c>
      <c r="E99" s="860"/>
      <c r="F99" s="887"/>
      <c r="G99" s="63"/>
      <c r="H99" s="71">
        <f t="shared" si="21"/>
        <v>8277307</v>
      </c>
      <c r="I99" s="259"/>
      <c r="J99" s="150">
        <f>HLOOKUP(YEAR(B99),'HDD &amp; CDD'!$B$5:$U$17,MONTH(B99)+1,FALSE)</f>
        <v>359.1</v>
      </c>
      <c r="K99" s="857">
        <f>HLOOKUP(YEAR(B99),'HDD &amp; CDD'!$B$23:$U$35,MONTH(B99)+1,FALSE)</f>
        <v>0.7</v>
      </c>
      <c r="L99" s="322">
        <f t="shared" si="22"/>
        <v>31</v>
      </c>
      <c r="M99" s="150">
        <v>0</v>
      </c>
      <c r="N99" s="322">
        <f>[21]Sheet1!D169</f>
        <v>22</v>
      </c>
      <c r="O99" s="841">
        <v>94</v>
      </c>
      <c r="P99" s="841">
        <v>0</v>
      </c>
      <c r="Q99" s="1720">
        <v>0</v>
      </c>
      <c r="R99" s="66"/>
      <c r="S99" s="103">
        <f t="shared" si="27"/>
        <v>1</v>
      </c>
      <c r="T99" s="67"/>
      <c r="U99" s="51"/>
      <c r="V99" s="1723">
        <f t="shared" si="26"/>
        <v>8463585.0167840701</v>
      </c>
      <c r="W99" s="182">
        <f t="shared" si="23"/>
        <v>186278.01678407006</v>
      </c>
      <c r="X99" s="183">
        <f t="shared" si="24"/>
        <v>2.2504664474094056E-2</v>
      </c>
      <c r="Y99" s="183">
        <f t="shared" si="28"/>
        <v>2.2504664474094056E-2</v>
      </c>
      <c r="Z99" s="156"/>
      <c r="AA99" s="264"/>
    </row>
    <row r="100" spans="1:27">
      <c r="A100" s="864">
        <f t="shared" si="25"/>
        <v>2018</v>
      </c>
      <c r="B100" s="62">
        <f t="shared" si="29"/>
        <v>43434</v>
      </c>
      <c r="C100" s="69">
        <v>9371732</v>
      </c>
      <c r="D100" s="69">
        <v>1727</v>
      </c>
      <c r="E100" s="860"/>
      <c r="F100" s="887"/>
      <c r="G100" s="63"/>
      <c r="H100" s="71">
        <f t="shared" si="21"/>
        <v>9373459</v>
      </c>
      <c r="I100" s="259"/>
      <c r="J100" s="150">
        <f>HLOOKUP(YEAR(B100),'HDD &amp; CDD'!$B$5:$U$17,MONTH(B100)+1,FALSE)</f>
        <v>599.5</v>
      </c>
      <c r="K100" s="857">
        <f>HLOOKUP(YEAR(B100),'HDD &amp; CDD'!$B$23:$U$35,MONTH(B100)+1,FALSE)</f>
        <v>0</v>
      </c>
      <c r="L100" s="322">
        <f t="shared" si="22"/>
        <v>30</v>
      </c>
      <c r="M100" s="150">
        <v>0</v>
      </c>
      <c r="N100" s="322">
        <f>[21]Sheet1!D170</f>
        <v>22</v>
      </c>
      <c r="O100" s="841">
        <v>95</v>
      </c>
      <c r="P100" s="841">
        <v>0</v>
      </c>
      <c r="Q100" s="1720">
        <v>0</v>
      </c>
      <c r="R100" s="66"/>
      <c r="S100" s="103">
        <f t="shared" si="27"/>
        <v>1</v>
      </c>
      <c r="T100" s="67"/>
      <c r="U100" s="51"/>
      <c r="V100" s="1723">
        <f t="shared" si="26"/>
        <v>9336768.3780507166</v>
      </c>
      <c r="W100" s="182">
        <f t="shared" si="23"/>
        <v>-36690.621949283406</v>
      </c>
      <c r="X100" s="183">
        <f t="shared" si="24"/>
        <v>-3.9143097493981047E-3</v>
      </c>
      <c r="Y100" s="183">
        <f t="shared" si="28"/>
        <v>3.9143097493981047E-3</v>
      </c>
      <c r="Z100" s="156"/>
      <c r="AA100" s="264"/>
    </row>
    <row r="101" spans="1:27">
      <c r="A101" s="865">
        <f t="shared" si="25"/>
        <v>2018</v>
      </c>
      <c r="B101" s="151">
        <f t="shared" si="29"/>
        <v>43465</v>
      </c>
      <c r="C101" s="81">
        <v>10215218</v>
      </c>
      <c r="D101" s="81">
        <v>1945</v>
      </c>
      <c r="E101" s="861"/>
      <c r="F101" s="953"/>
      <c r="G101" s="81"/>
      <c r="H101" s="76">
        <f t="shared" si="21"/>
        <v>10217163</v>
      </c>
      <c r="I101" s="260"/>
      <c r="J101" s="104">
        <f>HLOOKUP(YEAR(B101),'HDD &amp; CDD'!$B$5:$U$17,MONTH(B101)+1,FALSE)</f>
        <v>766.60000000000014</v>
      </c>
      <c r="K101" s="839">
        <f>HLOOKUP(YEAR(B101),'HDD &amp; CDD'!$B$23:$U$35,MONTH(B101)+1,FALSE)</f>
        <v>0</v>
      </c>
      <c r="L101" s="323">
        <f t="shared" si="22"/>
        <v>31</v>
      </c>
      <c r="M101" s="104">
        <v>1</v>
      </c>
      <c r="N101" s="323">
        <f>[21]Sheet1!D171</f>
        <v>19</v>
      </c>
      <c r="O101" s="873">
        <v>96</v>
      </c>
      <c r="P101" s="873">
        <v>0</v>
      </c>
      <c r="Q101" s="1721">
        <v>0</v>
      </c>
      <c r="R101" s="77"/>
      <c r="S101" s="103">
        <f t="shared" si="27"/>
        <v>0</v>
      </c>
      <c r="T101" s="78"/>
      <c r="U101" s="79"/>
      <c r="V101" s="80">
        <f t="shared" si="26"/>
        <v>10422002.752182063</v>
      </c>
      <c r="W101" s="190">
        <f t="shared" si="23"/>
        <v>204839.75218206272</v>
      </c>
      <c r="X101" s="184">
        <f t="shared" si="24"/>
        <v>2.0048593937677484E-2</v>
      </c>
      <c r="Y101" s="184">
        <f t="shared" si="28"/>
        <v>2.0048593937677484E-2</v>
      </c>
      <c r="Z101" s="156"/>
      <c r="AA101" s="264"/>
    </row>
    <row r="102" spans="1:27">
      <c r="A102" s="864">
        <f t="shared" si="25"/>
        <v>2019</v>
      </c>
      <c r="B102" s="62">
        <f t="shared" si="29"/>
        <v>43496</v>
      </c>
      <c r="C102" s="69">
        <v>11356602</v>
      </c>
      <c r="D102" s="69">
        <v>1769</v>
      </c>
      <c r="E102" s="860"/>
      <c r="F102" s="887"/>
      <c r="G102" s="63"/>
      <c r="H102" s="71">
        <f t="shared" ref="H102:H133" si="30">SUM(C102:G102)</f>
        <v>11358371</v>
      </c>
      <c r="I102" s="259"/>
      <c r="J102" s="150">
        <f>HLOOKUP(YEAR(B102),'HDD &amp; CDD'!$B$5:$U$17,MONTH(B102)+1,FALSE)</f>
        <v>934.90000000000009</v>
      </c>
      <c r="K102" s="857">
        <f>HLOOKUP(YEAR(B102),'HDD &amp; CDD'!$B$23:$U$35,MONTH(B102)+1,FALSE)</f>
        <v>0</v>
      </c>
      <c r="L102" s="322">
        <f t="shared" ref="L102:L133" si="31">DAY(EOMONTH(B102,0))</f>
        <v>31</v>
      </c>
      <c r="M102" s="150">
        <v>1</v>
      </c>
      <c r="N102" s="322">
        <f>[21]Sheet1!D172</f>
        <v>22</v>
      </c>
      <c r="O102" s="841">
        <v>97</v>
      </c>
      <c r="P102" s="841">
        <v>0</v>
      </c>
      <c r="Q102" s="1720">
        <v>0</v>
      </c>
      <c r="R102" s="66"/>
      <c r="S102" s="103">
        <f t="shared" si="27"/>
        <v>0</v>
      </c>
      <c r="T102" s="67"/>
      <c r="U102" s="51"/>
      <c r="V102" s="1723">
        <f t="shared" si="26"/>
        <v>11310896.875524314</v>
      </c>
      <c r="W102" s="182">
        <f t="shared" ref="W102:W125" si="32">V102-H102</f>
        <v>-47474.12447568588</v>
      </c>
      <c r="X102" s="183">
        <f t="shared" ref="X102:X125" si="33">W102/H102</f>
        <v>-4.1796596074988113E-3</v>
      </c>
      <c r="Y102" s="183">
        <f t="shared" si="28"/>
        <v>4.1796596074988113E-3</v>
      </c>
      <c r="Z102" s="156"/>
      <c r="AA102" s="264"/>
    </row>
    <row r="103" spans="1:27">
      <c r="A103" s="864">
        <f t="shared" si="25"/>
        <v>2019</v>
      </c>
      <c r="B103" s="62">
        <f t="shared" si="29"/>
        <v>43524</v>
      </c>
      <c r="C103" s="69">
        <v>9954781</v>
      </c>
      <c r="D103" s="69">
        <v>3395</v>
      </c>
      <c r="E103" s="860"/>
      <c r="F103" s="887"/>
      <c r="G103" s="63"/>
      <c r="H103" s="71">
        <f t="shared" si="30"/>
        <v>9958176</v>
      </c>
      <c r="I103" s="259"/>
      <c r="J103" s="150">
        <f>HLOOKUP(YEAR(B103),'HDD &amp; CDD'!$B$5:$U$17,MONTH(B103)+1,FALSE)</f>
        <v>762.2</v>
      </c>
      <c r="K103" s="857">
        <f>HLOOKUP(YEAR(B103),'HDD &amp; CDD'!$B$23:$U$35,MONTH(B103)+1,FALSE)</f>
        <v>0</v>
      </c>
      <c r="L103" s="322">
        <f t="shared" si="31"/>
        <v>28</v>
      </c>
      <c r="M103" s="150">
        <v>1</v>
      </c>
      <c r="N103" s="322">
        <f>[21]Sheet1!D173</f>
        <v>19</v>
      </c>
      <c r="O103" s="841">
        <v>98</v>
      </c>
      <c r="P103" s="841">
        <v>0</v>
      </c>
      <c r="Q103" s="1720">
        <v>0</v>
      </c>
      <c r="R103" s="66"/>
      <c r="S103" s="103">
        <f t="shared" si="27"/>
        <v>0</v>
      </c>
      <c r="T103" s="67"/>
      <c r="U103" s="51"/>
      <c r="V103" s="1723">
        <f t="shared" si="26"/>
        <v>9912467.9086203724</v>
      </c>
      <c r="W103" s="182">
        <f t="shared" si="32"/>
        <v>-45708.091379627585</v>
      </c>
      <c r="X103" s="183">
        <f t="shared" si="33"/>
        <v>-4.5900063806491856E-3</v>
      </c>
      <c r="Y103" s="183">
        <f t="shared" si="28"/>
        <v>4.5900063806491856E-3</v>
      </c>
      <c r="Z103" s="156"/>
      <c r="AA103" s="264"/>
    </row>
    <row r="104" spans="1:27">
      <c r="A104" s="864">
        <f t="shared" si="25"/>
        <v>2019</v>
      </c>
      <c r="B104" s="62">
        <f t="shared" si="29"/>
        <v>43555</v>
      </c>
      <c r="C104" s="69">
        <v>10085138</v>
      </c>
      <c r="D104" s="69">
        <v>7474</v>
      </c>
      <c r="E104" s="860"/>
      <c r="F104" s="887"/>
      <c r="G104" s="63"/>
      <c r="H104" s="71">
        <f t="shared" si="30"/>
        <v>10092612</v>
      </c>
      <c r="I104" s="259"/>
      <c r="J104" s="150">
        <f>HLOOKUP(YEAR(B104),'HDD &amp; CDD'!$B$5:$U$17,MONTH(B104)+1,FALSE)</f>
        <v>692.30000000000007</v>
      </c>
      <c r="K104" s="857">
        <f>HLOOKUP(YEAR(B104),'HDD &amp; CDD'!$B$23:$U$35,MONTH(B104)+1,FALSE)</f>
        <v>0</v>
      </c>
      <c r="L104" s="322">
        <f t="shared" si="31"/>
        <v>31</v>
      </c>
      <c r="M104" s="150">
        <v>1</v>
      </c>
      <c r="N104" s="322">
        <f>[21]Sheet1!D174</f>
        <v>21</v>
      </c>
      <c r="O104" s="841">
        <v>99</v>
      </c>
      <c r="P104" s="841">
        <v>0</v>
      </c>
      <c r="Q104" s="1720">
        <v>0</v>
      </c>
      <c r="R104" s="66"/>
      <c r="S104" s="103">
        <f t="shared" si="27"/>
        <v>1</v>
      </c>
      <c r="T104" s="67"/>
      <c r="U104" s="51"/>
      <c r="V104" s="1723">
        <f t="shared" si="26"/>
        <v>10175921.462507637</v>
      </c>
      <c r="W104" s="182">
        <f t="shared" si="32"/>
        <v>83309.462507637218</v>
      </c>
      <c r="X104" s="183">
        <f t="shared" si="33"/>
        <v>8.2544996783426548E-3</v>
      </c>
      <c r="Y104" s="183">
        <f t="shared" si="28"/>
        <v>8.2544996783426548E-3</v>
      </c>
      <c r="Z104" s="156"/>
      <c r="AA104" s="264"/>
    </row>
    <row r="105" spans="1:27">
      <c r="A105" s="864">
        <f t="shared" si="25"/>
        <v>2019</v>
      </c>
      <c r="B105" s="62">
        <f t="shared" si="29"/>
        <v>43585</v>
      </c>
      <c r="C105" s="69">
        <v>8524502</v>
      </c>
      <c r="D105" s="69">
        <v>7016</v>
      </c>
      <c r="E105" s="860"/>
      <c r="F105" s="887"/>
      <c r="G105" s="63"/>
      <c r="H105" s="71">
        <f t="shared" si="30"/>
        <v>8531518</v>
      </c>
      <c r="I105" s="259"/>
      <c r="J105" s="150">
        <f>HLOOKUP(YEAR(B105),'HDD &amp; CDD'!$B$5:$U$17,MONTH(B105)+1,FALSE)</f>
        <v>398.7999999999999</v>
      </c>
      <c r="K105" s="857">
        <f>HLOOKUP(YEAR(B105),'HDD &amp; CDD'!$B$23:$U$35,MONTH(B105)+1,FALSE)</f>
        <v>0</v>
      </c>
      <c r="L105" s="322">
        <f t="shared" si="31"/>
        <v>30</v>
      </c>
      <c r="M105" s="150">
        <v>0</v>
      </c>
      <c r="N105" s="322">
        <f>[21]Sheet1!D175</f>
        <v>20</v>
      </c>
      <c r="O105" s="841">
        <v>100</v>
      </c>
      <c r="P105" s="841">
        <v>0</v>
      </c>
      <c r="Q105" s="1720">
        <v>0</v>
      </c>
      <c r="R105" s="66"/>
      <c r="S105" s="103">
        <f t="shared" si="27"/>
        <v>1</v>
      </c>
      <c r="T105" s="67"/>
      <c r="U105" s="51"/>
      <c r="V105" s="1723">
        <f t="shared" si="26"/>
        <v>8300013.2501085503</v>
      </c>
      <c r="W105" s="182">
        <f t="shared" si="32"/>
        <v>-231504.7498914497</v>
      </c>
      <c r="X105" s="183">
        <f t="shared" si="33"/>
        <v>-2.7135235475263569E-2</v>
      </c>
      <c r="Y105" s="183">
        <f t="shared" si="28"/>
        <v>2.7135235475263569E-2</v>
      </c>
      <c r="Z105" s="156"/>
      <c r="AA105" s="264"/>
    </row>
    <row r="106" spans="1:27">
      <c r="A106" s="864">
        <f t="shared" si="25"/>
        <v>2019</v>
      </c>
      <c r="B106" s="62">
        <f t="shared" si="29"/>
        <v>43616</v>
      </c>
      <c r="C106" s="69">
        <v>7801649</v>
      </c>
      <c r="D106" s="69">
        <v>7750.88</v>
      </c>
      <c r="E106" s="860"/>
      <c r="F106" s="887"/>
      <c r="G106" s="63"/>
      <c r="H106" s="71">
        <f t="shared" si="30"/>
        <v>7809399.8799999999</v>
      </c>
      <c r="I106" s="259"/>
      <c r="J106" s="150">
        <f>HLOOKUP(YEAR(B106),'HDD &amp; CDD'!$B$5:$U$17,MONTH(B106)+1,FALSE)</f>
        <v>213.20000000000002</v>
      </c>
      <c r="K106" s="857">
        <f>HLOOKUP(YEAR(B106),'HDD &amp; CDD'!$B$23:$U$35,MONTH(B106)+1,FALSE)</f>
        <v>0</v>
      </c>
      <c r="L106" s="322">
        <f t="shared" si="31"/>
        <v>31</v>
      </c>
      <c r="M106" s="150">
        <v>0</v>
      </c>
      <c r="N106" s="322">
        <f>[21]Sheet1!D176</f>
        <v>22</v>
      </c>
      <c r="O106" s="841">
        <v>101</v>
      </c>
      <c r="P106" s="841">
        <v>0</v>
      </c>
      <c r="Q106" s="1720">
        <v>0</v>
      </c>
      <c r="R106" s="66"/>
      <c r="S106" s="103">
        <f t="shared" si="27"/>
        <v>1</v>
      </c>
      <c r="T106" s="67"/>
      <c r="U106" s="51"/>
      <c r="V106" s="1723">
        <f t="shared" si="26"/>
        <v>7744467.9024019241</v>
      </c>
      <c r="W106" s="182">
        <f t="shared" si="32"/>
        <v>-64931.977598075755</v>
      </c>
      <c r="X106" s="183">
        <f t="shared" si="33"/>
        <v>-8.3145924905660938E-3</v>
      </c>
      <c r="Y106" s="183">
        <f t="shared" si="28"/>
        <v>8.3145924905660938E-3</v>
      </c>
      <c r="Z106" s="156"/>
      <c r="AA106" s="264"/>
    </row>
    <row r="107" spans="1:27">
      <c r="A107" s="864">
        <f t="shared" si="25"/>
        <v>2019</v>
      </c>
      <c r="B107" s="62">
        <f t="shared" si="29"/>
        <v>43646</v>
      </c>
      <c r="C107" s="69">
        <v>7764971</v>
      </c>
      <c r="D107" s="69">
        <v>9236.0300000000007</v>
      </c>
      <c r="E107" s="860"/>
      <c r="F107" s="887"/>
      <c r="G107" s="63"/>
      <c r="H107" s="71">
        <f t="shared" si="30"/>
        <v>7774207.0300000003</v>
      </c>
      <c r="I107" s="259"/>
      <c r="J107" s="150">
        <f>HLOOKUP(YEAR(B107),'HDD &amp; CDD'!$B$5:$U$17,MONTH(B107)+1,FALSE)</f>
        <v>55.1</v>
      </c>
      <c r="K107" s="857">
        <f>HLOOKUP(YEAR(B107),'HDD &amp; CDD'!$B$23:$U$35,MONTH(B107)+1,FALSE)</f>
        <v>32</v>
      </c>
      <c r="L107" s="322">
        <f t="shared" si="31"/>
        <v>30</v>
      </c>
      <c r="M107" s="150">
        <v>1</v>
      </c>
      <c r="N107" s="322">
        <f>[21]Sheet1!D177</f>
        <v>20</v>
      </c>
      <c r="O107" s="841">
        <v>102</v>
      </c>
      <c r="P107" s="841">
        <v>0</v>
      </c>
      <c r="Q107" s="1720">
        <v>0</v>
      </c>
      <c r="R107" s="66"/>
      <c r="S107" s="103">
        <f t="shared" si="27"/>
        <v>0</v>
      </c>
      <c r="T107" s="67"/>
      <c r="U107" s="51"/>
      <c r="V107" s="1723">
        <f t="shared" si="26"/>
        <v>7634370.3991914559</v>
      </c>
      <c r="W107" s="182">
        <f t="shared" si="32"/>
        <v>-139836.63080854435</v>
      </c>
      <c r="X107" s="183">
        <f t="shared" si="33"/>
        <v>-1.7987253268266043E-2</v>
      </c>
      <c r="Y107" s="183">
        <f t="shared" si="28"/>
        <v>1.7987253268266043E-2</v>
      </c>
      <c r="Z107" s="156"/>
      <c r="AA107" s="264"/>
    </row>
    <row r="108" spans="1:27">
      <c r="A108" s="864">
        <f t="shared" si="25"/>
        <v>2019</v>
      </c>
      <c r="B108" s="62">
        <f t="shared" si="29"/>
        <v>43677</v>
      </c>
      <c r="C108" s="69">
        <v>9557985</v>
      </c>
      <c r="D108" s="69">
        <v>10449.490000000002</v>
      </c>
      <c r="E108" s="860"/>
      <c r="F108" s="887"/>
      <c r="G108" s="63"/>
      <c r="H108" s="71">
        <f t="shared" si="30"/>
        <v>9568434.4900000002</v>
      </c>
      <c r="I108" s="259"/>
      <c r="J108" s="150">
        <f>HLOOKUP(YEAR(B108),'HDD &amp; CDD'!$B$5:$U$17,MONTH(B108)+1,FALSE)</f>
        <v>0</v>
      </c>
      <c r="K108" s="857">
        <f>HLOOKUP(YEAR(B108),'HDD &amp; CDD'!$B$23:$U$35,MONTH(B108)+1,FALSE)</f>
        <v>133.1</v>
      </c>
      <c r="L108" s="322">
        <f t="shared" si="31"/>
        <v>31</v>
      </c>
      <c r="M108" s="150">
        <v>1</v>
      </c>
      <c r="N108" s="322">
        <f>[21]Sheet1!D178</f>
        <v>22</v>
      </c>
      <c r="O108" s="841">
        <v>103</v>
      </c>
      <c r="P108" s="841">
        <v>0</v>
      </c>
      <c r="Q108" s="1720">
        <v>0</v>
      </c>
      <c r="R108" s="66"/>
      <c r="S108" s="103">
        <f t="shared" si="27"/>
        <v>0</v>
      </c>
      <c r="T108" s="67"/>
      <c r="U108" s="51"/>
      <c r="V108" s="1723">
        <f t="shared" si="26"/>
        <v>9180550.0285514183</v>
      </c>
      <c r="W108" s="182">
        <f t="shared" si="32"/>
        <v>-387884.46144858189</v>
      </c>
      <c r="X108" s="183">
        <f t="shared" si="33"/>
        <v>-4.0537923090131524E-2</v>
      </c>
      <c r="Y108" s="183">
        <f t="shared" si="28"/>
        <v>4.0537923090131524E-2</v>
      </c>
      <c r="Z108" s="156"/>
      <c r="AA108" s="264"/>
    </row>
    <row r="109" spans="1:27">
      <c r="A109" s="864">
        <f t="shared" si="25"/>
        <v>2019</v>
      </c>
      <c r="B109" s="62">
        <f t="shared" si="29"/>
        <v>43708</v>
      </c>
      <c r="C109" s="69">
        <v>8688391.3699999992</v>
      </c>
      <c r="D109" s="69">
        <v>9647.7199999999993</v>
      </c>
      <c r="E109" s="860"/>
      <c r="F109" s="887"/>
      <c r="G109" s="63"/>
      <c r="H109" s="71">
        <f t="shared" si="30"/>
        <v>8698039.0899999999</v>
      </c>
      <c r="I109" s="259"/>
      <c r="J109" s="150">
        <f>HLOOKUP(YEAR(B109),'HDD &amp; CDD'!$B$5:$U$17,MONTH(B109)+1,FALSE)</f>
        <v>6.3</v>
      </c>
      <c r="K109" s="857">
        <f>HLOOKUP(YEAR(B109),'HDD &amp; CDD'!$B$23:$U$35,MONTH(B109)+1,FALSE)</f>
        <v>54.800000000000004</v>
      </c>
      <c r="L109" s="322">
        <f t="shared" si="31"/>
        <v>31</v>
      </c>
      <c r="M109" s="150">
        <v>1</v>
      </c>
      <c r="N109" s="322">
        <f>[21]Sheet1!D179</f>
        <v>21</v>
      </c>
      <c r="O109" s="841">
        <v>104</v>
      </c>
      <c r="P109" s="841">
        <v>1</v>
      </c>
      <c r="Q109" s="1720">
        <v>0</v>
      </c>
      <c r="R109" s="66"/>
      <c r="S109" s="103">
        <f t="shared" si="27"/>
        <v>0</v>
      </c>
      <c r="T109" s="67"/>
      <c r="U109" s="51"/>
      <c r="V109" s="1723">
        <f t="shared" si="26"/>
        <v>8379019.4219617583</v>
      </c>
      <c r="W109" s="182">
        <f t="shared" si="32"/>
        <v>-319019.66803824157</v>
      </c>
      <c r="X109" s="183">
        <f t="shared" si="33"/>
        <v>-3.6677194105164866E-2</v>
      </c>
      <c r="Y109" s="183">
        <f t="shared" si="28"/>
        <v>3.6677194105164866E-2</v>
      </c>
      <c r="Z109" s="156"/>
      <c r="AA109" s="264"/>
    </row>
    <row r="110" spans="1:27">
      <c r="A110" s="864">
        <f t="shared" si="25"/>
        <v>2019</v>
      </c>
      <c r="B110" s="62">
        <f t="shared" si="29"/>
        <v>43738</v>
      </c>
      <c r="C110" s="69">
        <v>7563722.3099999996</v>
      </c>
      <c r="D110" s="69">
        <v>7379.5300000000007</v>
      </c>
      <c r="E110" s="860"/>
      <c r="F110" s="887"/>
      <c r="G110" s="63"/>
      <c r="H110" s="71">
        <f t="shared" si="30"/>
        <v>7571101.8399999999</v>
      </c>
      <c r="I110" s="259"/>
      <c r="J110" s="150">
        <f>HLOOKUP(YEAR(B110),'HDD &amp; CDD'!$B$5:$U$17,MONTH(B110)+1,FALSE)</f>
        <v>103.99999999999999</v>
      </c>
      <c r="K110" s="857">
        <f>HLOOKUP(YEAR(B110),'HDD &amp; CDD'!$B$23:$U$35,MONTH(B110)+1,FALSE)</f>
        <v>9.1</v>
      </c>
      <c r="L110" s="322">
        <f t="shared" si="31"/>
        <v>30</v>
      </c>
      <c r="M110" s="150">
        <v>1</v>
      </c>
      <c r="N110" s="322">
        <f>[21]Sheet1!D180</f>
        <v>20</v>
      </c>
      <c r="O110" s="841">
        <v>105</v>
      </c>
      <c r="P110" s="841">
        <v>0</v>
      </c>
      <c r="Q110" s="1720">
        <v>0</v>
      </c>
      <c r="R110" s="66"/>
      <c r="S110" s="103">
        <f t="shared" si="27"/>
        <v>1</v>
      </c>
      <c r="T110" s="67"/>
      <c r="U110" s="51"/>
      <c r="V110" s="1723">
        <f t="shared" si="26"/>
        <v>7470809.8309675828</v>
      </c>
      <c r="W110" s="182">
        <f t="shared" si="32"/>
        <v>-100292.00903241709</v>
      </c>
      <c r="X110" s="183">
        <f t="shared" si="33"/>
        <v>-1.3246686037499806E-2</v>
      </c>
      <c r="Y110" s="183">
        <f t="shared" si="28"/>
        <v>1.3246686037499806E-2</v>
      </c>
      <c r="Z110" s="156"/>
      <c r="AA110" s="264"/>
    </row>
    <row r="111" spans="1:27">
      <c r="A111" s="864">
        <f t="shared" si="25"/>
        <v>2019</v>
      </c>
      <c r="B111" s="62">
        <f t="shared" si="29"/>
        <v>43769</v>
      </c>
      <c r="C111" s="69">
        <v>7908177</v>
      </c>
      <c r="D111" s="69">
        <v>4809.9900000000007</v>
      </c>
      <c r="E111" s="860"/>
      <c r="F111" s="887"/>
      <c r="G111" s="63"/>
      <c r="H111" s="71">
        <f t="shared" si="30"/>
        <v>7912986.9900000002</v>
      </c>
      <c r="I111" s="259"/>
      <c r="J111" s="150">
        <f>HLOOKUP(YEAR(B111),'HDD &amp; CDD'!$B$5:$U$17,MONTH(B111)+1,FALSE)</f>
        <v>286.8</v>
      </c>
      <c r="K111" s="857">
        <f>HLOOKUP(YEAR(B111),'HDD &amp; CDD'!$B$23:$U$35,MONTH(B111)+1,FALSE)</f>
        <v>0</v>
      </c>
      <c r="L111" s="322">
        <f t="shared" si="31"/>
        <v>31</v>
      </c>
      <c r="M111" s="150">
        <v>0</v>
      </c>
      <c r="N111" s="322">
        <f>[21]Sheet1!D181</f>
        <v>22</v>
      </c>
      <c r="O111" s="841">
        <v>106</v>
      </c>
      <c r="P111" s="841">
        <v>0</v>
      </c>
      <c r="Q111" s="1720">
        <v>0</v>
      </c>
      <c r="R111" s="66"/>
      <c r="S111" s="103">
        <f t="shared" si="27"/>
        <v>1</v>
      </c>
      <c r="T111" s="67"/>
      <c r="U111" s="51"/>
      <c r="V111" s="1723">
        <f t="shared" si="26"/>
        <v>8015472.0843652561</v>
      </c>
      <c r="W111" s="182">
        <f t="shared" si="32"/>
        <v>102485.09436525591</v>
      </c>
      <c r="X111" s="183">
        <f t="shared" si="33"/>
        <v>1.295150548013929E-2</v>
      </c>
      <c r="Y111" s="183">
        <f t="shared" si="28"/>
        <v>1.295150548013929E-2</v>
      </c>
      <c r="Z111" s="156"/>
      <c r="AA111" s="264"/>
    </row>
    <row r="112" spans="1:27">
      <c r="A112" s="864">
        <f t="shared" si="25"/>
        <v>2019</v>
      </c>
      <c r="B112" s="62">
        <f t="shared" si="29"/>
        <v>43799</v>
      </c>
      <c r="C112" s="69">
        <v>9264874</v>
      </c>
      <c r="D112" s="69">
        <v>2032.8500000000001</v>
      </c>
      <c r="E112" s="860"/>
      <c r="F112" s="887"/>
      <c r="G112" s="63"/>
      <c r="H112" s="71">
        <f t="shared" si="30"/>
        <v>9266906.8499999996</v>
      </c>
      <c r="I112" s="259"/>
      <c r="J112" s="150">
        <f>HLOOKUP(YEAR(B112),'HDD &amp; CDD'!$B$5:$U$17,MONTH(B112)+1,FALSE)</f>
        <v>611</v>
      </c>
      <c r="K112" s="857">
        <f>HLOOKUP(YEAR(B112),'HDD &amp; CDD'!$B$23:$U$35,MONTH(B112)+1,FALSE)</f>
        <v>0</v>
      </c>
      <c r="L112" s="322">
        <f t="shared" si="31"/>
        <v>30</v>
      </c>
      <c r="M112" s="150">
        <v>0</v>
      </c>
      <c r="N112" s="322">
        <f>[21]Sheet1!D182</f>
        <v>21</v>
      </c>
      <c r="O112" s="841">
        <v>107</v>
      </c>
      <c r="P112" s="841">
        <v>0</v>
      </c>
      <c r="Q112" s="1720">
        <v>0</v>
      </c>
      <c r="R112" s="66"/>
      <c r="S112" s="103">
        <f t="shared" si="27"/>
        <v>1</v>
      </c>
      <c r="T112" s="67"/>
      <c r="U112" s="51"/>
      <c r="V112" s="1723">
        <f t="shared" si="26"/>
        <v>9210976.6225909628</v>
      </c>
      <c r="W112" s="182">
        <f t="shared" si="32"/>
        <v>-55930.22740903683</v>
      </c>
      <c r="X112" s="183">
        <f t="shared" si="33"/>
        <v>-6.0354796173479218E-3</v>
      </c>
      <c r="Y112" s="183">
        <f t="shared" si="28"/>
        <v>6.0354796173479218E-3</v>
      </c>
      <c r="Z112" s="156"/>
      <c r="AA112" s="264"/>
    </row>
    <row r="113" spans="1:47">
      <c r="A113" s="865">
        <f t="shared" si="25"/>
        <v>2019</v>
      </c>
      <c r="B113" s="151">
        <f t="shared" si="29"/>
        <v>43830</v>
      </c>
      <c r="C113" s="81">
        <v>10207018.220000001</v>
      </c>
      <c r="D113" s="81">
        <v>1575.89</v>
      </c>
      <c r="E113" s="853"/>
      <c r="F113" s="886"/>
      <c r="G113" s="81"/>
      <c r="H113" s="76">
        <f t="shared" si="30"/>
        <v>10208594.110000001</v>
      </c>
      <c r="I113" s="260"/>
      <c r="J113" s="104">
        <f>HLOOKUP(YEAR(B113),'HDD &amp; CDD'!$B$5:$U$17,MONTH(B113)+1,FALSE)</f>
        <v>717.2</v>
      </c>
      <c r="K113" s="839">
        <f>HLOOKUP(YEAR(B113),'HDD &amp; CDD'!$B$23:$U$35,MONTH(B113)+1,FALSE)</f>
        <v>0</v>
      </c>
      <c r="L113" s="323">
        <f t="shared" si="31"/>
        <v>31</v>
      </c>
      <c r="M113" s="104">
        <v>1</v>
      </c>
      <c r="N113" s="323">
        <f>[21]Sheet1!D183</f>
        <v>20</v>
      </c>
      <c r="O113" s="873">
        <v>108</v>
      </c>
      <c r="P113" s="873">
        <v>0</v>
      </c>
      <c r="Q113" s="1721">
        <v>0</v>
      </c>
      <c r="R113" s="77"/>
      <c r="S113" s="103">
        <f t="shared" si="27"/>
        <v>0</v>
      </c>
      <c r="T113" s="78"/>
      <c r="U113" s="79"/>
      <c r="V113" s="80">
        <f t="shared" si="26"/>
        <v>10139076.401811492</v>
      </c>
      <c r="W113" s="190">
        <f t="shared" si="32"/>
        <v>-69517.708188509569</v>
      </c>
      <c r="X113" s="184">
        <f t="shared" si="33"/>
        <v>-6.8097239874011957E-3</v>
      </c>
      <c r="Y113" s="184">
        <f t="shared" si="28"/>
        <v>6.8097239874011957E-3</v>
      </c>
      <c r="Z113" s="156"/>
      <c r="AA113" s="264"/>
    </row>
    <row r="114" spans="1:47">
      <c r="A114" s="864">
        <f t="shared" si="25"/>
        <v>2020</v>
      </c>
      <c r="B114" s="62">
        <f t="shared" si="29"/>
        <v>43861</v>
      </c>
      <c r="C114" s="69">
        <v>10475745.59</v>
      </c>
      <c r="D114" s="69">
        <v>770</v>
      </c>
      <c r="E114" s="860"/>
      <c r="F114" s="887"/>
      <c r="G114" s="63"/>
      <c r="H114" s="71">
        <f t="shared" si="30"/>
        <v>10476515.59</v>
      </c>
      <c r="I114" s="259"/>
      <c r="J114" s="150">
        <f>HLOOKUP(YEAR(B114),'HDD &amp; CDD'!$B$5:$U$17,MONTH(B114)+1,FALSE)</f>
        <v>755.59999999999991</v>
      </c>
      <c r="K114" s="857">
        <f>HLOOKUP(YEAR(B114),'HDD &amp; CDD'!$B$23:$U$35,MONTH(B114)+1,FALSE)</f>
        <v>0</v>
      </c>
      <c r="L114" s="322">
        <f t="shared" si="31"/>
        <v>31</v>
      </c>
      <c r="M114" s="150">
        <v>1</v>
      </c>
      <c r="N114" s="322">
        <f>[21]Sheet1!D184</f>
        <v>22</v>
      </c>
      <c r="O114" s="841">
        <v>109</v>
      </c>
      <c r="P114" s="841">
        <v>0</v>
      </c>
      <c r="Q114" s="1720">
        <v>0</v>
      </c>
      <c r="R114" s="66"/>
      <c r="S114" s="103">
        <f t="shared" si="27"/>
        <v>0</v>
      </c>
      <c r="T114" s="67"/>
      <c r="U114" s="51"/>
      <c r="V114" s="1723">
        <f t="shared" si="26"/>
        <v>10405774.882163759</v>
      </c>
      <c r="W114" s="182">
        <f t="shared" si="32"/>
        <v>-70740.70783624053</v>
      </c>
      <c r="X114" s="183">
        <f t="shared" si="33"/>
        <v>-6.7523125631353672E-3</v>
      </c>
      <c r="Y114" s="183">
        <f t="shared" si="28"/>
        <v>6.7523125631353672E-3</v>
      </c>
      <c r="Z114" s="156"/>
      <c r="AA114" s="264"/>
    </row>
    <row r="115" spans="1:47">
      <c r="A115" s="864">
        <f t="shared" si="25"/>
        <v>2020</v>
      </c>
      <c r="B115" s="62">
        <f t="shared" si="29"/>
        <v>43890</v>
      </c>
      <c r="C115" s="69">
        <v>9817627</v>
      </c>
      <c r="D115" s="69">
        <v>1630</v>
      </c>
      <c r="E115" s="860"/>
      <c r="F115" s="887"/>
      <c r="G115" s="63"/>
      <c r="H115" s="71">
        <f t="shared" si="30"/>
        <v>9819257</v>
      </c>
      <c r="I115" s="259"/>
      <c r="J115" s="150">
        <f>HLOOKUP(YEAR(B115),'HDD &amp; CDD'!$B$5:$U$17,MONTH(B115)+1,FALSE)</f>
        <v>725.89999999999986</v>
      </c>
      <c r="K115" s="857">
        <f>HLOOKUP(YEAR(B115),'HDD &amp; CDD'!$B$23:$U$35,MONTH(B115)+1,FALSE)</f>
        <v>0</v>
      </c>
      <c r="L115" s="322">
        <f t="shared" si="31"/>
        <v>29</v>
      </c>
      <c r="M115" s="150">
        <v>1</v>
      </c>
      <c r="N115" s="322">
        <f>[21]Sheet1!D185</f>
        <v>19</v>
      </c>
      <c r="O115" s="841">
        <v>110</v>
      </c>
      <c r="P115" s="841">
        <v>0</v>
      </c>
      <c r="Q115" s="1720">
        <v>0</v>
      </c>
      <c r="R115" s="66"/>
      <c r="S115" s="103">
        <f t="shared" si="27"/>
        <v>0</v>
      </c>
      <c r="T115" s="67"/>
      <c r="U115" s="51"/>
      <c r="V115" s="1723">
        <f t="shared" si="26"/>
        <v>9788968.6237987354</v>
      </c>
      <c r="W115" s="182">
        <f t="shared" si="32"/>
        <v>-30288.37620126456</v>
      </c>
      <c r="X115" s="183">
        <f t="shared" si="33"/>
        <v>-3.0845894145824435E-3</v>
      </c>
      <c r="Y115" s="183">
        <f t="shared" si="28"/>
        <v>3.0845894145824435E-3</v>
      </c>
      <c r="Z115" s="156"/>
      <c r="AA115" s="264"/>
    </row>
    <row r="116" spans="1:47">
      <c r="A116" s="864">
        <f t="shared" si="25"/>
        <v>2020</v>
      </c>
      <c r="B116" s="62">
        <f t="shared" si="29"/>
        <v>43921</v>
      </c>
      <c r="C116" s="69">
        <v>9509806</v>
      </c>
      <c r="D116" s="69">
        <v>6215</v>
      </c>
      <c r="E116" s="860"/>
      <c r="F116" s="887"/>
      <c r="G116" s="63"/>
      <c r="H116" s="71">
        <f t="shared" si="30"/>
        <v>9516021</v>
      </c>
      <c r="I116" s="259"/>
      <c r="J116" s="150">
        <f>HLOOKUP(YEAR(B116),'HDD &amp; CDD'!$B$5:$U$17,MONTH(B116)+1,FALSE)</f>
        <v>561.69999999999993</v>
      </c>
      <c r="K116" s="857">
        <f>HLOOKUP(YEAR(B116),'HDD &amp; CDD'!$B$23:$U$35,MONTH(B116)+1,FALSE)</f>
        <v>0</v>
      </c>
      <c r="L116" s="322">
        <f t="shared" si="31"/>
        <v>31</v>
      </c>
      <c r="M116" s="150">
        <v>1</v>
      </c>
      <c r="N116" s="322">
        <f>[21]Sheet1!D186</f>
        <v>22</v>
      </c>
      <c r="O116" s="841">
        <v>111</v>
      </c>
      <c r="P116" s="841">
        <v>0</v>
      </c>
      <c r="Q116" s="1720">
        <v>0</v>
      </c>
      <c r="R116" s="66"/>
      <c r="S116" s="103">
        <f t="shared" si="27"/>
        <v>1</v>
      </c>
      <c r="T116" s="67"/>
      <c r="U116" s="51"/>
      <c r="V116" s="1723">
        <f t="shared" si="26"/>
        <v>9538134.1781541184</v>
      </c>
      <c r="W116" s="182">
        <f t="shared" si="32"/>
        <v>22113.178154118359</v>
      </c>
      <c r="X116" s="183">
        <f t="shared" si="33"/>
        <v>2.3237840851883743E-3</v>
      </c>
      <c r="Y116" s="183">
        <f t="shared" si="28"/>
        <v>2.3237840851883743E-3</v>
      </c>
      <c r="Z116" s="156"/>
      <c r="AA116" s="264"/>
    </row>
    <row r="117" spans="1:47">
      <c r="A117" s="864">
        <f t="shared" si="25"/>
        <v>2020</v>
      </c>
      <c r="B117" s="62">
        <f t="shared" si="29"/>
        <v>43951</v>
      </c>
      <c r="C117" s="69">
        <v>8024762.8899999997</v>
      </c>
      <c r="D117" s="69">
        <v>7686</v>
      </c>
      <c r="E117" s="860"/>
      <c r="F117" s="887"/>
      <c r="G117" s="63"/>
      <c r="H117" s="71">
        <f t="shared" si="30"/>
        <v>8032448.8899999997</v>
      </c>
      <c r="I117" s="259"/>
      <c r="J117" s="150">
        <f>HLOOKUP(YEAR(B117),'HDD &amp; CDD'!$B$5:$U$17,MONTH(B117)+1,FALSE)</f>
        <v>407.8</v>
      </c>
      <c r="K117" s="857">
        <f>HLOOKUP(YEAR(B117),'HDD &amp; CDD'!$B$23:$U$35,MONTH(B117)+1,FALSE)</f>
        <v>0</v>
      </c>
      <c r="L117" s="322">
        <f t="shared" si="31"/>
        <v>30</v>
      </c>
      <c r="M117" s="150">
        <v>0</v>
      </c>
      <c r="N117" s="322">
        <f>[21]Sheet1!D187</f>
        <v>20</v>
      </c>
      <c r="O117" s="841">
        <v>112</v>
      </c>
      <c r="P117" s="841">
        <v>0</v>
      </c>
      <c r="Q117" s="1720">
        <v>0</v>
      </c>
      <c r="R117" s="66"/>
      <c r="S117" s="103">
        <f t="shared" si="27"/>
        <v>1</v>
      </c>
      <c r="T117" s="67"/>
      <c r="U117" s="51"/>
      <c r="V117" s="1723">
        <f t="shared" si="26"/>
        <v>8217801.5260705277</v>
      </c>
      <c r="W117" s="182">
        <f t="shared" si="32"/>
        <v>185352.63607052807</v>
      </c>
      <c r="X117" s="183">
        <f t="shared" si="33"/>
        <v>2.307548278349868E-2</v>
      </c>
      <c r="Y117" s="183">
        <f t="shared" si="28"/>
        <v>2.307548278349868E-2</v>
      </c>
      <c r="Z117" s="156"/>
      <c r="AA117" s="264"/>
    </row>
    <row r="118" spans="1:47">
      <c r="A118" s="864">
        <f t="shared" si="25"/>
        <v>2020</v>
      </c>
      <c r="B118" s="62">
        <f t="shared" si="29"/>
        <v>43982</v>
      </c>
      <c r="C118" s="69">
        <v>7939253</v>
      </c>
      <c r="D118" s="69">
        <v>9980</v>
      </c>
      <c r="E118" s="860"/>
      <c r="F118" s="72"/>
      <c r="G118" s="63"/>
      <c r="H118" s="71">
        <f t="shared" si="30"/>
        <v>7949233</v>
      </c>
      <c r="I118" s="259"/>
      <c r="J118" s="150">
        <f>HLOOKUP(YEAR(B118),'HDD &amp; CDD'!$B$5:$U$17,MONTH(B118)+1,FALSE)</f>
        <v>200.15</v>
      </c>
      <c r="K118" s="857">
        <f>HLOOKUP(YEAR(B118),'HDD &amp; CDD'!$B$23:$U$35,MONTH(B118)+1,FALSE)</f>
        <v>25.699999999999996</v>
      </c>
      <c r="L118" s="322">
        <f t="shared" si="31"/>
        <v>31</v>
      </c>
      <c r="M118" s="150">
        <v>0</v>
      </c>
      <c r="N118" s="322">
        <f>[21]Sheet1!D188</f>
        <v>20</v>
      </c>
      <c r="O118" s="841">
        <v>113</v>
      </c>
      <c r="P118" s="841">
        <v>0</v>
      </c>
      <c r="Q118" s="1720">
        <v>1</v>
      </c>
      <c r="R118" s="66"/>
      <c r="S118" s="103">
        <f t="shared" si="27"/>
        <v>1</v>
      </c>
      <c r="T118" s="67"/>
      <c r="U118" s="51"/>
      <c r="V118" s="1723">
        <f t="shared" si="26"/>
        <v>8288433.1880070306</v>
      </c>
      <c r="W118" s="182">
        <f t="shared" si="32"/>
        <v>339200.18800703064</v>
      </c>
      <c r="X118" s="183">
        <f t="shared" si="33"/>
        <v>4.2670807108941285E-2</v>
      </c>
      <c r="Y118" s="183">
        <f t="shared" si="28"/>
        <v>4.2670807108941285E-2</v>
      </c>
      <c r="Z118" s="156"/>
      <c r="AA118" s="264"/>
    </row>
    <row r="119" spans="1:47">
      <c r="A119" s="864">
        <f t="shared" si="25"/>
        <v>2020</v>
      </c>
      <c r="B119" s="62">
        <f t="shared" si="29"/>
        <v>44012</v>
      </c>
      <c r="C119" s="69">
        <v>8515024.5999999996</v>
      </c>
      <c r="D119" s="69">
        <v>10107.5</v>
      </c>
      <c r="E119" s="860"/>
      <c r="F119" s="72"/>
      <c r="G119" s="63"/>
      <c r="H119" s="71">
        <f t="shared" si="30"/>
        <v>8525132.0999999996</v>
      </c>
      <c r="I119" s="259"/>
      <c r="J119" s="150">
        <f>HLOOKUP(YEAR(B119),'HDD &amp; CDD'!$B$5:$U$17,MONTH(B119)+1,FALSE)</f>
        <v>44.7</v>
      </c>
      <c r="K119" s="857">
        <f>HLOOKUP(YEAR(B119),'HDD &amp; CDD'!$B$23:$U$35,MONTH(B119)+1,FALSE)</f>
        <v>70.400000000000006</v>
      </c>
      <c r="L119" s="322">
        <f t="shared" si="31"/>
        <v>30</v>
      </c>
      <c r="M119" s="150">
        <v>1</v>
      </c>
      <c r="N119" s="322">
        <f>[21]Sheet1!D189</f>
        <v>22</v>
      </c>
      <c r="O119" s="841">
        <v>114</v>
      </c>
      <c r="P119" s="841">
        <v>0</v>
      </c>
      <c r="Q119" s="1720">
        <v>1</v>
      </c>
      <c r="R119" s="66"/>
      <c r="S119" s="103">
        <f t="shared" si="27"/>
        <v>0</v>
      </c>
      <c r="T119" s="67"/>
      <c r="U119" s="51"/>
      <c r="V119" s="1723">
        <f t="shared" si="26"/>
        <v>8600312.2628812753</v>
      </c>
      <c r="W119" s="182">
        <f t="shared" si="32"/>
        <v>75180.162881275639</v>
      </c>
      <c r="X119" s="183">
        <f t="shared" si="33"/>
        <v>8.8186507844583012E-3</v>
      </c>
      <c r="Y119" s="183">
        <f t="shared" si="28"/>
        <v>8.8186507844583012E-3</v>
      </c>
      <c r="Z119" s="156"/>
      <c r="AA119" s="264"/>
    </row>
    <row r="120" spans="1:47">
      <c r="A120" s="864">
        <f t="shared" si="25"/>
        <v>2020</v>
      </c>
      <c r="B120" s="62">
        <f t="shared" si="29"/>
        <v>44043</v>
      </c>
      <c r="C120" s="69">
        <v>10333884</v>
      </c>
      <c r="D120" s="69">
        <v>9949.2099999999991</v>
      </c>
      <c r="E120" s="860"/>
      <c r="F120" s="72"/>
      <c r="G120" s="63"/>
      <c r="H120" s="71">
        <f t="shared" si="30"/>
        <v>10343833.210000001</v>
      </c>
      <c r="I120" s="259"/>
      <c r="J120" s="150">
        <f>HLOOKUP(YEAR(B120),'HDD &amp; CDD'!$B$5:$U$17,MONTH(B120)+1,FALSE)</f>
        <v>0</v>
      </c>
      <c r="K120" s="857">
        <f>HLOOKUP(YEAR(B120),'HDD &amp; CDD'!$B$23:$U$35,MONTH(B120)+1,FALSE)</f>
        <v>185.79999999999998</v>
      </c>
      <c r="L120" s="322">
        <f t="shared" si="31"/>
        <v>31</v>
      </c>
      <c r="M120" s="150">
        <v>1</v>
      </c>
      <c r="N120" s="322">
        <f>[21]Sheet1!D190</f>
        <v>22</v>
      </c>
      <c r="O120" s="841">
        <v>115</v>
      </c>
      <c r="P120" s="841">
        <v>0</v>
      </c>
      <c r="Q120" s="1720">
        <v>1</v>
      </c>
      <c r="R120" s="66"/>
      <c r="S120" s="103">
        <f t="shared" si="27"/>
        <v>0</v>
      </c>
      <c r="T120" s="67"/>
      <c r="U120" s="51"/>
      <c r="V120" s="1723">
        <f t="shared" si="26"/>
        <v>10299540.277931523</v>
      </c>
      <c r="W120" s="182">
        <f t="shared" si="32"/>
        <v>-44292.932068478316</v>
      </c>
      <c r="X120" s="183">
        <f t="shared" si="33"/>
        <v>-4.2820617047128811E-3</v>
      </c>
      <c r="Y120" s="183">
        <f t="shared" si="28"/>
        <v>4.2820617047128811E-3</v>
      </c>
      <c r="Z120" s="156"/>
      <c r="AA120" s="264"/>
    </row>
    <row r="121" spans="1:47">
      <c r="A121" s="864">
        <f t="shared" si="25"/>
        <v>2020</v>
      </c>
      <c r="B121" s="62">
        <f t="shared" si="29"/>
        <v>44074</v>
      </c>
      <c r="C121" s="69">
        <v>9206403</v>
      </c>
      <c r="D121" s="69">
        <v>8971.9</v>
      </c>
      <c r="E121" s="860"/>
      <c r="F121" s="72"/>
      <c r="G121" s="63"/>
      <c r="H121" s="71">
        <f t="shared" si="30"/>
        <v>9215374.9000000004</v>
      </c>
      <c r="I121" s="259"/>
      <c r="J121" s="150">
        <f>HLOOKUP(YEAR(B121),'HDD &amp; CDD'!$B$5:$U$17,MONTH(B121)+1,FALSE)</f>
        <v>25.500000000000004</v>
      </c>
      <c r="K121" s="857">
        <f>HLOOKUP(YEAR(B121),'HDD &amp; CDD'!$B$23:$U$35,MONTH(B121)+1,FALSE)</f>
        <v>70.400000000000006</v>
      </c>
      <c r="L121" s="322">
        <f t="shared" si="31"/>
        <v>31</v>
      </c>
      <c r="M121" s="150">
        <v>1</v>
      </c>
      <c r="N121" s="322">
        <f>[21]Sheet1!D191</f>
        <v>20</v>
      </c>
      <c r="O121" s="841">
        <v>116</v>
      </c>
      <c r="P121" s="841">
        <v>1</v>
      </c>
      <c r="Q121" s="1720">
        <v>1</v>
      </c>
      <c r="R121" s="66"/>
      <c r="S121" s="103">
        <f t="shared" si="27"/>
        <v>0</v>
      </c>
      <c r="T121" s="67"/>
      <c r="U121" s="51"/>
      <c r="V121" s="1723">
        <f t="shared" si="26"/>
        <v>8965439.6848594602</v>
      </c>
      <c r="W121" s="182">
        <f t="shared" si="32"/>
        <v>-249935.21514054015</v>
      </c>
      <c r="X121" s="183">
        <f t="shared" si="33"/>
        <v>-2.7121546095812136E-2</v>
      </c>
      <c r="Y121" s="183">
        <f t="shared" si="28"/>
        <v>2.7121546095812136E-2</v>
      </c>
      <c r="Z121" s="156"/>
      <c r="AA121" s="264"/>
    </row>
    <row r="122" spans="1:47">
      <c r="A122" s="864">
        <f t="shared" si="25"/>
        <v>2020</v>
      </c>
      <c r="B122" s="62">
        <f t="shared" si="29"/>
        <v>44104</v>
      </c>
      <c r="C122" s="69">
        <v>7627587</v>
      </c>
      <c r="D122" s="69">
        <v>6829.99</v>
      </c>
      <c r="E122" s="860"/>
      <c r="F122" s="72"/>
      <c r="G122" s="63"/>
      <c r="H122" s="71">
        <f t="shared" si="30"/>
        <v>7634416.9900000002</v>
      </c>
      <c r="I122" s="259"/>
      <c r="J122" s="150">
        <f>HLOOKUP(YEAR(B122),'HDD &amp; CDD'!$B$5:$U$17,MONTH(B122)+1,FALSE)</f>
        <v>138.5</v>
      </c>
      <c r="K122" s="857">
        <f>HLOOKUP(YEAR(B122),'HDD &amp; CDD'!$B$23:$U$35,MONTH(B122)+1,FALSE)</f>
        <v>9</v>
      </c>
      <c r="L122" s="322">
        <f t="shared" si="31"/>
        <v>30</v>
      </c>
      <c r="M122" s="150">
        <v>1</v>
      </c>
      <c r="N122" s="322">
        <f>[21]Sheet1!D192</f>
        <v>21</v>
      </c>
      <c r="O122" s="841">
        <v>117</v>
      </c>
      <c r="P122" s="841">
        <v>0</v>
      </c>
      <c r="Q122" s="1720">
        <v>1</v>
      </c>
      <c r="R122" s="66"/>
      <c r="S122" s="103">
        <f t="shared" si="27"/>
        <v>1</v>
      </c>
      <c r="T122" s="67"/>
      <c r="U122" s="51"/>
      <c r="V122" s="1723">
        <f t="shared" si="26"/>
        <v>7995289.5607359447</v>
      </c>
      <c r="W122" s="182">
        <f t="shared" si="32"/>
        <v>360872.57073594444</v>
      </c>
      <c r="X122" s="183">
        <f t="shared" si="33"/>
        <v>4.7269172119971462E-2</v>
      </c>
      <c r="Y122" s="183">
        <f t="shared" si="28"/>
        <v>4.7269172119971462E-2</v>
      </c>
      <c r="Z122" s="156"/>
      <c r="AA122" s="264"/>
      <c r="AJ122" s="879"/>
      <c r="AL122" s="51"/>
      <c r="AM122" s="51"/>
      <c r="AN122" s="51"/>
      <c r="AO122" s="51"/>
      <c r="AP122" s="51"/>
      <c r="AQ122" s="51"/>
      <c r="AR122" s="51"/>
      <c r="AS122" s="51"/>
      <c r="AT122" s="51"/>
      <c r="AU122" s="51"/>
    </row>
    <row r="123" spans="1:47" ht="14.25" customHeight="1">
      <c r="A123" s="864">
        <f t="shared" si="25"/>
        <v>2020</v>
      </c>
      <c r="B123" s="62">
        <f t="shared" si="29"/>
        <v>44135</v>
      </c>
      <c r="C123" s="69">
        <v>8195562</v>
      </c>
      <c r="D123" s="69">
        <v>4414.1499999999996</v>
      </c>
      <c r="E123" s="860"/>
      <c r="F123" s="885"/>
      <c r="G123" s="63"/>
      <c r="H123" s="71">
        <f t="shared" si="30"/>
        <v>8199976.1500000004</v>
      </c>
      <c r="I123" s="259"/>
      <c r="J123" s="150">
        <f>HLOOKUP(YEAR(B123),'HDD &amp; CDD'!$B$5:$U$17,MONTH(B123)+1,FALSE)</f>
        <v>327.40000000000003</v>
      </c>
      <c r="K123" s="857">
        <f>HLOOKUP(YEAR(B123),'HDD &amp; CDD'!$B$23:$U$35,MONTH(B123)+1,FALSE)</f>
        <v>0</v>
      </c>
      <c r="L123" s="322">
        <f t="shared" si="31"/>
        <v>31</v>
      </c>
      <c r="M123" s="150">
        <v>0</v>
      </c>
      <c r="N123" s="322">
        <f>[21]Sheet1!D193</f>
        <v>21</v>
      </c>
      <c r="O123" s="841">
        <v>118</v>
      </c>
      <c r="P123" s="841">
        <v>0</v>
      </c>
      <c r="Q123" s="1720">
        <v>1</v>
      </c>
      <c r="R123" s="66"/>
      <c r="S123" s="103">
        <f t="shared" si="27"/>
        <v>1</v>
      </c>
      <c r="T123" s="67"/>
      <c r="U123" s="51"/>
      <c r="V123" s="1723">
        <f t="shared" si="26"/>
        <v>8459113.7311975788</v>
      </c>
      <c r="W123" s="182">
        <f t="shared" si="32"/>
        <v>259137.58119757846</v>
      </c>
      <c r="X123" s="183">
        <f t="shared" si="33"/>
        <v>3.1602235964744659E-2</v>
      </c>
      <c r="Y123" s="183">
        <f t="shared" si="28"/>
        <v>3.1602235964744659E-2</v>
      </c>
      <c r="Z123" s="156"/>
      <c r="AA123" s="264"/>
      <c r="AC123" s="1022"/>
      <c r="AD123" s="1022"/>
      <c r="AE123" s="1022"/>
      <c r="AF123" s="1022"/>
      <c r="AG123" s="1022"/>
      <c r="AH123" s="1022"/>
      <c r="AI123" s="1022"/>
      <c r="AJ123" s="879"/>
      <c r="AL123" s="51"/>
      <c r="AM123" s="51"/>
      <c r="AN123" s="51"/>
      <c r="AO123" s="51"/>
      <c r="AP123" s="51"/>
      <c r="AQ123" s="51"/>
      <c r="AR123" s="51"/>
      <c r="AS123" s="51"/>
      <c r="AT123" s="51"/>
      <c r="AU123" s="51"/>
    </row>
    <row r="124" spans="1:47">
      <c r="A124" s="864">
        <f t="shared" si="25"/>
        <v>2020</v>
      </c>
      <c r="B124" s="62">
        <f t="shared" si="29"/>
        <v>44165</v>
      </c>
      <c r="C124" s="69">
        <v>8711856.7599999998</v>
      </c>
      <c r="D124" s="69">
        <v>3033.13</v>
      </c>
      <c r="E124" s="860"/>
      <c r="F124" s="885"/>
      <c r="G124" s="63"/>
      <c r="H124" s="71">
        <f t="shared" si="30"/>
        <v>8714889.8900000006</v>
      </c>
      <c r="I124" s="259"/>
      <c r="J124" s="150">
        <f>HLOOKUP(YEAR(B124),'HDD &amp; CDD'!$B$5:$U$17,MONTH(B124)+1,FALSE)</f>
        <v>429.89999999999992</v>
      </c>
      <c r="K124" s="857">
        <f>HLOOKUP(YEAR(B124),'HDD &amp; CDD'!$B$23:$U$35,MONTH(B124)+1,FALSE)</f>
        <v>0</v>
      </c>
      <c r="L124" s="322">
        <f t="shared" si="31"/>
        <v>30</v>
      </c>
      <c r="M124" s="150">
        <v>0</v>
      </c>
      <c r="N124" s="322">
        <f>[21]Sheet1!D194</f>
        <v>21</v>
      </c>
      <c r="O124" s="841">
        <v>119</v>
      </c>
      <c r="P124" s="841">
        <v>0</v>
      </c>
      <c r="Q124" s="1720">
        <v>1</v>
      </c>
      <c r="R124" s="66"/>
      <c r="S124" s="103">
        <f t="shared" si="27"/>
        <v>1</v>
      </c>
      <c r="T124" s="67"/>
      <c r="U124" s="51"/>
      <c r="V124" s="1723">
        <f t="shared" si="26"/>
        <v>8740248.5874329153</v>
      </c>
      <c r="W124" s="182">
        <f t="shared" si="32"/>
        <v>25358.697432914749</v>
      </c>
      <c r="X124" s="183">
        <f t="shared" si="33"/>
        <v>2.909812717428923E-3</v>
      </c>
      <c r="Y124" s="183">
        <f t="shared" si="28"/>
        <v>2.909812717428923E-3</v>
      </c>
      <c r="Z124" s="156"/>
      <c r="AA124" s="264"/>
      <c r="AJ124" s="879"/>
      <c r="AL124" s="51"/>
      <c r="AM124" s="51"/>
      <c r="AN124" s="51"/>
      <c r="AO124" s="51"/>
      <c r="AP124" s="51"/>
      <c r="AQ124" s="51"/>
      <c r="AR124" s="51"/>
      <c r="AS124" s="51"/>
      <c r="AT124" s="51"/>
      <c r="AU124" s="51"/>
    </row>
    <row r="125" spans="1:47">
      <c r="A125" s="916">
        <f t="shared" si="25"/>
        <v>2020</v>
      </c>
      <c r="B125" s="151">
        <f t="shared" si="29"/>
        <v>44196</v>
      </c>
      <c r="C125" s="853">
        <v>10055027.689999999</v>
      </c>
      <c r="D125" s="853">
        <v>1633</v>
      </c>
      <c r="E125" s="853"/>
      <c r="F125" s="886"/>
      <c r="G125" s="80"/>
      <c r="H125" s="76">
        <f t="shared" si="30"/>
        <v>10056660.689999999</v>
      </c>
      <c r="I125" s="260"/>
      <c r="J125" s="856">
        <f>HLOOKUP(YEAR(B125),'HDD &amp; CDD'!$B$5:$U$17,MONTH(B125)+1,FALSE)</f>
        <v>673.1</v>
      </c>
      <c r="K125" s="839">
        <f>HLOOKUP(YEAR(B125),'HDD &amp; CDD'!$B$23:$U$35,MONTH(B125)+1,FALSE)</f>
        <v>0</v>
      </c>
      <c r="L125" s="323">
        <f t="shared" si="31"/>
        <v>31</v>
      </c>
      <c r="M125" s="104">
        <v>1</v>
      </c>
      <c r="N125" s="323">
        <f>[21]Sheet1!D195</f>
        <v>21</v>
      </c>
      <c r="O125" s="873">
        <v>120</v>
      </c>
      <c r="P125" s="873">
        <v>0</v>
      </c>
      <c r="Q125" s="1721">
        <v>1</v>
      </c>
      <c r="R125" s="77"/>
      <c r="S125" s="104">
        <f t="shared" si="27"/>
        <v>0</v>
      </c>
      <c r="T125" s="78"/>
      <c r="U125" s="79"/>
      <c r="V125" s="190">
        <f t="shared" si="26"/>
        <v>10321572.490324203</v>
      </c>
      <c r="W125" s="190">
        <f t="shared" si="32"/>
        <v>264911.80032420345</v>
      </c>
      <c r="X125" s="184">
        <f t="shared" si="33"/>
        <v>2.6341924868522482E-2</v>
      </c>
      <c r="Y125" s="184">
        <f t="shared" si="28"/>
        <v>2.6341924868522482E-2</v>
      </c>
      <c r="Z125" s="156"/>
      <c r="AA125" s="264"/>
      <c r="AJ125" s="879"/>
      <c r="AL125" s="51"/>
      <c r="AM125" s="51"/>
      <c r="AN125" s="51"/>
      <c r="AO125" s="51"/>
      <c r="AP125" s="51"/>
      <c r="AQ125" s="51"/>
      <c r="AR125" s="51"/>
      <c r="AS125" s="51"/>
      <c r="AT125" s="51"/>
      <c r="AU125" s="51"/>
    </row>
    <row r="126" spans="1:47">
      <c r="A126" s="864">
        <f t="shared" si="25"/>
        <v>2021</v>
      </c>
      <c r="B126" s="62">
        <f t="shared" si="29"/>
        <v>44227</v>
      </c>
      <c r="C126" s="69">
        <v>10499395.99</v>
      </c>
      <c r="D126" s="843">
        <v>1179.3399999999999</v>
      </c>
      <c r="E126" s="860"/>
      <c r="F126" s="885"/>
      <c r="G126" s="63"/>
      <c r="H126" s="71">
        <f t="shared" si="30"/>
        <v>10500575.33</v>
      </c>
      <c r="I126" s="259"/>
      <c r="J126" s="345">
        <f>'HDD &amp; CDD'!V6</f>
        <v>785.7</v>
      </c>
      <c r="K126" s="857">
        <f>'HDD &amp; CDD'!V24</f>
        <v>0</v>
      </c>
      <c r="L126" s="322">
        <f t="shared" si="31"/>
        <v>31</v>
      </c>
      <c r="M126" s="150">
        <v>1</v>
      </c>
      <c r="N126" s="322">
        <f>[21]Sheet1!D196</f>
        <v>20</v>
      </c>
      <c r="O126" s="841">
        <v>121</v>
      </c>
      <c r="P126" s="841">
        <v>0</v>
      </c>
      <c r="Q126" s="1720">
        <v>1</v>
      </c>
      <c r="R126" s="66"/>
      <c r="S126" s="103">
        <f t="shared" si="27"/>
        <v>0</v>
      </c>
      <c r="T126" s="67"/>
      <c r="U126" s="51"/>
      <c r="V126" s="1723">
        <f t="shared" si="26"/>
        <v>10749023.786468709</v>
      </c>
      <c r="W126" s="182">
        <f t="shared" ref="W126:W137" si="34">V126-H126</f>
        <v>248448.45646870881</v>
      </c>
      <c r="X126" s="183">
        <f t="shared" ref="X126:X137" si="35">W126/H126</f>
        <v>2.3660461323380535E-2</v>
      </c>
      <c r="Y126" s="183">
        <f t="shared" ref="Y126:Y137" si="36">ABS(X126)</f>
        <v>2.3660461323380535E-2</v>
      </c>
      <c r="Z126" s="156"/>
      <c r="AA126" s="264"/>
      <c r="AJ126" s="879"/>
      <c r="AL126" s="51"/>
      <c r="AM126" s="51"/>
      <c r="AN126" s="51"/>
      <c r="AO126" s="51"/>
      <c r="AP126" s="51"/>
      <c r="AQ126" s="51"/>
      <c r="AR126" s="51"/>
      <c r="AS126" s="51"/>
      <c r="AT126" s="51"/>
      <c r="AU126" s="51"/>
    </row>
    <row r="127" spans="1:47">
      <c r="A127" s="864">
        <f t="shared" si="25"/>
        <v>2021</v>
      </c>
      <c r="B127" s="62">
        <f t="shared" si="29"/>
        <v>44255</v>
      </c>
      <c r="C127" s="69">
        <v>9792629.25</v>
      </c>
      <c r="D127" s="843">
        <v>1845.92</v>
      </c>
      <c r="E127" s="860"/>
      <c r="F127" s="885"/>
      <c r="G127" s="63"/>
      <c r="H127" s="71">
        <f t="shared" si="30"/>
        <v>9794475.1699999999</v>
      </c>
      <c r="I127" s="259"/>
      <c r="J127" s="345">
        <f>'HDD &amp; CDD'!V7</f>
        <v>742.8</v>
      </c>
      <c r="K127" s="857">
        <f>'HDD &amp; CDD'!V25</f>
        <v>0</v>
      </c>
      <c r="L127" s="322">
        <f t="shared" si="31"/>
        <v>28</v>
      </c>
      <c r="M127" s="150">
        <v>1</v>
      </c>
      <c r="N127" s="322">
        <f>[21]Sheet1!D197</f>
        <v>19</v>
      </c>
      <c r="O127" s="841">
        <v>122</v>
      </c>
      <c r="P127" s="841">
        <v>0</v>
      </c>
      <c r="Q127" s="1720">
        <v>1</v>
      </c>
      <c r="R127" s="66"/>
      <c r="S127" s="103">
        <f t="shared" si="27"/>
        <v>0</v>
      </c>
      <c r="T127" s="67"/>
      <c r="U127" s="51"/>
      <c r="V127" s="1723">
        <f t="shared" si="26"/>
        <v>10026858.994488291</v>
      </c>
      <c r="W127" s="182">
        <f t="shared" si="34"/>
        <v>232383.82448829152</v>
      </c>
      <c r="X127" s="183">
        <f t="shared" si="35"/>
        <v>2.3726010884184162E-2</v>
      </c>
      <c r="Y127" s="183">
        <f t="shared" si="36"/>
        <v>2.3726010884184162E-2</v>
      </c>
      <c r="Z127" s="156"/>
      <c r="AA127" s="264"/>
      <c r="AJ127" s="879"/>
      <c r="AL127" s="51"/>
      <c r="AM127" s="51"/>
      <c r="AN127" s="51"/>
      <c r="AO127" s="51"/>
      <c r="AP127" s="51"/>
      <c r="AQ127" s="51"/>
      <c r="AR127" s="51"/>
      <c r="AS127" s="51"/>
      <c r="AT127" s="51"/>
      <c r="AU127" s="51"/>
    </row>
    <row r="128" spans="1:47">
      <c r="A128" s="864">
        <f t="shared" si="25"/>
        <v>2021</v>
      </c>
      <c r="B128" s="62">
        <f t="shared" si="29"/>
        <v>44286</v>
      </c>
      <c r="C128" s="69">
        <v>9788308.2699999996</v>
      </c>
      <c r="D128" s="843">
        <v>5980.15</v>
      </c>
      <c r="E128" s="860"/>
      <c r="F128" s="885"/>
      <c r="G128" s="63"/>
      <c r="H128" s="71">
        <f t="shared" si="30"/>
        <v>9794288.4199999999</v>
      </c>
      <c r="I128" s="259"/>
      <c r="J128" s="345">
        <f>'HDD &amp; CDD'!V8</f>
        <v>577.30000000000018</v>
      </c>
      <c r="K128" s="857">
        <f>'HDD &amp; CDD'!V26</f>
        <v>0</v>
      </c>
      <c r="L128" s="322">
        <f t="shared" si="31"/>
        <v>31</v>
      </c>
      <c r="M128" s="150">
        <v>1</v>
      </c>
      <c r="N128" s="322">
        <f>[21]Sheet1!D198</f>
        <v>23</v>
      </c>
      <c r="O128" s="841">
        <v>123</v>
      </c>
      <c r="P128" s="841">
        <v>0</v>
      </c>
      <c r="Q128" s="1720">
        <v>1</v>
      </c>
      <c r="R128" s="66"/>
      <c r="S128" s="103">
        <f t="shared" si="27"/>
        <v>1</v>
      </c>
      <c r="T128" s="67"/>
      <c r="U128" s="51"/>
      <c r="V128" s="1723">
        <f t="shared" si="26"/>
        <v>9981531.7168981377</v>
      </c>
      <c r="W128" s="182">
        <f t="shared" si="34"/>
        <v>187243.29689813778</v>
      </c>
      <c r="X128" s="183">
        <f t="shared" si="35"/>
        <v>1.9117600878057233E-2</v>
      </c>
      <c r="Y128" s="183">
        <f t="shared" si="36"/>
        <v>1.9117600878057233E-2</v>
      </c>
      <c r="Z128" s="156"/>
      <c r="AA128" s="264"/>
      <c r="AJ128" s="879"/>
      <c r="AL128" s="51"/>
      <c r="AM128" s="51"/>
      <c r="AN128" s="51"/>
      <c r="AO128" s="51"/>
      <c r="AP128" s="51"/>
      <c r="AQ128" s="51"/>
      <c r="AR128" s="51"/>
      <c r="AS128" s="51"/>
      <c r="AT128" s="51"/>
      <c r="AU128" s="51"/>
    </row>
    <row r="129" spans="1:48">
      <c r="A129" s="864">
        <f t="shared" si="25"/>
        <v>2021</v>
      </c>
      <c r="B129" s="62">
        <f t="shared" si="29"/>
        <v>44316</v>
      </c>
      <c r="C129" s="69">
        <v>7927583.6500000004</v>
      </c>
      <c r="D129" s="843">
        <v>7745.3</v>
      </c>
      <c r="E129" s="860"/>
      <c r="F129" s="885"/>
      <c r="G129" s="63"/>
      <c r="H129" s="71">
        <f t="shared" si="30"/>
        <v>7935328.9500000002</v>
      </c>
      <c r="I129" s="259"/>
      <c r="J129" s="345">
        <f>'HDD &amp; CDD'!V9</f>
        <v>295.30000000000007</v>
      </c>
      <c r="K129" s="857">
        <f>'HDD &amp; CDD'!V27</f>
        <v>0</v>
      </c>
      <c r="L129" s="322">
        <f t="shared" si="31"/>
        <v>30</v>
      </c>
      <c r="M129" s="150">
        <v>0</v>
      </c>
      <c r="N129" s="322">
        <f>[21]Sheet1!D199</f>
        <v>20</v>
      </c>
      <c r="O129" s="841">
        <v>124</v>
      </c>
      <c r="P129" s="841">
        <v>0</v>
      </c>
      <c r="Q129" s="1720">
        <v>1</v>
      </c>
      <c r="R129" s="66"/>
      <c r="S129" s="103">
        <f t="shared" si="27"/>
        <v>1</v>
      </c>
      <c r="T129" s="67"/>
      <c r="U129" s="51"/>
      <c r="V129" s="1723">
        <f t="shared" si="26"/>
        <v>8046869.7972084191</v>
      </c>
      <c r="W129" s="182">
        <f t="shared" si="34"/>
        <v>111540.84720841888</v>
      </c>
      <c r="X129" s="183">
        <f t="shared" si="35"/>
        <v>1.4056234834274751E-2</v>
      </c>
      <c r="Y129" s="183">
        <f t="shared" si="36"/>
        <v>1.4056234834274751E-2</v>
      </c>
      <c r="Z129" s="156"/>
      <c r="AA129" s="264"/>
      <c r="AJ129" s="879"/>
      <c r="AL129" s="51"/>
      <c r="AM129" s="51"/>
      <c r="AN129" s="51"/>
      <c r="AO129" s="51"/>
      <c r="AP129" s="51"/>
      <c r="AQ129" s="51"/>
      <c r="AR129" s="51"/>
      <c r="AS129" s="51"/>
      <c r="AT129" s="51"/>
      <c r="AU129" s="51"/>
    </row>
    <row r="130" spans="1:48">
      <c r="A130" s="864">
        <f t="shared" si="25"/>
        <v>2021</v>
      </c>
      <c r="B130" s="62">
        <f t="shared" si="29"/>
        <v>44347</v>
      </c>
      <c r="C130" s="69">
        <v>8042340</v>
      </c>
      <c r="D130" s="843">
        <v>10422.049999999999</v>
      </c>
      <c r="E130" s="860"/>
      <c r="F130" s="885"/>
      <c r="G130" s="63"/>
      <c r="H130" s="71">
        <f t="shared" si="30"/>
        <v>8052762.0499999998</v>
      </c>
      <c r="I130" s="259"/>
      <c r="J130" s="345">
        <f>'HDD &amp; CDD'!V10</f>
        <v>173.9</v>
      </c>
      <c r="K130" s="857">
        <f>'HDD &amp; CDD'!V28</f>
        <v>24.4</v>
      </c>
      <c r="L130" s="322">
        <f t="shared" si="31"/>
        <v>31</v>
      </c>
      <c r="M130" s="150">
        <v>0</v>
      </c>
      <c r="N130" s="322">
        <f>[21]Sheet1!D200</f>
        <v>20</v>
      </c>
      <c r="O130" s="841">
        <v>125</v>
      </c>
      <c r="P130" s="841">
        <v>0</v>
      </c>
      <c r="Q130" s="1720">
        <v>1</v>
      </c>
      <c r="R130" s="66"/>
      <c r="S130" s="103">
        <f t="shared" si="27"/>
        <v>1</v>
      </c>
      <c r="T130" s="67"/>
      <c r="U130" s="51"/>
      <c r="V130" s="1723">
        <f t="shared" si="26"/>
        <v>8032479.856121581</v>
      </c>
      <c r="W130" s="182">
        <f t="shared" si="34"/>
        <v>-20282.193878418766</v>
      </c>
      <c r="X130" s="183">
        <f t="shared" si="35"/>
        <v>-2.5186630068646776E-3</v>
      </c>
      <c r="Y130" s="183">
        <f t="shared" si="36"/>
        <v>2.5186630068646776E-3</v>
      </c>
      <c r="Z130" s="156"/>
      <c r="AA130" s="264"/>
      <c r="AJ130" s="879"/>
      <c r="AL130" s="51"/>
      <c r="AM130" s="51"/>
      <c r="AN130" s="51"/>
      <c r="AO130" s="51"/>
      <c r="AP130" s="51"/>
      <c r="AQ130" s="51"/>
      <c r="AR130" s="51"/>
      <c r="AS130" s="51"/>
      <c r="AT130" s="51"/>
      <c r="AU130" s="51"/>
    </row>
    <row r="131" spans="1:48">
      <c r="A131" s="864">
        <f t="shared" si="25"/>
        <v>2021</v>
      </c>
      <c r="B131" s="62">
        <f t="shared" si="29"/>
        <v>44377</v>
      </c>
      <c r="C131" s="69">
        <v>8737900</v>
      </c>
      <c r="D131" s="843">
        <v>9154.92</v>
      </c>
      <c r="E131" s="860"/>
      <c r="F131" s="885"/>
      <c r="G131" s="63"/>
      <c r="H131" s="71">
        <f t="shared" si="30"/>
        <v>8747054.9199999999</v>
      </c>
      <c r="I131" s="259"/>
      <c r="J131" s="345">
        <f>'HDD &amp; CDD'!V11</f>
        <v>13.8</v>
      </c>
      <c r="K131" s="857">
        <f>'HDD &amp; CDD'!V29</f>
        <v>89.8</v>
      </c>
      <c r="L131" s="322">
        <f t="shared" si="31"/>
        <v>30</v>
      </c>
      <c r="M131" s="150">
        <v>1</v>
      </c>
      <c r="N131" s="322">
        <f>[21]Sheet1!D201</f>
        <v>22</v>
      </c>
      <c r="O131" s="841">
        <v>126</v>
      </c>
      <c r="P131" s="841">
        <v>0</v>
      </c>
      <c r="Q131" s="1720">
        <v>1</v>
      </c>
      <c r="R131" s="66"/>
      <c r="S131" s="103">
        <f t="shared" si="27"/>
        <v>0</v>
      </c>
      <c r="T131" s="67"/>
      <c r="U131" s="51"/>
      <c r="V131" s="1723">
        <f t="shared" si="26"/>
        <v>8637590.816031171</v>
      </c>
      <c r="W131" s="182">
        <f t="shared" si="34"/>
        <v>-109464.10396882892</v>
      </c>
      <c r="X131" s="183">
        <f t="shared" si="35"/>
        <v>-1.2514395413082524E-2</v>
      </c>
      <c r="Y131" s="183">
        <f t="shared" si="36"/>
        <v>1.2514395413082524E-2</v>
      </c>
      <c r="Z131" s="156"/>
      <c r="AA131" s="264"/>
      <c r="AJ131" s="420"/>
      <c r="AL131" s="51"/>
      <c r="AM131" s="51"/>
      <c r="AN131" s="51"/>
      <c r="AO131" s="51"/>
      <c r="AP131" s="51"/>
      <c r="AQ131" s="51"/>
      <c r="AR131" s="51"/>
      <c r="AS131" s="51"/>
      <c r="AT131" s="51"/>
      <c r="AU131" s="51"/>
    </row>
    <row r="132" spans="1:48">
      <c r="A132" s="864">
        <f t="shared" si="25"/>
        <v>2021</v>
      </c>
      <c r="B132" s="62">
        <f t="shared" si="29"/>
        <v>44408</v>
      </c>
      <c r="C132" s="88">
        <v>8943567.3800000008</v>
      </c>
      <c r="D132" s="843">
        <v>8250.8799999999992</v>
      </c>
      <c r="E132" s="860"/>
      <c r="F132" s="885"/>
      <c r="G132" s="63"/>
      <c r="H132" s="71">
        <f t="shared" si="30"/>
        <v>8951818.2600000016</v>
      </c>
      <c r="I132" s="259"/>
      <c r="J132" s="345">
        <f>'HDD &amp; CDD'!V12</f>
        <v>16.099999999999998</v>
      </c>
      <c r="K132" s="857">
        <f>'HDD &amp; CDD'!V30</f>
        <v>67.5</v>
      </c>
      <c r="L132" s="322">
        <f t="shared" si="31"/>
        <v>31</v>
      </c>
      <c r="M132" s="150">
        <v>1</v>
      </c>
      <c r="N132" s="322">
        <f>[21]Sheet1!D202</f>
        <v>21</v>
      </c>
      <c r="O132" s="841">
        <v>127</v>
      </c>
      <c r="P132" s="841">
        <v>0</v>
      </c>
      <c r="Q132" s="1720">
        <v>1</v>
      </c>
      <c r="R132" s="66"/>
      <c r="S132" s="103">
        <f t="shared" si="27"/>
        <v>0</v>
      </c>
      <c r="T132" s="67"/>
      <c r="U132" s="51"/>
      <c r="V132" s="1723">
        <f t="shared" si="26"/>
        <v>8401901.6329881586</v>
      </c>
      <c r="W132" s="182">
        <f t="shared" si="34"/>
        <v>-549916.62701184303</v>
      </c>
      <c r="X132" s="183">
        <f t="shared" si="35"/>
        <v>-6.1430718435054883E-2</v>
      </c>
      <c r="Y132" s="183">
        <f t="shared" si="36"/>
        <v>6.1430718435054883E-2</v>
      </c>
      <c r="Z132" s="156"/>
      <c r="AA132" s="264"/>
      <c r="AJ132" s="420"/>
      <c r="AL132" s="51"/>
      <c r="AM132" s="51"/>
      <c r="AN132" s="51"/>
      <c r="AO132" s="51"/>
      <c r="AP132" s="51"/>
      <c r="AQ132" s="51"/>
      <c r="AR132" s="51"/>
      <c r="AS132" s="51"/>
      <c r="AT132" s="51"/>
      <c r="AU132" s="51"/>
    </row>
    <row r="133" spans="1:48">
      <c r="A133" s="864">
        <f t="shared" si="25"/>
        <v>2021</v>
      </c>
      <c r="B133" s="62">
        <f t="shared" si="29"/>
        <v>44439</v>
      </c>
      <c r="C133" s="88">
        <v>10027303.539999999</v>
      </c>
      <c r="D133" s="843">
        <v>8439.5300000000007</v>
      </c>
      <c r="E133" s="860"/>
      <c r="F133" s="885"/>
      <c r="G133" s="63"/>
      <c r="H133" s="71">
        <f t="shared" si="30"/>
        <v>10035743.069999998</v>
      </c>
      <c r="I133" s="259"/>
      <c r="J133" s="345">
        <f>'HDD &amp; CDD'!V13</f>
        <v>4.4000000000000004</v>
      </c>
      <c r="K133" s="857">
        <f>'HDD &amp; CDD'!V31</f>
        <v>135.99999999999997</v>
      </c>
      <c r="L133" s="322">
        <f t="shared" si="31"/>
        <v>31</v>
      </c>
      <c r="M133" s="150">
        <v>1</v>
      </c>
      <c r="N133" s="322">
        <f>[21]Sheet1!D203</f>
        <v>21</v>
      </c>
      <c r="O133" s="841">
        <v>128</v>
      </c>
      <c r="P133" s="841">
        <v>1</v>
      </c>
      <c r="Q133" s="1720">
        <v>1</v>
      </c>
      <c r="R133" s="66"/>
      <c r="S133" s="103">
        <f t="shared" si="27"/>
        <v>0</v>
      </c>
      <c r="T133" s="67"/>
      <c r="U133" s="51"/>
      <c r="V133" s="1723">
        <f t="shared" si="26"/>
        <v>9799866.5684041902</v>
      </c>
      <c r="W133" s="182">
        <f t="shared" si="34"/>
        <v>-235876.50159580819</v>
      </c>
      <c r="X133" s="183">
        <f t="shared" si="35"/>
        <v>-2.3503640931274682E-2</v>
      </c>
      <c r="Y133" s="183">
        <f t="shared" si="36"/>
        <v>2.3503640931274682E-2</v>
      </c>
      <c r="Z133" s="156"/>
      <c r="AA133" s="264"/>
      <c r="AJ133" s="328"/>
      <c r="AL133" s="51"/>
      <c r="AM133" s="51"/>
      <c r="AN133" s="51"/>
      <c r="AO133" s="51"/>
      <c r="AP133" s="51"/>
      <c r="AQ133" s="51"/>
      <c r="AR133" s="51"/>
      <c r="AS133" s="51"/>
      <c r="AT133" s="51"/>
      <c r="AU133" s="51"/>
    </row>
    <row r="134" spans="1:48">
      <c r="A134" s="864">
        <f t="shared" si="25"/>
        <v>2021</v>
      </c>
      <c r="B134" s="62">
        <f t="shared" si="29"/>
        <v>44469</v>
      </c>
      <c r="C134" s="88">
        <v>8054741.79</v>
      </c>
      <c r="D134" s="843">
        <v>6534.67</v>
      </c>
      <c r="E134" s="860"/>
      <c r="F134" s="885"/>
      <c r="G134" s="63"/>
      <c r="H134" s="71">
        <f t="shared" ref="H134:H149" si="37">SUM(C134:G134)</f>
        <v>8061276.46</v>
      </c>
      <c r="I134" s="259"/>
      <c r="J134" s="345">
        <f>'HDD &amp; CDD'!V14</f>
        <v>69.5</v>
      </c>
      <c r="K134" s="857">
        <f>'HDD &amp; CDD'!V32</f>
        <v>4.7</v>
      </c>
      <c r="L134" s="322">
        <f t="shared" ref="L134:L149" si="38">DAY(EOMONTH(B134,0))</f>
        <v>30</v>
      </c>
      <c r="M134" s="150">
        <v>1</v>
      </c>
      <c r="N134" s="322">
        <f>[21]Sheet1!D204</f>
        <v>21</v>
      </c>
      <c r="O134" s="841">
        <v>129</v>
      </c>
      <c r="P134" s="841">
        <v>0</v>
      </c>
      <c r="Q134" s="1720">
        <v>1</v>
      </c>
      <c r="R134" s="66"/>
      <c r="S134" s="103">
        <f t="shared" si="27"/>
        <v>1</v>
      </c>
      <c r="T134" s="67"/>
      <c r="U134" s="51"/>
      <c r="V134" s="1723">
        <f t="shared" si="26"/>
        <v>7507067.2982987855</v>
      </c>
      <c r="W134" s="182">
        <f t="shared" si="34"/>
        <v>-554209.1617012145</v>
      </c>
      <c r="X134" s="183">
        <f t="shared" si="35"/>
        <v>-6.8749554050304154E-2</v>
      </c>
      <c r="Y134" s="183">
        <f t="shared" si="36"/>
        <v>6.8749554050304154E-2</v>
      </c>
      <c r="Z134" s="156"/>
      <c r="AA134" s="264"/>
      <c r="AJ134" s="51"/>
      <c r="AK134" s="328"/>
      <c r="AM134" s="51"/>
      <c r="AN134" s="51"/>
      <c r="AO134" s="51"/>
      <c r="AP134" s="51"/>
      <c r="AQ134" s="51"/>
      <c r="AR134" s="51"/>
      <c r="AS134" s="51"/>
      <c r="AT134" s="51"/>
      <c r="AU134" s="51"/>
      <c r="AV134" s="51"/>
    </row>
    <row r="135" spans="1:48">
      <c r="A135" s="864">
        <f t="shared" ref="A135:A149" si="39">YEAR(B135)</f>
        <v>2021</v>
      </c>
      <c r="B135" s="62">
        <f t="shared" si="29"/>
        <v>44500</v>
      </c>
      <c r="C135" s="88">
        <v>8075869</v>
      </c>
      <c r="D135" s="843">
        <v>4121.78</v>
      </c>
      <c r="E135" s="860"/>
      <c r="F135" s="885"/>
      <c r="G135" s="63"/>
      <c r="H135" s="71">
        <f t="shared" si="37"/>
        <v>8079990.7800000003</v>
      </c>
      <c r="I135" s="259"/>
      <c r="J135" s="345">
        <f>'HDD &amp; CDD'!V15</f>
        <v>201.5</v>
      </c>
      <c r="K135" s="857">
        <f>'HDD &amp; CDD'!V33</f>
        <v>0.7</v>
      </c>
      <c r="L135" s="322">
        <f t="shared" si="38"/>
        <v>31</v>
      </c>
      <c r="M135" s="150">
        <v>0</v>
      </c>
      <c r="N135" s="322">
        <f>[21]Sheet1!D205</f>
        <v>20</v>
      </c>
      <c r="O135" s="841">
        <v>130</v>
      </c>
      <c r="P135" s="841">
        <v>0</v>
      </c>
      <c r="Q135" s="1720">
        <v>1</v>
      </c>
      <c r="R135" s="66"/>
      <c r="S135" s="103">
        <f t="shared" si="27"/>
        <v>1</v>
      </c>
      <c r="T135" s="67"/>
      <c r="U135" s="51"/>
      <c r="V135" s="1723">
        <f t="shared" ref="V135:V148" si="40">$AC$21+J135*$AC$22+K135*$AC$23+L135*$AC$24+M135*$AC$25+N135*$AC$26+O135*$AC$27+P135*$AC$28+Q135*$AC$29</f>
        <v>7743458.57497981</v>
      </c>
      <c r="W135" s="182">
        <f t="shared" si="34"/>
        <v>-336532.20502019022</v>
      </c>
      <c r="X135" s="183">
        <f t="shared" si="35"/>
        <v>-4.1650072900230491E-2</v>
      </c>
      <c r="Y135" s="183">
        <f t="shared" si="36"/>
        <v>4.1650072900230491E-2</v>
      </c>
      <c r="Z135" s="156"/>
      <c r="AA135" s="264"/>
      <c r="AK135" s="51"/>
      <c r="AL135" s="51"/>
      <c r="AM135" s="51"/>
      <c r="AN135" s="51"/>
      <c r="AO135" s="51"/>
      <c r="AP135" s="51"/>
      <c r="AQ135" s="51"/>
      <c r="AR135" s="51"/>
      <c r="AS135" s="51"/>
      <c r="AT135" s="51"/>
    </row>
    <row r="136" spans="1:48">
      <c r="A136" s="864">
        <f t="shared" si="39"/>
        <v>2021</v>
      </c>
      <c r="B136" s="62">
        <f t="shared" si="29"/>
        <v>44530</v>
      </c>
      <c r="C136" s="88">
        <v>9085638.8699999992</v>
      </c>
      <c r="D136" s="843">
        <v>3482.5299999999997</v>
      </c>
      <c r="E136" s="860"/>
      <c r="F136" s="885"/>
      <c r="G136" s="63"/>
      <c r="H136" s="71">
        <f t="shared" si="37"/>
        <v>9089121.3999999985</v>
      </c>
      <c r="I136" s="259"/>
      <c r="J136" s="345">
        <f>'HDD &amp; CDD'!V16</f>
        <v>509.3</v>
      </c>
      <c r="K136" s="857">
        <f>'HDD &amp; CDD'!V34</f>
        <v>0</v>
      </c>
      <c r="L136" s="322">
        <f t="shared" si="38"/>
        <v>30</v>
      </c>
      <c r="M136" s="150">
        <v>0</v>
      </c>
      <c r="N136" s="322">
        <f>[21]Sheet1!D206</f>
        <v>22</v>
      </c>
      <c r="O136" s="841">
        <v>131</v>
      </c>
      <c r="P136" s="841">
        <v>0</v>
      </c>
      <c r="Q136" s="1720">
        <v>1</v>
      </c>
      <c r="R136" s="66"/>
      <c r="S136" s="103">
        <f t="shared" si="27"/>
        <v>1</v>
      </c>
      <c r="T136" s="67"/>
      <c r="U136" s="51"/>
      <c r="V136" s="1723">
        <f t="shared" si="40"/>
        <v>9020205.0978628863</v>
      </c>
      <c r="W136" s="182">
        <f t="shared" si="34"/>
        <v>-68916.302137112245</v>
      </c>
      <c r="X136" s="183">
        <f t="shared" si="35"/>
        <v>-7.5822842609531279E-3</v>
      </c>
      <c r="Y136" s="183">
        <f t="shared" si="36"/>
        <v>7.5822842609531279E-3</v>
      </c>
      <c r="Z136" s="156"/>
      <c r="AA136" s="264"/>
      <c r="AK136" s="51"/>
      <c r="AL136" s="51"/>
      <c r="AM136" s="51"/>
      <c r="AN136" s="51"/>
      <c r="AO136" s="51"/>
      <c r="AP136" s="51"/>
      <c r="AQ136" s="51"/>
      <c r="AR136" s="51"/>
      <c r="AS136" s="51"/>
      <c r="AT136" s="51"/>
    </row>
    <row r="137" spans="1:48">
      <c r="A137" s="866">
        <f t="shared" si="39"/>
        <v>2021</v>
      </c>
      <c r="B137" s="694">
        <f t="shared" si="29"/>
        <v>44561</v>
      </c>
      <c r="C137" s="695">
        <v>10218754</v>
      </c>
      <c r="D137" s="862">
        <v>1783.16</v>
      </c>
      <c r="E137" s="862"/>
      <c r="F137" s="958"/>
      <c r="G137" s="703"/>
      <c r="H137" s="695">
        <f t="shared" si="37"/>
        <v>10220537.16</v>
      </c>
      <c r="I137" s="697"/>
      <c r="J137" s="855">
        <f>'HDD &amp; CDD'!V17</f>
        <v>692.7</v>
      </c>
      <c r="K137" s="851">
        <f>'HDD &amp; CDD'!V35</f>
        <v>0</v>
      </c>
      <c r="L137" s="699">
        <f t="shared" si="38"/>
        <v>31</v>
      </c>
      <c r="M137" s="698">
        <v>1</v>
      </c>
      <c r="N137" s="699">
        <f>[21]Sheet1!D207</f>
        <v>21</v>
      </c>
      <c r="O137" s="844">
        <v>132</v>
      </c>
      <c r="P137" s="844">
        <v>0</v>
      </c>
      <c r="Q137" s="1722">
        <v>1</v>
      </c>
      <c r="R137" s="700"/>
      <c r="S137" s="698">
        <f t="shared" si="27"/>
        <v>0</v>
      </c>
      <c r="T137" s="701"/>
      <c r="U137" s="702"/>
      <c r="V137" s="703">
        <f t="shared" si="40"/>
        <v>10285684.976880012</v>
      </c>
      <c r="W137" s="852">
        <f t="shared" si="34"/>
        <v>65147.816880011931</v>
      </c>
      <c r="X137" s="704">
        <f t="shared" si="35"/>
        <v>6.3742067427708399E-3</v>
      </c>
      <c r="Y137" s="704">
        <f t="shared" si="36"/>
        <v>6.3742067427708399E-3</v>
      </c>
      <c r="Z137" s="156"/>
      <c r="AA137" s="264"/>
      <c r="AK137" s="51"/>
      <c r="AL137" s="51"/>
      <c r="AM137" s="51"/>
      <c r="AN137" s="51"/>
      <c r="AO137" s="51"/>
      <c r="AP137" s="51"/>
      <c r="AQ137" s="51"/>
      <c r="AR137" s="51"/>
      <c r="AS137" s="51"/>
      <c r="AT137" s="51"/>
    </row>
    <row r="138" spans="1:48">
      <c r="A138" s="864">
        <f t="shared" si="39"/>
        <v>2022</v>
      </c>
      <c r="B138" s="62">
        <f t="shared" si="29"/>
        <v>44592</v>
      </c>
      <c r="C138" s="69"/>
      <c r="D138" s="72"/>
      <c r="E138" s="860"/>
      <c r="F138" s="885"/>
      <c r="G138" s="321"/>
      <c r="H138" s="71">
        <f t="shared" si="37"/>
        <v>0</v>
      </c>
      <c r="J138" s="345">
        <f>'HDD &amp; CDD'!W6</f>
        <v>849.19090909090926</v>
      </c>
      <c r="K138" s="857">
        <f>'HDD &amp; CDD'!W24</f>
        <v>0</v>
      </c>
      <c r="L138" s="322">
        <f t="shared" si="38"/>
        <v>31</v>
      </c>
      <c r="M138" s="150">
        <v>1</v>
      </c>
      <c r="N138" s="322">
        <f>[21]Sheet1!D208</f>
        <v>20</v>
      </c>
      <c r="O138" s="841">
        <v>133</v>
      </c>
      <c r="P138" s="841">
        <v>0</v>
      </c>
      <c r="Q138" s="1720">
        <v>1</v>
      </c>
      <c r="R138" s="103"/>
      <c r="S138" s="103">
        <f t="shared" si="27"/>
        <v>0</v>
      </c>
      <c r="T138" s="91"/>
      <c r="U138" s="51"/>
      <c r="V138" s="1723">
        <f t="shared" si="40"/>
        <v>10904948.699051129</v>
      </c>
      <c r="W138" s="182"/>
      <c r="X138" s="183"/>
      <c r="Y138" s="183"/>
      <c r="Z138" s="156"/>
      <c r="AA138" s="264"/>
      <c r="AK138" s="51"/>
      <c r="AL138" s="51"/>
      <c r="AM138" s="51"/>
      <c r="AN138" s="51"/>
      <c r="AO138" s="51"/>
      <c r="AP138" s="51"/>
      <c r="AQ138" s="51"/>
      <c r="AR138" s="51"/>
      <c r="AS138" s="51"/>
      <c r="AT138" s="51"/>
    </row>
    <row r="139" spans="1:48">
      <c r="A139" s="864">
        <f t="shared" si="39"/>
        <v>2022</v>
      </c>
      <c r="B139" s="62">
        <f t="shared" si="29"/>
        <v>44620</v>
      </c>
      <c r="C139" s="69"/>
      <c r="D139" s="72"/>
      <c r="E139" s="860"/>
      <c r="F139" s="885"/>
      <c r="G139" s="89"/>
      <c r="H139" s="71">
        <f t="shared" si="37"/>
        <v>0</v>
      </c>
      <c r="I139" s="257"/>
      <c r="J139" s="345">
        <f>'HDD &amp; CDD'!W7</f>
        <v>743.30909090909097</v>
      </c>
      <c r="K139" s="857">
        <f>'HDD &amp; CDD'!W25</f>
        <v>0</v>
      </c>
      <c r="L139" s="322">
        <f t="shared" si="38"/>
        <v>28</v>
      </c>
      <c r="M139" s="150">
        <v>1</v>
      </c>
      <c r="N139" s="322">
        <f>[21]Sheet1!D209</f>
        <v>19</v>
      </c>
      <c r="O139" s="841">
        <v>134</v>
      </c>
      <c r="P139" s="841">
        <v>0</v>
      </c>
      <c r="Q139" s="1720">
        <v>1</v>
      </c>
      <c r="R139" s="106"/>
      <c r="S139" s="103">
        <f t="shared" si="27"/>
        <v>0</v>
      </c>
      <c r="T139" s="91"/>
      <c r="U139" s="51"/>
      <c r="V139" s="1723">
        <f t="shared" si="40"/>
        <v>9907540.2269728761</v>
      </c>
      <c r="W139" s="182"/>
      <c r="X139" s="183"/>
      <c r="Y139" s="183"/>
      <c r="Z139" s="156"/>
      <c r="AA139" s="264"/>
      <c r="AK139" s="51"/>
      <c r="AL139" s="51"/>
      <c r="AM139" s="51"/>
      <c r="AN139" s="51"/>
      <c r="AO139" s="51"/>
      <c r="AP139" s="51"/>
      <c r="AQ139" s="51"/>
      <c r="AR139" s="51"/>
      <c r="AS139" s="51"/>
      <c r="AT139" s="51"/>
    </row>
    <row r="140" spans="1:48">
      <c r="A140" s="864">
        <f t="shared" si="39"/>
        <v>2022</v>
      </c>
      <c r="B140" s="62">
        <f t="shared" si="29"/>
        <v>44651</v>
      </c>
      <c r="C140" s="69"/>
      <c r="D140" s="72"/>
      <c r="E140" s="860"/>
      <c r="F140" s="885"/>
      <c r="G140" s="89"/>
      <c r="H140" s="71">
        <f t="shared" si="37"/>
        <v>0</v>
      </c>
      <c r="I140" s="257"/>
      <c r="J140" s="345">
        <f>'HDD &amp; CDD'!W8</f>
        <v>634.18181818181813</v>
      </c>
      <c r="K140" s="857">
        <f>'HDD &amp; CDD'!W26</f>
        <v>0</v>
      </c>
      <c r="L140" s="322">
        <f t="shared" si="38"/>
        <v>31</v>
      </c>
      <c r="M140" s="150">
        <v>1</v>
      </c>
      <c r="N140" s="322">
        <f>[21]Sheet1!D210</f>
        <v>23</v>
      </c>
      <c r="O140" s="841">
        <v>135</v>
      </c>
      <c r="P140" s="841">
        <v>0</v>
      </c>
      <c r="Q140" s="1720">
        <v>1</v>
      </c>
      <c r="R140" s="106"/>
      <c r="S140" s="103">
        <f t="shared" si="27"/>
        <v>1</v>
      </c>
      <c r="T140" s="91"/>
      <c r="U140" s="51"/>
      <c r="V140" s="1723">
        <f t="shared" si="40"/>
        <v>10108573.523904467</v>
      </c>
      <c r="W140" s="182"/>
      <c r="X140" s="183"/>
      <c r="Y140" s="183"/>
      <c r="Z140" s="156"/>
      <c r="AA140" s="264"/>
      <c r="AK140" s="51"/>
      <c r="AL140" s="51"/>
      <c r="AM140" s="51"/>
      <c r="AN140" s="51"/>
      <c r="AO140" s="51"/>
      <c r="AP140" s="51"/>
      <c r="AQ140" s="51"/>
      <c r="AR140" s="51"/>
      <c r="AS140" s="51"/>
      <c r="AT140" s="51"/>
    </row>
    <row r="141" spans="1:48">
      <c r="A141" s="864">
        <f t="shared" si="39"/>
        <v>2022</v>
      </c>
      <c r="B141" s="62">
        <f t="shared" si="29"/>
        <v>44681</v>
      </c>
      <c r="C141" s="69"/>
      <c r="D141" s="72"/>
      <c r="E141" s="860"/>
      <c r="F141" s="885"/>
      <c r="G141" s="89"/>
      <c r="H141" s="71">
        <f t="shared" si="37"/>
        <v>0</v>
      </c>
      <c r="I141" s="261"/>
      <c r="J141" s="345">
        <f>'HDD &amp; CDD'!W9</f>
        <v>376.19090909090914</v>
      </c>
      <c r="K141" s="857">
        <f>'HDD &amp; CDD'!W27</f>
        <v>0.4</v>
      </c>
      <c r="L141" s="322">
        <f t="shared" si="38"/>
        <v>30</v>
      </c>
      <c r="M141" s="150">
        <v>0</v>
      </c>
      <c r="N141" s="322">
        <f>[21]Sheet1!D211</f>
        <v>19</v>
      </c>
      <c r="O141" s="841">
        <v>136</v>
      </c>
      <c r="P141" s="841">
        <v>0</v>
      </c>
      <c r="Q141" s="1720">
        <v>0</v>
      </c>
      <c r="R141" s="106"/>
      <c r="S141" s="103">
        <f t="shared" si="27"/>
        <v>1</v>
      </c>
      <c r="T141" s="91"/>
      <c r="U141" s="51"/>
      <c r="V141" s="1723">
        <f>$AC$21+J141*$AC$22+K141*$AC$23+L141*$AC$24+M141*$AC$25+N141*$AC$26+O141*$AC$27+P141*$AC$28+Q141*$AC$29</f>
        <v>7788129.4541515838</v>
      </c>
      <c r="W141" s="182"/>
      <c r="X141" s="183"/>
      <c r="Y141" s="183"/>
      <c r="Z141" s="156"/>
      <c r="AA141" s="264"/>
      <c r="AK141" s="51"/>
      <c r="AL141" s="51"/>
      <c r="AM141" s="51"/>
      <c r="AN141" s="51"/>
      <c r="AO141" s="51"/>
      <c r="AP141" s="51"/>
      <c r="AQ141" s="51"/>
      <c r="AR141" s="51"/>
      <c r="AS141" s="51"/>
      <c r="AT141" s="51"/>
    </row>
    <row r="142" spans="1:48">
      <c r="A142" s="864">
        <f t="shared" si="39"/>
        <v>2022</v>
      </c>
      <c r="B142" s="62">
        <f t="shared" si="29"/>
        <v>44712</v>
      </c>
      <c r="C142" s="69"/>
      <c r="D142" s="72"/>
      <c r="E142" s="860"/>
      <c r="F142" s="885"/>
      <c r="G142" s="89"/>
      <c r="H142" s="71">
        <f t="shared" si="37"/>
        <v>0</v>
      </c>
      <c r="I142" s="257"/>
      <c r="J142" s="345">
        <f>'HDD &amp; CDD'!W10</f>
        <v>147.39545454545458</v>
      </c>
      <c r="K142" s="857">
        <f>'HDD &amp; CDD'!W28</f>
        <v>17.336363636363636</v>
      </c>
      <c r="L142" s="322">
        <f t="shared" si="38"/>
        <v>31</v>
      </c>
      <c r="M142" s="150">
        <v>0</v>
      </c>
      <c r="N142" s="322">
        <f>[21]Sheet1!D212</f>
        <v>21</v>
      </c>
      <c r="O142" s="841">
        <v>137</v>
      </c>
      <c r="P142" s="841">
        <v>0</v>
      </c>
      <c r="Q142" s="1720">
        <v>0</v>
      </c>
      <c r="R142" s="106"/>
      <c r="S142" s="103">
        <f t="shared" si="27"/>
        <v>1</v>
      </c>
      <c r="T142" s="91"/>
      <c r="U142" s="51"/>
      <c r="V142" s="1723">
        <f t="shared" si="40"/>
        <v>7300354.6157250945</v>
      </c>
      <c r="W142" s="182"/>
      <c r="X142" s="183"/>
      <c r="Y142" s="183"/>
      <c r="Z142" s="156"/>
      <c r="AA142" s="264"/>
      <c r="AK142" s="51"/>
      <c r="AL142" s="51"/>
      <c r="AM142" s="51"/>
      <c r="AN142" s="51"/>
      <c r="AO142" s="51"/>
      <c r="AP142" s="51"/>
      <c r="AQ142" s="51"/>
      <c r="AR142" s="51"/>
      <c r="AS142" s="51"/>
      <c r="AT142" s="51"/>
    </row>
    <row r="143" spans="1:48">
      <c r="A143" s="864">
        <f t="shared" si="39"/>
        <v>2022</v>
      </c>
      <c r="B143" s="62">
        <f t="shared" si="29"/>
        <v>44742</v>
      </c>
      <c r="C143" s="69"/>
      <c r="D143" s="72"/>
      <c r="E143" s="860"/>
      <c r="F143" s="885"/>
      <c r="G143" s="89"/>
      <c r="H143" s="71">
        <f t="shared" si="37"/>
        <v>0</v>
      </c>
      <c r="I143" s="257"/>
      <c r="J143" s="345">
        <f>'HDD &amp; CDD'!W11</f>
        <v>37.681818181818187</v>
      </c>
      <c r="K143" s="857">
        <f>'HDD &amp; CDD'!W29</f>
        <v>51.772727272727273</v>
      </c>
      <c r="L143" s="322">
        <f t="shared" si="38"/>
        <v>30</v>
      </c>
      <c r="M143" s="150">
        <v>1</v>
      </c>
      <c r="N143" s="322">
        <f>[21]Sheet1!D213</f>
        <v>22</v>
      </c>
      <c r="O143" s="841">
        <v>138</v>
      </c>
      <c r="P143" s="841">
        <v>0</v>
      </c>
      <c r="Q143" s="1720">
        <v>0</v>
      </c>
      <c r="R143" s="106"/>
      <c r="S143" s="103">
        <f t="shared" si="27"/>
        <v>0</v>
      </c>
      <c r="T143" s="91"/>
      <c r="U143" s="51"/>
      <c r="V143" s="1723">
        <f t="shared" si="40"/>
        <v>7602137.101295108</v>
      </c>
      <c r="W143" s="182"/>
      <c r="X143" s="183"/>
      <c r="Y143" s="183"/>
      <c r="Z143" s="156"/>
      <c r="AA143" s="264"/>
      <c r="AK143" s="51"/>
      <c r="AL143" s="51"/>
      <c r="AM143" s="51"/>
      <c r="AN143" s="51"/>
      <c r="AO143" s="51"/>
      <c r="AP143" s="51"/>
      <c r="AQ143" s="51"/>
      <c r="AR143" s="51"/>
      <c r="AS143" s="51"/>
      <c r="AT143" s="51"/>
    </row>
    <row r="144" spans="1:48">
      <c r="A144" s="864">
        <f t="shared" si="39"/>
        <v>2022</v>
      </c>
      <c r="B144" s="62">
        <f t="shared" si="29"/>
        <v>44773</v>
      </c>
      <c r="C144" s="88"/>
      <c r="D144" s="72"/>
      <c r="E144" s="860"/>
      <c r="F144" s="885"/>
      <c r="G144" s="89"/>
      <c r="H144" s="71">
        <f t="shared" si="37"/>
        <v>0</v>
      </c>
      <c r="I144" s="257"/>
      <c r="J144" s="345">
        <f>'HDD &amp; CDD'!W12</f>
        <v>4.5545454545454538</v>
      </c>
      <c r="K144" s="857">
        <f>'HDD &amp; CDD'!W30</f>
        <v>116.1</v>
      </c>
      <c r="L144" s="322">
        <f t="shared" si="38"/>
        <v>31</v>
      </c>
      <c r="M144" s="150">
        <v>1</v>
      </c>
      <c r="N144" s="322">
        <f>[21]Sheet1!D214</f>
        <v>20</v>
      </c>
      <c r="O144" s="841">
        <v>139</v>
      </c>
      <c r="P144" s="841">
        <v>0</v>
      </c>
      <c r="Q144" s="1720">
        <v>0</v>
      </c>
      <c r="R144" s="106"/>
      <c r="S144" s="103">
        <f t="shared" si="27"/>
        <v>0</v>
      </c>
      <c r="T144" s="91"/>
      <c r="U144" s="51"/>
      <c r="V144" s="1723">
        <f t="shared" si="40"/>
        <v>8469304.847525619</v>
      </c>
      <c r="W144" s="182"/>
      <c r="X144" s="183"/>
      <c r="Y144" s="183"/>
      <c r="Z144" s="156"/>
      <c r="AA144" s="264"/>
      <c r="AK144" s="51"/>
      <c r="AL144" s="51"/>
      <c r="AM144" s="51"/>
      <c r="AN144" s="51"/>
      <c r="AO144" s="51"/>
      <c r="AP144" s="51"/>
      <c r="AQ144" s="51"/>
      <c r="AR144" s="51"/>
      <c r="AS144" s="51"/>
      <c r="AT144" s="51"/>
    </row>
    <row r="145" spans="1:62">
      <c r="A145" s="864">
        <f t="shared" si="39"/>
        <v>2022</v>
      </c>
      <c r="B145" s="62">
        <f t="shared" si="29"/>
        <v>44804</v>
      </c>
      <c r="C145" s="88"/>
      <c r="D145" s="72"/>
      <c r="E145" s="860"/>
      <c r="F145" s="885"/>
      <c r="G145" s="89"/>
      <c r="H145" s="71">
        <f t="shared" si="37"/>
        <v>0</v>
      </c>
      <c r="I145" s="257"/>
      <c r="J145" s="345">
        <f>'HDD &amp; CDD'!W13</f>
        <v>10.836363636363636</v>
      </c>
      <c r="K145" s="857">
        <f>'HDD &amp; CDD'!W31</f>
        <v>82.954545454545453</v>
      </c>
      <c r="L145" s="322">
        <f t="shared" si="38"/>
        <v>31</v>
      </c>
      <c r="M145" s="150">
        <v>1</v>
      </c>
      <c r="N145" s="322">
        <f>[21]Sheet1!D215</f>
        <v>22</v>
      </c>
      <c r="O145" s="841">
        <v>140</v>
      </c>
      <c r="P145" s="841">
        <v>1</v>
      </c>
      <c r="Q145" s="1720">
        <v>0</v>
      </c>
      <c r="R145" s="106"/>
      <c r="S145" s="103">
        <f t="shared" si="27"/>
        <v>0</v>
      </c>
      <c r="T145" s="91"/>
      <c r="U145" s="51"/>
      <c r="V145" s="1723">
        <f t="shared" si="40"/>
        <v>8515190.1467943788</v>
      </c>
      <c r="W145" s="182"/>
      <c r="X145" s="183"/>
      <c r="Y145" s="183"/>
      <c r="Z145" s="156"/>
      <c r="AA145" s="264"/>
      <c r="AK145" s="51"/>
      <c r="AL145" s="51"/>
      <c r="AM145" s="51"/>
      <c r="AN145" s="51"/>
      <c r="AO145" s="51"/>
      <c r="AP145" s="51"/>
      <c r="AQ145" s="51"/>
      <c r="AR145" s="51"/>
      <c r="AZ145" s="42"/>
    </row>
    <row r="146" spans="1:62">
      <c r="A146" s="864">
        <f t="shared" si="39"/>
        <v>2022</v>
      </c>
      <c r="B146" s="62">
        <f t="shared" si="29"/>
        <v>44834</v>
      </c>
      <c r="C146" s="88"/>
      <c r="D146" s="72"/>
      <c r="E146" s="860"/>
      <c r="F146" s="885"/>
      <c r="G146" s="89"/>
      <c r="H146" s="71">
        <f t="shared" si="37"/>
        <v>0</v>
      </c>
      <c r="I146" s="257"/>
      <c r="J146" s="345">
        <f>'HDD &amp; CDD'!W14</f>
        <v>93.481818181818198</v>
      </c>
      <c r="K146" s="857">
        <f>'HDD &amp; CDD'!W32</f>
        <v>25.536363636363639</v>
      </c>
      <c r="L146" s="322">
        <f t="shared" si="38"/>
        <v>30</v>
      </c>
      <c r="M146" s="150">
        <v>1</v>
      </c>
      <c r="N146" s="322">
        <f>[21]Sheet1!D216</f>
        <v>21</v>
      </c>
      <c r="O146" s="841">
        <v>141</v>
      </c>
      <c r="P146" s="841">
        <v>0</v>
      </c>
      <c r="Q146" s="1720">
        <v>0</v>
      </c>
      <c r="R146" s="106"/>
      <c r="S146" s="103">
        <f t="shared" si="27"/>
        <v>1</v>
      </c>
      <c r="T146" s="91"/>
      <c r="U146" s="51"/>
      <c r="V146" s="1723">
        <f t="shared" si="40"/>
        <v>7363687.8341850378</v>
      </c>
      <c r="W146" s="182"/>
      <c r="X146" s="183"/>
      <c r="Y146" s="183"/>
      <c r="Z146" s="156"/>
      <c r="AA146" s="264"/>
      <c r="AK146" s="68"/>
      <c r="AL146" s="68"/>
      <c r="AM146" s="68"/>
      <c r="AN146" s="68"/>
      <c r="AO146" s="68"/>
      <c r="AP146" s="68"/>
      <c r="AQ146" s="68"/>
      <c r="AR146" s="68"/>
      <c r="AS146" s="157"/>
      <c r="AT146" s="157"/>
      <c r="AU146" s="157"/>
      <c r="AV146" s="157"/>
      <c r="AW146" s="157"/>
      <c r="AX146" s="157"/>
      <c r="AY146" s="157"/>
      <c r="AZ146" s="1014"/>
    </row>
    <row r="147" spans="1:62">
      <c r="A147" s="864">
        <f t="shared" si="39"/>
        <v>2022</v>
      </c>
      <c r="B147" s="62">
        <f t="shared" si="29"/>
        <v>44865</v>
      </c>
      <c r="C147" s="88"/>
      <c r="D147" s="72"/>
      <c r="E147" s="860"/>
      <c r="F147" s="885"/>
      <c r="G147" s="89"/>
      <c r="H147" s="71">
        <f t="shared" si="37"/>
        <v>0</v>
      </c>
      <c r="I147" s="257"/>
      <c r="J147" s="345">
        <f>'HDD &amp; CDD'!W15</f>
        <v>276.59632529608206</v>
      </c>
      <c r="K147" s="857">
        <f>'HDD &amp; CDD'!W33</f>
        <v>0.63636363636363635</v>
      </c>
      <c r="L147" s="322">
        <f t="shared" si="38"/>
        <v>31</v>
      </c>
      <c r="M147" s="150">
        <v>0</v>
      </c>
      <c r="N147" s="322">
        <f>[21]Sheet1!D217</f>
        <v>20</v>
      </c>
      <c r="O147" s="841">
        <v>142</v>
      </c>
      <c r="P147" s="841">
        <v>0</v>
      </c>
      <c r="Q147" s="1720">
        <v>0</v>
      </c>
      <c r="R147" s="106"/>
      <c r="S147" s="103">
        <f t="shared" ref="S147:S149" si="41">S135</f>
        <v>1</v>
      </c>
      <c r="T147" s="91"/>
      <c r="U147" s="51"/>
      <c r="V147" s="1723">
        <f t="shared" si="40"/>
        <v>7506877.3109221356</v>
      </c>
      <c r="W147" s="182"/>
      <c r="X147" s="183"/>
      <c r="Y147" s="183"/>
      <c r="Z147" s="156"/>
      <c r="AA147" s="264"/>
    </row>
    <row r="148" spans="1:62">
      <c r="A148" s="864">
        <f t="shared" si="39"/>
        <v>2022</v>
      </c>
      <c r="B148" s="62">
        <f t="shared" ref="B148:B149" si="42">EOMONTH(B147,1)</f>
        <v>44895</v>
      </c>
      <c r="C148" s="88"/>
      <c r="D148" s="72"/>
      <c r="E148" s="860"/>
      <c r="F148" s="885"/>
      <c r="G148" s="89"/>
      <c r="H148" s="71">
        <f t="shared" si="37"/>
        <v>0</v>
      </c>
      <c r="I148" s="257"/>
      <c r="J148" s="345">
        <f>'HDD &amp; CDD'!W16</f>
        <v>506.81818181818181</v>
      </c>
      <c r="K148" s="857">
        <f>'HDD &amp; CDD'!W34</f>
        <v>0</v>
      </c>
      <c r="L148" s="322">
        <f t="shared" si="38"/>
        <v>30</v>
      </c>
      <c r="M148" s="150">
        <v>0</v>
      </c>
      <c r="N148" s="322">
        <f>[21]Sheet1!D218</f>
        <v>22</v>
      </c>
      <c r="O148" s="841">
        <v>143</v>
      </c>
      <c r="P148" s="841">
        <v>0</v>
      </c>
      <c r="Q148" s="1720">
        <v>0</v>
      </c>
      <c r="R148" s="106"/>
      <c r="S148" s="103">
        <f t="shared" si="41"/>
        <v>1</v>
      </c>
      <c r="T148" s="91"/>
      <c r="U148" s="51"/>
      <c r="V148" s="1723">
        <f t="shared" si="40"/>
        <v>8445555.1002899464</v>
      </c>
      <c r="W148" s="182"/>
      <c r="X148" s="183"/>
      <c r="Y148" s="183"/>
      <c r="Z148" s="156"/>
      <c r="AA148" s="264"/>
    </row>
    <row r="149" spans="1:62">
      <c r="A149" s="865">
        <f t="shared" si="39"/>
        <v>2022</v>
      </c>
      <c r="B149" s="151">
        <f t="shared" si="42"/>
        <v>44926</v>
      </c>
      <c r="C149" s="76"/>
      <c r="D149" s="82"/>
      <c r="E149" s="853"/>
      <c r="F149" s="886"/>
      <c r="G149" s="89"/>
      <c r="H149" s="76">
        <f t="shared" si="37"/>
        <v>0</v>
      </c>
      <c r="I149" s="257"/>
      <c r="J149" s="856">
        <f>'HDD &amp; CDD'!W17</f>
        <v>720.0090909090909</v>
      </c>
      <c r="K149" s="839">
        <f>'HDD &amp; CDD'!W35</f>
        <v>0</v>
      </c>
      <c r="L149" s="323">
        <f t="shared" si="38"/>
        <v>31</v>
      </c>
      <c r="M149" s="104">
        <v>1</v>
      </c>
      <c r="N149" s="323">
        <f>[21]Sheet1!D219</f>
        <v>20</v>
      </c>
      <c r="O149" s="873">
        <v>144</v>
      </c>
      <c r="P149" s="873">
        <v>0</v>
      </c>
      <c r="Q149" s="1721">
        <v>0</v>
      </c>
      <c r="R149" s="104"/>
      <c r="S149" s="103">
        <f t="shared" si="41"/>
        <v>0</v>
      </c>
      <c r="T149" s="90"/>
      <c r="U149" s="79"/>
      <c r="V149" s="80">
        <f>$AC$21+J149*$AC$22+K149*$AC$23+L149*$AC$24+M149*$AC$25+N149*$AC$26+O149*$AC$27+P149*$AC$28+Q149*$AC$29</f>
        <v>9786721.9120385945</v>
      </c>
      <c r="W149" s="190"/>
      <c r="X149" s="184"/>
      <c r="Y149" s="184"/>
      <c r="Z149" s="156"/>
      <c r="AA149" s="264"/>
      <c r="BA149" s="42"/>
      <c r="BB149" s="42"/>
      <c r="BC149" s="42"/>
      <c r="BD149" s="42"/>
      <c r="BE149" s="42"/>
      <c r="BF149" s="42"/>
    </row>
    <row r="150" spans="1:62" s="157" customFormat="1">
      <c r="A150" s="998"/>
      <c r="B150" s="999"/>
      <c r="C150" s="1000"/>
      <c r="D150" s="1001"/>
      <c r="E150" s="1002"/>
      <c r="F150" s="1003"/>
      <c r="G150" s="1004"/>
      <c r="H150" s="1000"/>
      <c r="I150" s="1005"/>
      <c r="J150" s="1006"/>
      <c r="K150" s="1007"/>
      <c r="L150" s="1008"/>
      <c r="M150" s="997"/>
      <c r="N150" s="1008"/>
      <c r="O150" s="1009"/>
      <c r="P150" s="1009"/>
      <c r="Q150" s="997"/>
      <c r="R150" s="997"/>
      <c r="S150" s="997"/>
      <c r="T150" s="1010"/>
      <c r="U150" s="68"/>
      <c r="V150" s="1000"/>
      <c r="W150" s="1011"/>
      <c r="X150" s="1012"/>
      <c r="Y150" s="1012"/>
      <c r="Z150" s="156"/>
      <c r="AA150" s="1013"/>
      <c r="BA150" s="1014"/>
      <c r="BB150" s="1014"/>
      <c r="BC150" s="1014"/>
      <c r="BD150" s="1014"/>
      <c r="BE150" s="1014"/>
      <c r="BF150" s="1014"/>
    </row>
    <row r="151" spans="1:62" s="157" customFormat="1">
      <c r="A151" s="998" t="s">
        <v>10</v>
      </c>
      <c r="B151" s="999"/>
      <c r="C151" s="1010">
        <f>SUM(C6:C125)-1122281164</f>
        <v>8.0000162124633789E-2</v>
      </c>
      <c r="D151" s="1010">
        <f>SUM(D6:D125)-673344</f>
        <v>0.26000000000931323</v>
      </c>
      <c r="E151" s="1002"/>
      <c r="F151" s="1003"/>
      <c r="G151" s="1004"/>
      <c r="H151" s="1000">
        <f>SUM(H6:H125)-1122954508</f>
        <v>0.34000039100646973</v>
      </c>
      <c r="I151" s="1005"/>
      <c r="J151" s="1006">
        <f>SUM(J6:J149)-'HDD &amp; CDD'!V20</f>
        <v>52802.955903552996</v>
      </c>
      <c r="K151" s="1006">
        <f>SUM(K6:K150)-'HDD &amp; CDD'!V38</f>
        <v>3536.8363636363638</v>
      </c>
      <c r="L151" s="1010">
        <f>SUM(L6:L150)-366*3-365*9</f>
        <v>0</v>
      </c>
      <c r="M151" s="1010">
        <f>SUM(M6:M150)-8*12</f>
        <v>0</v>
      </c>
      <c r="N151" s="1010">
        <f>SUM(N6:N150)-2998</f>
        <v>0</v>
      </c>
      <c r="O151" s="1010">
        <f>SUM(O6:O150)-(1+144)/2*12*12</f>
        <v>0</v>
      </c>
      <c r="P151" s="1010">
        <f>SUM(P6:P150)-12</f>
        <v>0</v>
      </c>
      <c r="Q151" s="997"/>
      <c r="R151" s="997"/>
      <c r="S151" s="997"/>
      <c r="T151" s="1010"/>
      <c r="U151" s="68"/>
      <c r="V151" s="1000"/>
      <c r="W151" s="1011"/>
      <c r="X151" s="1012"/>
      <c r="Y151" s="1012"/>
      <c r="Z151" s="156"/>
      <c r="AA151" s="1013"/>
      <c r="AB151" s="45"/>
      <c r="AC151" s="45"/>
      <c r="AD151" s="45"/>
      <c r="AE151" s="45"/>
      <c r="AF151" s="45"/>
      <c r="AG151" s="45"/>
      <c r="AH151" s="45"/>
      <c r="AI151" s="45"/>
      <c r="AJ151" s="45"/>
      <c r="AK151" s="68"/>
      <c r="AL151" s="68"/>
      <c r="AM151" s="68"/>
      <c r="AN151" s="68"/>
      <c r="AO151" s="68"/>
      <c r="AP151" s="68"/>
      <c r="AQ151" s="68"/>
      <c r="AR151" s="68"/>
      <c r="AZ151" s="1014"/>
      <c r="BA151" s="1014"/>
      <c r="BB151" s="1014"/>
      <c r="BC151" s="1014"/>
      <c r="BD151" s="1014"/>
      <c r="BE151" s="1014"/>
      <c r="BF151" s="1014"/>
    </row>
    <row r="152" spans="1:62">
      <c r="H152" s="87"/>
      <c r="I152" s="262"/>
      <c r="J152" s="87"/>
      <c r="K152" s="87"/>
      <c r="L152" s="87"/>
      <c r="M152" s="87"/>
      <c r="N152" s="87"/>
      <c r="O152" s="87"/>
      <c r="P152" s="87"/>
      <c r="Q152" s="87"/>
      <c r="R152" s="87"/>
      <c r="S152" s="875"/>
      <c r="T152" s="87"/>
      <c r="U152" s="87"/>
      <c r="V152" s="87">
        <f>SUM(V6:V125)</f>
        <v>1123984941.1933708</v>
      </c>
      <c r="W152" s="87"/>
      <c r="X152" s="87"/>
      <c r="Y152" s="870">
        <f>AVERAGE(Y6:Y125)</f>
        <v>1.7064767978685131E-2</v>
      </c>
      <c r="AZ152" s="42"/>
      <c r="BA152" s="42"/>
      <c r="BB152" s="42"/>
      <c r="BC152" s="42"/>
      <c r="BD152" s="42"/>
      <c r="BE152" s="42"/>
      <c r="BF152" s="42"/>
      <c r="BG152" s="42"/>
    </row>
    <row r="153" spans="1:62">
      <c r="J153" s="313" t="s">
        <v>228</v>
      </c>
      <c r="Q153" s="313"/>
      <c r="S153" s="874" t="s">
        <v>228</v>
      </c>
      <c r="AZ153" s="42"/>
      <c r="BA153" s="42"/>
      <c r="BB153" s="42"/>
      <c r="BC153" s="42"/>
      <c r="BD153" s="42"/>
      <c r="BE153" s="42"/>
      <c r="BF153" s="42"/>
      <c r="BG153" s="42"/>
      <c r="BH153" s="42"/>
      <c r="BI153" s="42"/>
      <c r="BJ153" s="42"/>
    </row>
    <row r="154" spans="1:62">
      <c r="A154" s="864">
        <f>A138</f>
        <v>2022</v>
      </c>
      <c r="B154" s="62">
        <f>B138</f>
        <v>44592</v>
      </c>
      <c r="C154" s="867"/>
      <c r="D154" s="867"/>
      <c r="E154" s="868">
        <f>E138</f>
        <v>0</v>
      </c>
      <c r="F154" s="320"/>
      <c r="G154" s="321"/>
      <c r="H154" s="869">
        <f t="shared" ref="H154:H165" si="43">SUM(C154:G154)</f>
        <v>0</v>
      </c>
      <c r="J154" s="315">
        <f>'HDD &amp; CDD'!X6</f>
        <v>827.57473684210527</v>
      </c>
      <c r="K154" s="857">
        <f>'HDD &amp; CDD'!X24</f>
        <v>0</v>
      </c>
      <c r="L154" s="399">
        <f>L138</f>
        <v>31</v>
      </c>
      <c r="M154" s="399">
        <f>M138</f>
        <v>1</v>
      </c>
      <c r="N154" s="399">
        <f t="shared" ref="N154:O154" si="44">N138</f>
        <v>20</v>
      </c>
      <c r="O154" s="893">
        <f t="shared" si="44"/>
        <v>133</v>
      </c>
      <c r="P154" s="895">
        <f t="shared" ref="P154" si="45">P138</f>
        <v>0</v>
      </c>
      <c r="Q154" s="399"/>
      <c r="S154" s="876">
        <f t="shared" ref="S154" si="46">S138</f>
        <v>0</v>
      </c>
      <c r="V154" s="65">
        <f t="shared" ref="V154:V165" si="47">$AC$21+J154*$AC$22+K154*$AC$23+L154*$AC$24+M154*$AC$25+N154*$AC$26+O154*$AC$27+P154*$AC$28</f>
        <v>10368221.184758525</v>
      </c>
      <c r="AZ154" s="42"/>
      <c r="BA154" s="42"/>
      <c r="BB154" s="42"/>
      <c r="BC154" s="42"/>
      <c r="BD154" s="42"/>
      <c r="BE154" s="42"/>
      <c r="BF154" s="42"/>
      <c r="BG154" s="42"/>
      <c r="BH154" s="42"/>
      <c r="BI154" s="42"/>
      <c r="BJ154" s="42"/>
    </row>
    <row r="155" spans="1:62">
      <c r="A155" s="864">
        <f t="shared" ref="A155:A165" si="48">A139</f>
        <v>2022</v>
      </c>
      <c r="B155" s="62">
        <f t="shared" ref="B155:B165" si="49">B139</f>
        <v>44620</v>
      </c>
      <c r="C155" s="72"/>
      <c r="D155" s="72"/>
      <c r="E155" s="860">
        <f t="shared" ref="E155:E165" si="50">E139</f>
        <v>0</v>
      </c>
      <c r="F155" s="89"/>
      <c r="G155" s="89"/>
      <c r="H155" s="71">
        <f t="shared" si="43"/>
        <v>0</v>
      </c>
      <c r="J155" s="315">
        <f>'HDD &amp; CDD'!X7</f>
        <v>737.25263157894733</v>
      </c>
      <c r="K155" s="857">
        <f>'HDD &amp; CDD'!X25</f>
        <v>0</v>
      </c>
      <c r="L155" s="399">
        <f t="shared" ref="L155:O155" si="51">L139</f>
        <v>28</v>
      </c>
      <c r="M155" s="399">
        <f t="shared" si="51"/>
        <v>1</v>
      </c>
      <c r="N155" s="399">
        <f t="shared" si="51"/>
        <v>19</v>
      </c>
      <c r="O155" s="893">
        <f t="shared" si="51"/>
        <v>134</v>
      </c>
      <c r="P155" s="895">
        <f t="shared" ref="P155" si="52">P139</f>
        <v>0</v>
      </c>
      <c r="Q155" s="399"/>
      <c r="S155" s="876">
        <f t="shared" ref="S155" si="53">S139</f>
        <v>0</v>
      </c>
      <c r="T155" s="44">
        <v>1</v>
      </c>
      <c r="V155" s="65">
        <f t="shared" si="47"/>
        <v>9438811.9030598551</v>
      </c>
      <c r="AL155" s="939"/>
      <c r="AW155" s="42"/>
      <c r="AX155" s="42"/>
      <c r="AY155" s="42"/>
      <c r="AZ155" s="42"/>
      <c r="BB155" s="42"/>
      <c r="BC155" s="42"/>
      <c r="BD155" s="42"/>
      <c r="BE155" s="42"/>
      <c r="BF155" s="42"/>
      <c r="BG155" s="42"/>
      <c r="BH155" s="42"/>
      <c r="BI155" s="42"/>
      <c r="BJ155" s="42"/>
    </row>
    <row r="156" spans="1:62">
      <c r="A156" s="864">
        <f t="shared" si="48"/>
        <v>2022</v>
      </c>
      <c r="B156" s="62">
        <f t="shared" si="49"/>
        <v>44651</v>
      </c>
      <c r="C156" s="72"/>
      <c r="D156" s="72"/>
      <c r="E156" s="860">
        <f t="shared" si="50"/>
        <v>0</v>
      </c>
      <c r="F156" s="89"/>
      <c r="G156" s="89"/>
      <c r="H156" s="71">
        <f t="shared" si="43"/>
        <v>0</v>
      </c>
      <c r="J156" s="315">
        <f>'HDD &amp; CDD'!X8</f>
        <v>628.37631578947367</v>
      </c>
      <c r="K156" s="857">
        <f>'HDD &amp; CDD'!X26</f>
        <v>0</v>
      </c>
      <c r="L156" s="399">
        <f t="shared" ref="L156:O156" si="54">L140</f>
        <v>31</v>
      </c>
      <c r="M156" s="399">
        <f t="shared" si="54"/>
        <v>1</v>
      </c>
      <c r="N156" s="399">
        <f t="shared" si="54"/>
        <v>23</v>
      </c>
      <c r="O156" s="893">
        <f t="shared" si="54"/>
        <v>135</v>
      </c>
      <c r="P156" s="895">
        <f t="shared" ref="P156" si="55">P140</f>
        <v>0</v>
      </c>
      <c r="Q156" s="399"/>
      <c r="S156" s="876">
        <f t="shared" ref="S156" si="56">S140</f>
        <v>1</v>
      </c>
      <c r="T156" s="44">
        <v>0</v>
      </c>
      <c r="V156" s="65">
        <f t="shared" si="47"/>
        <v>9640941.9341458436</v>
      </c>
      <c r="AK156" s="939"/>
      <c r="AL156" s="939"/>
      <c r="AW156" s="42"/>
      <c r="AX156" s="42"/>
      <c r="AY156" s="42"/>
      <c r="BG156" s="42"/>
      <c r="BH156" s="42"/>
      <c r="BI156" s="42"/>
      <c r="BJ156" s="42"/>
    </row>
    <row r="157" spans="1:62">
      <c r="A157" s="864">
        <f t="shared" si="48"/>
        <v>2022</v>
      </c>
      <c r="B157" s="62">
        <f t="shared" si="49"/>
        <v>44681</v>
      </c>
      <c r="C157" s="72"/>
      <c r="D157" s="72"/>
      <c r="E157" s="860">
        <f t="shared" si="50"/>
        <v>0</v>
      </c>
      <c r="F157" s="89"/>
      <c r="G157" s="89"/>
      <c r="H157" s="71">
        <f t="shared" si="43"/>
        <v>0</v>
      </c>
      <c r="J157" s="315">
        <f>'HDD &amp; CDD'!X9</f>
        <v>376.86000000000013</v>
      </c>
      <c r="K157" s="857">
        <f>'HDD &amp; CDD'!X27</f>
        <v>-0.74210526315783909</v>
      </c>
      <c r="L157" s="399">
        <f t="shared" ref="L157:O157" si="57">L141</f>
        <v>30</v>
      </c>
      <c r="M157" s="399">
        <f t="shared" si="57"/>
        <v>0</v>
      </c>
      <c r="N157" s="399">
        <f t="shared" si="57"/>
        <v>19</v>
      </c>
      <c r="O157" s="893">
        <f t="shared" si="57"/>
        <v>136</v>
      </c>
      <c r="P157" s="895">
        <f t="shared" ref="P157" si="58">P141</f>
        <v>0</v>
      </c>
      <c r="Q157" s="399"/>
      <c r="S157" s="876">
        <f t="shared" ref="S157" si="59">S141</f>
        <v>1</v>
      </c>
      <c r="T157" s="44">
        <v>1</v>
      </c>
      <c r="V157" s="65">
        <f t="shared" si="47"/>
        <v>7773753.47570627</v>
      </c>
      <c r="AJ157" s="788"/>
      <c r="AK157" s="939"/>
      <c r="AL157" s="939"/>
      <c r="AW157" s="42"/>
      <c r="AX157" s="42"/>
      <c r="AY157" s="42"/>
      <c r="BH157" s="42"/>
      <c r="BI157" s="42"/>
      <c r="BJ157" s="42"/>
    </row>
    <row r="158" spans="1:62">
      <c r="A158" s="864">
        <f t="shared" si="48"/>
        <v>2022</v>
      </c>
      <c r="B158" s="62">
        <f t="shared" si="49"/>
        <v>44712</v>
      </c>
      <c r="C158" s="72"/>
      <c r="D158" s="72"/>
      <c r="E158" s="860">
        <f t="shared" si="50"/>
        <v>0</v>
      </c>
      <c r="F158" s="89"/>
      <c r="G158" s="89"/>
      <c r="H158" s="71">
        <f t="shared" si="43"/>
        <v>0</v>
      </c>
      <c r="J158" s="315">
        <f>'HDD &amp; CDD'!X10</f>
        <v>148.19921052631594</v>
      </c>
      <c r="K158" s="857">
        <f>'HDD &amp; CDD'!X28</f>
        <v>22.246842105263113</v>
      </c>
      <c r="L158" s="399">
        <f t="shared" ref="L158:O158" si="60">L142</f>
        <v>31</v>
      </c>
      <c r="M158" s="399">
        <f t="shared" si="60"/>
        <v>0</v>
      </c>
      <c r="N158" s="399">
        <f t="shared" si="60"/>
        <v>21</v>
      </c>
      <c r="O158" s="893">
        <f t="shared" si="60"/>
        <v>137</v>
      </c>
      <c r="P158" s="895">
        <f t="shared" ref="P158" si="61">P142</f>
        <v>0</v>
      </c>
      <c r="Q158" s="399"/>
      <c r="S158" s="876">
        <f t="shared" ref="S158" si="62">S142</f>
        <v>1</v>
      </c>
      <c r="T158" s="44">
        <v>1</v>
      </c>
      <c r="V158" s="65">
        <f t="shared" si="47"/>
        <v>7378248.6944449991</v>
      </c>
      <c r="AC158" s="788"/>
      <c r="AD158" s="788"/>
      <c r="AE158" s="788"/>
      <c r="AF158" s="788"/>
      <c r="AG158" s="788"/>
      <c r="AH158" s="788"/>
      <c r="AI158" s="939"/>
      <c r="AJ158" s="788"/>
      <c r="AK158" s="939"/>
      <c r="AL158" s="939"/>
      <c r="AW158" s="42"/>
      <c r="AX158" s="42"/>
      <c r="AY158" s="42"/>
    </row>
    <row r="159" spans="1:62">
      <c r="A159" s="864">
        <f t="shared" si="48"/>
        <v>2022</v>
      </c>
      <c r="B159" s="62">
        <f t="shared" si="49"/>
        <v>44742</v>
      </c>
      <c r="C159" s="72"/>
      <c r="D159" s="72"/>
      <c r="E159" s="860">
        <f t="shared" si="50"/>
        <v>0</v>
      </c>
      <c r="F159" s="89"/>
      <c r="G159" s="89"/>
      <c r="H159" s="71">
        <f t="shared" si="43"/>
        <v>0</v>
      </c>
      <c r="J159" s="315">
        <f>'HDD &amp; CDD'!X11</f>
        <v>36.879999999999995</v>
      </c>
      <c r="K159" s="857">
        <f>'HDD &amp; CDD'!X29</f>
        <v>52.368421052631575</v>
      </c>
      <c r="L159" s="399">
        <f t="shared" ref="L159:O159" si="63">L143</f>
        <v>30</v>
      </c>
      <c r="M159" s="399">
        <f t="shared" si="63"/>
        <v>1</v>
      </c>
      <c r="N159" s="399">
        <f t="shared" si="63"/>
        <v>22</v>
      </c>
      <c r="O159" s="893">
        <f t="shared" si="63"/>
        <v>138</v>
      </c>
      <c r="P159" s="895">
        <f t="shared" ref="P159" si="64">P143</f>
        <v>0</v>
      </c>
      <c r="Q159" s="399"/>
      <c r="S159" s="876">
        <f t="shared" ref="S159" si="65">S143</f>
        <v>0</v>
      </c>
      <c r="T159" s="44">
        <v>1</v>
      </c>
      <c r="V159" s="65">
        <f t="shared" si="47"/>
        <v>7607656.2631704342</v>
      </c>
      <c r="AC159" s="788"/>
      <c r="AD159" s="788"/>
      <c r="AE159" s="788"/>
      <c r="AF159" s="788"/>
      <c r="AG159" s="788"/>
      <c r="AH159" s="788"/>
      <c r="AI159" s="939"/>
      <c r="AJ159" s="788"/>
      <c r="AK159" s="939"/>
      <c r="AL159" s="939"/>
      <c r="AW159" s="42"/>
      <c r="AX159" s="42"/>
      <c r="AY159" s="42"/>
    </row>
    <row r="160" spans="1:62">
      <c r="A160" s="864">
        <f t="shared" si="48"/>
        <v>2022</v>
      </c>
      <c r="B160" s="62">
        <f t="shared" si="49"/>
        <v>44773</v>
      </c>
      <c r="C160" s="72"/>
      <c r="D160" s="72"/>
      <c r="E160" s="860">
        <f t="shared" si="50"/>
        <v>0</v>
      </c>
      <c r="F160" s="89"/>
      <c r="G160" s="89"/>
      <c r="H160" s="71">
        <f t="shared" si="43"/>
        <v>0</v>
      </c>
      <c r="J160" s="315">
        <f>'HDD &amp; CDD'!X12</f>
        <v>5.643157894736845</v>
      </c>
      <c r="K160" s="857">
        <f>'HDD &amp; CDD'!X30</f>
        <v>120.53421052631575</v>
      </c>
      <c r="L160" s="399">
        <f t="shared" ref="L160:O160" si="66">L144</f>
        <v>31</v>
      </c>
      <c r="M160" s="399">
        <f t="shared" si="66"/>
        <v>1</v>
      </c>
      <c r="N160" s="399">
        <f t="shared" si="66"/>
        <v>20</v>
      </c>
      <c r="O160" s="893">
        <f t="shared" si="66"/>
        <v>139</v>
      </c>
      <c r="P160" s="895">
        <f t="shared" ref="P160" si="67">P144</f>
        <v>0</v>
      </c>
      <c r="Q160" s="399"/>
      <c r="S160" s="876">
        <f t="shared" ref="S160" si="68">S144</f>
        <v>0</v>
      </c>
      <c r="T160" s="44">
        <v>1</v>
      </c>
      <c r="V160" s="65">
        <f t="shared" si="47"/>
        <v>8541229.5373076331</v>
      </c>
      <c r="AC160" s="788"/>
      <c r="AD160" s="788"/>
      <c r="AE160" s="788"/>
      <c r="AF160" s="788"/>
      <c r="AG160" s="788"/>
      <c r="AH160" s="788"/>
      <c r="AI160" s="939"/>
      <c r="AJ160" s="788"/>
      <c r="AK160" s="939"/>
      <c r="AL160" s="939"/>
    </row>
    <row r="161" spans="1:64">
      <c r="A161" s="864">
        <f t="shared" si="48"/>
        <v>2022</v>
      </c>
      <c r="B161" s="62">
        <f t="shared" si="49"/>
        <v>44804</v>
      </c>
      <c r="C161" s="72"/>
      <c r="D161" s="72"/>
      <c r="E161" s="860">
        <f t="shared" si="50"/>
        <v>0</v>
      </c>
      <c r="F161" s="89"/>
      <c r="G161" s="89"/>
      <c r="H161" s="71">
        <f t="shared" si="43"/>
        <v>0</v>
      </c>
      <c r="J161" s="315">
        <f>'HDD &amp; CDD'!X13</f>
        <v>10.32421052631571</v>
      </c>
      <c r="K161" s="857">
        <f>'HDD &amp; CDD'!X31</f>
        <v>84.447368421052602</v>
      </c>
      <c r="L161" s="399">
        <f t="shared" ref="L161:O161" si="69">L145</f>
        <v>31</v>
      </c>
      <c r="M161" s="399">
        <f t="shared" si="69"/>
        <v>1</v>
      </c>
      <c r="N161" s="399">
        <f t="shared" si="69"/>
        <v>22</v>
      </c>
      <c r="O161" s="893">
        <f t="shared" si="69"/>
        <v>140</v>
      </c>
      <c r="P161" s="895">
        <f t="shared" ref="P161" si="70">P145</f>
        <v>1</v>
      </c>
      <c r="Q161" s="399"/>
      <c r="S161" s="876">
        <f t="shared" ref="S161" si="71">S145</f>
        <v>0</v>
      </c>
      <c r="T161" s="44">
        <v>0</v>
      </c>
      <c r="V161" s="65">
        <f t="shared" si="47"/>
        <v>8535564.47433706</v>
      </c>
      <c r="AC161" s="788"/>
      <c r="AD161" s="788"/>
      <c r="AE161" s="788"/>
      <c r="AF161" s="788"/>
      <c r="AG161" s="788"/>
      <c r="AH161" s="788"/>
      <c r="AI161" s="939"/>
      <c r="AJ161" s="788"/>
      <c r="AK161" s="939"/>
      <c r="AL161" s="939"/>
    </row>
    <row r="162" spans="1:64">
      <c r="A162" s="864">
        <f t="shared" si="48"/>
        <v>2022</v>
      </c>
      <c r="B162" s="62">
        <f t="shared" si="49"/>
        <v>44834</v>
      </c>
      <c r="C162" s="72"/>
      <c r="D162" s="72"/>
      <c r="E162" s="860">
        <f t="shared" si="50"/>
        <v>0</v>
      </c>
      <c r="F162" s="89"/>
      <c r="G162" s="89"/>
      <c r="H162" s="71">
        <f t="shared" si="43"/>
        <v>0</v>
      </c>
      <c r="J162" s="315">
        <f>'HDD &amp; CDD'!X14</f>
        <v>103.87315789473678</v>
      </c>
      <c r="K162" s="857">
        <f>'HDD &amp; CDD'!X32</f>
        <v>22.202105263157875</v>
      </c>
      <c r="L162" s="399">
        <f t="shared" ref="L162:O162" si="72">L146</f>
        <v>30</v>
      </c>
      <c r="M162" s="399">
        <f t="shared" si="72"/>
        <v>1</v>
      </c>
      <c r="N162" s="399">
        <f t="shared" si="72"/>
        <v>21</v>
      </c>
      <c r="O162" s="893">
        <f t="shared" si="72"/>
        <v>141</v>
      </c>
      <c r="P162" s="895">
        <f t="shared" ref="P162" si="73">P146</f>
        <v>0</v>
      </c>
      <c r="Q162" s="399"/>
      <c r="S162" s="876">
        <f t="shared" ref="S162" si="74">S146</f>
        <v>1</v>
      </c>
      <c r="T162" s="44">
        <v>2</v>
      </c>
      <c r="V162" s="65">
        <f t="shared" si="47"/>
        <v>7358594.4602238182</v>
      </c>
      <c r="AC162" s="788"/>
      <c r="AD162" s="788"/>
      <c r="AE162" s="788"/>
      <c r="AF162" s="788"/>
      <c r="AG162" s="788"/>
      <c r="AH162" s="788"/>
      <c r="AI162" s="939"/>
      <c r="AJ162" s="788"/>
      <c r="AK162" s="939"/>
      <c r="AL162" s="939"/>
    </row>
    <row r="163" spans="1:64">
      <c r="A163" s="864">
        <f t="shared" si="48"/>
        <v>2022</v>
      </c>
      <c r="B163" s="62">
        <f t="shared" si="49"/>
        <v>44865</v>
      </c>
      <c r="C163" s="72"/>
      <c r="D163" s="72"/>
      <c r="E163" s="860">
        <f t="shared" si="50"/>
        <v>0</v>
      </c>
      <c r="F163" s="89"/>
      <c r="G163" s="89"/>
      <c r="H163" s="71">
        <f t="shared" si="43"/>
        <v>0</v>
      </c>
      <c r="J163" s="315">
        <f>'HDD &amp; CDD'!X15</f>
        <v>263.93502821487436</v>
      </c>
      <c r="K163" s="857">
        <f>'HDD &amp; CDD'!X33</f>
        <v>-9.7368421052635767E-2</v>
      </c>
      <c r="L163" s="399">
        <f t="shared" ref="L163:O163" si="75">L147</f>
        <v>31</v>
      </c>
      <c r="M163" s="399">
        <f t="shared" si="75"/>
        <v>0</v>
      </c>
      <c r="N163" s="399">
        <f t="shared" si="75"/>
        <v>20</v>
      </c>
      <c r="O163" s="893">
        <f t="shared" si="75"/>
        <v>142</v>
      </c>
      <c r="P163" s="895">
        <f t="shared" ref="P163" si="76">P147</f>
        <v>0</v>
      </c>
      <c r="Q163" s="399"/>
      <c r="S163" s="876">
        <f t="shared" ref="S163" si="77">S147</f>
        <v>1</v>
      </c>
      <c r="V163" s="65">
        <f t="shared" si="47"/>
        <v>7440430.5921533136</v>
      </c>
      <c r="AC163" s="788"/>
      <c r="AD163" s="788"/>
      <c r="AE163" s="788"/>
      <c r="AF163" s="788"/>
      <c r="AG163" s="788"/>
      <c r="AH163" s="788"/>
      <c r="AI163" s="939"/>
      <c r="AJ163" s="788"/>
      <c r="AK163" s="939"/>
      <c r="AL163" s="939"/>
    </row>
    <row r="164" spans="1:64">
      <c r="A164" s="864">
        <f t="shared" si="48"/>
        <v>2022</v>
      </c>
      <c r="B164" s="62">
        <f t="shared" si="49"/>
        <v>44895</v>
      </c>
      <c r="C164" s="72"/>
      <c r="D164" s="72"/>
      <c r="E164" s="860">
        <f t="shared" si="50"/>
        <v>0</v>
      </c>
      <c r="F164" s="89"/>
      <c r="G164" s="89"/>
      <c r="H164" s="71">
        <f t="shared" si="43"/>
        <v>0</v>
      </c>
      <c r="J164" s="315">
        <f>'HDD &amp; CDD'!X16</f>
        <v>520.75473684210556</v>
      </c>
      <c r="K164" s="857">
        <f>'HDD &amp; CDD'!X34</f>
        <v>0</v>
      </c>
      <c r="L164" s="399">
        <f t="shared" ref="L164:O164" si="78">L148</f>
        <v>30</v>
      </c>
      <c r="M164" s="399">
        <f t="shared" si="78"/>
        <v>0</v>
      </c>
      <c r="N164" s="399">
        <f t="shared" si="78"/>
        <v>22</v>
      </c>
      <c r="O164" s="893">
        <f t="shared" si="78"/>
        <v>143</v>
      </c>
      <c r="P164" s="895">
        <f t="shared" ref="P164" si="79">P148</f>
        <v>0</v>
      </c>
      <c r="Q164" s="399"/>
      <c r="S164" s="876">
        <f t="shared" ref="S164" si="80">S148</f>
        <v>1</v>
      </c>
      <c r="V164" s="65">
        <f t="shared" si="47"/>
        <v>8506460.7521654926</v>
      </c>
      <c r="AC164" s="788"/>
      <c r="AD164" s="788"/>
      <c r="AE164" s="788"/>
      <c r="AF164" s="788"/>
      <c r="AG164" s="788"/>
      <c r="AH164" s="788"/>
      <c r="AI164" s="939"/>
      <c r="AK164" s="939"/>
      <c r="AL164" s="939"/>
      <c r="BK164" s="42"/>
      <c r="BL164" s="42"/>
    </row>
    <row r="165" spans="1:64" s="42" customFormat="1">
      <c r="A165" s="865">
        <f t="shared" si="48"/>
        <v>2022</v>
      </c>
      <c r="B165" s="151">
        <f t="shared" si="49"/>
        <v>44926</v>
      </c>
      <c r="C165" s="82"/>
      <c r="D165" s="82"/>
      <c r="E165" s="853">
        <f t="shared" si="50"/>
        <v>0</v>
      </c>
      <c r="F165" s="89"/>
      <c r="G165" s="89"/>
      <c r="H165" s="76">
        <f t="shared" si="43"/>
        <v>0</v>
      </c>
      <c r="I165" s="92"/>
      <c r="J165" s="315">
        <f>'HDD &amp; CDD'!X17</f>
        <v>713.03105263157931</v>
      </c>
      <c r="K165" s="857">
        <f>'HDD &amp; CDD'!X35</f>
        <v>0</v>
      </c>
      <c r="L165" s="872">
        <f t="shared" ref="L165:O165" si="81">L149</f>
        <v>31</v>
      </c>
      <c r="M165" s="872">
        <f t="shared" si="81"/>
        <v>1</v>
      </c>
      <c r="N165" s="872">
        <f t="shared" si="81"/>
        <v>20</v>
      </c>
      <c r="O165" s="894">
        <f t="shared" si="81"/>
        <v>144</v>
      </c>
      <c r="P165" s="873">
        <f t="shared" ref="P165" si="82">P149</f>
        <v>0</v>
      </c>
      <c r="Q165" s="872"/>
      <c r="R165" s="44"/>
      <c r="S165" s="876">
        <f t="shared" ref="S165" si="83">S149</f>
        <v>0</v>
      </c>
      <c r="T165" s="44"/>
      <c r="U165" s="45"/>
      <c r="V165" s="80">
        <f t="shared" si="47"/>
        <v>9756226.4295197949</v>
      </c>
      <c r="W165" s="45"/>
      <c r="X165" s="45"/>
      <c r="Y165" s="45"/>
      <c r="Z165" s="157"/>
      <c r="AA165" s="45"/>
      <c r="AB165" s="45"/>
      <c r="AC165" s="788"/>
      <c r="AD165" s="788"/>
      <c r="AE165" s="788"/>
      <c r="AF165" s="788"/>
      <c r="AG165" s="788"/>
      <c r="AH165" s="45"/>
      <c r="AI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row>
    <row r="166" spans="1:64" s="42" customFormat="1" ht="13.8">
      <c r="B166" s="95"/>
      <c r="C166" s="96"/>
      <c r="D166" s="97"/>
      <c r="E166" s="92"/>
      <c r="I166" s="92"/>
      <c r="J166" s="44"/>
      <c r="K166" s="44"/>
      <c r="L166" s="44"/>
      <c r="M166" s="44"/>
      <c r="N166" s="44"/>
      <c r="O166" s="44"/>
      <c r="P166" s="44"/>
      <c r="Q166" s="44"/>
      <c r="R166" s="44"/>
      <c r="S166" s="874"/>
      <c r="T166" s="44"/>
      <c r="U166" s="45"/>
      <c r="W166" s="45"/>
      <c r="X166" s="45"/>
      <c r="Y166" s="45"/>
      <c r="Z166" s="157"/>
      <c r="AA166" s="45"/>
      <c r="AB166" s="45"/>
      <c r="AC166" s="788"/>
      <c r="AD166" s="788"/>
      <c r="AE166" s="788"/>
      <c r="AF166" s="788"/>
      <c r="AG166" s="788"/>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row>
    <row r="167" spans="1:64" s="42" customFormat="1" ht="13.8">
      <c r="B167" s="95"/>
      <c r="C167" s="96"/>
      <c r="D167" s="97"/>
      <c r="E167" s="92"/>
      <c r="I167" s="92"/>
      <c r="J167" s="400"/>
      <c r="K167" s="44"/>
      <c r="L167" s="44"/>
      <c r="M167" s="44"/>
      <c r="N167" s="44"/>
      <c r="P167" s="44"/>
      <c r="Q167" s="44"/>
      <c r="R167" s="44"/>
      <c r="S167" s="874"/>
      <c r="T167" s="44"/>
      <c r="U167" s="45"/>
      <c r="V167" s="314">
        <f>SUM(V154:V166)</f>
        <v>102346139.70099306</v>
      </c>
      <c r="W167" s="45"/>
      <c r="X167" s="45"/>
      <c r="Y167" s="45"/>
      <c r="Z167" s="157"/>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row>
    <row r="168" spans="1:64" s="42" customFormat="1" ht="13.8">
      <c r="B168" s="95"/>
      <c r="C168" s="96"/>
      <c r="D168" s="97"/>
      <c r="E168" s="92"/>
      <c r="I168" s="92"/>
      <c r="J168" s="400"/>
      <c r="K168" s="44"/>
      <c r="L168" s="44"/>
      <c r="M168" s="44"/>
      <c r="N168" s="44"/>
      <c r="O168" s="44"/>
      <c r="P168" s="44"/>
      <c r="Q168" s="44"/>
      <c r="R168" s="44"/>
      <c r="S168" s="874"/>
      <c r="T168" s="44"/>
      <c r="U168" s="45"/>
      <c r="W168" s="45"/>
      <c r="X168" s="45"/>
      <c r="Y168" s="45"/>
      <c r="Z168" s="157"/>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row>
    <row r="169" spans="1:64" s="42" customFormat="1">
      <c r="B169" s="94"/>
      <c r="C169" s="93"/>
      <c r="D169" s="94"/>
      <c r="E169" s="92"/>
      <c r="I169" s="92"/>
      <c r="J169" s="1146" t="s">
        <v>464</v>
      </c>
      <c r="K169" s="44"/>
      <c r="L169" s="44"/>
      <c r="M169" s="44"/>
      <c r="N169" s="44"/>
      <c r="O169" s="44"/>
      <c r="P169" s="44"/>
      <c r="Q169" s="44"/>
      <c r="R169" s="44"/>
      <c r="S169" s="874"/>
      <c r="T169" s="44"/>
      <c r="U169" s="45"/>
      <c r="W169" s="45"/>
      <c r="X169" s="45"/>
      <c r="Y169" s="45"/>
      <c r="Z169" s="157"/>
      <c r="AA169" s="45"/>
      <c r="AB169" s="45"/>
      <c r="AC169" s="55" t="s">
        <v>465</v>
      </c>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row>
    <row r="170" spans="1:64" ht="13.8" thickBot="1">
      <c r="J170" s="1147" t="s">
        <v>506</v>
      </c>
      <c r="AB170"/>
      <c r="AC170"/>
      <c r="AD170"/>
      <c r="AE170"/>
      <c r="AF170"/>
      <c r="AG170"/>
    </row>
    <row r="171" spans="1:64" ht="66.599999999999994" thickTop="1">
      <c r="A171" s="863" t="s">
        <v>124</v>
      </c>
      <c r="B171" s="56" t="s">
        <v>95</v>
      </c>
      <c r="C171" s="319" t="s">
        <v>413</v>
      </c>
      <c r="D171" s="319" t="s">
        <v>119</v>
      </c>
      <c r="E171" s="319" t="s">
        <v>397</v>
      </c>
      <c r="F171" s="57" t="s">
        <v>427</v>
      </c>
      <c r="G171" s="57" t="str">
        <f>G5</f>
        <v>Other Adjustment</v>
      </c>
      <c r="H171" s="58" t="s">
        <v>274</v>
      </c>
      <c r="I171" s="258"/>
      <c r="J171" s="319" t="s">
        <v>121</v>
      </c>
      <c r="K171" s="319" t="s">
        <v>122</v>
      </c>
      <c r="L171" s="319" t="s">
        <v>3</v>
      </c>
      <c r="M171" s="319" t="s">
        <v>412</v>
      </c>
      <c r="N171" s="319" t="s">
        <v>422</v>
      </c>
      <c r="O171" s="319" t="s">
        <v>398</v>
      </c>
      <c r="P171" s="938" t="s">
        <v>400</v>
      </c>
      <c r="Q171" s="1718" t="s">
        <v>747</v>
      </c>
      <c r="V171" s="60" t="s">
        <v>527</v>
      </c>
      <c r="W171" s="60" t="s">
        <v>6</v>
      </c>
      <c r="X171" s="60" t="s">
        <v>7</v>
      </c>
      <c r="Y171" s="60" t="s">
        <v>82</v>
      </c>
      <c r="Z171" s="60" t="s">
        <v>756</v>
      </c>
      <c r="AA171" s="60" t="s">
        <v>757</v>
      </c>
      <c r="AB171" s="687" t="s">
        <v>124</v>
      </c>
      <c r="AC171" s="882" t="s">
        <v>509</v>
      </c>
      <c r="AD171" s="881" t="s">
        <v>408</v>
      </c>
      <c r="AE171" s="688" t="s">
        <v>241</v>
      </c>
      <c r="AF171" s="688" t="s">
        <v>242</v>
      </c>
      <c r="AG171" s="688" t="s">
        <v>243</v>
      </c>
      <c r="AH171" s="45" t="s">
        <v>509</v>
      </c>
    </row>
    <row r="172" spans="1:64">
      <c r="A172" s="864">
        <f t="shared" ref="A172:H172" si="84">A6</f>
        <v>2011</v>
      </c>
      <c r="B172" s="62">
        <f t="shared" si="84"/>
        <v>40574</v>
      </c>
      <c r="C172" s="69">
        <f t="shared" si="84"/>
        <v>12132585</v>
      </c>
      <c r="D172" s="69">
        <f t="shared" si="84"/>
        <v>1799</v>
      </c>
      <c r="E172" s="843">
        <f t="shared" si="84"/>
        <v>0</v>
      </c>
      <c r="F172" s="885">
        <f t="shared" si="84"/>
        <v>0</v>
      </c>
      <c r="G172" s="73">
        <f t="shared" si="84"/>
        <v>0</v>
      </c>
      <c r="H172" s="71">
        <f t="shared" si="84"/>
        <v>12134384</v>
      </c>
      <c r="I172" s="259"/>
      <c r="J172" s="345">
        <f>J138</f>
        <v>849.19090909090926</v>
      </c>
      <c r="K172" s="345">
        <f>K138</f>
        <v>0</v>
      </c>
      <c r="L172" s="322">
        <f t="shared" ref="L172:P172" si="85">L6</f>
        <v>31</v>
      </c>
      <c r="M172" s="150">
        <f t="shared" si="85"/>
        <v>1</v>
      </c>
      <c r="N172" s="322">
        <f t="shared" si="85"/>
        <v>20</v>
      </c>
      <c r="O172" s="841">
        <f t="shared" si="85"/>
        <v>1</v>
      </c>
      <c r="P172" s="841">
        <f t="shared" si="85"/>
        <v>0</v>
      </c>
      <c r="Q172" s="1720">
        <v>0</v>
      </c>
      <c r="V172" s="65">
        <f>$AC$21+J172*$AC$22+K172*$AC$23+L172*$AC$24+M172*$AC$25+N172*$AC$26+O172*$AC$27+P172*$AC$28+Q172*$AC$29</f>
        <v>11799667.975995256</v>
      </c>
      <c r="W172" s="182">
        <f>V172-H172</f>
        <v>-334716.02400474437</v>
      </c>
      <c r="X172" s="183">
        <f t="shared" ref="X172:X231" si="86">W172/H172</f>
        <v>-2.7584096893978661E-2</v>
      </c>
      <c r="Y172" s="183">
        <f t="shared" ref="Y172:Y231" si="87">ABS(X172)</f>
        <v>2.7584096893978661E-2</v>
      </c>
      <c r="Z172" s="1772">
        <f>-V172/H172*G172</f>
        <v>0</v>
      </c>
      <c r="AA172" s="87">
        <f>V172+Z172</f>
        <v>11799667.975995256</v>
      </c>
      <c r="AB172" s="689" t="s">
        <v>388</v>
      </c>
      <c r="AC172" s="690">
        <f>SUMIF($A$172:$A$303,AB172,$AA$172:$AA$303)</f>
        <v>118415995.09846276</v>
      </c>
      <c r="AD172" s="690">
        <f t="shared" ref="AD172:AD176" si="88">SUMIF($A$172:$A$291,AB172,$C$172:$C$291)+SUMIF($A$172:$A$291,AB172,$D$172:$D$291)</f>
        <v>118004234</v>
      </c>
      <c r="AE172" s="691">
        <f t="shared" ref="AE172:AE176" si="89">AC172-AD172</f>
        <v>411761.09846276045</v>
      </c>
      <c r="AF172" s="692">
        <f t="shared" ref="AF172:AF176" si="90">AE172/AD172</f>
        <v>3.4893756309011797E-3</v>
      </c>
      <c r="AG172" s="692">
        <f t="shared" ref="AG172:AG176" si="91">ABS(AF172)</f>
        <v>3.4893756309011797E-3</v>
      </c>
    </row>
    <row r="173" spans="1:64">
      <c r="A173" s="864">
        <f t="shared" ref="A173:H173" si="92">A7</f>
        <v>2011</v>
      </c>
      <c r="B173" s="62">
        <f t="shared" si="92"/>
        <v>40602</v>
      </c>
      <c r="C173" s="69">
        <f t="shared" si="92"/>
        <v>10866454</v>
      </c>
      <c r="D173" s="69">
        <f t="shared" si="92"/>
        <v>1033</v>
      </c>
      <c r="E173" s="843">
        <f t="shared" si="92"/>
        <v>0</v>
      </c>
      <c r="F173" s="885">
        <f t="shared" si="92"/>
        <v>0</v>
      </c>
      <c r="G173" s="73">
        <f t="shared" si="92"/>
        <v>0</v>
      </c>
      <c r="H173" s="71">
        <f t="shared" si="92"/>
        <v>10867487</v>
      </c>
      <c r="I173" s="259"/>
      <c r="J173" s="345">
        <f t="shared" ref="J173:K173" si="93">J139</f>
        <v>743.30909090909097</v>
      </c>
      <c r="K173" s="345">
        <f t="shared" si="93"/>
        <v>0</v>
      </c>
      <c r="L173" s="322">
        <f t="shared" ref="L173:P173" si="94">L7</f>
        <v>28</v>
      </c>
      <c r="M173" s="150">
        <f t="shared" si="94"/>
        <v>1</v>
      </c>
      <c r="N173" s="322">
        <f t="shared" si="94"/>
        <v>19</v>
      </c>
      <c r="O173" s="841">
        <f t="shared" si="94"/>
        <v>2</v>
      </c>
      <c r="P173" s="841">
        <f t="shared" si="94"/>
        <v>0</v>
      </c>
      <c r="Q173" s="1720">
        <v>0</v>
      </c>
      <c r="V173" s="65">
        <f t="shared" ref="V173:V236" si="95">$AC$21+J173*$AC$22+K173*$AC$23+L173*$AC$24+M173*$AC$25+N173*$AC$26+O173*$AC$27+P173*$AC$28+Q173*$AC$29</f>
        <v>10802259.503917001</v>
      </c>
      <c r="W173" s="182">
        <f t="shared" ref="W173:W231" si="96">V173-H173</f>
        <v>-65227.496082998812</v>
      </c>
      <c r="X173" s="183">
        <f t="shared" si="86"/>
        <v>-6.0020772127906677E-3</v>
      </c>
      <c r="Y173" s="183">
        <f t="shared" si="87"/>
        <v>6.0020772127906677E-3</v>
      </c>
      <c r="Z173" s="1772">
        <f t="shared" ref="Z173:Z236" si="97">-V173/H173*G173</f>
        <v>0</v>
      </c>
      <c r="AA173" s="87">
        <f t="shared" ref="AA173:AA236" si="98">V173+Z173</f>
        <v>10802259.503917001</v>
      </c>
      <c r="AB173" s="689" t="s">
        <v>389</v>
      </c>
      <c r="AC173" s="690">
        <f t="shared" ref="AC173:AC182" si="99">SUMIF($A$172:$A$303,AB173,$AA$172:$AA$303)</f>
        <v>117168660.32613999</v>
      </c>
      <c r="AD173" s="690">
        <f t="shared" si="88"/>
        <v>115280490</v>
      </c>
      <c r="AE173" s="691">
        <f t="shared" si="89"/>
        <v>1888170.3261399865</v>
      </c>
      <c r="AF173" s="692">
        <f t="shared" si="90"/>
        <v>1.6378923494686625E-2</v>
      </c>
      <c r="AG173" s="692">
        <f t="shared" si="91"/>
        <v>1.6378923494686625E-2</v>
      </c>
    </row>
    <row r="174" spans="1:64">
      <c r="A174" s="864">
        <f t="shared" ref="A174:H174" si="100">A8</f>
        <v>2011</v>
      </c>
      <c r="B174" s="62">
        <f t="shared" si="100"/>
        <v>40633</v>
      </c>
      <c r="C174" s="69">
        <f t="shared" si="100"/>
        <v>11067608</v>
      </c>
      <c r="D174" s="69">
        <f t="shared" si="100"/>
        <v>2402</v>
      </c>
      <c r="E174" s="843">
        <f t="shared" si="100"/>
        <v>0</v>
      </c>
      <c r="F174" s="885">
        <f t="shared" si="100"/>
        <v>0</v>
      </c>
      <c r="G174" s="73">
        <f t="shared" si="100"/>
        <v>0</v>
      </c>
      <c r="H174" s="71">
        <f t="shared" si="100"/>
        <v>11070010</v>
      </c>
      <c r="I174" s="259"/>
      <c r="J174" s="345">
        <f t="shared" ref="J174:K174" si="101">J140</f>
        <v>634.18181818181813</v>
      </c>
      <c r="K174" s="345">
        <f t="shared" si="101"/>
        <v>0</v>
      </c>
      <c r="L174" s="322">
        <f t="shared" ref="L174:P174" si="102">L8</f>
        <v>31</v>
      </c>
      <c r="M174" s="150">
        <f t="shared" si="102"/>
        <v>1</v>
      </c>
      <c r="N174" s="322">
        <f t="shared" si="102"/>
        <v>23</v>
      </c>
      <c r="O174" s="841">
        <f t="shared" si="102"/>
        <v>3</v>
      </c>
      <c r="P174" s="841">
        <f t="shared" si="102"/>
        <v>0</v>
      </c>
      <c r="Q174" s="1720">
        <v>0</v>
      </c>
      <c r="V174" s="65">
        <f t="shared" si="95"/>
        <v>11003292.800848592</v>
      </c>
      <c r="W174" s="182">
        <f t="shared" si="96"/>
        <v>-66717.199151407927</v>
      </c>
      <c r="X174" s="183">
        <f t="shared" si="86"/>
        <v>-6.0268418141815527E-3</v>
      </c>
      <c r="Y174" s="183">
        <f t="shared" si="87"/>
        <v>6.0268418141815527E-3</v>
      </c>
      <c r="Z174" s="1772">
        <f t="shared" si="97"/>
        <v>0</v>
      </c>
      <c r="AA174" s="87">
        <f t="shared" si="98"/>
        <v>11003292.800848592</v>
      </c>
      <c r="AB174" s="689" t="s">
        <v>390</v>
      </c>
      <c r="AC174" s="690">
        <f t="shared" si="99"/>
        <v>115553454.22827533</v>
      </c>
      <c r="AD174" s="690">
        <f t="shared" si="88"/>
        <v>116595095</v>
      </c>
      <c r="AE174" s="691">
        <f t="shared" si="89"/>
        <v>-1041640.7717246711</v>
      </c>
      <c r="AF174" s="692">
        <f t="shared" si="90"/>
        <v>-8.9338301214529747E-3</v>
      </c>
      <c r="AG174" s="692">
        <f t="shared" si="91"/>
        <v>8.9338301214529747E-3</v>
      </c>
    </row>
    <row r="175" spans="1:64">
      <c r="A175" s="864">
        <f t="shared" ref="A175:H175" si="103">A9</f>
        <v>2011</v>
      </c>
      <c r="B175" s="62">
        <f t="shared" si="103"/>
        <v>40663</v>
      </c>
      <c r="C175" s="69">
        <f t="shared" si="103"/>
        <v>9072415</v>
      </c>
      <c r="D175" s="69">
        <f t="shared" si="103"/>
        <v>2602</v>
      </c>
      <c r="E175" s="843">
        <f t="shared" si="103"/>
        <v>0</v>
      </c>
      <c r="F175" s="885">
        <f t="shared" si="103"/>
        <v>0</v>
      </c>
      <c r="G175" s="73">
        <f t="shared" si="103"/>
        <v>0</v>
      </c>
      <c r="H175" s="71">
        <f t="shared" si="103"/>
        <v>9075017</v>
      </c>
      <c r="I175" s="259"/>
      <c r="J175" s="345">
        <f t="shared" ref="J175:K175" si="104">J141</f>
        <v>376.19090909090914</v>
      </c>
      <c r="K175" s="345">
        <f t="shared" si="104"/>
        <v>0.4</v>
      </c>
      <c r="L175" s="322">
        <f t="shared" ref="L175:P175" si="105">L9</f>
        <v>30</v>
      </c>
      <c r="M175" s="150">
        <f t="shared" si="105"/>
        <v>0</v>
      </c>
      <c r="N175" s="322">
        <f t="shared" si="105"/>
        <v>19</v>
      </c>
      <c r="O175" s="841">
        <f t="shared" si="105"/>
        <v>4</v>
      </c>
      <c r="P175" s="841">
        <f t="shared" si="105"/>
        <v>0</v>
      </c>
      <c r="Q175" s="1720">
        <v>0</v>
      </c>
      <c r="V175" s="65">
        <f t="shared" si="95"/>
        <v>9125109.064682072</v>
      </c>
      <c r="W175" s="182">
        <f t="shared" si="96"/>
        <v>50092.064682072029</v>
      </c>
      <c r="X175" s="183">
        <f t="shared" si="86"/>
        <v>5.5197764017491128E-3</v>
      </c>
      <c r="Y175" s="183">
        <f t="shared" si="87"/>
        <v>5.5197764017491128E-3</v>
      </c>
      <c r="Z175" s="1772">
        <f t="shared" si="97"/>
        <v>0</v>
      </c>
      <c r="AA175" s="87">
        <f t="shared" si="98"/>
        <v>9125109.064682072</v>
      </c>
      <c r="AB175" s="689" t="s">
        <v>391</v>
      </c>
      <c r="AC175" s="690">
        <f t="shared" si="99"/>
        <v>114094931.0167875</v>
      </c>
      <c r="AD175" s="690">
        <f t="shared" si="88"/>
        <v>115949736</v>
      </c>
      <c r="AE175" s="691">
        <f t="shared" si="89"/>
        <v>-1854804.9832125008</v>
      </c>
      <c r="AF175" s="692">
        <f t="shared" si="90"/>
        <v>-1.5996629636246009E-2</v>
      </c>
      <c r="AG175" s="692">
        <f t="shared" si="91"/>
        <v>1.5996629636246009E-2</v>
      </c>
    </row>
    <row r="176" spans="1:64" ht="13.8" thickBot="1">
      <c r="A176" s="864">
        <f t="shared" ref="A176:H176" si="106">A10</f>
        <v>2011</v>
      </c>
      <c r="B176" s="62">
        <f t="shared" si="106"/>
        <v>40694</v>
      </c>
      <c r="C176" s="69">
        <f t="shared" si="106"/>
        <v>8656277</v>
      </c>
      <c r="D176" s="69">
        <f t="shared" si="106"/>
        <v>2828</v>
      </c>
      <c r="E176" s="843">
        <f t="shared" si="106"/>
        <v>0</v>
      </c>
      <c r="F176" s="885">
        <f t="shared" si="106"/>
        <v>0</v>
      </c>
      <c r="G176" s="73">
        <f t="shared" si="106"/>
        <v>0</v>
      </c>
      <c r="H176" s="71">
        <f t="shared" si="106"/>
        <v>8659105</v>
      </c>
      <c r="I176" s="259"/>
      <c r="J176" s="345">
        <f t="shared" ref="J176:K176" si="107">J142</f>
        <v>147.39545454545458</v>
      </c>
      <c r="K176" s="345">
        <f t="shared" si="107"/>
        <v>17.336363636363636</v>
      </c>
      <c r="L176" s="322">
        <f t="shared" ref="L176:P176" si="108">L10</f>
        <v>31</v>
      </c>
      <c r="M176" s="150">
        <f t="shared" si="108"/>
        <v>0</v>
      </c>
      <c r="N176" s="322">
        <f t="shared" si="108"/>
        <v>21</v>
      </c>
      <c r="O176" s="841">
        <f t="shared" si="108"/>
        <v>5</v>
      </c>
      <c r="P176" s="841">
        <f t="shared" si="108"/>
        <v>0</v>
      </c>
      <c r="Q176" s="1720">
        <v>0</v>
      </c>
      <c r="V176" s="65">
        <f t="shared" si="95"/>
        <v>8637334.2262555826</v>
      </c>
      <c r="W176" s="182">
        <f t="shared" si="96"/>
        <v>-21770.773744417354</v>
      </c>
      <c r="X176" s="183">
        <f t="shared" si="86"/>
        <v>-2.5142059998599572E-3</v>
      </c>
      <c r="Y176" s="183">
        <f t="shared" si="87"/>
        <v>2.5142059998599572E-3</v>
      </c>
      <c r="Z176" s="1772">
        <f t="shared" si="97"/>
        <v>0</v>
      </c>
      <c r="AA176" s="87">
        <f t="shared" si="98"/>
        <v>8637334.2262555826</v>
      </c>
      <c r="AB176" s="1104" t="s">
        <v>392</v>
      </c>
      <c r="AC176" s="690">
        <f t="shared" si="99"/>
        <v>112636407.8052997</v>
      </c>
      <c r="AD176" s="1105">
        <f t="shared" si="88"/>
        <v>112684385.95</v>
      </c>
      <c r="AE176" s="1106">
        <f t="shared" si="89"/>
        <v>-47978.144700303674</v>
      </c>
      <c r="AF176" s="1107">
        <f t="shared" si="90"/>
        <v>-4.2577455870054971E-4</v>
      </c>
      <c r="AG176" s="1107">
        <f t="shared" si="91"/>
        <v>4.2577455870054971E-4</v>
      </c>
    </row>
    <row r="177" spans="1:35">
      <c r="A177" s="864">
        <f t="shared" ref="A177:H177" si="109">A11</f>
        <v>2011</v>
      </c>
      <c r="B177" s="62">
        <f t="shared" si="109"/>
        <v>40724</v>
      </c>
      <c r="C177" s="69">
        <f t="shared" si="109"/>
        <v>8776092</v>
      </c>
      <c r="D177" s="69">
        <f t="shared" si="109"/>
        <v>3389</v>
      </c>
      <c r="E177" s="843">
        <f t="shared" si="109"/>
        <v>0</v>
      </c>
      <c r="F177" s="885">
        <f t="shared" si="109"/>
        <v>0</v>
      </c>
      <c r="G177" s="73">
        <f t="shared" si="109"/>
        <v>0</v>
      </c>
      <c r="H177" s="71">
        <f t="shared" si="109"/>
        <v>8779481</v>
      </c>
      <c r="I177" s="259"/>
      <c r="J177" s="345">
        <f t="shared" ref="J177:K177" si="110">J143</f>
        <v>37.681818181818187</v>
      </c>
      <c r="K177" s="345">
        <f t="shared" si="110"/>
        <v>51.772727272727273</v>
      </c>
      <c r="L177" s="322">
        <f t="shared" ref="L177:P177" si="111">L11</f>
        <v>30</v>
      </c>
      <c r="M177" s="150">
        <f t="shared" si="111"/>
        <v>1</v>
      </c>
      <c r="N177" s="322">
        <f t="shared" si="111"/>
        <v>22</v>
      </c>
      <c r="O177" s="841">
        <f t="shared" si="111"/>
        <v>6</v>
      </c>
      <c r="P177" s="841">
        <f t="shared" si="111"/>
        <v>0</v>
      </c>
      <c r="Q177" s="1720">
        <v>0</v>
      </c>
      <c r="V177" s="65">
        <f t="shared" si="95"/>
        <v>8939116.711825598</v>
      </c>
      <c r="W177" s="182">
        <f t="shared" si="96"/>
        <v>159635.71182559803</v>
      </c>
      <c r="X177" s="183">
        <f t="shared" si="86"/>
        <v>1.8182818759514149E-2</v>
      </c>
      <c r="Y177" s="183">
        <f t="shared" si="87"/>
        <v>1.8182818759514149E-2</v>
      </c>
      <c r="Z177" s="1772">
        <f t="shared" si="97"/>
        <v>0</v>
      </c>
      <c r="AA177" s="87">
        <f t="shared" si="98"/>
        <v>8939116.711825598</v>
      </c>
      <c r="AB177" s="1100" t="s">
        <v>393</v>
      </c>
      <c r="AC177" s="690">
        <f t="shared" si="99"/>
        <v>111334567.48018874</v>
      </c>
      <c r="AD177" s="1101">
        <f>SUMIF($A$172:$A$291,AB177,$C$172:$C$291)+SUMIF($A$172:$A$291,AB177,$D$172:$D$291)</f>
        <v>109734472.34999999</v>
      </c>
      <c r="AE177" s="1102">
        <f t="shared" ref="AE177:AE182" si="112">AC177-AD177</f>
        <v>1600095.1301887482</v>
      </c>
      <c r="AF177" s="1103">
        <f t="shared" ref="AF177:AF182" si="113">AE177/AD177</f>
        <v>1.4581517511518325E-2</v>
      </c>
      <c r="AG177" s="1103">
        <f t="shared" ref="AG177:AG182" si="114">ABS(AF177)</f>
        <v>1.4581517511518325E-2</v>
      </c>
      <c r="AH177" s="788">
        <v>111739190.5168764</v>
      </c>
      <c r="AI177" s="87">
        <f>AC177-AH177</f>
        <v>-404623.03668765724</v>
      </c>
    </row>
    <row r="178" spans="1:35">
      <c r="A178" s="864">
        <f t="shared" ref="A178:H178" si="115">A12</f>
        <v>2011</v>
      </c>
      <c r="B178" s="62">
        <f t="shared" si="115"/>
        <v>40755</v>
      </c>
      <c r="C178" s="69">
        <f t="shared" si="115"/>
        <v>9998192</v>
      </c>
      <c r="D178" s="69">
        <f t="shared" si="115"/>
        <v>3782</v>
      </c>
      <c r="E178" s="843">
        <f t="shared" si="115"/>
        <v>0</v>
      </c>
      <c r="F178" s="885">
        <f t="shared" si="115"/>
        <v>0</v>
      </c>
      <c r="G178" s="73">
        <f t="shared" si="115"/>
        <v>0</v>
      </c>
      <c r="H178" s="71">
        <f t="shared" si="115"/>
        <v>10001974</v>
      </c>
      <c r="I178" s="259"/>
      <c r="J178" s="345">
        <f t="shared" ref="J178:K178" si="116">J144</f>
        <v>4.5545454545454538</v>
      </c>
      <c r="K178" s="345">
        <f t="shared" si="116"/>
        <v>116.1</v>
      </c>
      <c r="L178" s="322">
        <f t="shared" ref="L178:P178" si="117">L12</f>
        <v>31</v>
      </c>
      <c r="M178" s="150">
        <f t="shared" si="117"/>
        <v>1</v>
      </c>
      <c r="N178" s="322">
        <f t="shared" si="117"/>
        <v>20</v>
      </c>
      <c r="O178" s="841">
        <f t="shared" si="117"/>
        <v>7</v>
      </c>
      <c r="P178" s="841">
        <f t="shared" si="117"/>
        <v>0</v>
      </c>
      <c r="Q178" s="1720">
        <v>0</v>
      </c>
      <c r="V178" s="65">
        <f t="shared" si="95"/>
        <v>9806284.458056109</v>
      </c>
      <c r="W178" s="182">
        <f t="shared" si="96"/>
        <v>-195689.54194389097</v>
      </c>
      <c r="X178" s="183">
        <f t="shared" si="86"/>
        <v>-1.9565092045219373E-2</v>
      </c>
      <c r="Y178" s="183">
        <f t="shared" si="87"/>
        <v>1.9565092045219373E-2</v>
      </c>
      <c r="Z178" s="1772">
        <f t="shared" si="97"/>
        <v>0</v>
      </c>
      <c r="AA178" s="87">
        <f t="shared" si="98"/>
        <v>9806284.458056109</v>
      </c>
      <c r="AB178" s="689" t="s">
        <v>394</v>
      </c>
      <c r="AC178" s="690">
        <f t="shared" si="99"/>
        <v>109664855.82953592</v>
      </c>
      <c r="AD178" s="690">
        <f t="shared" ref="AD178:AD181" si="118">SUMIF($A$172:$A$291,AB178,$C$172:$C$291)+SUMIF($A$172:$A$291,AB178,$D$172:$D$291)</f>
        <v>107186399</v>
      </c>
      <c r="AE178" s="691">
        <f t="shared" si="112"/>
        <v>2478456.8295359164</v>
      </c>
      <c r="AF178" s="692">
        <f t="shared" si="113"/>
        <v>2.3122866825070934E-2</v>
      </c>
      <c r="AG178" s="692">
        <f t="shared" si="114"/>
        <v>2.3122866825070934E-2</v>
      </c>
      <c r="AH178" s="788">
        <v>110193793.40746376</v>
      </c>
      <c r="AI178" s="87">
        <f>AC178-AH178</f>
        <v>-528937.57792784274</v>
      </c>
    </row>
    <row r="179" spans="1:35">
      <c r="A179" s="864">
        <f t="shared" ref="A179:H179" si="119">A13</f>
        <v>2011</v>
      </c>
      <c r="B179" s="62">
        <f t="shared" si="119"/>
        <v>40786</v>
      </c>
      <c r="C179" s="69">
        <f t="shared" si="119"/>
        <v>9450654</v>
      </c>
      <c r="D179" s="69">
        <f t="shared" si="119"/>
        <v>3038</v>
      </c>
      <c r="E179" s="843">
        <f t="shared" si="119"/>
        <v>0</v>
      </c>
      <c r="F179" s="885">
        <f t="shared" si="119"/>
        <v>0</v>
      </c>
      <c r="G179" s="73">
        <f t="shared" si="119"/>
        <v>0</v>
      </c>
      <c r="H179" s="71">
        <f t="shared" si="119"/>
        <v>9453692</v>
      </c>
      <c r="I179" s="259"/>
      <c r="J179" s="345">
        <f t="shared" ref="J179:K179" si="120">J145</f>
        <v>10.836363636363636</v>
      </c>
      <c r="K179" s="345">
        <f t="shared" si="120"/>
        <v>82.954545454545453</v>
      </c>
      <c r="L179" s="322">
        <f t="shared" ref="L179:P179" si="121">L13</f>
        <v>31</v>
      </c>
      <c r="M179" s="150">
        <f t="shared" si="121"/>
        <v>1</v>
      </c>
      <c r="N179" s="322">
        <f t="shared" si="121"/>
        <v>22</v>
      </c>
      <c r="O179" s="841">
        <f t="shared" si="121"/>
        <v>8</v>
      </c>
      <c r="P179" s="841">
        <f t="shared" si="121"/>
        <v>1</v>
      </c>
      <c r="Q179" s="1720">
        <v>0</v>
      </c>
      <c r="V179" s="65">
        <f t="shared" si="95"/>
        <v>9852169.7573248688</v>
      </c>
      <c r="W179" s="182">
        <f t="shared" si="96"/>
        <v>398477.75732486881</v>
      </c>
      <c r="X179" s="183">
        <f t="shared" si="86"/>
        <v>4.2150490763277336E-2</v>
      </c>
      <c r="Y179" s="183">
        <f t="shared" si="87"/>
        <v>4.2150490763277336E-2</v>
      </c>
      <c r="Z179" s="1772">
        <f t="shared" si="97"/>
        <v>0</v>
      </c>
      <c r="AA179" s="87">
        <f t="shared" si="98"/>
        <v>9852169.7573248688</v>
      </c>
      <c r="AB179" s="689" t="s">
        <v>395</v>
      </c>
      <c r="AC179" s="690">
        <f t="shared" si="99"/>
        <v>108260838.1708363</v>
      </c>
      <c r="AD179" s="690">
        <f t="shared" si="118"/>
        <v>110285589.34999999</v>
      </c>
      <c r="AE179" s="691">
        <f t="shared" si="112"/>
        <v>-2024751.1791636944</v>
      </c>
      <c r="AF179" s="692">
        <f t="shared" si="113"/>
        <v>-1.8359163614187046E-2</v>
      </c>
      <c r="AG179" s="692">
        <f t="shared" si="114"/>
        <v>1.8359163614187046E-2</v>
      </c>
      <c r="AH179" s="788">
        <v>108912520.80203782</v>
      </c>
      <c r="AI179" s="87">
        <f>AC179-AH179</f>
        <v>-651682.63120152056</v>
      </c>
    </row>
    <row r="180" spans="1:35">
      <c r="A180" s="864">
        <f t="shared" ref="A180:H180" si="122">A14</f>
        <v>2011</v>
      </c>
      <c r="B180" s="62">
        <f t="shared" si="122"/>
        <v>40816</v>
      </c>
      <c r="C180" s="69">
        <f t="shared" si="122"/>
        <v>8631923</v>
      </c>
      <c r="D180" s="69">
        <f t="shared" si="122"/>
        <v>5616</v>
      </c>
      <c r="E180" s="843">
        <f t="shared" si="122"/>
        <v>0</v>
      </c>
      <c r="F180" s="885">
        <f t="shared" si="122"/>
        <v>0</v>
      </c>
      <c r="G180" s="73">
        <f t="shared" si="122"/>
        <v>0</v>
      </c>
      <c r="H180" s="71">
        <f t="shared" si="122"/>
        <v>8637539</v>
      </c>
      <c r="I180" s="259"/>
      <c r="J180" s="345">
        <f t="shared" ref="J180:K180" si="123">J146</f>
        <v>93.481818181818198</v>
      </c>
      <c r="K180" s="345">
        <f t="shared" si="123"/>
        <v>25.536363636363639</v>
      </c>
      <c r="L180" s="322">
        <f t="shared" ref="L180:P180" si="124">L14</f>
        <v>30</v>
      </c>
      <c r="M180" s="150">
        <f t="shared" si="124"/>
        <v>1</v>
      </c>
      <c r="N180" s="322">
        <f t="shared" si="124"/>
        <v>21</v>
      </c>
      <c r="O180" s="841">
        <f t="shared" si="124"/>
        <v>9</v>
      </c>
      <c r="P180" s="841">
        <f t="shared" si="124"/>
        <v>0</v>
      </c>
      <c r="Q180" s="1720">
        <v>0</v>
      </c>
      <c r="V180" s="65">
        <f t="shared" si="95"/>
        <v>8700667.4447155278</v>
      </c>
      <c r="W180" s="182">
        <f t="shared" si="96"/>
        <v>63128.444715527818</v>
      </c>
      <c r="X180" s="183">
        <f t="shared" si="86"/>
        <v>7.3086147241161886E-3</v>
      </c>
      <c r="Y180" s="183">
        <f t="shared" si="87"/>
        <v>7.3086147241161886E-3</v>
      </c>
      <c r="Z180" s="1772">
        <f t="shared" si="97"/>
        <v>0</v>
      </c>
      <c r="AA180" s="87">
        <f t="shared" si="98"/>
        <v>8700667.4447155278</v>
      </c>
      <c r="AB180" s="689" t="s">
        <v>396</v>
      </c>
      <c r="AC180" s="690">
        <f t="shared" si="99"/>
        <v>106802314.9593485</v>
      </c>
      <c r="AD180" s="690">
        <f t="shared" si="118"/>
        <v>108750347.28</v>
      </c>
      <c r="AE180" s="691">
        <f t="shared" si="112"/>
        <v>-1948032.3206515014</v>
      </c>
      <c r="AF180" s="692">
        <f t="shared" si="113"/>
        <v>-1.7912883676921912E-2</v>
      </c>
      <c r="AG180" s="692">
        <f t="shared" si="114"/>
        <v>1.7912883676921912E-2</v>
      </c>
      <c r="AH180" s="788">
        <v>107575408.6592778</v>
      </c>
      <c r="AI180" s="87">
        <f>AC180-AH180</f>
        <v>-773093.69992929697</v>
      </c>
    </row>
    <row r="181" spans="1:35">
      <c r="A181" s="864">
        <f t="shared" ref="A181:H181" si="125">A15</f>
        <v>2011</v>
      </c>
      <c r="B181" s="62">
        <f t="shared" si="125"/>
        <v>40847</v>
      </c>
      <c r="C181" s="69">
        <f t="shared" si="125"/>
        <v>8921515</v>
      </c>
      <c r="D181" s="69">
        <f t="shared" si="125"/>
        <v>3860</v>
      </c>
      <c r="E181" s="843">
        <f t="shared" si="125"/>
        <v>0</v>
      </c>
      <c r="F181" s="885">
        <f t="shared" si="125"/>
        <v>0</v>
      </c>
      <c r="G181" s="73">
        <f t="shared" si="125"/>
        <v>0</v>
      </c>
      <c r="H181" s="71">
        <f t="shared" si="125"/>
        <v>8925375</v>
      </c>
      <c r="I181" s="259"/>
      <c r="J181" s="345">
        <f t="shared" ref="J181:K181" si="126">J147</f>
        <v>276.59632529608206</v>
      </c>
      <c r="K181" s="345">
        <f t="shared" si="126"/>
        <v>0.63636363636363635</v>
      </c>
      <c r="L181" s="322">
        <f t="shared" ref="L181:P181" si="127">L15</f>
        <v>31</v>
      </c>
      <c r="M181" s="150">
        <f t="shared" si="127"/>
        <v>0</v>
      </c>
      <c r="N181" s="322">
        <f t="shared" si="127"/>
        <v>20</v>
      </c>
      <c r="O181" s="841">
        <f t="shared" si="127"/>
        <v>10</v>
      </c>
      <c r="P181" s="841">
        <f t="shared" si="127"/>
        <v>0</v>
      </c>
      <c r="Q181" s="1720">
        <v>0</v>
      </c>
      <c r="V181" s="65">
        <f t="shared" si="95"/>
        <v>8843856.9214526247</v>
      </c>
      <c r="W181" s="182">
        <f t="shared" si="96"/>
        <v>-81518.078547375277</v>
      </c>
      <c r="X181" s="183">
        <f t="shared" si="86"/>
        <v>-9.1332945167430252E-3</v>
      </c>
      <c r="Y181" s="183">
        <f t="shared" si="87"/>
        <v>9.1332945167430252E-3</v>
      </c>
      <c r="Z181" s="1772">
        <f t="shared" si="97"/>
        <v>0</v>
      </c>
      <c r="AA181" s="87">
        <f t="shared" si="98"/>
        <v>8843856.9214526247</v>
      </c>
      <c r="AB181" s="689" t="s">
        <v>405</v>
      </c>
      <c r="AC181" s="690">
        <f t="shared" si="99"/>
        <v>109093062.85571662</v>
      </c>
      <c r="AD181" s="690">
        <f t="shared" si="118"/>
        <v>108483759.41</v>
      </c>
      <c r="AE181" s="691">
        <f t="shared" si="112"/>
        <v>609303.44571661949</v>
      </c>
      <c r="AF181" s="692">
        <f t="shared" si="113"/>
        <v>5.6165406603751432E-3</v>
      </c>
      <c r="AG181" s="692">
        <f t="shared" si="114"/>
        <v>5.6165406603751432E-3</v>
      </c>
      <c r="AH181" s="788">
        <v>106446581.48317042</v>
      </c>
      <c r="AI181" s="87">
        <f>AC181-AH181</f>
        <v>2646481.372546196</v>
      </c>
    </row>
    <row r="182" spans="1:35">
      <c r="A182" s="864">
        <f t="shared" ref="A182:H182" si="128">A16</f>
        <v>2011</v>
      </c>
      <c r="B182" s="62">
        <f t="shared" si="128"/>
        <v>40877</v>
      </c>
      <c r="C182" s="69">
        <f t="shared" si="128"/>
        <v>9478715</v>
      </c>
      <c r="D182" s="69">
        <f t="shared" si="128"/>
        <v>2771</v>
      </c>
      <c r="E182" s="843">
        <f t="shared" si="128"/>
        <v>0</v>
      </c>
      <c r="F182" s="885">
        <f t="shared" si="128"/>
        <v>0</v>
      </c>
      <c r="G182" s="73">
        <f t="shared" si="128"/>
        <v>0</v>
      </c>
      <c r="H182" s="71">
        <f t="shared" si="128"/>
        <v>9481486</v>
      </c>
      <c r="I182" s="259"/>
      <c r="J182" s="345">
        <f t="shared" ref="J182:K182" si="129">J148</f>
        <v>506.81818181818181</v>
      </c>
      <c r="K182" s="345">
        <f t="shared" si="129"/>
        <v>0</v>
      </c>
      <c r="L182" s="322">
        <f t="shared" ref="L182:P182" si="130">L16</f>
        <v>30</v>
      </c>
      <c r="M182" s="150">
        <f t="shared" si="130"/>
        <v>0</v>
      </c>
      <c r="N182" s="322">
        <f t="shared" si="130"/>
        <v>22</v>
      </c>
      <c r="O182" s="841">
        <f t="shared" si="130"/>
        <v>11</v>
      </c>
      <c r="P182" s="841">
        <f t="shared" si="130"/>
        <v>0</v>
      </c>
      <c r="Q182" s="1720">
        <v>0</v>
      </c>
      <c r="V182" s="65">
        <f t="shared" si="95"/>
        <v>9782534.7108204365</v>
      </c>
      <c r="W182" s="182">
        <f t="shared" si="96"/>
        <v>301048.71082043648</v>
      </c>
      <c r="X182" s="183">
        <f t="shared" si="86"/>
        <v>3.1751216087903995E-2</v>
      </c>
      <c r="Y182" s="183">
        <f t="shared" si="87"/>
        <v>3.1751216087903995E-2</v>
      </c>
      <c r="Z182" s="1772">
        <f t="shared" si="97"/>
        <v>0</v>
      </c>
      <c r="AA182" s="87">
        <f t="shared" si="98"/>
        <v>9782534.7108204365</v>
      </c>
      <c r="AB182" s="689" t="s">
        <v>406</v>
      </c>
      <c r="AC182" s="690">
        <f t="shared" si="99"/>
        <v>109192392.53940925</v>
      </c>
      <c r="AD182" s="690">
        <f>SUMIF($A$172:$A$303,AB182,$C$172:$C$303)+SUMIF($A$172:$A$303,AB182,$D$172:$D$303)</f>
        <v>109262971.97000003</v>
      </c>
      <c r="AE182" s="691">
        <f t="shared" si="112"/>
        <v>-70579.430590778589</v>
      </c>
      <c r="AF182" s="692">
        <f t="shared" si="113"/>
        <v>-6.4595927896009774E-4</v>
      </c>
      <c r="AG182" s="692">
        <f t="shared" si="114"/>
        <v>6.4595927896009774E-4</v>
      </c>
    </row>
    <row r="183" spans="1:35">
      <c r="A183" s="865">
        <f t="shared" ref="A183:H183" si="131">A17</f>
        <v>2011</v>
      </c>
      <c r="B183" s="151">
        <f t="shared" si="131"/>
        <v>40908</v>
      </c>
      <c r="C183" s="81">
        <f t="shared" si="131"/>
        <v>10916892</v>
      </c>
      <c r="D183" s="81">
        <f t="shared" si="131"/>
        <v>1792</v>
      </c>
      <c r="E183" s="853">
        <f t="shared" si="131"/>
        <v>0</v>
      </c>
      <c r="F183" s="886">
        <f t="shared" si="131"/>
        <v>0</v>
      </c>
      <c r="G183" s="83">
        <f t="shared" si="131"/>
        <v>0</v>
      </c>
      <c r="H183" s="76">
        <f t="shared" si="131"/>
        <v>10918684</v>
      </c>
      <c r="I183" s="260"/>
      <c r="J183" s="856">
        <f t="shared" ref="J183:K183" si="132">J149</f>
        <v>720.0090909090909</v>
      </c>
      <c r="K183" s="839">
        <f t="shared" si="132"/>
        <v>0</v>
      </c>
      <c r="L183" s="323">
        <f t="shared" ref="L183:P183" si="133">L17</f>
        <v>31</v>
      </c>
      <c r="M183" s="104">
        <f t="shared" si="133"/>
        <v>1</v>
      </c>
      <c r="N183" s="323">
        <f t="shared" si="133"/>
        <v>20</v>
      </c>
      <c r="O183" s="873">
        <f t="shared" si="133"/>
        <v>12</v>
      </c>
      <c r="P183" s="873">
        <f t="shared" si="133"/>
        <v>0</v>
      </c>
      <c r="Q183" s="1721">
        <v>0</v>
      </c>
      <c r="V183" s="65">
        <f t="shared" si="95"/>
        <v>11123701.522569083</v>
      </c>
      <c r="W183" s="190">
        <f t="shared" si="96"/>
        <v>205017.52256908268</v>
      </c>
      <c r="X183" s="184">
        <f t="shared" si="86"/>
        <v>1.8776761244219786E-2</v>
      </c>
      <c r="Y183" s="184">
        <f t="shared" si="87"/>
        <v>1.8776761244219786E-2</v>
      </c>
      <c r="Z183" s="1772">
        <f t="shared" si="97"/>
        <v>0</v>
      </c>
      <c r="AA183" s="87">
        <f t="shared" si="98"/>
        <v>11123701.522569083</v>
      </c>
      <c r="AB183" s="689" t="s">
        <v>596</v>
      </c>
      <c r="AC183" s="1108">
        <f>AC49</f>
        <v>103699020.77285595</v>
      </c>
    </row>
    <row r="184" spans="1:35">
      <c r="A184" s="864">
        <f t="shared" ref="A184:H184" si="134">A18</f>
        <v>2012</v>
      </c>
      <c r="B184" s="62">
        <f t="shared" si="134"/>
        <v>40939</v>
      </c>
      <c r="C184" s="69">
        <f t="shared" si="134"/>
        <v>11698538</v>
      </c>
      <c r="D184" s="69">
        <f t="shared" si="134"/>
        <v>1495</v>
      </c>
      <c r="E184" s="843">
        <f t="shared" si="134"/>
        <v>0</v>
      </c>
      <c r="F184" s="885">
        <f t="shared" si="134"/>
        <v>0</v>
      </c>
      <c r="G184" s="73">
        <f t="shared" si="134"/>
        <v>0</v>
      </c>
      <c r="H184" s="71">
        <f t="shared" si="134"/>
        <v>11700033</v>
      </c>
      <c r="I184" s="259"/>
      <c r="J184" s="345">
        <f t="shared" ref="J184:K184" si="135">J172</f>
        <v>849.19090909090926</v>
      </c>
      <c r="K184" s="345">
        <f t="shared" si="135"/>
        <v>0</v>
      </c>
      <c r="L184" s="322">
        <f t="shared" ref="L184:P184" si="136">L18</f>
        <v>31</v>
      </c>
      <c r="M184" s="150">
        <f t="shared" si="136"/>
        <v>1</v>
      </c>
      <c r="N184" s="322">
        <f t="shared" si="136"/>
        <v>21</v>
      </c>
      <c r="O184" s="841">
        <f t="shared" si="136"/>
        <v>13</v>
      </c>
      <c r="P184" s="841">
        <f t="shared" si="136"/>
        <v>0</v>
      </c>
      <c r="Q184" s="1720">
        <v>0</v>
      </c>
      <c r="V184" s="65">
        <f t="shared" si="95"/>
        <v>11732629.927826136</v>
      </c>
      <c r="W184" s="182">
        <f t="shared" si="96"/>
        <v>32596.927826136351</v>
      </c>
      <c r="X184" s="183">
        <f t="shared" si="86"/>
        <v>2.7860543492600706E-3</v>
      </c>
      <c r="Y184" s="183">
        <f t="shared" si="87"/>
        <v>2.7860543492600706E-3</v>
      </c>
      <c r="Z184" s="1772">
        <f t="shared" si="97"/>
        <v>0</v>
      </c>
      <c r="AA184" s="87">
        <f t="shared" si="98"/>
        <v>11732629.927826136</v>
      </c>
    </row>
    <row r="185" spans="1:35">
      <c r="A185" s="864">
        <f t="shared" ref="A185:H185" si="137">A19</f>
        <v>2012</v>
      </c>
      <c r="B185" s="62">
        <f t="shared" si="137"/>
        <v>40968</v>
      </c>
      <c r="C185" s="69">
        <f t="shared" si="137"/>
        <v>10394346</v>
      </c>
      <c r="D185" s="69">
        <f t="shared" si="137"/>
        <v>3678</v>
      </c>
      <c r="E185" s="843">
        <f t="shared" si="137"/>
        <v>0</v>
      </c>
      <c r="F185" s="885">
        <f t="shared" si="137"/>
        <v>0</v>
      </c>
      <c r="G185" s="73">
        <f t="shared" si="137"/>
        <v>0</v>
      </c>
      <c r="H185" s="71">
        <f t="shared" si="137"/>
        <v>10398024</v>
      </c>
      <c r="I185" s="259"/>
      <c r="J185" s="345">
        <f t="shared" ref="J185:K185" si="138">J173</f>
        <v>743.30909090909097</v>
      </c>
      <c r="K185" s="345">
        <f t="shared" si="138"/>
        <v>0</v>
      </c>
      <c r="L185" s="322">
        <f t="shared" ref="L185:P185" si="139">L19</f>
        <v>29</v>
      </c>
      <c r="M185" s="150">
        <f t="shared" si="139"/>
        <v>1</v>
      </c>
      <c r="N185" s="322">
        <f t="shared" si="139"/>
        <v>20</v>
      </c>
      <c r="O185" s="841">
        <f t="shared" si="139"/>
        <v>14</v>
      </c>
      <c r="P185" s="841">
        <f t="shared" si="139"/>
        <v>0</v>
      </c>
      <c r="Q185" s="1720">
        <v>0</v>
      </c>
      <c r="V185" s="65">
        <f t="shared" si="95"/>
        <v>10891904.34212471</v>
      </c>
      <c r="W185" s="182">
        <f t="shared" si="96"/>
        <v>493880.34212470986</v>
      </c>
      <c r="X185" s="183">
        <f t="shared" si="86"/>
        <v>4.7497518963671354E-2</v>
      </c>
      <c r="Y185" s="183">
        <f t="shared" si="87"/>
        <v>4.7497518963671354E-2</v>
      </c>
      <c r="Z185" s="1772">
        <f t="shared" si="97"/>
        <v>0</v>
      </c>
      <c r="AA185" s="87">
        <f t="shared" si="98"/>
        <v>10891904.34212471</v>
      </c>
    </row>
    <row r="186" spans="1:35">
      <c r="A186" s="864">
        <f t="shared" ref="A186:H186" si="140">A20</f>
        <v>2012</v>
      </c>
      <c r="B186" s="62">
        <f t="shared" si="140"/>
        <v>40999</v>
      </c>
      <c r="C186" s="69">
        <f t="shared" si="140"/>
        <v>9868346</v>
      </c>
      <c r="D186" s="69">
        <f t="shared" si="140"/>
        <v>5711</v>
      </c>
      <c r="E186" s="843">
        <f t="shared" si="140"/>
        <v>0</v>
      </c>
      <c r="F186" s="885">
        <f t="shared" si="140"/>
        <v>0</v>
      </c>
      <c r="G186" s="73">
        <f t="shared" si="140"/>
        <v>0</v>
      </c>
      <c r="H186" s="71">
        <f t="shared" si="140"/>
        <v>9874057</v>
      </c>
      <c r="I186" s="259"/>
      <c r="J186" s="345">
        <f t="shared" ref="J186:K186" si="141">J174</f>
        <v>634.18181818181813</v>
      </c>
      <c r="K186" s="345">
        <f t="shared" si="141"/>
        <v>0</v>
      </c>
      <c r="L186" s="322">
        <f t="shared" ref="L186:P186" si="142">L20</f>
        <v>31</v>
      </c>
      <c r="M186" s="150">
        <f t="shared" si="142"/>
        <v>1</v>
      </c>
      <c r="N186" s="322">
        <f t="shared" si="142"/>
        <v>22</v>
      </c>
      <c r="O186" s="841">
        <f t="shared" si="142"/>
        <v>15</v>
      </c>
      <c r="P186" s="841">
        <f t="shared" si="142"/>
        <v>0</v>
      </c>
      <c r="Q186" s="1720">
        <v>0</v>
      </c>
      <c r="V186" s="65">
        <f t="shared" si="95"/>
        <v>10827243.647103077</v>
      </c>
      <c r="W186" s="182">
        <f t="shared" si="96"/>
        <v>953186.6471030768</v>
      </c>
      <c r="X186" s="183">
        <f t="shared" si="86"/>
        <v>9.6534448515243204E-2</v>
      </c>
      <c r="Y186" s="183">
        <f t="shared" si="87"/>
        <v>9.6534448515243204E-2</v>
      </c>
      <c r="Z186" s="1772">
        <f t="shared" si="97"/>
        <v>0</v>
      </c>
      <c r="AA186" s="87">
        <f t="shared" si="98"/>
        <v>10827243.647103077</v>
      </c>
    </row>
    <row r="187" spans="1:35">
      <c r="A187" s="864">
        <f t="shared" ref="A187:H187" si="143">A21</f>
        <v>2012</v>
      </c>
      <c r="B187" s="62">
        <f t="shared" si="143"/>
        <v>41029</v>
      </c>
      <c r="C187" s="69">
        <f t="shared" si="143"/>
        <v>8701738</v>
      </c>
      <c r="D187" s="69">
        <f t="shared" si="143"/>
        <v>6666</v>
      </c>
      <c r="E187" s="843">
        <f t="shared" si="143"/>
        <v>0</v>
      </c>
      <c r="F187" s="885">
        <f t="shared" si="143"/>
        <v>0</v>
      </c>
      <c r="G187" s="73">
        <f t="shared" si="143"/>
        <v>0</v>
      </c>
      <c r="H187" s="71">
        <f t="shared" si="143"/>
        <v>8708404</v>
      </c>
      <c r="I187" s="259"/>
      <c r="J187" s="345">
        <f t="shared" ref="J187:K187" si="144">J175</f>
        <v>376.19090909090914</v>
      </c>
      <c r="K187" s="345">
        <f t="shared" si="144"/>
        <v>0.4</v>
      </c>
      <c r="L187" s="322">
        <f t="shared" ref="L187:P187" si="145">L21</f>
        <v>30</v>
      </c>
      <c r="M187" s="150">
        <f t="shared" si="145"/>
        <v>0</v>
      </c>
      <c r="N187" s="322">
        <f t="shared" si="145"/>
        <v>19</v>
      </c>
      <c r="O187" s="841">
        <f t="shared" si="145"/>
        <v>16</v>
      </c>
      <c r="P187" s="841">
        <f t="shared" si="145"/>
        <v>0</v>
      </c>
      <c r="Q187" s="1720">
        <v>0</v>
      </c>
      <c r="V187" s="65">
        <f t="shared" si="95"/>
        <v>9003565.4637247548</v>
      </c>
      <c r="W187" s="182">
        <f t="shared" si="96"/>
        <v>295161.46372475475</v>
      </c>
      <c r="X187" s="183">
        <f t="shared" si="86"/>
        <v>3.3893864332058404E-2</v>
      </c>
      <c r="Y187" s="183">
        <f t="shared" si="87"/>
        <v>3.3893864332058404E-2</v>
      </c>
      <c r="Z187" s="1772">
        <f t="shared" si="97"/>
        <v>0</v>
      </c>
      <c r="AA187" s="87">
        <f t="shared" si="98"/>
        <v>9003565.4637247548</v>
      </c>
    </row>
    <row r="188" spans="1:35">
      <c r="A188" s="864">
        <f t="shared" ref="A188:H188" si="146">A22</f>
        <v>2012</v>
      </c>
      <c r="B188" s="62">
        <f t="shared" si="146"/>
        <v>41060</v>
      </c>
      <c r="C188" s="69">
        <f t="shared" si="146"/>
        <v>8473818</v>
      </c>
      <c r="D188" s="69">
        <f t="shared" si="146"/>
        <v>8514</v>
      </c>
      <c r="E188" s="843">
        <f t="shared" si="146"/>
        <v>0</v>
      </c>
      <c r="F188" s="885">
        <f t="shared" si="146"/>
        <v>0</v>
      </c>
      <c r="G188" s="73">
        <f t="shared" si="146"/>
        <v>0</v>
      </c>
      <c r="H188" s="71">
        <f t="shared" si="146"/>
        <v>8482332</v>
      </c>
      <c r="I188" s="259"/>
      <c r="J188" s="345">
        <f t="shared" ref="J188:K188" si="147">J176</f>
        <v>147.39545454545458</v>
      </c>
      <c r="K188" s="345">
        <f t="shared" si="147"/>
        <v>17.336363636363636</v>
      </c>
      <c r="L188" s="322">
        <f t="shared" ref="L188:P188" si="148">L22</f>
        <v>31</v>
      </c>
      <c r="M188" s="150">
        <f t="shared" si="148"/>
        <v>0</v>
      </c>
      <c r="N188" s="322">
        <f t="shared" si="148"/>
        <v>22</v>
      </c>
      <c r="O188" s="841">
        <f t="shared" si="148"/>
        <v>17</v>
      </c>
      <c r="P188" s="841">
        <f t="shared" si="148"/>
        <v>0</v>
      </c>
      <c r="Q188" s="1720">
        <v>0</v>
      </c>
      <c r="V188" s="65">
        <f t="shared" si="95"/>
        <v>8570296.1780864634</v>
      </c>
      <c r="W188" s="182">
        <f t="shared" si="96"/>
        <v>87964.178086463362</v>
      </c>
      <c r="X188" s="183">
        <f t="shared" si="86"/>
        <v>1.0370282380654679E-2</v>
      </c>
      <c r="Y188" s="183">
        <f t="shared" si="87"/>
        <v>1.0370282380654679E-2</v>
      </c>
      <c r="Z188" s="1772">
        <f t="shared" si="97"/>
        <v>0</v>
      </c>
      <c r="AA188" s="87">
        <f t="shared" si="98"/>
        <v>8570296.1780864634</v>
      </c>
    </row>
    <row r="189" spans="1:35">
      <c r="A189" s="864">
        <f t="shared" ref="A189:H189" si="149">A23</f>
        <v>2012</v>
      </c>
      <c r="B189" s="62">
        <f t="shared" si="149"/>
        <v>41090</v>
      </c>
      <c r="C189" s="69">
        <f t="shared" si="149"/>
        <v>9028518</v>
      </c>
      <c r="D189" s="69">
        <f t="shared" si="149"/>
        <v>8372</v>
      </c>
      <c r="E189" s="843">
        <f t="shared" si="149"/>
        <v>0</v>
      </c>
      <c r="F189" s="885">
        <f t="shared" si="149"/>
        <v>0</v>
      </c>
      <c r="G189" s="73">
        <f t="shared" si="149"/>
        <v>0</v>
      </c>
      <c r="H189" s="71">
        <f t="shared" si="149"/>
        <v>9036890</v>
      </c>
      <c r="I189" s="259"/>
      <c r="J189" s="345">
        <f t="shared" ref="J189:K189" si="150">J177</f>
        <v>37.681818181818187</v>
      </c>
      <c r="K189" s="345">
        <f t="shared" si="150"/>
        <v>51.772727272727273</v>
      </c>
      <c r="L189" s="322">
        <f t="shared" ref="L189:P189" si="151">L23</f>
        <v>30</v>
      </c>
      <c r="M189" s="150">
        <f t="shared" si="151"/>
        <v>1</v>
      </c>
      <c r="N189" s="322">
        <f t="shared" si="151"/>
        <v>21</v>
      </c>
      <c r="O189" s="841">
        <f t="shared" si="151"/>
        <v>18</v>
      </c>
      <c r="P189" s="841">
        <f t="shared" si="151"/>
        <v>0</v>
      </c>
      <c r="Q189" s="1720">
        <v>0</v>
      </c>
      <c r="V189" s="65">
        <f t="shared" si="95"/>
        <v>8763067.5580800828</v>
      </c>
      <c r="W189" s="182">
        <f t="shared" si="96"/>
        <v>-273822.44191991724</v>
      </c>
      <c r="X189" s="183">
        <f t="shared" si="86"/>
        <v>-3.0300517315129127E-2</v>
      </c>
      <c r="Y189" s="183">
        <f t="shared" si="87"/>
        <v>3.0300517315129127E-2</v>
      </c>
      <c r="Z189" s="1772">
        <f t="shared" si="97"/>
        <v>0</v>
      </c>
      <c r="AA189" s="87">
        <f t="shared" si="98"/>
        <v>8763067.5580800828</v>
      </c>
    </row>
    <row r="190" spans="1:35">
      <c r="A190" s="864">
        <f t="shared" ref="A190:H190" si="152">A24</f>
        <v>2012</v>
      </c>
      <c r="B190" s="62">
        <f t="shared" si="152"/>
        <v>41121</v>
      </c>
      <c r="C190" s="69">
        <f t="shared" si="152"/>
        <v>9776500</v>
      </c>
      <c r="D190" s="69">
        <f t="shared" si="152"/>
        <v>8141</v>
      </c>
      <c r="E190" s="843">
        <f t="shared" si="152"/>
        <v>0</v>
      </c>
      <c r="F190" s="885">
        <f t="shared" si="152"/>
        <v>0</v>
      </c>
      <c r="G190" s="73">
        <f t="shared" si="152"/>
        <v>0</v>
      </c>
      <c r="H190" s="71">
        <f t="shared" si="152"/>
        <v>9784641</v>
      </c>
      <c r="I190" s="259"/>
      <c r="J190" s="345">
        <f t="shared" ref="J190:K190" si="153">J178</f>
        <v>4.5545454545454538</v>
      </c>
      <c r="K190" s="345">
        <f t="shared" si="153"/>
        <v>116.1</v>
      </c>
      <c r="L190" s="322">
        <f t="shared" ref="L190:P190" si="154">L24</f>
        <v>31</v>
      </c>
      <c r="M190" s="150">
        <f t="shared" si="154"/>
        <v>1</v>
      </c>
      <c r="N190" s="322">
        <f t="shared" si="154"/>
        <v>21</v>
      </c>
      <c r="O190" s="841">
        <f t="shared" si="154"/>
        <v>19</v>
      </c>
      <c r="P190" s="841">
        <f t="shared" si="154"/>
        <v>0</v>
      </c>
      <c r="Q190" s="1720">
        <v>0</v>
      </c>
      <c r="V190" s="65">
        <f t="shared" si="95"/>
        <v>9739246.4098869897</v>
      </c>
      <c r="W190" s="182">
        <f t="shared" si="96"/>
        <v>-45394.590113010257</v>
      </c>
      <c r="X190" s="183">
        <f t="shared" si="86"/>
        <v>-4.6393720641370751E-3</v>
      </c>
      <c r="Y190" s="183">
        <f t="shared" si="87"/>
        <v>4.6393720641370751E-3</v>
      </c>
      <c r="Z190" s="1772">
        <f t="shared" si="97"/>
        <v>0</v>
      </c>
      <c r="AA190" s="87">
        <f t="shared" si="98"/>
        <v>9739246.4098869897</v>
      </c>
    </row>
    <row r="191" spans="1:35">
      <c r="A191" s="864">
        <f t="shared" ref="A191:H191" si="155">A25</f>
        <v>2012</v>
      </c>
      <c r="B191" s="62">
        <f t="shared" si="155"/>
        <v>41152</v>
      </c>
      <c r="C191" s="69">
        <f t="shared" si="155"/>
        <v>9430200</v>
      </c>
      <c r="D191" s="69">
        <f t="shared" si="155"/>
        <v>7448</v>
      </c>
      <c r="E191" s="843">
        <f t="shared" si="155"/>
        <v>0</v>
      </c>
      <c r="F191" s="885">
        <f t="shared" si="155"/>
        <v>0</v>
      </c>
      <c r="G191" s="73">
        <f t="shared" si="155"/>
        <v>0</v>
      </c>
      <c r="H191" s="71">
        <f t="shared" si="155"/>
        <v>9437648</v>
      </c>
      <c r="I191" s="259"/>
      <c r="J191" s="345">
        <f t="shared" ref="J191:K191" si="156">J179</f>
        <v>10.836363636363636</v>
      </c>
      <c r="K191" s="345">
        <f t="shared" si="156"/>
        <v>82.954545454545453</v>
      </c>
      <c r="L191" s="322">
        <f t="shared" ref="L191:P191" si="157">L25</f>
        <v>31</v>
      </c>
      <c r="M191" s="150">
        <f t="shared" si="157"/>
        <v>1</v>
      </c>
      <c r="N191" s="322">
        <f t="shared" si="157"/>
        <v>22</v>
      </c>
      <c r="O191" s="841">
        <f t="shared" si="157"/>
        <v>20</v>
      </c>
      <c r="P191" s="841">
        <f t="shared" si="157"/>
        <v>1</v>
      </c>
      <c r="Q191" s="1720">
        <v>0</v>
      </c>
      <c r="V191" s="65">
        <f t="shared" si="95"/>
        <v>9730626.1563675515</v>
      </c>
      <c r="W191" s="182">
        <f t="shared" si="96"/>
        <v>292978.15636755154</v>
      </c>
      <c r="X191" s="183">
        <f t="shared" si="86"/>
        <v>3.1043556230064051E-2</v>
      </c>
      <c r="Y191" s="183">
        <f t="shared" si="87"/>
        <v>3.1043556230064051E-2</v>
      </c>
      <c r="Z191" s="1772">
        <f t="shared" si="97"/>
        <v>0</v>
      </c>
      <c r="AA191" s="87">
        <f t="shared" si="98"/>
        <v>9730626.1563675515</v>
      </c>
    </row>
    <row r="192" spans="1:35">
      <c r="A192" s="864">
        <f t="shared" ref="A192:H192" si="158">A26</f>
        <v>2012</v>
      </c>
      <c r="B192" s="62">
        <f t="shared" si="158"/>
        <v>41182</v>
      </c>
      <c r="C192" s="69">
        <f t="shared" si="158"/>
        <v>8456345</v>
      </c>
      <c r="D192" s="69">
        <f t="shared" si="158"/>
        <v>6062</v>
      </c>
      <c r="E192" s="843">
        <f t="shared" si="158"/>
        <v>0</v>
      </c>
      <c r="F192" s="885">
        <f t="shared" si="158"/>
        <v>0</v>
      </c>
      <c r="G192" s="73">
        <f t="shared" si="158"/>
        <v>0</v>
      </c>
      <c r="H192" s="71">
        <f t="shared" si="158"/>
        <v>8462407</v>
      </c>
      <c r="I192" s="259"/>
      <c r="J192" s="345">
        <f t="shared" ref="J192:K192" si="159">J180</f>
        <v>93.481818181818198</v>
      </c>
      <c r="K192" s="345">
        <f t="shared" si="159"/>
        <v>25.536363636363639</v>
      </c>
      <c r="L192" s="322">
        <f t="shared" ref="L192:P192" si="160">L26</f>
        <v>30</v>
      </c>
      <c r="M192" s="150">
        <f t="shared" si="160"/>
        <v>1</v>
      </c>
      <c r="N192" s="322">
        <f t="shared" si="160"/>
        <v>19</v>
      </c>
      <c r="O192" s="841">
        <f t="shared" si="160"/>
        <v>21</v>
      </c>
      <c r="P192" s="841">
        <f t="shared" si="160"/>
        <v>0</v>
      </c>
      <c r="Q192" s="1720">
        <v>0</v>
      </c>
      <c r="V192" s="65">
        <f t="shared" si="95"/>
        <v>8470112.7381818146</v>
      </c>
      <c r="W192" s="182">
        <f t="shared" si="96"/>
        <v>7705.7381818145514</v>
      </c>
      <c r="X192" s="183">
        <f t="shared" si="86"/>
        <v>9.1058468138137904E-4</v>
      </c>
      <c r="Y192" s="183">
        <f t="shared" si="87"/>
        <v>9.1058468138137904E-4</v>
      </c>
      <c r="Z192" s="1772">
        <f t="shared" si="97"/>
        <v>0</v>
      </c>
      <c r="AA192" s="87">
        <f t="shared" si="98"/>
        <v>8470112.7381818146</v>
      </c>
    </row>
    <row r="193" spans="1:27">
      <c r="A193" s="864">
        <f t="shared" ref="A193:H193" si="161">A27</f>
        <v>2012</v>
      </c>
      <c r="B193" s="62">
        <f t="shared" si="161"/>
        <v>41213</v>
      </c>
      <c r="C193" s="69">
        <f t="shared" si="161"/>
        <v>8663345</v>
      </c>
      <c r="D193" s="69">
        <f t="shared" si="161"/>
        <v>3812</v>
      </c>
      <c r="E193" s="843">
        <f t="shared" si="161"/>
        <v>0</v>
      </c>
      <c r="F193" s="885">
        <f t="shared" si="161"/>
        <v>0</v>
      </c>
      <c r="G193" s="73">
        <f t="shared" si="161"/>
        <v>0</v>
      </c>
      <c r="H193" s="71">
        <f t="shared" si="161"/>
        <v>8667157</v>
      </c>
      <c r="I193" s="259"/>
      <c r="J193" s="345">
        <f t="shared" ref="J193:K193" si="162">J181</f>
        <v>276.59632529608206</v>
      </c>
      <c r="K193" s="345">
        <f t="shared" si="162"/>
        <v>0.63636363636363635</v>
      </c>
      <c r="L193" s="322">
        <f t="shared" ref="L193:P193" si="163">L27</f>
        <v>31</v>
      </c>
      <c r="M193" s="150">
        <f t="shared" si="163"/>
        <v>0</v>
      </c>
      <c r="N193" s="322">
        <f t="shared" si="163"/>
        <v>22</v>
      </c>
      <c r="O193" s="841">
        <f t="shared" si="163"/>
        <v>22</v>
      </c>
      <c r="P193" s="841">
        <f t="shared" si="163"/>
        <v>0</v>
      </c>
      <c r="Q193" s="1720">
        <v>0</v>
      </c>
      <c r="V193" s="65">
        <f t="shared" si="95"/>
        <v>8831324.4260717034</v>
      </c>
      <c r="W193" s="182">
        <f t="shared" si="96"/>
        <v>164167.42607170343</v>
      </c>
      <c r="X193" s="183">
        <f t="shared" si="86"/>
        <v>1.8941323674153292E-2</v>
      </c>
      <c r="Y193" s="183">
        <f t="shared" si="87"/>
        <v>1.8941323674153292E-2</v>
      </c>
      <c r="Z193" s="1772">
        <f t="shared" si="97"/>
        <v>0</v>
      </c>
      <c r="AA193" s="87">
        <f t="shared" si="98"/>
        <v>8831324.4260717034</v>
      </c>
    </row>
    <row r="194" spans="1:27">
      <c r="A194" s="864">
        <f t="shared" ref="A194:H194" si="164">A28</f>
        <v>2012</v>
      </c>
      <c r="B194" s="62">
        <f t="shared" si="164"/>
        <v>41243</v>
      </c>
      <c r="C194" s="69">
        <f t="shared" si="164"/>
        <v>9765918</v>
      </c>
      <c r="D194" s="69">
        <f t="shared" si="164"/>
        <v>3380</v>
      </c>
      <c r="E194" s="843">
        <f t="shared" si="164"/>
        <v>0</v>
      </c>
      <c r="F194" s="885">
        <f t="shared" si="164"/>
        <v>0</v>
      </c>
      <c r="G194" s="73">
        <f t="shared" si="164"/>
        <v>0</v>
      </c>
      <c r="H194" s="71">
        <f t="shared" si="164"/>
        <v>9769298</v>
      </c>
      <c r="I194" s="259"/>
      <c r="J194" s="345">
        <f t="shared" ref="J194:K194" si="165">J182</f>
        <v>506.81818181818181</v>
      </c>
      <c r="K194" s="345">
        <f t="shared" si="165"/>
        <v>0</v>
      </c>
      <c r="L194" s="322">
        <f t="shared" ref="L194:P194" si="166">L28</f>
        <v>30</v>
      </c>
      <c r="M194" s="150">
        <f t="shared" si="166"/>
        <v>0</v>
      </c>
      <c r="N194" s="322">
        <f t="shared" si="166"/>
        <v>22</v>
      </c>
      <c r="O194" s="841">
        <f t="shared" si="166"/>
        <v>23</v>
      </c>
      <c r="P194" s="841">
        <f t="shared" si="166"/>
        <v>0</v>
      </c>
      <c r="Q194" s="1720">
        <v>0</v>
      </c>
      <c r="V194" s="65">
        <f t="shared" si="95"/>
        <v>9660991.1098631192</v>
      </c>
      <c r="W194" s="182">
        <f t="shared" si="96"/>
        <v>-108306.8901368808</v>
      </c>
      <c r="X194" s="183">
        <f t="shared" si="86"/>
        <v>-1.1086455765489066E-2</v>
      </c>
      <c r="Y194" s="183">
        <f t="shared" si="87"/>
        <v>1.1086455765489066E-2</v>
      </c>
      <c r="Z194" s="1772">
        <f t="shared" si="97"/>
        <v>0</v>
      </c>
      <c r="AA194" s="87">
        <f t="shared" si="98"/>
        <v>9660991.1098631192</v>
      </c>
    </row>
    <row r="195" spans="1:27">
      <c r="A195" s="865">
        <f t="shared" ref="A195:H195" si="167">A29</f>
        <v>2012</v>
      </c>
      <c r="B195" s="151">
        <f t="shared" si="167"/>
        <v>41274</v>
      </c>
      <c r="C195" s="81">
        <f t="shared" si="167"/>
        <v>10958364</v>
      </c>
      <c r="D195" s="81">
        <f t="shared" si="167"/>
        <v>1235</v>
      </c>
      <c r="E195" s="853">
        <f t="shared" si="167"/>
        <v>0</v>
      </c>
      <c r="F195" s="886">
        <f t="shared" si="167"/>
        <v>0</v>
      </c>
      <c r="G195" s="83">
        <f t="shared" si="167"/>
        <v>0</v>
      </c>
      <c r="H195" s="76">
        <f t="shared" si="167"/>
        <v>10959599</v>
      </c>
      <c r="I195" s="260"/>
      <c r="J195" s="856">
        <f t="shared" ref="J195:K195" si="168">J183</f>
        <v>720.0090909090909</v>
      </c>
      <c r="K195" s="839">
        <f t="shared" si="168"/>
        <v>0</v>
      </c>
      <c r="L195" s="323">
        <f t="shared" ref="L195:P195" si="169">L29</f>
        <v>31</v>
      </c>
      <c r="M195" s="104">
        <f t="shared" si="169"/>
        <v>1</v>
      </c>
      <c r="N195" s="323">
        <f t="shared" si="169"/>
        <v>19</v>
      </c>
      <c r="O195" s="873">
        <f t="shared" si="169"/>
        <v>24</v>
      </c>
      <c r="P195" s="873">
        <f t="shared" si="169"/>
        <v>0</v>
      </c>
      <c r="Q195" s="1721">
        <v>0</v>
      </c>
      <c r="V195" s="65">
        <f t="shared" si="95"/>
        <v>10947652.368823567</v>
      </c>
      <c r="W195" s="190">
        <f t="shared" si="96"/>
        <v>-11946.631176432595</v>
      </c>
      <c r="X195" s="184">
        <f t="shared" si="86"/>
        <v>-1.0900609754455975E-3</v>
      </c>
      <c r="Y195" s="184">
        <f t="shared" si="87"/>
        <v>1.0900609754455975E-3</v>
      </c>
      <c r="Z195" s="1772">
        <f t="shared" si="97"/>
        <v>0</v>
      </c>
      <c r="AA195" s="87">
        <f t="shared" si="98"/>
        <v>10947652.368823567</v>
      </c>
    </row>
    <row r="196" spans="1:27">
      <c r="A196" s="864">
        <f t="shared" ref="A196:H196" si="170">A30</f>
        <v>2013</v>
      </c>
      <c r="B196" s="62">
        <f t="shared" si="170"/>
        <v>41305</v>
      </c>
      <c r="C196" s="69">
        <f t="shared" si="170"/>
        <v>11999817</v>
      </c>
      <c r="D196" s="69">
        <f t="shared" si="170"/>
        <v>1814</v>
      </c>
      <c r="E196" s="860">
        <f t="shared" si="170"/>
        <v>0</v>
      </c>
      <c r="F196" s="887">
        <f t="shared" si="170"/>
        <v>0</v>
      </c>
      <c r="G196" s="73">
        <f t="shared" si="170"/>
        <v>0</v>
      </c>
      <c r="H196" s="71">
        <f t="shared" si="170"/>
        <v>12001631</v>
      </c>
      <c r="I196" s="259"/>
      <c r="J196" s="345">
        <f t="shared" ref="J196:K196" si="171">J184</f>
        <v>849.19090909090926</v>
      </c>
      <c r="K196" s="345">
        <f t="shared" si="171"/>
        <v>0</v>
      </c>
      <c r="L196" s="322">
        <f t="shared" ref="L196:P196" si="172">L30</f>
        <v>31</v>
      </c>
      <c r="M196" s="150">
        <f t="shared" si="172"/>
        <v>1</v>
      </c>
      <c r="N196" s="322">
        <f t="shared" si="172"/>
        <v>22</v>
      </c>
      <c r="O196" s="841">
        <f t="shared" si="172"/>
        <v>25</v>
      </c>
      <c r="P196" s="841">
        <f t="shared" si="172"/>
        <v>0</v>
      </c>
      <c r="Q196" s="1720">
        <v>0</v>
      </c>
      <c r="V196" s="65">
        <f t="shared" si="95"/>
        <v>11665591.879657017</v>
      </c>
      <c r="W196" s="182">
        <f t="shared" si="96"/>
        <v>-336039.12034298293</v>
      </c>
      <c r="X196" s="183">
        <f t="shared" si="86"/>
        <v>-2.7999454436066475E-2</v>
      </c>
      <c r="Y196" s="183">
        <f t="shared" si="87"/>
        <v>2.7999454436066475E-2</v>
      </c>
      <c r="Z196" s="1772">
        <f t="shared" si="97"/>
        <v>0</v>
      </c>
      <c r="AA196" s="87">
        <f t="shared" si="98"/>
        <v>11665591.879657017</v>
      </c>
    </row>
    <row r="197" spans="1:27">
      <c r="A197" s="864">
        <f t="shared" ref="A197:H197" si="173">A31</f>
        <v>2013</v>
      </c>
      <c r="B197" s="62">
        <f t="shared" si="173"/>
        <v>41333</v>
      </c>
      <c r="C197" s="69">
        <f t="shared" si="173"/>
        <v>10701983</v>
      </c>
      <c r="D197" s="69">
        <f t="shared" si="173"/>
        <v>2546</v>
      </c>
      <c r="E197" s="860">
        <f t="shared" si="173"/>
        <v>0</v>
      </c>
      <c r="F197" s="887">
        <f t="shared" si="173"/>
        <v>0</v>
      </c>
      <c r="G197" s="73">
        <f t="shared" si="173"/>
        <v>0</v>
      </c>
      <c r="H197" s="71">
        <f t="shared" si="173"/>
        <v>10704529</v>
      </c>
      <c r="I197" s="259"/>
      <c r="J197" s="345">
        <f t="shared" ref="J197:K197" si="174">J185</f>
        <v>743.30909090909097</v>
      </c>
      <c r="K197" s="345">
        <f t="shared" si="174"/>
        <v>0</v>
      </c>
      <c r="L197" s="322">
        <f t="shared" ref="L197:P197" si="175">L31</f>
        <v>28</v>
      </c>
      <c r="M197" s="150">
        <f t="shared" si="175"/>
        <v>1</v>
      </c>
      <c r="N197" s="322">
        <f t="shared" si="175"/>
        <v>19</v>
      </c>
      <c r="O197" s="841">
        <f t="shared" si="175"/>
        <v>26</v>
      </c>
      <c r="P197" s="841">
        <f t="shared" si="175"/>
        <v>0</v>
      </c>
      <c r="Q197" s="1720">
        <v>0</v>
      </c>
      <c r="V197" s="65">
        <f t="shared" si="95"/>
        <v>10559172.302002367</v>
      </c>
      <c r="W197" s="182">
        <f t="shared" si="96"/>
        <v>-145356.69799763337</v>
      </c>
      <c r="X197" s="183">
        <f t="shared" si="86"/>
        <v>-1.3578990537335493E-2</v>
      </c>
      <c r="Y197" s="183">
        <f t="shared" si="87"/>
        <v>1.3578990537335493E-2</v>
      </c>
      <c r="Z197" s="1772">
        <f t="shared" si="97"/>
        <v>0</v>
      </c>
      <c r="AA197" s="87">
        <f t="shared" si="98"/>
        <v>10559172.302002367</v>
      </c>
    </row>
    <row r="198" spans="1:27">
      <c r="A198" s="864">
        <f t="shared" ref="A198:H198" si="176">A32</f>
        <v>2013</v>
      </c>
      <c r="B198" s="62">
        <f t="shared" si="176"/>
        <v>41364</v>
      </c>
      <c r="C198" s="69">
        <f t="shared" si="176"/>
        <v>10574475</v>
      </c>
      <c r="D198" s="69">
        <f t="shared" si="176"/>
        <v>4962</v>
      </c>
      <c r="E198" s="860">
        <f t="shared" si="176"/>
        <v>0</v>
      </c>
      <c r="F198" s="887">
        <f t="shared" si="176"/>
        <v>0</v>
      </c>
      <c r="G198" s="73">
        <f t="shared" si="176"/>
        <v>0</v>
      </c>
      <c r="H198" s="71">
        <f t="shared" si="176"/>
        <v>10579437</v>
      </c>
      <c r="I198" s="259"/>
      <c r="J198" s="345">
        <f t="shared" ref="J198:K198" si="177">J186</f>
        <v>634.18181818181813</v>
      </c>
      <c r="K198" s="345">
        <f t="shared" si="177"/>
        <v>0</v>
      </c>
      <c r="L198" s="322">
        <f t="shared" ref="L198:P198" si="178">L32</f>
        <v>31</v>
      </c>
      <c r="M198" s="150">
        <f t="shared" si="178"/>
        <v>1</v>
      </c>
      <c r="N198" s="322">
        <f t="shared" si="178"/>
        <v>20</v>
      </c>
      <c r="O198" s="841">
        <f t="shared" si="178"/>
        <v>27</v>
      </c>
      <c r="P198" s="841">
        <f t="shared" si="178"/>
        <v>0</v>
      </c>
      <c r="Q198" s="1720">
        <v>0</v>
      </c>
      <c r="V198" s="65">
        <f t="shared" si="95"/>
        <v>10596688.940569364</v>
      </c>
      <c r="W198" s="182">
        <f t="shared" si="96"/>
        <v>17251.940569363534</v>
      </c>
      <c r="X198" s="183">
        <f t="shared" si="86"/>
        <v>1.6307049769627188E-3</v>
      </c>
      <c r="Y198" s="183">
        <f t="shared" si="87"/>
        <v>1.6307049769627188E-3</v>
      </c>
      <c r="Z198" s="1772">
        <f t="shared" si="97"/>
        <v>0</v>
      </c>
      <c r="AA198" s="87">
        <f t="shared" si="98"/>
        <v>10596688.940569364</v>
      </c>
    </row>
    <row r="199" spans="1:27">
      <c r="A199" s="864">
        <f t="shared" ref="A199:H199" si="179">A33</f>
        <v>2013</v>
      </c>
      <c r="B199" s="62">
        <f t="shared" si="179"/>
        <v>41394</v>
      </c>
      <c r="C199" s="69">
        <f t="shared" si="179"/>
        <v>9116700</v>
      </c>
      <c r="D199" s="69">
        <f t="shared" si="179"/>
        <v>6326</v>
      </c>
      <c r="E199" s="860">
        <f t="shared" si="179"/>
        <v>0</v>
      </c>
      <c r="F199" s="887">
        <f t="shared" si="179"/>
        <v>0</v>
      </c>
      <c r="G199" s="73">
        <f t="shared" si="179"/>
        <v>0</v>
      </c>
      <c r="H199" s="71">
        <f t="shared" si="179"/>
        <v>9123026</v>
      </c>
      <c r="I199" s="259"/>
      <c r="J199" s="345">
        <f t="shared" ref="J199:K199" si="180">J187</f>
        <v>376.19090909090914</v>
      </c>
      <c r="K199" s="345">
        <f t="shared" si="180"/>
        <v>0.4</v>
      </c>
      <c r="L199" s="322">
        <f t="shared" ref="L199:P199" si="181">L33</f>
        <v>30</v>
      </c>
      <c r="M199" s="150">
        <f t="shared" si="181"/>
        <v>0</v>
      </c>
      <c r="N199" s="322">
        <f t="shared" si="181"/>
        <v>21</v>
      </c>
      <c r="O199" s="841">
        <f t="shared" si="181"/>
        <v>28</v>
      </c>
      <c r="P199" s="841">
        <f t="shared" si="181"/>
        <v>0</v>
      </c>
      <c r="Q199" s="1720">
        <v>0</v>
      </c>
      <c r="V199" s="65">
        <f t="shared" si="95"/>
        <v>8991032.9683438335</v>
      </c>
      <c r="W199" s="182">
        <f t="shared" si="96"/>
        <v>-131993.03165616654</v>
      </c>
      <c r="X199" s="183">
        <f t="shared" si="86"/>
        <v>-1.4468119641023333E-2</v>
      </c>
      <c r="Y199" s="183">
        <f t="shared" si="87"/>
        <v>1.4468119641023333E-2</v>
      </c>
      <c r="Z199" s="1772">
        <f t="shared" si="97"/>
        <v>0</v>
      </c>
      <c r="AA199" s="87">
        <f t="shared" si="98"/>
        <v>8991032.9683438335</v>
      </c>
    </row>
    <row r="200" spans="1:27">
      <c r="A200" s="864">
        <f t="shared" ref="A200:H200" si="182">A34</f>
        <v>2013</v>
      </c>
      <c r="B200" s="62">
        <f t="shared" si="182"/>
        <v>41425</v>
      </c>
      <c r="C200" s="69">
        <f t="shared" si="182"/>
        <v>8204917</v>
      </c>
      <c r="D200" s="69">
        <f t="shared" si="182"/>
        <v>8173</v>
      </c>
      <c r="E200" s="860">
        <f t="shared" si="182"/>
        <v>0</v>
      </c>
      <c r="F200" s="887">
        <f t="shared" si="182"/>
        <v>0</v>
      </c>
      <c r="G200" s="73">
        <f t="shared" si="182"/>
        <v>0</v>
      </c>
      <c r="H200" s="71">
        <f t="shared" si="182"/>
        <v>8213090</v>
      </c>
      <c r="I200" s="259"/>
      <c r="J200" s="345">
        <f t="shared" ref="J200:K200" si="183">J188</f>
        <v>147.39545454545458</v>
      </c>
      <c r="K200" s="345">
        <f t="shared" si="183"/>
        <v>17.336363636363636</v>
      </c>
      <c r="L200" s="322">
        <f t="shared" ref="L200:P200" si="184">L34</f>
        <v>31</v>
      </c>
      <c r="M200" s="150">
        <f t="shared" si="184"/>
        <v>0</v>
      </c>
      <c r="N200" s="322">
        <f t="shared" si="184"/>
        <v>22</v>
      </c>
      <c r="O200" s="841">
        <f t="shared" si="184"/>
        <v>29</v>
      </c>
      <c r="P200" s="841">
        <f t="shared" si="184"/>
        <v>0</v>
      </c>
      <c r="Q200" s="1720">
        <v>0</v>
      </c>
      <c r="V200" s="65">
        <f t="shared" si="95"/>
        <v>8448752.5771291479</v>
      </c>
      <c r="W200" s="182">
        <f t="shared" si="96"/>
        <v>235662.57712914795</v>
      </c>
      <c r="X200" s="183">
        <f t="shared" si="86"/>
        <v>2.8693533996236247E-2</v>
      </c>
      <c r="Y200" s="183">
        <f t="shared" si="87"/>
        <v>2.8693533996236247E-2</v>
      </c>
      <c r="Z200" s="1772">
        <f t="shared" si="97"/>
        <v>0</v>
      </c>
      <c r="AA200" s="87">
        <f t="shared" si="98"/>
        <v>8448752.5771291479</v>
      </c>
    </row>
    <row r="201" spans="1:27">
      <c r="A201" s="864">
        <f t="shared" ref="A201:H201" si="185">A35</f>
        <v>2013</v>
      </c>
      <c r="B201" s="62">
        <f t="shared" si="185"/>
        <v>41455</v>
      </c>
      <c r="C201" s="69">
        <f t="shared" si="185"/>
        <v>8279408</v>
      </c>
      <c r="D201" s="69">
        <f t="shared" si="185"/>
        <v>6943</v>
      </c>
      <c r="E201" s="860">
        <f t="shared" si="185"/>
        <v>0</v>
      </c>
      <c r="F201" s="887">
        <f t="shared" si="185"/>
        <v>0</v>
      </c>
      <c r="G201" s="73">
        <f t="shared" si="185"/>
        <v>0</v>
      </c>
      <c r="H201" s="71">
        <f t="shared" si="185"/>
        <v>8286351</v>
      </c>
      <c r="I201" s="259"/>
      <c r="J201" s="345">
        <f t="shared" ref="J201:K201" si="186">J189</f>
        <v>37.681818181818187</v>
      </c>
      <c r="K201" s="345">
        <f t="shared" si="186"/>
        <v>51.772727272727273</v>
      </c>
      <c r="L201" s="322">
        <f t="shared" ref="L201:P201" si="187">L35</f>
        <v>30</v>
      </c>
      <c r="M201" s="150">
        <f t="shared" si="187"/>
        <v>1</v>
      </c>
      <c r="N201" s="322">
        <f t="shared" si="187"/>
        <v>20</v>
      </c>
      <c r="O201" s="841">
        <f t="shared" si="187"/>
        <v>30</v>
      </c>
      <c r="P201" s="841">
        <f t="shared" si="187"/>
        <v>0</v>
      </c>
      <c r="Q201" s="1720">
        <v>0</v>
      </c>
      <c r="V201" s="65">
        <f t="shared" si="95"/>
        <v>8587018.4043345675</v>
      </c>
      <c r="W201" s="182">
        <f t="shared" si="96"/>
        <v>300667.40433456749</v>
      </c>
      <c r="X201" s="183">
        <f t="shared" si="86"/>
        <v>3.6284657062507671E-2</v>
      </c>
      <c r="Y201" s="183">
        <f t="shared" si="87"/>
        <v>3.6284657062507671E-2</v>
      </c>
      <c r="Z201" s="1772">
        <f t="shared" si="97"/>
        <v>0</v>
      </c>
      <c r="AA201" s="87">
        <f t="shared" si="98"/>
        <v>8587018.4043345675</v>
      </c>
    </row>
    <row r="202" spans="1:27">
      <c r="A202" s="864">
        <f t="shared" ref="A202:H202" si="188">A36</f>
        <v>2013</v>
      </c>
      <c r="B202" s="62">
        <f t="shared" si="188"/>
        <v>41486</v>
      </c>
      <c r="C202" s="69">
        <f t="shared" si="188"/>
        <v>9591758</v>
      </c>
      <c r="D202" s="69">
        <f t="shared" si="188"/>
        <v>8290</v>
      </c>
      <c r="E202" s="860">
        <f t="shared" si="188"/>
        <v>0</v>
      </c>
      <c r="F202" s="887">
        <f t="shared" si="188"/>
        <v>0</v>
      </c>
      <c r="G202" s="73">
        <f t="shared" si="188"/>
        <v>0</v>
      </c>
      <c r="H202" s="71">
        <f t="shared" si="188"/>
        <v>9600048</v>
      </c>
      <c r="I202" s="259"/>
      <c r="J202" s="345">
        <f t="shared" ref="J202:K202" si="189">J190</f>
        <v>4.5545454545454538</v>
      </c>
      <c r="K202" s="345">
        <f t="shared" si="189"/>
        <v>116.1</v>
      </c>
      <c r="L202" s="322">
        <f t="shared" ref="L202:P202" si="190">L36</f>
        <v>31</v>
      </c>
      <c r="M202" s="150">
        <f t="shared" si="190"/>
        <v>1</v>
      </c>
      <c r="N202" s="322">
        <f t="shared" si="190"/>
        <v>22</v>
      </c>
      <c r="O202" s="841">
        <f t="shared" si="190"/>
        <v>31</v>
      </c>
      <c r="P202" s="841">
        <f t="shared" si="190"/>
        <v>0</v>
      </c>
      <c r="Q202" s="1720">
        <v>0</v>
      </c>
      <c r="V202" s="65">
        <f t="shared" si="95"/>
        <v>9672208.3617178705</v>
      </c>
      <c r="W202" s="182">
        <f t="shared" si="96"/>
        <v>72160.361717870459</v>
      </c>
      <c r="X202" s="183">
        <f t="shared" si="86"/>
        <v>7.5166667622776949E-3</v>
      </c>
      <c r="Y202" s="183">
        <f t="shared" si="87"/>
        <v>7.5166667622776949E-3</v>
      </c>
      <c r="Z202" s="1772">
        <f t="shared" si="97"/>
        <v>0</v>
      </c>
      <c r="AA202" s="87">
        <f t="shared" si="98"/>
        <v>9672208.3617178705</v>
      </c>
    </row>
    <row r="203" spans="1:27">
      <c r="A203" s="864">
        <f t="shared" ref="A203:H203" si="191">A37</f>
        <v>2013</v>
      </c>
      <c r="B203" s="62">
        <f t="shared" si="191"/>
        <v>41517</v>
      </c>
      <c r="C203" s="69">
        <f t="shared" si="191"/>
        <v>9610958</v>
      </c>
      <c r="D203" s="69">
        <f t="shared" si="191"/>
        <v>7556</v>
      </c>
      <c r="E203" s="860">
        <f t="shared" si="191"/>
        <v>0</v>
      </c>
      <c r="F203" s="887">
        <f t="shared" si="191"/>
        <v>0</v>
      </c>
      <c r="G203" s="73">
        <f t="shared" si="191"/>
        <v>0</v>
      </c>
      <c r="H203" s="71">
        <f t="shared" si="191"/>
        <v>9618514</v>
      </c>
      <c r="I203" s="259"/>
      <c r="J203" s="345">
        <f t="shared" ref="J203:K203" si="192">J191</f>
        <v>10.836363636363636</v>
      </c>
      <c r="K203" s="345">
        <f t="shared" si="192"/>
        <v>82.954545454545453</v>
      </c>
      <c r="L203" s="322">
        <f t="shared" ref="L203:P203" si="193">L37</f>
        <v>31</v>
      </c>
      <c r="M203" s="150">
        <f t="shared" si="193"/>
        <v>1</v>
      </c>
      <c r="N203" s="322">
        <f t="shared" si="193"/>
        <v>21</v>
      </c>
      <c r="O203" s="841">
        <f t="shared" si="193"/>
        <v>32</v>
      </c>
      <c r="P203" s="841">
        <f t="shared" si="193"/>
        <v>1</v>
      </c>
      <c r="Q203" s="1720">
        <v>0</v>
      </c>
      <c r="V203" s="65">
        <f t="shared" si="95"/>
        <v>9554577.0026220363</v>
      </c>
      <c r="W203" s="182">
        <f t="shared" si="96"/>
        <v>-63936.997377963737</v>
      </c>
      <c r="X203" s="183">
        <f t="shared" si="86"/>
        <v>-6.6472843287397341E-3</v>
      </c>
      <c r="Y203" s="183">
        <f t="shared" si="87"/>
        <v>6.6472843287397341E-3</v>
      </c>
      <c r="Z203" s="1772">
        <f t="shared" si="97"/>
        <v>0</v>
      </c>
      <c r="AA203" s="87">
        <f t="shared" si="98"/>
        <v>9554577.0026220363</v>
      </c>
    </row>
    <row r="204" spans="1:27">
      <c r="A204" s="864">
        <f t="shared" ref="A204:H204" si="194">A38</f>
        <v>2013</v>
      </c>
      <c r="B204" s="62">
        <f t="shared" si="194"/>
        <v>41547</v>
      </c>
      <c r="C204" s="69">
        <f t="shared" si="194"/>
        <v>8187217</v>
      </c>
      <c r="D204" s="69">
        <f t="shared" si="194"/>
        <v>6244</v>
      </c>
      <c r="E204" s="860">
        <f t="shared" si="194"/>
        <v>0</v>
      </c>
      <c r="F204" s="887">
        <f t="shared" si="194"/>
        <v>0</v>
      </c>
      <c r="G204" s="73">
        <f t="shared" si="194"/>
        <v>0</v>
      </c>
      <c r="H204" s="71">
        <f t="shared" si="194"/>
        <v>8193461</v>
      </c>
      <c r="I204" s="259"/>
      <c r="J204" s="345">
        <f t="shared" ref="J204:K204" si="195">J192</f>
        <v>93.481818181818198</v>
      </c>
      <c r="K204" s="345">
        <f t="shared" si="195"/>
        <v>25.536363636363639</v>
      </c>
      <c r="L204" s="322">
        <f t="shared" ref="L204:P204" si="196">L38</f>
        <v>30</v>
      </c>
      <c r="M204" s="150">
        <f t="shared" si="196"/>
        <v>1</v>
      </c>
      <c r="N204" s="322">
        <f t="shared" si="196"/>
        <v>20</v>
      </c>
      <c r="O204" s="841">
        <f t="shared" si="196"/>
        <v>33</v>
      </c>
      <c r="P204" s="841">
        <f t="shared" si="196"/>
        <v>0</v>
      </c>
      <c r="Q204" s="1720">
        <v>0</v>
      </c>
      <c r="V204" s="65">
        <f t="shared" si="95"/>
        <v>8403074.6900126953</v>
      </c>
      <c r="W204" s="182">
        <f t="shared" si="96"/>
        <v>209613.69001269527</v>
      </c>
      <c r="X204" s="183">
        <f t="shared" si="86"/>
        <v>2.5583046042776704E-2</v>
      </c>
      <c r="Y204" s="183">
        <f t="shared" si="87"/>
        <v>2.5583046042776704E-2</v>
      </c>
      <c r="Z204" s="1772">
        <f t="shared" si="97"/>
        <v>0</v>
      </c>
      <c r="AA204" s="87">
        <f t="shared" si="98"/>
        <v>8403074.6900126953</v>
      </c>
    </row>
    <row r="205" spans="1:27">
      <c r="A205" s="864">
        <f t="shared" ref="A205:H205" si="197">A39</f>
        <v>2013</v>
      </c>
      <c r="B205" s="62">
        <f t="shared" si="197"/>
        <v>41578</v>
      </c>
      <c r="C205" s="69">
        <f t="shared" si="197"/>
        <v>8725825</v>
      </c>
      <c r="D205" s="69">
        <f t="shared" si="197"/>
        <v>4461</v>
      </c>
      <c r="E205" s="860">
        <f t="shared" si="197"/>
        <v>0</v>
      </c>
      <c r="F205" s="887">
        <f t="shared" si="197"/>
        <v>0</v>
      </c>
      <c r="G205" s="73">
        <f t="shared" si="197"/>
        <v>0</v>
      </c>
      <c r="H205" s="71">
        <f t="shared" si="197"/>
        <v>8730286</v>
      </c>
      <c r="I205" s="259"/>
      <c r="J205" s="345">
        <f t="shared" ref="J205:K205" si="198">J193</f>
        <v>276.59632529608206</v>
      </c>
      <c r="K205" s="345">
        <f t="shared" si="198"/>
        <v>0.63636363636363635</v>
      </c>
      <c r="L205" s="322">
        <f t="shared" ref="L205:P205" si="199">L39</f>
        <v>31</v>
      </c>
      <c r="M205" s="150">
        <f t="shared" si="199"/>
        <v>0</v>
      </c>
      <c r="N205" s="322">
        <f t="shared" si="199"/>
        <v>22</v>
      </c>
      <c r="O205" s="841">
        <f t="shared" si="199"/>
        <v>34</v>
      </c>
      <c r="P205" s="841">
        <f t="shared" si="199"/>
        <v>0</v>
      </c>
      <c r="Q205" s="1720">
        <v>0</v>
      </c>
      <c r="V205" s="65">
        <f t="shared" si="95"/>
        <v>8709780.8251143862</v>
      </c>
      <c r="W205" s="182">
        <f t="shared" si="96"/>
        <v>-20505.174885613844</v>
      </c>
      <c r="X205" s="183">
        <f t="shared" si="86"/>
        <v>-2.3487403374429939E-3</v>
      </c>
      <c r="Y205" s="183">
        <f t="shared" si="87"/>
        <v>2.3487403374429939E-3</v>
      </c>
      <c r="Z205" s="1772">
        <f t="shared" si="97"/>
        <v>0</v>
      </c>
      <c r="AA205" s="87">
        <f t="shared" si="98"/>
        <v>8709780.8251143862</v>
      </c>
    </row>
    <row r="206" spans="1:27">
      <c r="A206" s="864">
        <f t="shared" ref="A206:H206" si="200">A40</f>
        <v>2013</v>
      </c>
      <c r="B206" s="62">
        <f t="shared" si="200"/>
        <v>41608</v>
      </c>
      <c r="C206" s="69">
        <f t="shared" si="200"/>
        <v>9926917</v>
      </c>
      <c r="D206" s="69">
        <f t="shared" si="200"/>
        <v>2266</v>
      </c>
      <c r="E206" s="860">
        <f t="shared" si="200"/>
        <v>0</v>
      </c>
      <c r="F206" s="887">
        <f t="shared" si="200"/>
        <v>0</v>
      </c>
      <c r="G206" s="73">
        <f t="shared" si="200"/>
        <v>0</v>
      </c>
      <c r="H206" s="71">
        <f t="shared" si="200"/>
        <v>9929183</v>
      </c>
      <c r="I206" s="259"/>
      <c r="J206" s="345">
        <f t="shared" ref="J206:K206" si="201">J194</f>
        <v>506.81818181818181</v>
      </c>
      <c r="K206" s="345">
        <f t="shared" si="201"/>
        <v>0</v>
      </c>
      <c r="L206" s="322">
        <f t="shared" ref="L206:P206" si="202">L40</f>
        <v>30</v>
      </c>
      <c r="M206" s="150">
        <f t="shared" si="202"/>
        <v>0</v>
      </c>
      <c r="N206" s="322">
        <f t="shared" si="202"/>
        <v>21</v>
      </c>
      <c r="O206" s="841">
        <f t="shared" si="202"/>
        <v>35</v>
      </c>
      <c r="P206" s="841">
        <f t="shared" si="202"/>
        <v>0</v>
      </c>
      <c r="Q206" s="1720">
        <v>0</v>
      </c>
      <c r="V206" s="65">
        <f t="shared" si="95"/>
        <v>9484941.9561176039</v>
      </c>
      <c r="W206" s="182">
        <f t="shared" si="96"/>
        <v>-444241.04388239607</v>
      </c>
      <c r="X206" s="183">
        <f t="shared" si="86"/>
        <v>-4.474094634799218E-2</v>
      </c>
      <c r="Y206" s="183">
        <f t="shared" si="87"/>
        <v>4.474094634799218E-2</v>
      </c>
      <c r="Z206" s="1772">
        <f t="shared" si="97"/>
        <v>0</v>
      </c>
      <c r="AA206" s="87">
        <f t="shared" si="98"/>
        <v>9484941.9561176039</v>
      </c>
    </row>
    <row r="207" spans="1:27">
      <c r="A207" s="865">
        <f t="shared" ref="A207:H207" si="203">A41</f>
        <v>2013</v>
      </c>
      <c r="B207" s="151">
        <f t="shared" si="203"/>
        <v>41639</v>
      </c>
      <c r="C207" s="81">
        <f t="shared" si="203"/>
        <v>11614675</v>
      </c>
      <c r="D207" s="81">
        <f t="shared" si="203"/>
        <v>864</v>
      </c>
      <c r="E207" s="861">
        <f t="shared" si="203"/>
        <v>0</v>
      </c>
      <c r="F207" s="953">
        <f t="shared" si="203"/>
        <v>0</v>
      </c>
      <c r="G207" s="83">
        <f t="shared" si="203"/>
        <v>0</v>
      </c>
      <c r="H207" s="76">
        <f t="shared" si="203"/>
        <v>11615539</v>
      </c>
      <c r="I207" s="260"/>
      <c r="J207" s="856">
        <f t="shared" ref="J207:K207" si="204">J195</f>
        <v>720.0090909090909</v>
      </c>
      <c r="K207" s="839">
        <f t="shared" si="204"/>
        <v>0</v>
      </c>
      <c r="L207" s="323">
        <f t="shared" ref="L207:P207" si="205">L41</f>
        <v>31</v>
      </c>
      <c r="M207" s="104">
        <f t="shared" si="205"/>
        <v>1</v>
      </c>
      <c r="N207" s="323">
        <f t="shared" si="205"/>
        <v>20</v>
      </c>
      <c r="O207" s="873">
        <f t="shared" si="205"/>
        <v>36</v>
      </c>
      <c r="P207" s="873">
        <f t="shared" si="205"/>
        <v>0</v>
      </c>
      <c r="Q207" s="1721">
        <v>0</v>
      </c>
      <c r="V207" s="65">
        <f t="shared" si="95"/>
        <v>10880614.320654448</v>
      </c>
      <c r="W207" s="190">
        <f t="shared" si="96"/>
        <v>-734924.67934555188</v>
      </c>
      <c r="X207" s="184">
        <f t="shared" si="86"/>
        <v>-6.3270820178517054E-2</v>
      </c>
      <c r="Y207" s="184">
        <f t="shared" si="87"/>
        <v>6.3270820178517054E-2</v>
      </c>
      <c r="Z207" s="1772">
        <f t="shared" si="97"/>
        <v>0</v>
      </c>
      <c r="AA207" s="87">
        <f t="shared" si="98"/>
        <v>10880614.320654448</v>
      </c>
    </row>
    <row r="208" spans="1:27">
      <c r="A208" s="864">
        <f t="shared" ref="A208:H208" si="206">A42</f>
        <v>2014</v>
      </c>
      <c r="B208" s="62">
        <f t="shared" si="206"/>
        <v>41670</v>
      </c>
      <c r="C208" s="69">
        <f t="shared" si="206"/>
        <v>12521267</v>
      </c>
      <c r="D208" s="69">
        <f t="shared" si="206"/>
        <v>1826</v>
      </c>
      <c r="E208" s="860">
        <f t="shared" si="206"/>
        <v>0</v>
      </c>
      <c r="F208" s="887">
        <f t="shared" si="206"/>
        <v>0</v>
      </c>
      <c r="G208" s="73">
        <f t="shared" si="206"/>
        <v>0</v>
      </c>
      <c r="H208" s="71">
        <f t="shared" si="206"/>
        <v>12523093</v>
      </c>
      <c r="I208" s="259"/>
      <c r="J208" s="345">
        <f t="shared" ref="J208:K208" si="207">J196</f>
        <v>849.19090909090926</v>
      </c>
      <c r="K208" s="345">
        <f t="shared" si="207"/>
        <v>0</v>
      </c>
      <c r="L208" s="322">
        <f t="shared" ref="L208:P208" si="208">L42</f>
        <v>31</v>
      </c>
      <c r="M208" s="150">
        <f t="shared" si="208"/>
        <v>1</v>
      </c>
      <c r="N208" s="322">
        <f t="shared" si="208"/>
        <v>22</v>
      </c>
      <c r="O208" s="841">
        <f t="shared" si="208"/>
        <v>37</v>
      </c>
      <c r="P208" s="841">
        <f t="shared" si="208"/>
        <v>0</v>
      </c>
      <c r="Q208" s="1720">
        <v>0</v>
      </c>
      <c r="V208" s="65">
        <f t="shared" si="95"/>
        <v>11544048.2786997</v>
      </c>
      <c r="W208" s="182">
        <f t="shared" si="96"/>
        <v>-979044.72130030021</v>
      </c>
      <c r="X208" s="183">
        <f t="shared" si="86"/>
        <v>-7.8179146421758605E-2</v>
      </c>
      <c r="Y208" s="183">
        <f t="shared" si="87"/>
        <v>7.8179146421758605E-2</v>
      </c>
      <c r="Z208" s="1772">
        <f t="shared" si="97"/>
        <v>0</v>
      </c>
      <c r="AA208" s="87">
        <f t="shared" si="98"/>
        <v>11544048.2786997</v>
      </c>
    </row>
    <row r="209" spans="1:27">
      <c r="A209" s="864">
        <f t="shared" ref="A209:H209" si="209">A43</f>
        <v>2014</v>
      </c>
      <c r="B209" s="62">
        <f t="shared" si="209"/>
        <v>41698</v>
      </c>
      <c r="C209" s="69">
        <f t="shared" si="209"/>
        <v>10693642</v>
      </c>
      <c r="D209" s="69">
        <f t="shared" si="209"/>
        <v>2647</v>
      </c>
      <c r="E209" s="860">
        <f t="shared" si="209"/>
        <v>0</v>
      </c>
      <c r="F209" s="887">
        <f t="shared" si="209"/>
        <v>0</v>
      </c>
      <c r="G209" s="73">
        <f t="shared" si="209"/>
        <v>0</v>
      </c>
      <c r="H209" s="71">
        <f t="shared" si="209"/>
        <v>10696289</v>
      </c>
      <c r="I209" s="259"/>
      <c r="J209" s="345">
        <f t="shared" ref="J209:K209" si="210">J197</f>
        <v>743.30909090909097</v>
      </c>
      <c r="K209" s="345">
        <f t="shared" si="210"/>
        <v>0</v>
      </c>
      <c r="L209" s="322">
        <f t="shared" ref="L209:P209" si="211">L43</f>
        <v>28</v>
      </c>
      <c r="M209" s="150">
        <f t="shared" si="211"/>
        <v>1</v>
      </c>
      <c r="N209" s="322">
        <f t="shared" si="211"/>
        <v>19</v>
      </c>
      <c r="O209" s="841">
        <f t="shared" si="211"/>
        <v>38</v>
      </c>
      <c r="P209" s="841">
        <f t="shared" si="211"/>
        <v>0</v>
      </c>
      <c r="Q209" s="1720">
        <v>0</v>
      </c>
      <c r="V209" s="65">
        <f t="shared" si="95"/>
        <v>10437628.701045049</v>
      </c>
      <c r="W209" s="182">
        <f t="shared" si="96"/>
        <v>-258660.29895495065</v>
      </c>
      <c r="X209" s="183">
        <f t="shared" si="86"/>
        <v>-2.4182246660963504E-2</v>
      </c>
      <c r="Y209" s="183">
        <f t="shared" si="87"/>
        <v>2.4182246660963504E-2</v>
      </c>
      <c r="Z209" s="1772">
        <f t="shared" si="97"/>
        <v>0</v>
      </c>
      <c r="AA209" s="87">
        <f t="shared" si="98"/>
        <v>10437628.701045049</v>
      </c>
    </row>
    <row r="210" spans="1:27">
      <c r="A210" s="864">
        <f t="shared" ref="A210:H210" si="212">A44</f>
        <v>2014</v>
      </c>
      <c r="B210" s="62">
        <f t="shared" si="212"/>
        <v>41729</v>
      </c>
      <c r="C210" s="69">
        <f t="shared" si="212"/>
        <v>11270883</v>
      </c>
      <c r="D210" s="69">
        <f t="shared" si="212"/>
        <v>5510</v>
      </c>
      <c r="E210" s="860">
        <f t="shared" si="212"/>
        <v>0</v>
      </c>
      <c r="F210" s="887">
        <f t="shared" si="212"/>
        <v>0</v>
      </c>
      <c r="G210" s="73">
        <f t="shared" si="212"/>
        <v>0</v>
      </c>
      <c r="H210" s="71">
        <f t="shared" si="212"/>
        <v>11276393</v>
      </c>
      <c r="I210" s="259"/>
      <c r="J210" s="345">
        <f t="shared" ref="J210:K210" si="213">J198</f>
        <v>634.18181818181813</v>
      </c>
      <c r="K210" s="345">
        <f t="shared" si="213"/>
        <v>0</v>
      </c>
      <c r="L210" s="322">
        <f t="shared" ref="L210:P210" si="214">L44</f>
        <v>31</v>
      </c>
      <c r="M210" s="150">
        <f t="shared" si="214"/>
        <v>1</v>
      </c>
      <c r="N210" s="322">
        <f t="shared" si="214"/>
        <v>21</v>
      </c>
      <c r="O210" s="841">
        <f t="shared" si="214"/>
        <v>39</v>
      </c>
      <c r="P210" s="841">
        <f t="shared" si="214"/>
        <v>0</v>
      </c>
      <c r="Q210" s="1720">
        <v>0</v>
      </c>
      <c r="V210" s="65">
        <f t="shared" si="95"/>
        <v>10529650.892400244</v>
      </c>
      <c r="W210" s="182">
        <f t="shared" si="96"/>
        <v>-746742.10759975575</v>
      </c>
      <c r="X210" s="183">
        <f t="shared" si="86"/>
        <v>-6.6221717139492722E-2</v>
      </c>
      <c r="Y210" s="183">
        <f t="shared" si="87"/>
        <v>6.6221717139492722E-2</v>
      </c>
      <c r="Z210" s="1772">
        <f t="shared" si="97"/>
        <v>0</v>
      </c>
      <c r="AA210" s="87">
        <f t="shared" si="98"/>
        <v>10529650.892400244</v>
      </c>
    </row>
    <row r="211" spans="1:27">
      <c r="A211" s="864">
        <f t="shared" ref="A211:H211" si="215">A45</f>
        <v>2014</v>
      </c>
      <c r="B211" s="62">
        <f t="shared" si="215"/>
        <v>41759</v>
      </c>
      <c r="C211" s="69">
        <f t="shared" si="215"/>
        <v>9026483</v>
      </c>
      <c r="D211" s="69">
        <f t="shared" si="215"/>
        <v>8035</v>
      </c>
      <c r="E211" s="860">
        <f t="shared" si="215"/>
        <v>0</v>
      </c>
      <c r="F211" s="887">
        <f t="shared" si="215"/>
        <v>0</v>
      </c>
      <c r="G211" s="73">
        <f t="shared" si="215"/>
        <v>0</v>
      </c>
      <c r="H211" s="71">
        <f t="shared" si="215"/>
        <v>9034518</v>
      </c>
      <c r="I211" s="259"/>
      <c r="J211" s="345">
        <f t="shared" ref="J211:K211" si="216">J199</f>
        <v>376.19090909090914</v>
      </c>
      <c r="K211" s="345">
        <f t="shared" si="216"/>
        <v>0.4</v>
      </c>
      <c r="L211" s="322">
        <f t="shared" ref="L211:P211" si="217">L45</f>
        <v>30</v>
      </c>
      <c r="M211" s="150">
        <f t="shared" si="217"/>
        <v>0</v>
      </c>
      <c r="N211" s="322">
        <f t="shared" si="217"/>
        <v>20</v>
      </c>
      <c r="O211" s="841">
        <f t="shared" si="217"/>
        <v>40</v>
      </c>
      <c r="P211" s="841">
        <f t="shared" si="217"/>
        <v>0</v>
      </c>
      <c r="Q211" s="1720">
        <v>0</v>
      </c>
      <c r="V211" s="65">
        <f t="shared" si="95"/>
        <v>8814983.8145983182</v>
      </c>
      <c r="W211" s="182">
        <f t="shared" si="96"/>
        <v>-219534.18540168181</v>
      </c>
      <c r="X211" s="183">
        <f t="shared" si="86"/>
        <v>-2.4299490620493733E-2</v>
      </c>
      <c r="Y211" s="183">
        <f t="shared" si="87"/>
        <v>2.4299490620493733E-2</v>
      </c>
      <c r="Z211" s="1772">
        <f t="shared" si="97"/>
        <v>0</v>
      </c>
      <c r="AA211" s="87">
        <f t="shared" si="98"/>
        <v>8814983.8145983182</v>
      </c>
    </row>
    <row r="212" spans="1:27">
      <c r="A212" s="864">
        <f t="shared" ref="A212:H212" si="218">A46</f>
        <v>2014</v>
      </c>
      <c r="B212" s="62">
        <f t="shared" si="218"/>
        <v>41790</v>
      </c>
      <c r="C212" s="69">
        <f t="shared" si="218"/>
        <v>8278885</v>
      </c>
      <c r="D212" s="69">
        <f t="shared" si="218"/>
        <v>9577</v>
      </c>
      <c r="E212" s="860">
        <f t="shared" si="218"/>
        <v>0</v>
      </c>
      <c r="F212" s="887">
        <f t="shared" si="218"/>
        <v>0</v>
      </c>
      <c r="G212" s="73">
        <f t="shared" si="218"/>
        <v>0</v>
      </c>
      <c r="H212" s="71">
        <f t="shared" si="218"/>
        <v>8288462</v>
      </c>
      <c r="I212" s="259"/>
      <c r="J212" s="345">
        <f t="shared" ref="J212:K212" si="219">J200</f>
        <v>147.39545454545458</v>
      </c>
      <c r="K212" s="345">
        <f t="shared" si="219"/>
        <v>17.336363636363636</v>
      </c>
      <c r="L212" s="322">
        <f t="shared" ref="L212:P212" si="220">L46</f>
        <v>31</v>
      </c>
      <c r="M212" s="150">
        <f t="shared" si="220"/>
        <v>0</v>
      </c>
      <c r="N212" s="322">
        <f t="shared" si="220"/>
        <v>21</v>
      </c>
      <c r="O212" s="841">
        <f t="shared" si="220"/>
        <v>41</v>
      </c>
      <c r="P212" s="841">
        <f t="shared" si="220"/>
        <v>0</v>
      </c>
      <c r="Q212" s="1720">
        <v>0</v>
      </c>
      <c r="V212" s="65">
        <f t="shared" si="95"/>
        <v>8272703.4233836317</v>
      </c>
      <c r="W212" s="182">
        <f t="shared" si="96"/>
        <v>-15758.576616368257</v>
      </c>
      <c r="X212" s="183">
        <f t="shared" si="86"/>
        <v>-1.9012666784704155E-3</v>
      </c>
      <c r="Y212" s="183">
        <f t="shared" si="87"/>
        <v>1.9012666784704155E-3</v>
      </c>
      <c r="Z212" s="1772">
        <f t="shared" si="97"/>
        <v>0</v>
      </c>
      <c r="AA212" s="87">
        <f t="shared" si="98"/>
        <v>8272703.4233836317</v>
      </c>
    </row>
    <row r="213" spans="1:27">
      <c r="A213" s="864">
        <f t="shared" ref="A213:H213" si="221">A47</f>
        <v>2014</v>
      </c>
      <c r="B213" s="62">
        <f t="shared" si="221"/>
        <v>41820</v>
      </c>
      <c r="C213" s="69">
        <f t="shared" si="221"/>
        <v>8570154</v>
      </c>
      <c r="D213" s="69">
        <f t="shared" si="221"/>
        <v>9467</v>
      </c>
      <c r="E213" s="860">
        <f t="shared" si="221"/>
        <v>0</v>
      </c>
      <c r="F213" s="887">
        <f t="shared" si="221"/>
        <v>0</v>
      </c>
      <c r="G213" s="73">
        <f t="shared" si="221"/>
        <v>0</v>
      </c>
      <c r="H213" s="71">
        <f t="shared" si="221"/>
        <v>8579621</v>
      </c>
      <c r="I213" s="259"/>
      <c r="J213" s="345">
        <f t="shared" ref="J213:K213" si="222">J201</f>
        <v>37.681818181818187</v>
      </c>
      <c r="K213" s="345">
        <f t="shared" si="222"/>
        <v>51.772727272727273</v>
      </c>
      <c r="L213" s="322">
        <f t="shared" ref="L213:P213" si="223">L47</f>
        <v>30</v>
      </c>
      <c r="M213" s="150">
        <f t="shared" si="223"/>
        <v>1</v>
      </c>
      <c r="N213" s="322">
        <f t="shared" si="223"/>
        <v>21</v>
      </c>
      <c r="O213" s="841">
        <f t="shared" si="223"/>
        <v>42</v>
      </c>
      <c r="P213" s="841">
        <f t="shared" si="223"/>
        <v>0</v>
      </c>
      <c r="Q213" s="1720">
        <v>0</v>
      </c>
      <c r="V213" s="65">
        <f t="shared" si="95"/>
        <v>8519980.3561654482</v>
      </c>
      <c r="W213" s="182">
        <f t="shared" si="96"/>
        <v>-59640.643834551796</v>
      </c>
      <c r="X213" s="183">
        <f t="shared" si="86"/>
        <v>-6.9514310520886408E-3</v>
      </c>
      <c r="Y213" s="183">
        <f t="shared" si="87"/>
        <v>6.9514310520886408E-3</v>
      </c>
      <c r="Z213" s="1772">
        <f t="shared" si="97"/>
        <v>0</v>
      </c>
      <c r="AA213" s="87">
        <f t="shared" si="98"/>
        <v>8519980.3561654482</v>
      </c>
    </row>
    <row r="214" spans="1:27">
      <c r="A214" s="864">
        <f t="shared" ref="A214:H214" si="224">A48</f>
        <v>2014</v>
      </c>
      <c r="B214" s="62">
        <f t="shared" si="224"/>
        <v>41851</v>
      </c>
      <c r="C214" s="69">
        <f t="shared" si="224"/>
        <v>9070654</v>
      </c>
      <c r="D214" s="69">
        <f t="shared" si="224"/>
        <v>9127</v>
      </c>
      <c r="E214" s="860">
        <f t="shared" si="224"/>
        <v>0</v>
      </c>
      <c r="F214" s="887">
        <f t="shared" si="224"/>
        <v>0</v>
      </c>
      <c r="G214" s="73">
        <f t="shared" si="224"/>
        <v>0</v>
      </c>
      <c r="H214" s="71">
        <f t="shared" si="224"/>
        <v>9079781</v>
      </c>
      <c r="I214" s="259"/>
      <c r="J214" s="345">
        <f t="shared" ref="J214:K214" si="225">J202</f>
        <v>4.5545454545454538</v>
      </c>
      <c r="K214" s="345">
        <f t="shared" si="225"/>
        <v>116.1</v>
      </c>
      <c r="L214" s="322">
        <f t="shared" ref="L214:P214" si="226">L48</f>
        <v>31</v>
      </c>
      <c r="M214" s="150">
        <f t="shared" si="226"/>
        <v>1</v>
      </c>
      <c r="N214" s="322">
        <f t="shared" si="226"/>
        <v>22</v>
      </c>
      <c r="O214" s="841">
        <f t="shared" si="226"/>
        <v>43</v>
      </c>
      <c r="P214" s="841">
        <f t="shared" si="226"/>
        <v>0</v>
      </c>
      <c r="Q214" s="1720">
        <v>0</v>
      </c>
      <c r="V214" s="65">
        <f t="shared" si="95"/>
        <v>9550664.7607605532</v>
      </c>
      <c r="W214" s="182">
        <f t="shared" si="96"/>
        <v>470883.76076055318</v>
      </c>
      <c r="X214" s="183">
        <f t="shared" si="86"/>
        <v>5.1860695842835106E-2</v>
      </c>
      <c r="Y214" s="183">
        <f t="shared" si="87"/>
        <v>5.1860695842835106E-2</v>
      </c>
      <c r="Z214" s="1772">
        <f t="shared" si="97"/>
        <v>0</v>
      </c>
      <c r="AA214" s="87">
        <f t="shared" si="98"/>
        <v>9550664.7607605532</v>
      </c>
    </row>
    <row r="215" spans="1:27">
      <c r="A215" s="864">
        <f t="shared" ref="A215:H215" si="227">A49</f>
        <v>2014</v>
      </c>
      <c r="B215" s="62">
        <f t="shared" si="227"/>
        <v>41882</v>
      </c>
      <c r="C215" s="69">
        <f t="shared" si="227"/>
        <v>8980123</v>
      </c>
      <c r="D215" s="69">
        <f t="shared" si="227"/>
        <v>8673</v>
      </c>
      <c r="E215" s="860">
        <f t="shared" si="227"/>
        <v>0</v>
      </c>
      <c r="F215" s="887">
        <f t="shared" si="227"/>
        <v>0</v>
      </c>
      <c r="G215" s="73">
        <f t="shared" si="227"/>
        <v>0</v>
      </c>
      <c r="H215" s="71">
        <f t="shared" si="227"/>
        <v>8988796</v>
      </c>
      <c r="I215" s="259"/>
      <c r="J215" s="345">
        <f t="shared" ref="J215:K215" si="228">J203</f>
        <v>10.836363636363636</v>
      </c>
      <c r="K215" s="345">
        <f t="shared" si="228"/>
        <v>82.954545454545453</v>
      </c>
      <c r="L215" s="322">
        <f t="shared" ref="L215:P215" si="229">L49</f>
        <v>31</v>
      </c>
      <c r="M215" s="150">
        <f t="shared" si="229"/>
        <v>1</v>
      </c>
      <c r="N215" s="322">
        <f t="shared" si="229"/>
        <v>20</v>
      </c>
      <c r="O215" s="841">
        <f t="shared" si="229"/>
        <v>44</v>
      </c>
      <c r="P215" s="841">
        <f t="shared" si="229"/>
        <v>1</v>
      </c>
      <c r="Q215" s="1720">
        <v>0</v>
      </c>
      <c r="V215" s="65">
        <f t="shared" si="95"/>
        <v>9378527.848876521</v>
      </c>
      <c r="W215" s="182">
        <f t="shared" si="96"/>
        <v>389731.84887652099</v>
      </c>
      <c r="X215" s="183">
        <f t="shared" si="86"/>
        <v>4.3357514051550507E-2</v>
      </c>
      <c r="Y215" s="183">
        <f t="shared" si="87"/>
        <v>4.3357514051550507E-2</v>
      </c>
      <c r="Z215" s="1772">
        <f t="shared" si="97"/>
        <v>0</v>
      </c>
      <c r="AA215" s="87">
        <f t="shared" si="98"/>
        <v>9378527.848876521</v>
      </c>
    </row>
    <row r="216" spans="1:27">
      <c r="A216" s="864">
        <f t="shared" ref="A216:H216" si="230">A50</f>
        <v>2014</v>
      </c>
      <c r="B216" s="62">
        <f t="shared" si="230"/>
        <v>41912</v>
      </c>
      <c r="C216" s="69">
        <f t="shared" si="230"/>
        <v>8455877</v>
      </c>
      <c r="D216" s="69">
        <f t="shared" si="230"/>
        <v>7439</v>
      </c>
      <c r="E216" s="860">
        <f t="shared" si="230"/>
        <v>0</v>
      </c>
      <c r="F216" s="887">
        <f t="shared" si="230"/>
        <v>0</v>
      </c>
      <c r="G216" s="73">
        <f t="shared" si="230"/>
        <v>0</v>
      </c>
      <c r="H216" s="71">
        <f t="shared" si="230"/>
        <v>8463316</v>
      </c>
      <c r="I216" s="259"/>
      <c r="J216" s="345">
        <f t="shared" ref="J216:K216" si="231">J204</f>
        <v>93.481818181818198</v>
      </c>
      <c r="K216" s="345">
        <f t="shared" si="231"/>
        <v>25.536363636363639</v>
      </c>
      <c r="L216" s="322">
        <f t="shared" ref="L216:P216" si="232">L50</f>
        <v>30</v>
      </c>
      <c r="M216" s="150">
        <f t="shared" si="232"/>
        <v>1</v>
      </c>
      <c r="N216" s="322">
        <f t="shared" si="232"/>
        <v>21</v>
      </c>
      <c r="O216" s="841">
        <f t="shared" si="232"/>
        <v>45</v>
      </c>
      <c r="P216" s="841">
        <f t="shared" si="232"/>
        <v>0</v>
      </c>
      <c r="Q216" s="1720">
        <v>0</v>
      </c>
      <c r="V216" s="65">
        <f t="shared" si="95"/>
        <v>8336036.641843576</v>
      </c>
      <c r="W216" s="182">
        <f t="shared" si="96"/>
        <v>-127279.35815642402</v>
      </c>
      <c r="X216" s="183">
        <f t="shared" si="86"/>
        <v>-1.503894669139425E-2</v>
      </c>
      <c r="Y216" s="183">
        <f t="shared" si="87"/>
        <v>1.503894669139425E-2</v>
      </c>
      <c r="Z216" s="1772">
        <f t="shared" si="97"/>
        <v>0</v>
      </c>
      <c r="AA216" s="87">
        <f t="shared" si="98"/>
        <v>8336036.641843576</v>
      </c>
    </row>
    <row r="217" spans="1:27">
      <c r="A217" s="864">
        <f t="shared" ref="A217:H217" si="233">A51</f>
        <v>2014</v>
      </c>
      <c r="B217" s="62">
        <f t="shared" si="233"/>
        <v>41943</v>
      </c>
      <c r="C217" s="69">
        <f t="shared" si="233"/>
        <v>8663323</v>
      </c>
      <c r="D217" s="69">
        <f t="shared" si="233"/>
        <v>4365</v>
      </c>
      <c r="E217" s="860">
        <f t="shared" si="233"/>
        <v>0</v>
      </c>
      <c r="F217" s="887">
        <f t="shared" si="233"/>
        <v>0</v>
      </c>
      <c r="G217" s="73">
        <f t="shared" si="233"/>
        <v>0</v>
      </c>
      <c r="H217" s="71">
        <f t="shared" si="233"/>
        <v>8667688</v>
      </c>
      <c r="I217" s="259"/>
      <c r="J217" s="345">
        <f t="shared" ref="J217:K217" si="234">J205</f>
        <v>276.59632529608206</v>
      </c>
      <c r="K217" s="345">
        <f t="shared" si="234"/>
        <v>0.63636363636363635</v>
      </c>
      <c r="L217" s="322">
        <f t="shared" ref="L217:P217" si="235">L51</f>
        <v>31</v>
      </c>
      <c r="M217" s="150">
        <f t="shared" si="235"/>
        <v>0</v>
      </c>
      <c r="N217" s="322">
        <f t="shared" si="235"/>
        <v>22</v>
      </c>
      <c r="O217" s="841">
        <f t="shared" si="235"/>
        <v>46</v>
      </c>
      <c r="P217" s="841">
        <f t="shared" si="235"/>
        <v>0</v>
      </c>
      <c r="Q217" s="1720">
        <v>0</v>
      </c>
      <c r="V217" s="65">
        <f t="shared" si="95"/>
        <v>8588237.2241570689</v>
      </c>
      <c r="W217" s="182">
        <f t="shared" si="96"/>
        <v>-79450.775842931122</v>
      </c>
      <c r="X217" s="183">
        <f t="shared" si="86"/>
        <v>-9.1663169974428148E-3</v>
      </c>
      <c r="Y217" s="183">
        <f t="shared" si="87"/>
        <v>9.1663169974428148E-3</v>
      </c>
      <c r="Z217" s="1772">
        <f t="shared" si="97"/>
        <v>0</v>
      </c>
      <c r="AA217" s="87">
        <f t="shared" si="98"/>
        <v>8588237.2241570689</v>
      </c>
    </row>
    <row r="218" spans="1:27">
      <c r="A218" s="864">
        <f t="shared" ref="A218:H218" si="236">A52</f>
        <v>2014</v>
      </c>
      <c r="B218" s="62">
        <f t="shared" si="236"/>
        <v>41973</v>
      </c>
      <c r="C218" s="69">
        <f t="shared" si="236"/>
        <v>9594308</v>
      </c>
      <c r="D218" s="69">
        <f t="shared" si="236"/>
        <v>2388</v>
      </c>
      <c r="E218" s="860">
        <f t="shared" si="236"/>
        <v>0</v>
      </c>
      <c r="F218" s="887">
        <f t="shared" si="236"/>
        <v>0</v>
      </c>
      <c r="G218" s="73">
        <f t="shared" si="236"/>
        <v>0</v>
      </c>
      <c r="H218" s="71">
        <f t="shared" si="236"/>
        <v>9596696</v>
      </c>
      <c r="I218" s="259"/>
      <c r="J218" s="345">
        <f t="shared" ref="J218:K218" si="237">J206</f>
        <v>506.81818181818181</v>
      </c>
      <c r="K218" s="345">
        <f t="shared" si="237"/>
        <v>0</v>
      </c>
      <c r="L218" s="322">
        <f t="shared" ref="L218:P218" si="238">L52</f>
        <v>30</v>
      </c>
      <c r="M218" s="150">
        <f t="shared" si="238"/>
        <v>0</v>
      </c>
      <c r="N218" s="322">
        <f t="shared" si="238"/>
        <v>20</v>
      </c>
      <c r="O218" s="841">
        <f t="shared" si="238"/>
        <v>47</v>
      </c>
      <c r="P218" s="841">
        <f t="shared" si="238"/>
        <v>0</v>
      </c>
      <c r="Q218" s="1720">
        <v>0</v>
      </c>
      <c r="V218" s="65">
        <f t="shared" si="95"/>
        <v>9308892.8023720887</v>
      </c>
      <c r="W218" s="182">
        <f t="shared" si="96"/>
        <v>-287803.19762791134</v>
      </c>
      <c r="X218" s="183">
        <f t="shared" si="86"/>
        <v>-2.9989821249720876E-2</v>
      </c>
      <c r="Y218" s="183">
        <f t="shared" si="87"/>
        <v>2.9989821249720876E-2</v>
      </c>
      <c r="Z218" s="1772">
        <f t="shared" si="97"/>
        <v>0</v>
      </c>
      <c r="AA218" s="87">
        <f t="shared" si="98"/>
        <v>9308892.8023720887</v>
      </c>
    </row>
    <row r="219" spans="1:27">
      <c r="A219" s="865">
        <f t="shared" ref="A219:H219" si="239">A53</f>
        <v>2014</v>
      </c>
      <c r="B219" s="151">
        <f t="shared" si="239"/>
        <v>42004</v>
      </c>
      <c r="C219" s="81">
        <f t="shared" si="239"/>
        <v>10753031</v>
      </c>
      <c r="D219" s="81">
        <f t="shared" si="239"/>
        <v>2052</v>
      </c>
      <c r="E219" s="853">
        <f t="shared" si="239"/>
        <v>0</v>
      </c>
      <c r="F219" s="886">
        <f t="shared" si="239"/>
        <v>0</v>
      </c>
      <c r="G219" s="83">
        <f t="shared" si="239"/>
        <v>0</v>
      </c>
      <c r="H219" s="76">
        <f t="shared" si="239"/>
        <v>10755083</v>
      </c>
      <c r="I219" s="260"/>
      <c r="J219" s="856">
        <f t="shared" ref="J219:K219" si="240">J207</f>
        <v>720.0090909090909</v>
      </c>
      <c r="K219" s="839">
        <f t="shared" si="240"/>
        <v>0</v>
      </c>
      <c r="L219" s="323">
        <f t="shared" ref="L219:P219" si="241">L53</f>
        <v>31</v>
      </c>
      <c r="M219" s="104">
        <f t="shared" si="241"/>
        <v>1</v>
      </c>
      <c r="N219" s="323">
        <f t="shared" si="241"/>
        <v>21</v>
      </c>
      <c r="O219" s="873">
        <f t="shared" si="241"/>
        <v>48</v>
      </c>
      <c r="P219" s="873">
        <f t="shared" si="241"/>
        <v>0</v>
      </c>
      <c r="Q219" s="1721">
        <v>0</v>
      </c>
      <c r="V219" s="65">
        <f t="shared" si="95"/>
        <v>10813576.272485329</v>
      </c>
      <c r="W219" s="190">
        <f t="shared" si="96"/>
        <v>58493.272485328838</v>
      </c>
      <c r="X219" s="184">
        <f t="shared" si="86"/>
        <v>5.4386630475402971E-3</v>
      </c>
      <c r="Y219" s="184">
        <f t="shared" si="87"/>
        <v>5.4386630475402971E-3</v>
      </c>
      <c r="Z219" s="1772">
        <f t="shared" si="97"/>
        <v>0</v>
      </c>
      <c r="AA219" s="87">
        <f t="shared" si="98"/>
        <v>10813576.272485329</v>
      </c>
    </row>
    <row r="220" spans="1:27">
      <c r="A220" s="864">
        <f t="shared" ref="A220:H220" si="242">A54</f>
        <v>2015</v>
      </c>
      <c r="B220" s="62">
        <f t="shared" si="242"/>
        <v>42035</v>
      </c>
      <c r="C220" s="69">
        <f t="shared" si="242"/>
        <v>12178875.15</v>
      </c>
      <c r="D220" s="69">
        <f t="shared" si="242"/>
        <v>2693</v>
      </c>
      <c r="E220" s="860">
        <f t="shared" si="242"/>
        <v>0</v>
      </c>
      <c r="F220" s="887">
        <f t="shared" si="242"/>
        <v>0</v>
      </c>
      <c r="G220" s="73">
        <f t="shared" si="242"/>
        <v>0</v>
      </c>
      <c r="H220" s="71">
        <f t="shared" si="242"/>
        <v>12181568.15</v>
      </c>
      <c r="I220" s="259"/>
      <c r="J220" s="345">
        <f t="shared" ref="J220:K220" si="243">J208</f>
        <v>849.19090909090926</v>
      </c>
      <c r="K220" s="345">
        <f t="shared" si="243"/>
        <v>0</v>
      </c>
      <c r="L220" s="322">
        <f t="shared" ref="L220:P220" si="244">L54</f>
        <v>31</v>
      </c>
      <c r="M220" s="150">
        <f t="shared" si="244"/>
        <v>1</v>
      </c>
      <c r="N220" s="322">
        <f t="shared" si="244"/>
        <v>21</v>
      </c>
      <c r="O220" s="841">
        <f t="shared" si="244"/>
        <v>49</v>
      </c>
      <c r="P220" s="841">
        <f t="shared" si="244"/>
        <v>0</v>
      </c>
      <c r="Q220" s="1720">
        <v>0</v>
      </c>
      <c r="V220" s="65">
        <f t="shared" si="95"/>
        <v>11367999.124954185</v>
      </c>
      <c r="W220" s="182">
        <f t="shared" si="96"/>
        <v>-813569.02504581586</v>
      </c>
      <c r="X220" s="183">
        <f t="shared" si="86"/>
        <v>-6.6786887782244675E-2</v>
      </c>
      <c r="Y220" s="183">
        <f t="shared" si="87"/>
        <v>6.6786887782244675E-2</v>
      </c>
      <c r="Z220" s="1772">
        <f t="shared" si="97"/>
        <v>0</v>
      </c>
      <c r="AA220" s="87">
        <f t="shared" si="98"/>
        <v>11367999.124954185</v>
      </c>
    </row>
    <row r="221" spans="1:27">
      <c r="A221" s="864">
        <f t="shared" ref="A221:H221" si="245">A55</f>
        <v>2015</v>
      </c>
      <c r="B221" s="62">
        <f t="shared" si="245"/>
        <v>42063</v>
      </c>
      <c r="C221" s="69">
        <f t="shared" si="245"/>
        <v>11445612.18</v>
      </c>
      <c r="D221" s="69">
        <f t="shared" si="245"/>
        <v>2302</v>
      </c>
      <c r="E221" s="860">
        <f t="shared" si="245"/>
        <v>0</v>
      </c>
      <c r="F221" s="887">
        <f t="shared" si="245"/>
        <v>0</v>
      </c>
      <c r="G221" s="73">
        <f t="shared" si="245"/>
        <v>0</v>
      </c>
      <c r="H221" s="71">
        <f t="shared" si="245"/>
        <v>11447914.18</v>
      </c>
      <c r="I221" s="259"/>
      <c r="J221" s="345">
        <f t="shared" ref="J221:K221" si="246">J209</f>
        <v>743.30909090909097</v>
      </c>
      <c r="K221" s="345">
        <f t="shared" si="246"/>
        <v>0</v>
      </c>
      <c r="L221" s="322">
        <f t="shared" ref="L221:P221" si="247">L55</f>
        <v>28</v>
      </c>
      <c r="M221" s="150">
        <f t="shared" si="247"/>
        <v>1</v>
      </c>
      <c r="N221" s="322">
        <f t="shared" si="247"/>
        <v>19</v>
      </c>
      <c r="O221" s="841">
        <f t="shared" si="247"/>
        <v>50</v>
      </c>
      <c r="P221" s="841">
        <f t="shared" si="247"/>
        <v>0</v>
      </c>
      <c r="Q221" s="1720">
        <v>0</v>
      </c>
      <c r="V221" s="65">
        <f t="shared" si="95"/>
        <v>10316085.100087732</v>
      </c>
      <c r="W221" s="182">
        <f t="shared" si="96"/>
        <v>-1131829.0799122676</v>
      </c>
      <c r="X221" s="183">
        <f t="shared" si="86"/>
        <v>-9.8867711804620437E-2</v>
      </c>
      <c r="Y221" s="183">
        <f t="shared" si="87"/>
        <v>9.8867711804620437E-2</v>
      </c>
      <c r="Z221" s="1772">
        <f t="shared" si="97"/>
        <v>0</v>
      </c>
      <c r="AA221" s="87">
        <f t="shared" si="98"/>
        <v>10316085.100087732</v>
      </c>
    </row>
    <row r="222" spans="1:27">
      <c r="A222" s="864">
        <f t="shared" ref="A222:H222" si="248">A56</f>
        <v>2015</v>
      </c>
      <c r="B222" s="62">
        <f t="shared" si="248"/>
        <v>42094</v>
      </c>
      <c r="C222" s="69">
        <f t="shared" si="248"/>
        <v>10922675.359999999</v>
      </c>
      <c r="D222" s="69">
        <f t="shared" si="248"/>
        <v>7189</v>
      </c>
      <c r="E222" s="860">
        <f t="shared" si="248"/>
        <v>0</v>
      </c>
      <c r="F222" s="887">
        <f t="shared" si="248"/>
        <v>0</v>
      </c>
      <c r="G222" s="73">
        <f t="shared" si="248"/>
        <v>0</v>
      </c>
      <c r="H222" s="71">
        <f t="shared" si="248"/>
        <v>10929864.359999999</v>
      </c>
      <c r="I222" s="259"/>
      <c r="J222" s="345">
        <f t="shared" ref="J222:K222" si="249">J210</f>
        <v>634.18181818181813</v>
      </c>
      <c r="K222" s="345">
        <f t="shared" si="249"/>
        <v>0</v>
      </c>
      <c r="L222" s="322">
        <f t="shared" ref="L222:P222" si="250">L56</f>
        <v>31</v>
      </c>
      <c r="M222" s="150">
        <f t="shared" si="250"/>
        <v>1</v>
      </c>
      <c r="N222" s="322">
        <f t="shared" si="250"/>
        <v>22</v>
      </c>
      <c r="O222" s="841">
        <f t="shared" si="250"/>
        <v>51</v>
      </c>
      <c r="P222" s="841">
        <f t="shared" si="250"/>
        <v>0</v>
      </c>
      <c r="Q222" s="1720">
        <v>0</v>
      </c>
      <c r="V222" s="65">
        <f t="shared" si="95"/>
        <v>10462612.844231125</v>
      </c>
      <c r="W222" s="182">
        <f t="shared" si="96"/>
        <v>-467251.51576887444</v>
      </c>
      <c r="X222" s="183">
        <f t="shared" si="86"/>
        <v>-4.2749983017069615E-2</v>
      </c>
      <c r="Y222" s="183">
        <f t="shared" si="87"/>
        <v>4.2749983017069615E-2</v>
      </c>
      <c r="Z222" s="1772">
        <f t="shared" si="97"/>
        <v>0</v>
      </c>
      <c r="AA222" s="87">
        <f t="shared" si="98"/>
        <v>10462612.844231125</v>
      </c>
    </row>
    <row r="223" spans="1:27">
      <c r="A223" s="864">
        <f t="shared" ref="A223:H223" si="251">A57</f>
        <v>2015</v>
      </c>
      <c r="B223" s="62">
        <f t="shared" si="251"/>
        <v>42124</v>
      </c>
      <c r="C223" s="69">
        <f t="shared" si="251"/>
        <v>8724747</v>
      </c>
      <c r="D223" s="69">
        <f t="shared" si="251"/>
        <v>8877</v>
      </c>
      <c r="E223" s="860">
        <f t="shared" si="251"/>
        <v>0</v>
      </c>
      <c r="F223" s="887">
        <f t="shared" si="251"/>
        <v>0</v>
      </c>
      <c r="G223" s="73">
        <f t="shared" si="251"/>
        <v>0</v>
      </c>
      <c r="H223" s="71">
        <f t="shared" si="251"/>
        <v>8733624</v>
      </c>
      <c r="I223" s="259"/>
      <c r="J223" s="345">
        <f t="shared" ref="J223:K223" si="252">J211</f>
        <v>376.19090909090914</v>
      </c>
      <c r="K223" s="345">
        <f t="shared" si="252"/>
        <v>0.4</v>
      </c>
      <c r="L223" s="322">
        <f t="shared" ref="L223:P223" si="253">L57</f>
        <v>30</v>
      </c>
      <c r="M223" s="150">
        <f t="shared" si="253"/>
        <v>0</v>
      </c>
      <c r="N223" s="322">
        <f t="shared" si="253"/>
        <v>20</v>
      </c>
      <c r="O223" s="841">
        <f t="shared" si="253"/>
        <v>52</v>
      </c>
      <c r="P223" s="841">
        <f t="shared" si="253"/>
        <v>0</v>
      </c>
      <c r="Q223" s="1720">
        <v>0</v>
      </c>
      <c r="V223" s="65">
        <f t="shared" si="95"/>
        <v>8693440.2136410028</v>
      </c>
      <c r="W223" s="182">
        <f t="shared" si="96"/>
        <v>-40183.786358997226</v>
      </c>
      <c r="X223" s="183">
        <f t="shared" si="86"/>
        <v>-4.6010437773594589E-3</v>
      </c>
      <c r="Y223" s="183">
        <f t="shared" si="87"/>
        <v>4.6010437773594589E-3</v>
      </c>
      <c r="Z223" s="1772">
        <f t="shared" si="97"/>
        <v>0</v>
      </c>
      <c r="AA223" s="87">
        <f t="shared" si="98"/>
        <v>8693440.2136410028</v>
      </c>
    </row>
    <row r="224" spans="1:27">
      <c r="A224" s="864">
        <f t="shared" ref="A224:H224" si="254">A58</f>
        <v>2015</v>
      </c>
      <c r="B224" s="62">
        <f t="shared" si="254"/>
        <v>42155</v>
      </c>
      <c r="C224" s="69">
        <f t="shared" si="254"/>
        <v>8214245.5700000003</v>
      </c>
      <c r="D224" s="69">
        <f t="shared" si="254"/>
        <v>10420</v>
      </c>
      <c r="E224" s="860">
        <f t="shared" si="254"/>
        <v>0</v>
      </c>
      <c r="F224" s="885">
        <f t="shared" si="254"/>
        <v>0</v>
      </c>
      <c r="G224" s="73">
        <f t="shared" si="254"/>
        <v>0</v>
      </c>
      <c r="H224" s="71">
        <f t="shared" si="254"/>
        <v>8224665.5700000003</v>
      </c>
      <c r="I224" s="259"/>
      <c r="J224" s="345">
        <f t="shared" ref="J224:K224" si="255">J212</f>
        <v>147.39545454545458</v>
      </c>
      <c r="K224" s="345">
        <f t="shared" si="255"/>
        <v>17.336363636363636</v>
      </c>
      <c r="L224" s="322">
        <f t="shared" ref="L224:P224" si="256">L58</f>
        <v>31</v>
      </c>
      <c r="M224" s="150">
        <f t="shared" si="256"/>
        <v>0</v>
      </c>
      <c r="N224" s="322">
        <f t="shared" si="256"/>
        <v>20</v>
      </c>
      <c r="O224" s="841">
        <f t="shared" si="256"/>
        <v>53</v>
      </c>
      <c r="P224" s="841">
        <f t="shared" si="256"/>
        <v>0</v>
      </c>
      <c r="Q224" s="1720">
        <v>0</v>
      </c>
      <c r="V224" s="65">
        <f t="shared" si="95"/>
        <v>8096654.2696381165</v>
      </c>
      <c r="W224" s="182">
        <f t="shared" si="96"/>
        <v>-128011.30036188383</v>
      </c>
      <c r="X224" s="183">
        <f t="shared" si="86"/>
        <v>-1.5564316782534397E-2</v>
      </c>
      <c r="Y224" s="183">
        <f t="shared" si="87"/>
        <v>1.5564316782534397E-2</v>
      </c>
      <c r="Z224" s="1772">
        <f t="shared" si="97"/>
        <v>0</v>
      </c>
      <c r="AA224" s="87">
        <f t="shared" si="98"/>
        <v>8096654.2696381165</v>
      </c>
    </row>
    <row r="225" spans="1:27">
      <c r="A225" s="864">
        <f t="shared" ref="A225:H225" si="257">A59</f>
        <v>2015</v>
      </c>
      <c r="B225" s="62">
        <f t="shared" si="257"/>
        <v>42185</v>
      </c>
      <c r="C225" s="69">
        <f t="shared" si="257"/>
        <v>8082238.46</v>
      </c>
      <c r="D225" s="69">
        <f t="shared" si="257"/>
        <v>9244</v>
      </c>
      <c r="E225" s="860">
        <f t="shared" si="257"/>
        <v>0</v>
      </c>
      <c r="F225" s="885">
        <f t="shared" si="257"/>
        <v>0</v>
      </c>
      <c r="G225" s="73">
        <f t="shared" si="257"/>
        <v>0</v>
      </c>
      <c r="H225" s="71">
        <f t="shared" si="257"/>
        <v>8091482.46</v>
      </c>
      <c r="I225" s="259"/>
      <c r="J225" s="345">
        <f t="shared" ref="J225:K225" si="258">J213</f>
        <v>37.681818181818187</v>
      </c>
      <c r="K225" s="345">
        <f t="shared" si="258"/>
        <v>51.772727272727273</v>
      </c>
      <c r="L225" s="322">
        <f t="shared" ref="L225:P225" si="259">L59</f>
        <v>30</v>
      </c>
      <c r="M225" s="150">
        <f t="shared" si="259"/>
        <v>1</v>
      </c>
      <c r="N225" s="322">
        <f t="shared" si="259"/>
        <v>22</v>
      </c>
      <c r="O225" s="841">
        <f t="shared" si="259"/>
        <v>54</v>
      </c>
      <c r="P225" s="841">
        <f t="shared" si="259"/>
        <v>0</v>
      </c>
      <c r="Q225" s="1720">
        <v>0</v>
      </c>
      <c r="V225" s="65">
        <f t="shared" si="95"/>
        <v>8452942.3079963289</v>
      </c>
      <c r="W225" s="182">
        <f t="shared" si="96"/>
        <v>361459.84799632896</v>
      </c>
      <c r="X225" s="183">
        <f t="shared" si="86"/>
        <v>4.4671646979795712E-2</v>
      </c>
      <c r="Y225" s="183">
        <f t="shared" si="87"/>
        <v>4.4671646979795712E-2</v>
      </c>
      <c r="Z225" s="1772">
        <f t="shared" si="97"/>
        <v>0</v>
      </c>
      <c r="AA225" s="87">
        <f t="shared" si="98"/>
        <v>8452942.3079963289</v>
      </c>
    </row>
    <row r="226" spans="1:27">
      <c r="A226" s="864">
        <f t="shared" ref="A226:H226" si="260">A60</f>
        <v>2015</v>
      </c>
      <c r="B226" s="62">
        <f t="shared" si="260"/>
        <v>42216</v>
      </c>
      <c r="C226" s="69">
        <f t="shared" si="260"/>
        <v>8969560.4600000009</v>
      </c>
      <c r="D226" s="69">
        <f t="shared" si="260"/>
        <v>10629</v>
      </c>
      <c r="E226" s="860">
        <f t="shared" si="260"/>
        <v>0</v>
      </c>
      <c r="F226" s="885">
        <f t="shared" si="260"/>
        <v>0</v>
      </c>
      <c r="G226" s="73">
        <f t="shared" si="260"/>
        <v>0</v>
      </c>
      <c r="H226" s="71">
        <f t="shared" si="260"/>
        <v>8980189.4600000009</v>
      </c>
      <c r="I226" s="259"/>
      <c r="J226" s="345">
        <f t="shared" ref="J226:K226" si="261">J214</f>
        <v>4.5545454545454538</v>
      </c>
      <c r="K226" s="345">
        <f t="shared" si="261"/>
        <v>116.1</v>
      </c>
      <c r="L226" s="322">
        <f t="shared" ref="L226:P226" si="262">L60</f>
        <v>31</v>
      </c>
      <c r="M226" s="150">
        <f t="shared" si="262"/>
        <v>1</v>
      </c>
      <c r="N226" s="322">
        <f t="shared" si="262"/>
        <v>22</v>
      </c>
      <c r="O226" s="841">
        <f t="shared" si="262"/>
        <v>55</v>
      </c>
      <c r="P226" s="841">
        <f t="shared" si="262"/>
        <v>0</v>
      </c>
      <c r="Q226" s="1720">
        <v>0</v>
      </c>
      <c r="V226" s="65">
        <f t="shared" si="95"/>
        <v>9429121.1598032359</v>
      </c>
      <c r="W226" s="182">
        <f t="shared" si="96"/>
        <v>448931.69980323501</v>
      </c>
      <c r="X226" s="183">
        <f t="shared" si="86"/>
        <v>4.9991339470385178E-2</v>
      </c>
      <c r="Y226" s="183">
        <f t="shared" si="87"/>
        <v>4.9991339470385178E-2</v>
      </c>
      <c r="Z226" s="1772">
        <f t="shared" si="97"/>
        <v>0</v>
      </c>
      <c r="AA226" s="87">
        <f t="shared" si="98"/>
        <v>9429121.1598032359</v>
      </c>
    </row>
    <row r="227" spans="1:27">
      <c r="A227" s="864">
        <f t="shared" ref="A227:H227" si="263">A61</f>
        <v>2015</v>
      </c>
      <c r="B227" s="62">
        <f t="shared" si="263"/>
        <v>42247</v>
      </c>
      <c r="C227" s="69">
        <f t="shared" si="263"/>
        <v>8928792.9100000001</v>
      </c>
      <c r="D227" s="69">
        <f t="shared" si="263"/>
        <v>9115</v>
      </c>
      <c r="E227" s="860">
        <f t="shared" si="263"/>
        <v>0</v>
      </c>
      <c r="F227" s="885">
        <f t="shared" si="263"/>
        <v>0</v>
      </c>
      <c r="G227" s="73">
        <f t="shared" si="263"/>
        <v>0</v>
      </c>
      <c r="H227" s="71">
        <f t="shared" si="263"/>
        <v>8937907.9100000001</v>
      </c>
      <c r="I227" s="259"/>
      <c r="J227" s="345">
        <f t="shared" ref="J227:K227" si="264">J215</f>
        <v>10.836363636363636</v>
      </c>
      <c r="K227" s="345">
        <f t="shared" si="264"/>
        <v>82.954545454545453</v>
      </c>
      <c r="L227" s="322">
        <f t="shared" ref="L227:P227" si="265">L61</f>
        <v>31</v>
      </c>
      <c r="M227" s="150">
        <f t="shared" si="265"/>
        <v>1</v>
      </c>
      <c r="N227" s="322">
        <f t="shared" si="265"/>
        <v>20</v>
      </c>
      <c r="O227" s="841">
        <f t="shared" si="265"/>
        <v>56</v>
      </c>
      <c r="P227" s="841">
        <f t="shared" si="265"/>
        <v>1</v>
      </c>
      <c r="Q227" s="1720">
        <v>0</v>
      </c>
      <c r="V227" s="65">
        <f t="shared" si="95"/>
        <v>9256984.2479192037</v>
      </c>
      <c r="W227" s="182">
        <f t="shared" si="96"/>
        <v>319076.33791920356</v>
      </c>
      <c r="X227" s="183">
        <f t="shared" si="86"/>
        <v>3.5699219675581054E-2</v>
      </c>
      <c r="Y227" s="183">
        <f t="shared" si="87"/>
        <v>3.5699219675581054E-2</v>
      </c>
      <c r="Z227" s="1772">
        <f t="shared" si="97"/>
        <v>0</v>
      </c>
      <c r="AA227" s="87">
        <f t="shared" si="98"/>
        <v>9256984.2479192037</v>
      </c>
    </row>
    <row r="228" spans="1:27">
      <c r="A228" s="864">
        <f t="shared" ref="A228:H228" si="266">A62</f>
        <v>2015</v>
      </c>
      <c r="B228" s="62">
        <f t="shared" si="266"/>
        <v>42277</v>
      </c>
      <c r="C228" s="69">
        <f t="shared" si="266"/>
        <v>8487585.6799999997</v>
      </c>
      <c r="D228" s="69">
        <f t="shared" si="266"/>
        <v>7694</v>
      </c>
      <c r="E228" s="860">
        <f t="shared" si="266"/>
        <v>0</v>
      </c>
      <c r="F228" s="885">
        <f t="shared" si="266"/>
        <v>0</v>
      </c>
      <c r="G228" s="73">
        <f t="shared" si="266"/>
        <v>0</v>
      </c>
      <c r="H228" s="71">
        <f t="shared" si="266"/>
        <v>8495279.6799999997</v>
      </c>
      <c r="I228" s="259"/>
      <c r="J228" s="345">
        <f t="shared" ref="J228:K228" si="267">J216</f>
        <v>93.481818181818198</v>
      </c>
      <c r="K228" s="345">
        <f t="shared" si="267"/>
        <v>25.536363636363639</v>
      </c>
      <c r="L228" s="322">
        <f t="shared" ref="L228:P228" si="268">L62</f>
        <v>30</v>
      </c>
      <c r="M228" s="150">
        <f t="shared" si="268"/>
        <v>1</v>
      </c>
      <c r="N228" s="322">
        <f t="shared" si="268"/>
        <v>21</v>
      </c>
      <c r="O228" s="841">
        <f t="shared" si="268"/>
        <v>57</v>
      </c>
      <c r="P228" s="841">
        <f t="shared" si="268"/>
        <v>0</v>
      </c>
      <c r="Q228" s="1720">
        <v>0</v>
      </c>
      <c r="V228" s="65">
        <f t="shared" si="95"/>
        <v>8214493.0408862587</v>
      </c>
      <c r="W228" s="182">
        <f t="shared" si="96"/>
        <v>-280786.639113741</v>
      </c>
      <c r="X228" s="183">
        <f t="shared" si="86"/>
        <v>-3.3052077116987981E-2</v>
      </c>
      <c r="Y228" s="183">
        <f t="shared" si="87"/>
        <v>3.3052077116987981E-2</v>
      </c>
      <c r="Z228" s="1772">
        <f t="shared" si="97"/>
        <v>0</v>
      </c>
      <c r="AA228" s="87">
        <f t="shared" si="98"/>
        <v>8214493.0408862587</v>
      </c>
    </row>
    <row r="229" spans="1:27">
      <c r="A229" s="864">
        <f t="shared" ref="A229:H229" si="269">A63</f>
        <v>2015</v>
      </c>
      <c r="B229" s="62">
        <f t="shared" si="269"/>
        <v>42308</v>
      </c>
      <c r="C229" s="69">
        <f t="shared" si="269"/>
        <v>8442807.8100000005</v>
      </c>
      <c r="D229" s="69">
        <f t="shared" si="269"/>
        <v>5620</v>
      </c>
      <c r="E229" s="860">
        <f t="shared" si="269"/>
        <v>0</v>
      </c>
      <c r="F229" s="885">
        <f t="shared" si="269"/>
        <v>0</v>
      </c>
      <c r="G229" s="73">
        <f t="shared" si="269"/>
        <v>0</v>
      </c>
      <c r="H229" s="71">
        <f t="shared" si="269"/>
        <v>8448427.8100000005</v>
      </c>
      <c r="I229" s="259"/>
      <c r="J229" s="345">
        <f t="shared" ref="J229:K229" si="270">J217</f>
        <v>276.59632529608206</v>
      </c>
      <c r="K229" s="345">
        <f t="shared" si="270"/>
        <v>0.63636363636363635</v>
      </c>
      <c r="L229" s="322">
        <f t="shared" ref="L229:P229" si="271">L63</f>
        <v>31</v>
      </c>
      <c r="M229" s="150">
        <f t="shared" si="271"/>
        <v>0</v>
      </c>
      <c r="N229" s="322">
        <f t="shared" si="271"/>
        <v>21</v>
      </c>
      <c r="O229" s="841">
        <f t="shared" si="271"/>
        <v>58</v>
      </c>
      <c r="P229" s="841">
        <f t="shared" si="271"/>
        <v>0</v>
      </c>
      <c r="Q229" s="1720">
        <v>0</v>
      </c>
      <c r="V229" s="65">
        <f t="shared" si="95"/>
        <v>8412188.0704115536</v>
      </c>
      <c r="W229" s="182">
        <f t="shared" si="96"/>
        <v>-36239.739588446915</v>
      </c>
      <c r="X229" s="183">
        <f t="shared" si="86"/>
        <v>-4.2895246788463605E-3</v>
      </c>
      <c r="Y229" s="183">
        <f t="shared" si="87"/>
        <v>4.2895246788463605E-3</v>
      </c>
      <c r="Z229" s="1772">
        <f t="shared" si="97"/>
        <v>0</v>
      </c>
      <c r="AA229" s="87">
        <f t="shared" si="98"/>
        <v>8412188.0704115536</v>
      </c>
    </row>
    <row r="230" spans="1:27">
      <c r="A230" s="864">
        <f t="shared" ref="A230:H230" si="272">A64</f>
        <v>2015</v>
      </c>
      <c r="B230" s="62">
        <f t="shared" si="272"/>
        <v>42338</v>
      </c>
      <c r="C230" s="69">
        <f t="shared" si="272"/>
        <v>8788398.0199999996</v>
      </c>
      <c r="D230" s="69">
        <f t="shared" si="272"/>
        <v>3629</v>
      </c>
      <c r="E230" s="860">
        <f t="shared" si="272"/>
        <v>0</v>
      </c>
      <c r="F230" s="885">
        <f t="shared" si="272"/>
        <v>0</v>
      </c>
      <c r="G230" s="73">
        <f t="shared" si="272"/>
        <v>0</v>
      </c>
      <c r="H230" s="71">
        <f t="shared" si="272"/>
        <v>8792027.0199999996</v>
      </c>
      <c r="I230" s="259"/>
      <c r="J230" s="345">
        <f t="shared" ref="J230:K230" si="273">J218</f>
        <v>506.81818181818181</v>
      </c>
      <c r="K230" s="345">
        <f t="shared" si="273"/>
        <v>0</v>
      </c>
      <c r="L230" s="322">
        <f t="shared" ref="L230:P230" si="274">L64</f>
        <v>30</v>
      </c>
      <c r="M230" s="150">
        <f t="shared" si="274"/>
        <v>0</v>
      </c>
      <c r="N230" s="322">
        <f t="shared" si="274"/>
        <v>21</v>
      </c>
      <c r="O230" s="841">
        <f t="shared" si="274"/>
        <v>59</v>
      </c>
      <c r="P230" s="841">
        <f t="shared" si="274"/>
        <v>0</v>
      </c>
      <c r="Q230" s="1720">
        <v>0</v>
      </c>
      <c r="V230" s="65">
        <f t="shared" si="95"/>
        <v>9241854.7542029694</v>
      </c>
      <c r="W230" s="182">
        <f t="shared" si="96"/>
        <v>449827.73420296982</v>
      </c>
      <c r="X230" s="183">
        <f t="shared" si="86"/>
        <v>5.1163142831534413E-2</v>
      </c>
      <c r="Y230" s="183">
        <f t="shared" si="87"/>
        <v>5.1163142831534413E-2</v>
      </c>
      <c r="Z230" s="1772">
        <f t="shared" si="97"/>
        <v>0</v>
      </c>
      <c r="AA230" s="87">
        <f t="shared" si="98"/>
        <v>9241854.7542029694</v>
      </c>
    </row>
    <row r="231" spans="1:27">
      <c r="A231" s="866">
        <f t="shared" ref="A231:H231" si="275">A65</f>
        <v>2015</v>
      </c>
      <c r="B231" s="694">
        <f t="shared" si="275"/>
        <v>42369</v>
      </c>
      <c r="C231" s="862">
        <f t="shared" si="275"/>
        <v>9419775.3499999996</v>
      </c>
      <c r="D231" s="862">
        <f t="shared" si="275"/>
        <v>1660</v>
      </c>
      <c r="E231" s="862">
        <f t="shared" si="275"/>
        <v>0</v>
      </c>
      <c r="F231" s="958">
        <f t="shared" si="275"/>
        <v>0</v>
      </c>
      <c r="G231" s="696">
        <f t="shared" si="275"/>
        <v>0</v>
      </c>
      <c r="H231" s="695">
        <f t="shared" si="275"/>
        <v>9421435.3499999996</v>
      </c>
      <c r="I231" s="697"/>
      <c r="J231" s="1098">
        <f t="shared" ref="J231:K231" si="276">J219</f>
        <v>720.0090909090909</v>
      </c>
      <c r="K231" s="1099">
        <f t="shared" si="276"/>
        <v>0</v>
      </c>
      <c r="L231" s="699">
        <f t="shared" ref="L231:P231" si="277">L65</f>
        <v>31</v>
      </c>
      <c r="M231" s="698">
        <f t="shared" si="277"/>
        <v>1</v>
      </c>
      <c r="N231" s="699">
        <f t="shared" si="277"/>
        <v>21</v>
      </c>
      <c r="O231" s="844">
        <f t="shared" si="277"/>
        <v>60</v>
      </c>
      <c r="P231" s="844">
        <f t="shared" si="277"/>
        <v>0</v>
      </c>
      <c r="Q231" s="1721">
        <v>0</v>
      </c>
      <c r="V231" s="65">
        <f t="shared" si="95"/>
        <v>10692032.671528012</v>
      </c>
      <c r="W231" s="852">
        <f t="shared" si="96"/>
        <v>1270597.3215280119</v>
      </c>
      <c r="X231" s="704">
        <f t="shared" si="86"/>
        <v>0.13486239350228221</v>
      </c>
      <c r="Y231" s="704">
        <f t="shared" si="87"/>
        <v>0.13486239350228221</v>
      </c>
      <c r="Z231" s="1772">
        <f t="shared" si="97"/>
        <v>0</v>
      </c>
      <c r="AA231" s="87">
        <f t="shared" si="98"/>
        <v>10692032.671528012</v>
      </c>
    </row>
    <row r="232" spans="1:27">
      <c r="A232" s="864">
        <f t="shared" ref="A232:P232" si="278">A66</f>
        <v>2016</v>
      </c>
      <c r="B232" s="62">
        <f t="shared" si="278"/>
        <v>42400</v>
      </c>
      <c r="C232" s="69">
        <f t="shared" si="278"/>
        <v>10989034.470000001</v>
      </c>
      <c r="D232" s="69">
        <f t="shared" si="278"/>
        <v>2253</v>
      </c>
      <c r="E232" s="843">
        <f t="shared" si="278"/>
        <v>0</v>
      </c>
      <c r="F232" s="885">
        <f t="shared" si="278"/>
        <v>0</v>
      </c>
      <c r="G232" s="73">
        <f t="shared" si="278"/>
        <v>0</v>
      </c>
      <c r="H232" s="71">
        <f t="shared" si="278"/>
        <v>10991287.470000001</v>
      </c>
      <c r="I232" s="259"/>
      <c r="J232" s="345">
        <f t="shared" ref="J232:K243" si="279">J138</f>
        <v>849.19090909090926</v>
      </c>
      <c r="K232" s="857">
        <f t="shared" si="279"/>
        <v>0</v>
      </c>
      <c r="L232" s="322">
        <f t="shared" si="278"/>
        <v>31</v>
      </c>
      <c r="M232" s="150">
        <f t="shared" si="278"/>
        <v>1</v>
      </c>
      <c r="N232" s="322">
        <f t="shared" si="278"/>
        <v>20</v>
      </c>
      <c r="O232" s="841">
        <f t="shared" si="278"/>
        <v>61</v>
      </c>
      <c r="P232" s="841">
        <f t="shared" si="278"/>
        <v>0</v>
      </c>
      <c r="Q232" s="1720">
        <v>0</v>
      </c>
      <c r="V232" s="65">
        <f t="shared" si="95"/>
        <v>11191949.971208669</v>
      </c>
      <c r="W232" s="182">
        <f t="shared" ref="W232:W291" si="280">V232-H232</f>
        <v>200662.50120866857</v>
      </c>
      <c r="X232" s="183">
        <f t="shared" ref="X232:X291" si="281">W232/H232</f>
        <v>1.8256505596488466E-2</v>
      </c>
      <c r="Y232" s="183">
        <f t="shared" ref="Y232:Y291" si="282">ABS(X232)</f>
        <v>1.8256505596488466E-2</v>
      </c>
      <c r="Z232" s="1772">
        <f t="shared" si="97"/>
        <v>0</v>
      </c>
      <c r="AA232" s="87">
        <f t="shared" si="98"/>
        <v>11191949.971208669</v>
      </c>
    </row>
    <row r="233" spans="1:27">
      <c r="A233" s="864">
        <f t="shared" ref="A233:P233" si="283">A67</f>
        <v>2016</v>
      </c>
      <c r="B233" s="62">
        <f t="shared" si="283"/>
        <v>42429</v>
      </c>
      <c r="C233" s="69">
        <f t="shared" si="283"/>
        <v>10461168.439999999</v>
      </c>
      <c r="D233" s="69">
        <f t="shared" si="283"/>
        <v>2428</v>
      </c>
      <c r="E233" s="843">
        <f t="shared" si="283"/>
        <v>0</v>
      </c>
      <c r="F233" s="885">
        <f t="shared" si="283"/>
        <v>0</v>
      </c>
      <c r="G233" s="73">
        <f t="shared" si="283"/>
        <v>0</v>
      </c>
      <c r="H233" s="71">
        <f t="shared" si="283"/>
        <v>10463596.439999999</v>
      </c>
      <c r="I233" s="259"/>
      <c r="J233" s="345">
        <f t="shared" si="279"/>
        <v>743.30909090909097</v>
      </c>
      <c r="K233" s="857">
        <f t="shared" si="279"/>
        <v>0</v>
      </c>
      <c r="L233" s="322">
        <f t="shared" si="283"/>
        <v>29</v>
      </c>
      <c r="M233" s="150">
        <f t="shared" si="283"/>
        <v>1</v>
      </c>
      <c r="N233" s="322">
        <f t="shared" si="283"/>
        <v>20</v>
      </c>
      <c r="O233" s="841">
        <f t="shared" si="283"/>
        <v>62</v>
      </c>
      <c r="P233" s="841">
        <f t="shared" si="283"/>
        <v>0</v>
      </c>
      <c r="Q233" s="1720">
        <v>0</v>
      </c>
      <c r="V233" s="65">
        <f t="shared" si="95"/>
        <v>10405729.938295441</v>
      </c>
      <c r="W233" s="182">
        <f t="shared" si="280"/>
        <v>-57866.50170455873</v>
      </c>
      <c r="X233" s="183">
        <f t="shared" si="281"/>
        <v>-5.5302688742226314E-3</v>
      </c>
      <c r="Y233" s="183">
        <f t="shared" si="282"/>
        <v>5.5302688742226314E-3</v>
      </c>
      <c r="Z233" s="1772">
        <f t="shared" si="97"/>
        <v>0</v>
      </c>
      <c r="AA233" s="87">
        <f t="shared" si="98"/>
        <v>10405729.938295441</v>
      </c>
    </row>
    <row r="234" spans="1:27">
      <c r="A234" s="864">
        <f t="shared" ref="A234:P234" si="284">A68</f>
        <v>2016</v>
      </c>
      <c r="B234" s="62">
        <f t="shared" si="284"/>
        <v>42460</v>
      </c>
      <c r="C234" s="69">
        <f t="shared" si="284"/>
        <v>9905017</v>
      </c>
      <c r="D234" s="69">
        <f t="shared" si="284"/>
        <v>6599</v>
      </c>
      <c r="E234" s="843">
        <f t="shared" si="284"/>
        <v>0</v>
      </c>
      <c r="F234" s="885">
        <f t="shared" si="284"/>
        <v>0</v>
      </c>
      <c r="G234" s="73">
        <f t="shared" si="284"/>
        <v>0</v>
      </c>
      <c r="H234" s="71">
        <f t="shared" si="284"/>
        <v>9911616</v>
      </c>
      <c r="I234" s="259"/>
      <c r="J234" s="345">
        <f t="shared" si="279"/>
        <v>634.18181818181813</v>
      </c>
      <c r="K234" s="857">
        <f t="shared" si="279"/>
        <v>0</v>
      </c>
      <c r="L234" s="322">
        <f t="shared" si="284"/>
        <v>31</v>
      </c>
      <c r="M234" s="150">
        <f t="shared" si="284"/>
        <v>1</v>
      </c>
      <c r="N234" s="322">
        <f t="shared" si="284"/>
        <v>21</v>
      </c>
      <c r="O234" s="841">
        <f t="shared" si="284"/>
        <v>63</v>
      </c>
      <c r="P234" s="841">
        <f t="shared" si="284"/>
        <v>0</v>
      </c>
      <c r="Q234" s="1720">
        <v>0</v>
      </c>
      <c r="V234" s="65">
        <f t="shared" si="95"/>
        <v>10286563.690485612</v>
      </c>
      <c r="W234" s="182">
        <f t="shared" si="280"/>
        <v>374947.69048561156</v>
      </c>
      <c r="X234" s="183">
        <f t="shared" si="281"/>
        <v>3.7829117924424387E-2</v>
      </c>
      <c r="Y234" s="183">
        <f t="shared" si="282"/>
        <v>3.7829117924424387E-2</v>
      </c>
      <c r="Z234" s="1772">
        <f t="shared" si="97"/>
        <v>0</v>
      </c>
      <c r="AA234" s="87">
        <f t="shared" si="98"/>
        <v>10286563.690485612</v>
      </c>
    </row>
    <row r="235" spans="1:27">
      <c r="A235" s="864">
        <f t="shared" ref="A235:P235" si="285">A69</f>
        <v>2016</v>
      </c>
      <c r="B235" s="62">
        <f t="shared" si="285"/>
        <v>42490</v>
      </c>
      <c r="C235" s="69">
        <f t="shared" si="285"/>
        <v>8448753</v>
      </c>
      <c r="D235" s="69">
        <f t="shared" si="285"/>
        <v>9898</v>
      </c>
      <c r="E235" s="843">
        <f t="shared" si="285"/>
        <v>0</v>
      </c>
      <c r="F235" s="885">
        <f t="shared" si="285"/>
        <v>0</v>
      </c>
      <c r="G235" s="73">
        <f t="shared" si="285"/>
        <v>0</v>
      </c>
      <c r="H235" s="71">
        <f t="shared" si="285"/>
        <v>8458651</v>
      </c>
      <c r="I235" s="259"/>
      <c r="J235" s="345">
        <f t="shared" si="279"/>
        <v>376.19090909090914</v>
      </c>
      <c r="K235" s="857">
        <f t="shared" si="279"/>
        <v>0.4</v>
      </c>
      <c r="L235" s="322">
        <f t="shared" si="285"/>
        <v>30</v>
      </c>
      <c r="M235" s="150">
        <f t="shared" si="285"/>
        <v>0</v>
      </c>
      <c r="N235" s="322">
        <f t="shared" si="285"/>
        <v>21</v>
      </c>
      <c r="O235" s="841">
        <f t="shared" si="285"/>
        <v>64</v>
      </c>
      <c r="P235" s="841">
        <f t="shared" si="285"/>
        <v>0</v>
      </c>
      <c r="Q235" s="1720">
        <v>0</v>
      </c>
      <c r="V235" s="65">
        <f t="shared" si="95"/>
        <v>8626402.1654718835</v>
      </c>
      <c r="W235" s="182">
        <f t="shared" si="280"/>
        <v>167751.16547188349</v>
      </c>
      <c r="X235" s="183">
        <f t="shared" si="281"/>
        <v>1.9831905285119755E-2</v>
      </c>
      <c r="Y235" s="183">
        <f t="shared" si="282"/>
        <v>1.9831905285119755E-2</v>
      </c>
      <c r="Z235" s="1772">
        <f t="shared" si="97"/>
        <v>0</v>
      </c>
      <c r="AA235" s="87">
        <f t="shared" si="98"/>
        <v>8626402.1654718835</v>
      </c>
    </row>
    <row r="236" spans="1:27">
      <c r="A236" s="864">
        <f t="shared" ref="A236:P236" si="286">A70</f>
        <v>2016</v>
      </c>
      <c r="B236" s="62">
        <f t="shared" si="286"/>
        <v>42521</v>
      </c>
      <c r="C236" s="69">
        <f t="shared" si="286"/>
        <v>7971052</v>
      </c>
      <c r="D236" s="69">
        <f t="shared" si="286"/>
        <v>10642</v>
      </c>
      <c r="E236" s="843">
        <f t="shared" si="286"/>
        <v>0</v>
      </c>
      <c r="F236" s="885">
        <f t="shared" si="286"/>
        <v>0</v>
      </c>
      <c r="G236" s="73">
        <f t="shared" si="286"/>
        <v>0</v>
      </c>
      <c r="H236" s="71">
        <f t="shared" si="286"/>
        <v>7981694</v>
      </c>
      <c r="I236" s="259"/>
      <c r="J236" s="345">
        <f t="shared" si="279"/>
        <v>147.39545454545458</v>
      </c>
      <c r="K236" s="857">
        <f t="shared" si="279"/>
        <v>17.336363636363636</v>
      </c>
      <c r="L236" s="322">
        <f t="shared" si="286"/>
        <v>31</v>
      </c>
      <c r="M236" s="150">
        <f t="shared" si="286"/>
        <v>0</v>
      </c>
      <c r="N236" s="322">
        <f t="shared" si="286"/>
        <v>21</v>
      </c>
      <c r="O236" s="841">
        <f t="shared" si="286"/>
        <v>65</v>
      </c>
      <c r="P236" s="841">
        <f t="shared" si="286"/>
        <v>0</v>
      </c>
      <c r="Q236" s="1720">
        <v>0</v>
      </c>
      <c r="V236" s="65">
        <f t="shared" si="95"/>
        <v>8029616.2214689972</v>
      </c>
      <c r="W236" s="182">
        <f t="shared" si="280"/>
        <v>47922.221468997188</v>
      </c>
      <c r="X236" s="183">
        <f t="shared" si="281"/>
        <v>6.0040163740926657E-3</v>
      </c>
      <c r="Y236" s="183">
        <f t="shared" si="282"/>
        <v>6.0040163740926657E-3</v>
      </c>
      <c r="Z236" s="1772">
        <f t="shared" si="97"/>
        <v>0</v>
      </c>
      <c r="AA236" s="87">
        <f t="shared" si="98"/>
        <v>8029616.2214689972</v>
      </c>
    </row>
    <row r="237" spans="1:27">
      <c r="A237" s="864">
        <f t="shared" ref="A237:P237" si="287">A71</f>
        <v>2016</v>
      </c>
      <c r="B237" s="62">
        <f t="shared" si="287"/>
        <v>42551</v>
      </c>
      <c r="C237" s="69">
        <f t="shared" si="287"/>
        <v>8152771</v>
      </c>
      <c r="D237" s="69">
        <f t="shared" si="287"/>
        <v>10263</v>
      </c>
      <c r="E237" s="843">
        <f t="shared" si="287"/>
        <v>0</v>
      </c>
      <c r="F237" s="885">
        <f t="shared" si="287"/>
        <v>0</v>
      </c>
      <c r="G237" s="73">
        <f t="shared" si="287"/>
        <v>0</v>
      </c>
      <c r="H237" s="71">
        <f t="shared" si="287"/>
        <v>8163034</v>
      </c>
      <c r="I237" s="259"/>
      <c r="J237" s="345">
        <f t="shared" si="279"/>
        <v>37.681818181818187</v>
      </c>
      <c r="K237" s="857">
        <f t="shared" si="279"/>
        <v>51.772727272727273</v>
      </c>
      <c r="L237" s="322">
        <f t="shared" si="287"/>
        <v>30</v>
      </c>
      <c r="M237" s="150">
        <f t="shared" si="287"/>
        <v>1</v>
      </c>
      <c r="N237" s="322">
        <f t="shared" si="287"/>
        <v>22</v>
      </c>
      <c r="O237" s="841">
        <f t="shared" si="287"/>
        <v>66</v>
      </c>
      <c r="P237" s="841">
        <f t="shared" si="287"/>
        <v>0</v>
      </c>
      <c r="Q237" s="1720">
        <v>0</v>
      </c>
      <c r="V237" s="65">
        <f t="shared" ref="V237:V300" si="288">$AC$21+J237*$AC$22+K237*$AC$23+L237*$AC$24+M237*$AC$25+N237*$AC$26+O237*$AC$27+P237*$AC$28+Q237*$AC$29</f>
        <v>8331398.7070390116</v>
      </c>
      <c r="W237" s="182">
        <f t="shared" si="280"/>
        <v>168364.70703901164</v>
      </c>
      <c r="X237" s="183">
        <f t="shared" si="281"/>
        <v>2.0625261029050185E-2</v>
      </c>
      <c r="Y237" s="183">
        <f t="shared" si="282"/>
        <v>2.0625261029050185E-2</v>
      </c>
      <c r="Z237" s="1772">
        <f t="shared" ref="Z237:Z300" si="289">-V237/H237*G237</f>
        <v>0</v>
      </c>
      <c r="AA237" s="87">
        <f t="shared" ref="AA237:AA300" si="290">V237+Z237</f>
        <v>8331398.7070390116</v>
      </c>
    </row>
    <row r="238" spans="1:27">
      <c r="A238" s="864">
        <f t="shared" ref="A238:P238" si="291">A72</f>
        <v>2016</v>
      </c>
      <c r="B238" s="62">
        <f t="shared" si="291"/>
        <v>42582</v>
      </c>
      <c r="C238" s="69">
        <f t="shared" si="291"/>
        <v>9080665</v>
      </c>
      <c r="D238" s="69">
        <f t="shared" si="291"/>
        <v>10379</v>
      </c>
      <c r="E238" s="843">
        <f t="shared" si="291"/>
        <v>0</v>
      </c>
      <c r="F238" s="885">
        <f t="shared" si="291"/>
        <v>0</v>
      </c>
      <c r="G238" s="73">
        <f t="shared" si="291"/>
        <v>0</v>
      </c>
      <c r="H238" s="71">
        <f t="shared" si="291"/>
        <v>9091044</v>
      </c>
      <c r="I238" s="259"/>
      <c r="J238" s="345">
        <f t="shared" si="279"/>
        <v>4.5545454545454538</v>
      </c>
      <c r="K238" s="857">
        <f t="shared" si="279"/>
        <v>116.1</v>
      </c>
      <c r="L238" s="322">
        <f t="shared" si="291"/>
        <v>31</v>
      </c>
      <c r="M238" s="150">
        <f t="shared" si="291"/>
        <v>1</v>
      </c>
      <c r="N238" s="322">
        <f t="shared" si="291"/>
        <v>20</v>
      </c>
      <c r="O238" s="841">
        <f t="shared" si="291"/>
        <v>67</v>
      </c>
      <c r="P238" s="841">
        <f t="shared" si="291"/>
        <v>0</v>
      </c>
      <c r="Q238" s="1720">
        <v>0</v>
      </c>
      <c r="V238" s="65">
        <f t="shared" si="288"/>
        <v>9198566.4532695226</v>
      </c>
      <c r="W238" s="182">
        <f t="shared" si="280"/>
        <v>107522.45326952264</v>
      </c>
      <c r="X238" s="183">
        <f t="shared" si="281"/>
        <v>1.1827294342599446E-2</v>
      </c>
      <c r="Y238" s="183">
        <f t="shared" si="282"/>
        <v>1.1827294342599446E-2</v>
      </c>
      <c r="Z238" s="1772">
        <f t="shared" si="289"/>
        <v>0</v>
      </c>
      <c r="AA238" s="87">
        <f t="shared" si="290"/>
        <v>9198566.4532695226</v>
      </c>
    </row>
    <row r="239" spans="1:27">
      <c r="A239" s="864">
        <f t="shared" ref="A239:P239" si="292">A73</f>
        <v>2016</v>
      </c>
      <c r="B239" s="62">
        <f t="shared" si="292"/>
        <v>42613</v>
      </c>
      <c r="C239" s="69">
        <f t="shared" si="292"/>
        <v>9517733</v>
      </c>
      <c r="D239" s="69">
        <f t="shared" si="292"/>
        <v>9442</v>
      </c>
      <c r="E239" s="843">
        <f t="shared" si="292"/>
        <v>0</v>
      </c>
      <c r="F239" s="885">
        <f t="shared" si="292"/>
        <v>0</v>
      </c>
      <c r="G239" s="73">
        <f t="shared" si="292"/>
        <v>0</v>
      </c>
      <c r="H239" s="71">
        <f t="shared" si="292"/>
        <v>9527175</v>
      </c>
      <c r="I239" s="259"/>
      <c r="J239" s="345">
        <f t="shared" si="279"/>
        <v>10.836363636363636</v>
      </c>
      <c r="K239" s="857">
        <f t="shared" si="279"/>
        <v>82.954545454545453</v>
      </c>
      <c r="L239" s="322">
        <f t="shared" si="292"/>
        <v>31</v>
      </c>
      <c r="M239" s="150">
        <f t="shared" si="292"/>
        <v>1</v>
      </c>
      <c r="N239" s="322">
        <f t="shared" si="292"/>
        <v>22</v>
      </c>
      <c r="O239" s="841">
        <f t="shared" si="292"/>
        <v>68</v>
      </c>
      <c r="P239" s="841">
        <f t="shared" si="292"/>
        <v>1</v>
      </c>
      <c r="Q239" s="1720">
        <v>0</v>
      </c>
      <c r="V239" s="65">
        <f t="shared" si="288"/>
        <v>9244451.7525382824</v>
      </c>
      <c r="W239" s="182">
        <f t="shared" si="280"/>
        <v>-282723.24746171758</v>
      </c>
      <c r="X239" s="183">
        <f t="shared" si="281"/>
        <v>-2.9675454419774757E-2</v>
      </c>
      <c r="Y239" s="183">
        <f t="shared" si="282"/>
        <v>2.9675454419774757E-2</v>
      </c>
      <c r="Z239" s="1772">
        <f t="shared" si="289"/>
        <v>0</v>
      </c>
      <c r="AA239" s="87">
        <f t="shared" si="290"/>
        <v>9244451.7525382824</v>
      </c>
    </row>
    <row r="240" spans="1:27">
      <c r="A240" s="864">
        <f t="shared" ref="A240:P240" si="293">A74</f>
        <v>2016</v>
      </c>
      <c r="B240" s="62">
        <f t="shared" si="293"/>
        <v>42643</v>
      </c>
      <c r="C240" s="69">
        <f t="shared" si="293"/>
        <v>8054076.4400000004</v>
      </c>
      <c r="D240" s="69">
        <f t="shared" si="293"/>
        <v>8262</v>
      </c>
      <c r="E240" s="843">
        <f t="shared" si="293"/>
        <v>0</v>
      </c>
      <c r="F240" s="885">
        <f t="shared" si="293"/>
        <v>0</v>
      </c>
      <c r="G240" s="73">
        <f t="shared" si="293"/>
        <v>0</v>
      </c>
      <c r="H240" s="71">
        <f t="shared" si="293"/>
        <v>8062338.4400000004</v>
      </c>
      <c r="I240" s="259"/>
      <c r="J240" s="345">
        <f t="shared" si="279"/>
        <v>93.481818181818198</v>
      </c>
      <c r="K240" s="857">
        <f t="shared" si="279"/>
        <v>25.536363636363639</v>
      </c>
      <c r="L240" s="322">
        <f t="shared" si="293"/>
        <v>30</v>
      </c>
      <c r="M240" s="150">
        <f t="shared" si="293"/>
        <v>1</v>
      </c>
      <c r="N240" s="322">
        <f t="shared" si="293"/>
        <v>21</v>
      </c>
      <c r="O240" s="841">
        <f t="shared" si="293"/>
        <v>69</v>
      </c>
      <c r="P240" s="841">
        <f t="shared" si="293"/>
        <v>0</v>
      </c>
      <c r="Q240" s="1720">
        <v>0</v>
      </c>
      <c r="V240" s="65">
        <f t="shared" si="288"/>
        <v>8092949.4399289414</v>
      </c>
      <c r="W240" s="182">
        <f t="shared" si="280"/>
        <v>30610.999928941019</v>
      </c>
      <c r="X240" s="183">
        <f t="shared" si="281"/>
        <v>3.7967892512511567E-3</v>
      </c>
      <c r="Y240" s="183">
        <f t="shared" si="282"/>
        <v>3.7967892512511567E-3</v>
      </c>
      <c r="Z240" s="1772">
        <f t="shared" si="289"/>
        <v>0</v>
      </c>
      <c r="AA240" s="87">
        <f t="shared" si="290"/>
        <v>8092949.4399289414</v>
      </c>
    </row>
    <row r="241" spans="1:30">
      <c r="A241" s="864">
        <f t="shared" ref="A241:P241" si="294">A75</f>
        <v>2016</v>
      </c>
      <c r="B241" s="62">
        <f t="shared" si="294"/>
        <v>42674</v>
      </c>
      <c r="C241" s="69">
        <f t="shared" si="294"/>
        <v>8074621</v>
      </c>
      <c r="D241" s="69">
        <f t="shared" si="294"/>
        <v>4981</v>
      </c>
      <c r="E241" s="843">
        <f t="shared" si="294"/>
        <v>0</v>
      </c>
      <c r="F241" s="885">
        <f t="shared" si="294"/>
        <v>0</v>
      </c>
      <c r="G241" s="73">
        <f t="shared" si="294"/>
        <v>0</v>
      </c>
      <c r="H241" s="71">
        <f t="shared" si="294"/>
        <v>8079602</v>
      </c>
      <c r="I241" s="259"/>
      <c r="J241" s="345">
        <f t="shared" si="279"/>
        <v>276.59632529608206</v>
      </c>
      <c r="K241" s="857">
        <f t="shared" si="279"/>
        <v>0.63636363636363635</v>
      </c>
      <c r="L241" s="322">
        <f t="shared" si="294"/>
        <v>31</v>
      </c>
      <c r="M241" s="150">
        <f t="shared" si="294"/>
        <v>0</v>
      </c>
      <c r="N241" s="322">
        <f t="shared" si="294"/>
        <v>20</v>
      </c>
      <c r="O241" s="841">
        <f t="shared" si="294"/>
        <v>70</v>
      </c>
      <c r="P241" s="841">
        <f t="shared" si="294"/>
        <v>0</v>
      </c>
      <c r="Q241" s="1720">
        <v>0</v>
      </c>
      <c r="V241" s="65">
        <f t="shared" si="288"/>
        <v>8236138.9166660383</v>
      </c>
      <c r="W241" s="182">
        <f t="shared" si="280"/>
        <v>156536.91666603833</v>
      </c>
      <c r="X241" s="183">
        <f t="shared" si="281"/>
        <v>1.9374335105372557E-2</v>
      </c>
      <c r="Y241" s="183">
        <f t="shared" si="282"/>
        <v>1.9374335105372557E-2</v>
      </c>
      <c r="Z241" s="1772">
        <f t="shared" si="289"/>
        <v>0</v>
      </c>
      <c r="AA241" s="87">
        <f t="shared" si="290"/>
        <v>8236138.9166660383</v>
      </c>
    </row>
    <row r="242" spans="1:30">
      <c r="A242" s="864">
        <f t="shared" ref="A242:P242" si="295">A76</f>
        <v>2016</v>
      </c>
      <c r="B242" s="62">
        <f t="shared" si="295"/>
        <v>42704</v>
      </c>
      <c r="C242" s="69">
        <f t="shared" si="295"/>
        <v>8792790</v>
      </c>
      <c r="D242" s="69">
        <f t="shared" si="295"/>
        <v>3468</v>
      </c>
      <c r="E242" s="843">
        <f t="shared" si="295"/>
        <v>0</v>
      </c>
      <c r="F242" s="885">
        <f t="shared" si="295"/>
        <v>0</v>
      </c>
      <c r="G242" s="73">
        <f t="shared" si="295"/>
        <v>0</v>
      </c>
      <c r="H242" s="71">
        <f t="shared" si="295"/>
        <v>8796258</v>
      </c>
      <c r="I242" s="259"/>
      <c r="J242" s="345">
        <f t="shared" si="279"/>
        <v>506.81818181818181</v>
      </c>
      <c r="K242" s="857">
        <f t="shared" si="279"/>
        <v>0</v>
      </c>
      <c r="L242" s="322">
        <f t="shared" si="295"/>
        <v>30</v>
      </c>
      <c r="M242" s="150">
        <f t="shared" si="295"/>
        <v>0</v>
      </c>
      <c r="N242" s="322">
        <f t="shared" si="295"/>
        <v>22</v>
      </c>
      <c r="O242" s="841">
        <f t="shared" si="295"/>
        <v>71</v>
      </c>
      <c r="P242" s="841">
        <f t="shared" si="295"/>
        <v>0</v>
      </c>
      <c r="Q242" s="1720">
        <v>0</v>
      </c>
      <c r="V242" s="65">
        <f t="shared" si="288"/>
        <v>9174816.7060338501</v>
      </c>
      <c r="W242" s="182">
        <f t="shared" si="280"/>
        <v>378558.70603385009</v>
      </c>
      <c r="X242" s="183">
        <f t="shared" si="281"/>
        <v>4.3036334999934076E-2</v>
      </c>
      <c r="Y242" s="183">
        <f t="shared" si="282"/>
        <v>4.3036334999934076E-2</v>
      </c>
      <c r="Z242" s="1772">
        <f t="shared" si="289"/>
        <v>0</v>
      </c>
      <c r="AA242" s="87">
        <f t="shared" si="290"/>
        <v>9174816.7060338501</v>
      </c>
      <c r="AD242" s="87"/>
    </row>
    <row r="243" spans="1:30">
      <c r="A243" s="865">
        <f t="shared" ref="A243:P243" si="296">A77</f>
        <v>2016</v>
      </c>
      <c r="B243" s="151">
        <f t="shared" si="296"/>
        <v>42735</v>
      </c>
      <c r="C243" s="81">
        <f t="shared" si="296"/>
        <v>10206407</v>
      </c>
      <c r="D243" s="81">
        <f t="shared" si="296"/>
        <v>1769</v>
      </c>
      <c r="E243" s="853">
        <f t="shared" si="296"/>
        <v>0</v>
      </c>
      <c r="F243" s="886">
        <f t="shared" si="296"/>
        <v>0</v>
      </c>
      <c r="G243" s="83">
        <f t="shared" si="296"/>
        <v>0</v>
      </c>
      <c r="H243" s="76">
        <f t="shared" si="296"/>
        <v>10208176</v>
      </c>
      <c r="I243" s="260"/>
      <c r="J243" s="856">
        <f t="shared" si="279"/>
        <v>720.0090909090909</v>
      </c>
      <c r="K243" s="839">
        <f t="shared" si="279"/>
        <v>0</v>
      </c>
      <c r="L243" s="323">
        <f t="shared" si="296"/>
        <v>31</v>
      </c>
      <c r="M243" s="104">
        <f t="shared" si="296"/>
        <v>1</v>
      </c>
      <c r="N243" s="323">
        <f t="shared" si="296"/>
        <v>20</v>
      </c>
      <c r="O243" s="873">
        <f t="shared" si="296"/>
        <v>72</v>
      </c>
      <c r="P243" s="873">
        <f t="shared" si="296"/>
        <v>0</v>
      </c>
      <c r="Q243" s="1721">
        <v>0</v>
      </c>
      <c r="V243" s="65">
        <f t="shared" si="288"/>
        <v>10515983.517782496</v>
      </c>
      <c r="W243" s="190">
        <f t="shared" si="280"/>
        <v>307807.51778249629</v>
      </c>
      <c r="X243" s="184">
        <f t="shared" si="281"/>
        <v>3.0153037896534729E-2</v>
      </c>
      <c r="Y243" s="184">
        <f t="shared" si="282"/>
        <v>3.0153037896534729E-2</v>
      </c>
      <c r="Z243" s="1772">
        <f t="shared" si="289"/>
        <v>0</v>
      </c>
      <c r="AA243" s="87">
        <f t="shared" si="290"/>
        <v>10515983.517782496</v>
      </c>
      <c r="AD243" s="87"/>
    </row>
    <row r="244" spans="1:30">
      <c r="A244" s="864">
        <f t="shared" ref="A244:P244" si="297">A78</f>
        <v>2017</v>
      </c>
      <c r="B244" s="62">
        <f t="shared" si="297"/>
        <v>42766</v>
      </c>
      <c r="C244" s="69">
        <f t="shared" si="297"/>
        <v>10464420</v>
      </c>
      <c r="D244" s="69">
        <f t="shared" si="297"/>
        <v>2425</v>
      </c>
      <c r="E244" s="843">
        <f t="shared" si="297"/>
        <v>0</v>
      </c>
      <c r="F244" s="885">
        <f t="shared" si="297"/>
        <v>0</v>
      </c>
      <c r="G244" s="73">
        <f t="shared" si="297"/>
        <v>0</v>
      </c>
      <c r="H244" s="71">
        <f t="shared" si="297"/>
        <v>10466845</v>
      </c>
      <c r="I244" s="259"/>
      <c r="J244" s="345">
        <f>J232</f>
        <v>849.19090909090926</v>
      </c>
      <c r="K244" s="345">
        <f>K232</f>
        <v>0</v>
      </c>
      <c r="L244" s="322">
        <f t="shared" si="297"/>
        <v>31</v>
      </c>
      <c r="M244" s="150">
        <f t="shared" si="297"/>
        <v>1</v>
      </c>
      <c r="N244" s="322">
        <f t="shared" si="297"/>
        <v>21</v>
      </c>
      <c r="O244" s="841">
        <f t="shared" si="297"/>
        <v>73</v>
      </c>
      <c r="P244" s="841">
        <f t="shared" si="297"/>
        <v>0</v>
      </c>
      <c r="Q244" s="1720">
        <v>0</v>
      </c>
      <c r="V244" s="65">
        <f t="shared" si="288"/>
        <v>11124911.92303955</v>
      </c>
      <c r="W244" s="182">
        <f t="shared" si="280"/>
        <v>658066.92303954996</v>
      </c>
      <c r="X244" s="183">
        <f t="shared" si="281"/>
        <v>6.2871564739857139E-2</v>
      </c>
      <c r="Y244" s="183">
        <f t="shared" si="282"/>
        <v>6.2871564739857139E-2</v>
      </c>
      <c r="Z244" s="1772">
        <f t="shared" si="289"/>
        <v>0</v>
      </c>
      <c r="AA244" s="87">
        <f t="shared" si="290"/>
        <v>11124911.92303955</v>
      </c>
      <c r="AD244" s="87"/>
    </row>
    <row r="245" spans="1:30">
      <c r="A245" s="864">
        <f t="shared" ref="A245:P245" si="298">A79</f>
        <v>2017</v>
      </c>
      <c r="B245" s="62">
        <f t="shared" si="298"/>
        <v>42794</v>
      </c>
      <c r="C245" s="69">
        <f t="shared" si="298"/>
        <v>9412266</v>
      </c>
      <c r="D245" s="69">
        <f t="shared" si="298"/>
        <v>3267</v>
      </c>
      <c r="E245" s="843">
        <f t="shared" si="298"/>
        <v>0</v>
      </c>
      <c r="F245" s="885">
        <f t="shared" si="298"/>
        <v>0</v>
      </c>
      <c r="G245" s="73">
        <f t="shared" si="298"/>
        <v>0</v>
      </c>
      <c r="H245" s="71">
        <f t="shared" si="298"/>
        <v>9415533</v>
      </c>
      <c r="I245" s="259"/>
      <c r="J245" s="345">
        <f t="shared" ref="J245:K245" si="299">J233</f>
        <v>743.30909090909097</v>
      </c>
      <c r="K245" s="345">
        <f t="shared" si="299"/>
        <v>0</v>
      </c>
      <c r="L245" s="322">
        <f t="shared" si="298"/>
        <v>28</v>
      </c>
      <c r="M245" s="150">
        <f t="shared" si="298"/>
        <v>1</v>
      </c>
      <c r="N245" s="322">
        <f t="shared" si="298"/>
        <v>19</v>
      </c>
      <c r="O245" s="841">
        <f t="shared" si="298"/>
        <v>74</v>
      </c>
      <c r="P245" s="841">
        <f t="shared" si="298"/>
        <v>0</v>
      </c>
      <c r="Q245" s="1720">
        <v>0</v>
      </c>
      <c r="V245" s="65">
        <f t="shared" si="288"/>
        <v>10072997.898173098</v>
      </c>
      <c r="W245" s="182">
        <f t="shared" si="280"/>
        <v>657464.89817309752</v>
      </c>
      <c r="X245" s="183">
        <f t="shared" si="281"/>
        <v>6.9827687733992061E-2</v>
      </c>
      <c r="Y245" s="183">
        <f t="shared" si="282"/>
        <v>6.9827687733992061E-2</v>
      </c>
      <c r="Z245" s="1772">
        <f t="shared" si="289"/>
        <v>0</v>
      </c>
      <c r="AA245" s="87">
        <f t="shared" si="290"/>
        <v>10072997.898173098</v>
      </c>
    </row>
    <row r="246" spans="1:30">
      <c r="A246" s="864">
        <f t="shared" ref="A246:P246" si="300">A80</f>
        <v>2017</v>
      </c>
      <c r="B246" s="62">
        <f t="shared" si="300"/>
        <v>42825</v>
      </c>
      <c r="C246" s="69">
        <f t="shared" si="300"/>
        <v>10449490</v>
      </c>
      <c r="D246" s="69">
        <f t="shared" si="300"/>
        <v>6309</v>
      </c>
      <c r="E246" s="843">
        <f t="shared" si="300"/>
        <v>0</v>
      </c>
      <c r="F246" s="885">
        <f t="shared" si="300"/>
        <v>0</v>
      </c>
      <c r="G246" s="73">
        <f t="shared" si="300"/>
        <v>0</v>
      </c>
      <c r="H246" s="71">
        <f t="shared" si="300"/>
        <v>10455799</v>
      </c>
      <c r="I246" s="259"/>
      <c r="J246" s="345">
        <f t="shared" ref="J246:K246" si="301">J234</f>
        <v>634.18181818181813</v>
      </c>
      <c r="K246" s="345">
        <f t="shared" si="301"/>
        <v>0</v>
      </c>
      <c r="L246" s="322">
        <f t="shared" si="300"/>
        <v>31</v>
      </c>
      <c r="M246" s="150">
        <f t="shared" si="300"/>
        <v>1</v>
      </c>
      <c r="N246" s="322">
        <f t="shared" si="300"/>
        <v>23</v>
      </c>
      <c r="O246" s="841">
        <f t="shared" si="300"/>
        <v>75</v>
      </c>
      <c r="P246" s="841">
        <f t="shared" si="300"/>
        <v>0</v>
      </c>
      <c r="Q246" s="1720">
        <v>0</v>
      </c>
      <c r="V246" s="65">
        <f t="shared" si="288"/>
        <v>10274031.195104688</v>
      </c>
      <c r="W246" s="182">
        <f t="shared" si="280"/>
        <v>-181767.80489531159</v>
      </c>
      <c r="X246" s="183">
        <f t="shared" si="281"/>
        <v>-1.7384401220347828E-2</v>
      </c>
      <c r="Y246" s="183">
        <f t="shared" si="282"/>
        <v>1.7384401220347828E-2</v>
      </c>
      <c r="Z246" s="1772">
        <f t="shared" si="289"/>
        <v>0</v>
      </c>
      <c r="AA246" s="87">
        <f t="shared" si="290"/>
        <v>10274031.195104688</v>
      </c>
    </row>
    <row r="247" spans="1:30">
      <c r="A247" s="864">
        <f t="shared" ref="A247:P247" si="302">A81</f>
        <v>2017</v>
      </c>
      <c r="B247" s="62">
        <f t="shared" si="302"/>
        <v>42855</v>
      </c>
      <c r="C247" s="69">
        <f t="shared" si="302"/>
        <v>8073164</v>
      </c>
      <c r="D247" s="69">
        <f t="shared" si="302"/>
        <v>7362</v>
      </c>
      <c r="E247" s="843">
        <f t="shared" si="302"/>
        <v>0</v>
      </c>
      <c r="F247" s="885">
        <f t="shared" si="302"/>
        <v>0</v>
      </c>
      <c r="G247" s="73">
        <f t="shared" si="302"/>
        <v>0</v>
      </c>
      <c r="H247" s="71">
        <f t="shared" si="302"/>
        <v>8080526</v>
      </c>
      <c r="I247" s="259"/>
      <c r="J247" s="345">
        <f t="shared" ref="J247:K247" si="303">J235</f>
        <v>376.19090909090914</v>
      </c>
      <c r="K247" s="345">
        <f t="shared" si="303"/>
        <v>0.4</v>
      </c>
      <c r="L247" s="322">
        <f t="shared" si="302"/>
        <v>30</v>
      </c>
      <c r="M247" s="150">
        <f t="shared" si="302"/>
        <v>0</v>
      </c>
      <c r="N247" s="322">
        <f t="shared" si="302"/>
        <v>18</v>
      </c>
      <c r="O247" s="841">
        <f t="shared" si="302"/>
        <v>76</v>
      </c>
      <c r="P247" s="841">
        <f t="shared" si="302"/>
        <v>0</v>
      </c>
      <c r="Q247" s="1720">
        <v>0</v>
      </c>
      <c r="V247" s="65">
        <f t="shared" si="288"/>
        <v>8341341.9061499713</v>
      </c>
      <c r="W247" s="182">
        <f t="shared" si="280"/>
        <v>260815.9061499713</v>
      </c>
      <c r="X247" s="183">
        <f t="shared" si="281"/>
        <v>3.2277095098756106E-2</v>
      </c>
      <c r="Y247" s="183">
        <f t="shared" si="282"/>
        <v>3.2277095098756106E-2</v>
      </c>
      <c r="Z247" s="1772">
        <f t="shared" si="289"/>
        <v>0</v>
      </c>
      <c r="AA247" s="87">
        <f t="shared" si="290"/>
        <v>8341341.9061499713</v>
      </c>
    </row>
    <row r="248" spans="1:30">
      <c r="A248" s="864">
        <f t="shared" ref="A248:P248" si="304">A82</f>
        <v>2017</v>
      </c>
      <c r="B248" s="62">
        <f t="shared" si="304"/>
        <v>42886</v>
      </c>
      <c r="C248" s="69">
        <f t="shared" si="304"/>
        <v>7836699</v>
      </c>
      <c r="D248" s="69">
        <f t="shared" si="304"/>
        <v>7740</v>
      </c>
      <c r="E248" s="843">
        <f t="shared" si="304"/>
        <v>0</v>
      </c>
      <c r="F248" s="885">
        <f t="shared" si="304"/>
        <v>0</v>
      </c>
      <c r="G248" s="73">
        <f t="shared" si="304"/>
        <v>0</v>
      </c>
      <c r="H248" s="71">
        <f t="shared" si="304"/>
        <v>7844439</v>
      </c>
      <c r="I248" s="259"/>
      <c r="J248" s="345">
        <f t="shared" ref="J248:K248" si="305">J236</f>
        <v>147.39545454545458</v>
      </c>
      <c r="K248" s="345">
        <f t="shared" si="305"/>
        <v>17.336363636363636</v>
      </c>
      <c r="L248" s="322">
        <f t="shared" si="304"/>
        <v>31</v>
      </c>
      <c r="M248" s="150">
        <f t="shared" si="304"/>
        <v>0</v>
      </c>
      <c r="N248" s="322">
        <f t="shared" si="304"/>
        <v>22</v>
      </c>
      <c r="O248" s="841">
        <f t="shared" si="304"/>
        <v>77</v>
      </c>
      <c r="P248" s="841">
        <f t="shared" si="304"/>
        <v>0</v>
      </c>
      <c r="Q248" s="1720">
        <v>0</v>
      </c>
      <c r="V248" s="65">
        <f t="shared" si="288"/>
        <v>7962578.1732998779</v>
      </c>
      <c r="W248" s="182">
        <f t="shared" si="280"/>
        <v>118139.1732998779</v>
      </c>
      <c r="X248" s="183">
        <f t="shared" si="281"/>
        <v>1.5060245009219641E-2</v>
      </c>
      <c r="Y248" s="183">
        <f t="shared" si="282"/>
        <v>1.5060245009219641E-2</v>
      </c>
      <c r="Z248" s="1772">
        <f t="shared" si="289"/>
        <v>0</v>
      </c>
      <c r="AA248" s="87">
        <f t="shared" si="290"/>
        <v>7962578.1732998779</v>
      </c>
    </row>
    <row r="249" spans="1:30">
      <c r="A249" s="864">
        <f t="shared" ref="A249:P249" si="306">A83</f>
        <v>2017</v>
      </c>
      <c r="B249" s="62">
        <f t="shared" si="306"/>
        <v>42916</v>
      </c>
      <c r="C249" s="69">
        <f t="shared" si="306"/>
        <v>7883609</v>
      </c>
      <c r="D249" s="69">
        <f t="shared" si="306"/>
        <v>8370</v>
      </c>
      <c r="E249" s="843">
        <f t="shared" si="306"/>
        <v>0</v>
      </c>
      <c r="F249" s="885">
        <f t="shared" si="306"/>
        <v>0</v>
      </c>
      <c r="G249" s="73">
        <f t="shared" si="306"/>
        <v>0</v>
      </c>
      <c r="H249" s="71">
        <f t="shared" si="306"/>
        <v>7891979</v>
      </c>
      <c r="I249" s="259"/>
      <c r="J249" s="345">
        <f t="shared" ref="J249:K249" si="307">J237</f>
        <v>37.681818181818187</v>
      </c>
      <c r="K249" s="345">
        <f t="shared" si="307"/>
        <v>51.772727272727273</v>
      </c>
      <c r="L249" s="322">
        <f t="shared" si="306"/>
        <v>30</v>
      </c>
      <c r="M249" s="150">
        <f t="shared" si="306"/>
        <v>1</v>
      </c>
      <c r="N249" s="322">
        <f t="shared" si="306"/>
        <v>22</v>
      </c>
      <c r="O249" s="841">
        <f t="shared" si="306"/>
        <v>78</v>
      </c>
      <c r="P249" s="841">
        <f t="shared" si="306"/>
        <v>0</v>
      </c>
      <c r="Q249" s="1720">
        <v>0</v>
      </c>
      <c r="V249" s="65">
        <f t="shared" si="288"/>
        <v>8209855.1060816944</v>
      </c>
      <c r="W249" s="182">
        <f t="shared" si="280"/>
        <v>317876.10608169436</v>
      </c>
      <c r="X249" s="183">
        <f t="shared" si="281"/>
        <v>4.0278377081552595E-2</v>
      </c>
      <c r="Y249" s="183">
        <f t="shared" si="282"/>
        <v>4.0278377081552595E-2</v>
      </c>
      <c r="Z249" s="1772">
        <f t="shared" si="289"/>
        <v>0</v>
      </c>
      <c r="AA249" s="87">
        <f t="shared" si="290"/>
        <v>8209855.1060816944</v>
      </c>
    </row>
    <row r="250" spans="1:30">
      <c r="A250" s="864">
        <f t="shared" ref="A250:P250" si="308">A84</f>
        <v>2017</v>
      </c>
      <c r="B250" s="62">
        <f t="shared" si="308"/>
        <v>42947</v>
      </c>
      <c r="C250" s="69">
        <f t="shared" si="308"/>
        <v>8447553</v>
      </c>
      <c r="D250" s="69">
        <f t="shared" si="308"/>
        <v>7521</v>
      </c>
      <c r="E250" s="843">
        <f t="shared" si="308"/>
        <v>0</v>
      </c>
      <c r="F250" s="885">
        <f t="shared" si="308"/>
        <v>0</v>
      </c>
      <c r="G250" s="73">
        <f t="shared" si="308"/>
        <v>0</v>
      </c>
      <c r="H250" s="71">
        <f t="shared" si="308"/>
        <v>8455074</v>
      </c>
      <c r="I250" s="259"/>
      <c r="J250" s="345">
        <f t="shared" ref="J250:K250" si="309">J238</f>
        <v>4.5545454545454538</v>
      </c>
      <c r="K250" s="345">
        <f t="shared" si="309"/>
        <v>116.1</v>
      </c>
      <c r="L250" s="322">
        <f t="shared" si="308"/>
        <v>31</v>
      </c>
      <c r="M250" s="150">
        <f t="shared" si="308"/>
        <v>1</v>
      </c>
      <c r="N250" s="322">
        <f t="shared" si="308"/>
        <v>20</v>
      </c>
      <c r="O250" s="841">
        <f t="shared" si="308"/>
        <v>79</v>
      </c>
      <c r="P250" s="841">
        <f t="shared" si="308"/>
        <v>0</v>
      </c>
      <c r="Q250" s="1720">
        <v>0</v>
      </c>
      <c r="V250" s="65">
        <f t="shared" si="288"/>
        <v>9077022.8523122054</v>
      </c>
      <c r="W250" s="182">
        <f t="shared" si="280"/>
        <v>621948.85231220536</v>
      </c>
      <c r="X250" s="183">
        <f t="shared" si="281"/>
        <v>7.35592441074088E-2</v>
      </c>
      <c r="Y250" s="183">
        <f t="shared" si="282"/>
        <v>7.35592441074088E-2</v>
      </c>
      <c r="Z250" s="1772">
        <f t="shared" si="289"/>
        <v>0</v>
      </c>
      <c r="AA250" s="87">
        <f t="shared" si="290"/>
        <v>9077022.8523122054</v>
      </c>
    </row>
    <row r="251" spans="1:30">
      <c r="A251" s="864">
        <f t="shared" ref="A251:P251" si="310">A85</f>
        <v>2017</v>
      </c>
      <c r="B251" s="62">
        <f t="shared" si="310"/>
        <v>42978</v>
      </c>
      <c r="C251" s="69">
        <f t="shared" si="310"/>
        <v>8640906</v>
      </c>
      <c r="D251" s="69">
        <f t="shared" si="310"/>
        <v>7732</v>
      </c>
      <c r="E251" s="843">
        <f t="shared" si="310"/>
        <v>0</v>
      </c>
      <c r="F251" s="885">
        <f t="shared" si="310"/>
        <v>0</v>
      </c>
      <c r="G251" s="73">
        <f t="shared" si="310"/>
        <v>0</v>
      </c>
      <c r="H251" s="71">
        <f t="shared" si="310"/>
        <v>8648638</v>
      </c>
      <c r="I251" s="259"/>
      <c r="J251" s="345">
        <f t="shared" ref="J251:K251" si="311">J239</f>
        <v>10.836363636363636</v>
      </c>
      <c r="K251" s="345">
        <f t="shared" si="311"/>
        <v>82.954545454545453</v>
      </c>
      <c r="L251" s="322">
        <f t="shared" si="310"/>
        <v>31</v>
      </c>
      <c r="M251" s="150">
        <f t="shared" si="310"/>
        <v>1</v>
      </c>
      <c r="N251" s="322">
        <f t="shared" si="310"/>
        <v>22</v>
      </c>
      <c r="O251" s="841">
        <f t="shared" si="310"/>
        <v>80</v>
      </c>
      <c r="P251" s="841">
        <f t="shared" si="310"/>
        <v>1</v>
      </c>
      <c r="Q251" s="1720">
        <v>0</v>
      </c>
      <c r="V251" s="65">
        <f t="shared" si="288"/>
        <v>9122908.1515809651</v>
      </c>
      <c r="W251" s="182">
        <f t="shared" si="280"/>
        <v>474270.15158096515</v>
      </c>
      <c r="X251" s="183">
        <f t="shared" si="281"/>
        <v>5.4837553795287208E-2</v>
      </c>
      <c r="Y251" s="183">
        <f t="shared" si="282"/>
        <v>5.4837553795287208E-2</v>
      </c>
      <c r="Z251" s="1772">
        <f t="shared" si="289"/>
        <v>0</v>
      </c>
      <c r="AA251" s="87">
        <f t="shared" si="290"/>
        <v>9122908.1515809651</v>
      </c>
    </row>
    <row r="252" spans="1:30">
      <c r="A252" s="864">
        <f t="shared" ref="A252:P252" si="312">A86</f>
        <v>2017</v>
      </c>
      <c r="B252" s="62">
        <f t="shared" si="312"/>
        <v>43008</v>
      </c>
      <c r="C252" s="69">
        <f t="shared" si="312"/>
        <v>8076439</v>
      </c>
      <c r="D252" s="69">
        <f t="shared" si="312"/>
        <v>7202</v>
      </c>
      <c r="E252" s="843">
        <f t="shared" si="312"/>
        <v>0</v>
      </c>
      <c r="F252" s="885">
        <f t="shared" si="312"/>
        <v>0</v>
      </c>
      <c r="G252" s="73">
        <f t="shared" si="312"/>
        <v>0</v>
      </c>
      <c r="H252" s="71">
        <f t="shared" si="312"/>
        <v>8083641</v>
      </c>
      <c r="I252" s="259"/>
      <c r="J252" s="345">
        <f t="shared" ref="J252:K252" si="313">J240</f>
        <v>93.481818181818198</v>
      </c>
      <c r="K252" s="345">
        <f t="shared" si="313"/>
        <v>25.536363636363639</v>
      </c>
      <c r="L252" s="322">
        <f t="shared" si="312"/>
        <v>30</v>
      </c>
      <c r="M252" s="150">
        <f t="shared" si="312"/>
        <v>1</v>
      </c>
      <c r="N252" s="322">
        <f t="shared" si="312"/>
        <v>20</v>
      </c>
      <c r="O252" s="841">
        <f t="shared" si="312"/>
        <v>81</v>
      </c>
      <c r="P252" s="841">
        <f t="shared" si="312"/>
        <v>0</v>
      </c>
      <c r="Q252" s="1720">
        <v>0</v>
      </c>
      <c r="V252" s="65">
        <f t="shared" si="288"/>
        <v>7916900.2861834262</v>
      </c>
      <c r="W252" s="182">
        <f t="shared" si="280"/>
        <v>-166740.71381657384</v>
      </c>
      <c r="X252" s="183">
        <f t="shared" si="281"/>
        <v>-2.0626932073872881E-2</v>
      </c>
      <c r="Y252" s="183">
        <f t="shared" si="282"/>
        <v>2.0626932073872881E-2</v>
      </c>
      <c r="Z252" s="1772">
        <f t="shared" si="289"/>
        <v>0</v>
      </c>
      <c r="AA252" s="87">
        <f t="shared" si="290"/>
        <v>7916900.2861834262</v>
      </c>
    </row>
    <row r="253" spans="1:30">
      <c r="A253" s="864">
        <f t="shared" ref="A253:P253" si="314">A87</f>
        <v>2017</v>
      </c>
      <c r="B253" s="62">
        <f t="shared" si="314"/>
        <v>43039</v>
      </c>
      <c r="C253" s="69">
        <f t="shared" si="314"/>
        <v>7983759</v>
      </c>
      <c r="D253" s="69">
        <f t="shared" si="314"/>
        <v>5439</v>
      </c>
      <c r="E253" s="843">
        <f t="shared" si="314"/>
        <v>0</v>
      </c>
      <c r="F253" s="885">
        <f t="shared" si="314"/>
        <v>0</v>
      </c>
      <c r="G253" s="73">
        <f t="shared" si="314"/>
        <v>0</v>
      </c>
      <c r="H253" s="71">
        <f t="shared" si="314"/>
        <v>7989198</v>
      </c>
      <c r="I253" s="259"/>
      <c r="J253" s="345">
        <f t="shared" ref="J253:K253" si="315">J241</f>
        <v>276.59632529608206</v>
      </c>
      <c r="K253" s="345">
        <f t="shared" si="315"/>
        <v>0.63636363636363635</v>
      </c>
      <c r="L253" s="322">
        <f t="shared" si="314"/>
        <v>31</v>
      </c>
      <c r="M253" s="150">
        <f t="shared" si="314"/>
        <v>0</v>
      </c>
      <c r="N253" s="322">
        <f t="shared" si="314"/>
        <v>21</v>
      </c>
      <c r="O253" s="841">
        <f t="shared" si="314"/>
        <v>82</v>
      </c>
      <c r="P253" s="841">
        <f t="shared" si="314"/>
        <v>0</v>
      </c>
      <c r="Q253" s="1720">
        <v>0</v>
      </c>
      <c r="V253" s="65">
        <f t="shared" si="288"/>
        <v>8169100.8684969191</v>
      </c>
      <c r="W253" s="182">
        <f t="shared" si="280"/>
        <v>179902.86849691905</v>
      </c>
      <c r="X253" s="183">
        <f t="shared" si="281"/>
        <v>2.2518263847875475E-2</v>
      </c>
      <c r="Y253" s="183">
        <f t="shared" si="282"/>
        <v>2.2518263847875475E-2</v>
      </c>
      <c r="Z253" s="1772">
        <f t="shared" si="289"/>
        <v>0</v>
      </c>
      <c r="AA253" s="87">
        <f t="shared" si="290"/>
        <v>8169100.8684969191</v>
      </c>
    </row>
    <row r="254" spans="1:30">
      <c r="A254" s="864">
        <f t="shared" ref="A254:P254" si="316">A88</f>
        <v>2017</v>
      </c>
      <c r="B254" s="62">
        <f t="shared" si="316"/>
        <v>43069</v>
      </c>
      <c r="C254" s="69">
        <f t="shared" si="316"/>
        <v>9161805</v>
      </c>
      <c r="D254" s="69">
        <f t="shared" si="316"/>
        <v>2750</v>
      </c>
      <c r="E254" s="843">
        <f t="shared" si="316"/>
        <v>0</v>
      </c>
      <c r="F254" s="885">
        <f t="shared" si="316"/>
        <v>0</v>
      </c>
      <c r="G254" s="73">
        <f t="shared" si="316"/>
        <v>0</v>
      </c>
      <c r="H254" s="71">
        <f t="shared" si="316"/>
        <v>9164555</v>
      </c>
      <c r="I254" s="259"/>
      <c r="J254" s="345">
        <f t="shared" ref="J254:K254" si="317">J242</f>
        <v>506.81818181818181</v>
      </c>
      <c r="K254" s="345">
        <f t="shared" si="317"/>
        <v>0</v>
      </c>
      <c r="L254" s="322">
        <f t="shared" si="316"/>
        <v>30</v>
      </c>
      <c r="M254" s="150">
        <f t="shared" si="316"/>
        <v>0</v>
      </c>
      <c r="N254" s="322">
        <f t="shared" si="316"/>
        <v>22</v>
      </c>
      <c r="O254" s="841">
        <f t="shared" si="316"/>
        <v>83</v>
      </c>
      <c r="P254" s="841">
        <f t="shared" si="316"/>
        <v>0</v>
      </c>
      <c r="Q254" s="1720">
        <v>0</v>
      </c>
      <c r="V254" s="65">
        <f t="shared" si="288"/>
        <v>9053273.1050765328</v>
      </c>
      <c r="W254" s="182">
        <f t="shared" si="280"/>
        <v>-111281.89492346719</v>
      </c>
      <c r="X254" s="183">
        <f t="shared" si="281"/>
        <v>-1.214264030533585E-2</v>
      </c>
      <c r="Y254" s="183">
        <f t="shared" si="282"/>
        <v>1.214264030533585E-2</v>
      </c>
      <c r="Z254" s="1772">
        <f t="shared" si="289"/>
        <v>0</v>
      </c>
      <c r="AA254" s="87">
        <f t="shared" si="290"/>
        <v>9053273.1050765328</v>
      </c>
    </row>
    <row r="255" spans="1:30">
      <c r="A255" s="865">
        <f t="shared" ref="A255:P255" si="318">A89</f>
        <v>2017</v>
      </c>
      <c r="B255" s="151">
        <f t="shared" si="318"/>
        <v>43100</v>
      </c>
      <c r="C255" s="81">
        <f t="shared" si="318"/>
        <v>10688479</v>
      </c>
      <c r="D255" s="81">
        <f t="shared" si="318"/>
        <v>1693</v>
      </c>
      <c r="E255" s="853">
        <f t="shared" si="318"/>
        <v>0</v>
      </c>
      <c r="F255" s="886">
        <f t="shared" si="318"/>
        <v>0</v>
      </c>
      <c r="G255" s="83">
        <f t="shared" si="318"/>
        <v>0</v>
      </c>
      <c r="H255" s="76">
        <f t="shared" si="318"/>
        <v>10690172</v>
      </c>
      <c r="I255" s="260"/>
      <c r="J255" s="856">
        <f t="shared" ref="J255:K255" si="319">J243</f>
        <v>720.0090909090909</v>
      </c>
      <c r="K255" s="839">
        <f t="shared" si="319"/>
        <v>0</v>
      </c>
      <c r="L255" s="323">
        <f t="shared" si="318"/>
        <v>31</v>
      </c>
      <c r="M255" s="104">
        <f t="shared" si="318"/>
        <v>1</v>
      </c>
      <c r="N255" s="323">
        <f t="shared" si="318"/>
        <v>19</v>
      </c>
      <c r="O255" s="873">
        <f t="shared" si="318"/>
        <v>84</v>
      </c>
      <c r="P255" s="873">
        <f t="shared" si="318"/>
        <v>0</v>
      </c>
      <c r="Q255" s="1721">
        <v>0</v>
      </c>
      <c r="V255" s="65">
        <f t="shared" si="288"/>
        <v>10339934.364036981</v>
      </c>
      <c r="W255" s="190">
        <f t="shared" si="280"/>
        <v>-350237.63596301898</v>
      </c>
      <c r="X255" s="184">
        <f t="shared" si="281"/>
        <v>-3.2762581926934292E-2</v>
      </c>
      <c r="Y255" s="184">
        <f t="shared" si="282"/>
        <v>3.2762581926934292E-2</v>
      </c>
      <c r="Z255" s="1772">
        <f t="shared" si="289"/>
        <v>0</v>
      </c>
      <c r="AA255" s="87">
        <f t="shared" si="290"/>
        <v>10339934.364036981</v>
      </c>
    </row>
    <row r="256" spans="1:30">
      <c r="A256" s="864">
        <f t="shared" ref="A256:P256" si="320">A90</f>
        <v>2018</v>
      </c>
      <c r="B256" s="62">
        <f t="shared" si="320"/>
        <v>43131</v>
      </c>
      <c r="C256" s="69">
        <f t="shared" si="320"/>
        <v>11412898</v>
      </c>
      <c r="D256" s="69">
        <f t="shared" si="320"/>
        <v>1775</v>
      </c>
      <c r="E256" s="860">
        <f t="shared" si="320"/>
        <v>0</v>
      </c>
      <c r="F256" s="887">
        <f t="shared" si="320"/>
        <v>0</v>
      </c>
      <c r="G256" s="73">
        <f t="shared" si="320"/>
        <v>0</v>
      </c>
      <c r="H256" s="71">
        <f t="shared" si="320"/>
        <v>11414673</v>
      </c>
      <c r="I256" s="259"/>
      <c r="J256" s="345">
        <f>J244</f>
        <v>849.19090909090926</v>
      </c>
      <c r="K256" s="345">
        <f>K244</f>
        <v>0</v>
      </c>
      <c r="L256" s="322">
        <f t="shared" si="320"/>
        <v>31</v>
      </c>
      <c r="M256" s="150">
        <f t="shared" si="320"/>
        <v>1</v>
      </c>
      <c r="N256" s="322">
        <f t="shared" si="320"/>
        <v>22</v>
      </c>
      <c r="O256" s="841">
        <f t="shared" si="320"/>
        <v>85</v>
      </c>
      <c r="P256" s="841">
        <f t="shared" si="320"/>
        <v>0</v>
      </c>
      <c r="Q256" s="1720">
        <v>0</v>
      </c>
      <c r="V256" s="65">
        <f t="shared" si="288"/>
        <v>11057873.874870431</v>
      </c>
      <c r="W256" s="182">
        <f t="shared" si="280"/>
        <v>-356799.12512956932</v>
      </c>
      <c r="X256" s="183">
        <f t="shared" si="281"/>
        <v>-3.1257936616280582E-2</v>
      </c>
      <c r="Y256" s="183">
        <f t="shared" si="282"/>
        <v>3.1257936616280582E-2</v>
      </c>
      <c r="Z256" s="1772">
        <f t="shared" si="289"/>
        <v>0</v>
      </c>
      <c r="AA256" s="87">
        <f t="shared" si="290"/>
        <v>11057873.874870431</v>
      </c>
    </row>
    <row r="257" spans="1:27">
      <c r="A257" s="864">
        <f t="shared" ref="A257:P257" si="321">A91</f>
        <v>2018</v>
      </c>
      <c r="B257" s="62">
        <f t="shared" si="321"/>
        <v>43159</v>
      </c>
      <c r="C257" s="69">
        <f t="shared" si="321"/>
        <v>9438920.3499999996</v>
      </c>
      <c r="D257" s="69">
        <f t="shared" si="321"/>
        <v>2631</v>
      </c>
      <c r="E257" s="860">
        <f t="shared" si="321"/>
        <v>0</v>
      </c>
      <c r="F257" s="887">
        <f t="shared" si="321"/>
        <v>0</v>
      </c>
      <c r="G257" s="73">
        <f t="shared" si="321"/>
        <v>0</v>
      </c>
      <c r="H257" s="71">
        <f t="shared" si="321"/>
        <v>9441551.3499999996</v>
      </c>
      <c r="I257" s="259"/>
      <c r="J257" s="345">
        <f t="shared" ref="J257:K257" si="322">J245</f>
        <v>743.30909090909097</v>
      </c>
      <c r="K257" s="345">
        <f t="shared" si="322"/>
        <v>0</v>
      </c>
      <c r="L257" s="322">
        <f t="shared" si="321"/>
        <v>28</v>
      </c>
      <c r="M257" s="150">
        <f t="shared" si="321"/>
        <v>1</v>
      </c>
      <c r="N257" s="322">
        <f t="shared" si="321"/>
        <v>19</v>
      </c>
      <c r="O257" s="841">
        <f t="shared" si="321"/>
        <v>86</v>
      </c>
      <c r="P257" s="841">
        <f t="shared" si="321"/>
        <v>0</v>
      </c>
      <c r="Q257" s="1720">
        <v>0</v>
      </c>
      <c r="V257" s="65">
        <f t="shared" si="288"/>
        <v>9951454.2972157821</v>
      </c>
      <c r="W257" s="182">
        <f t="shared" si="280"/>
        <v>509902.94721578248</v>
      </c>
      <c r="X257" s="183">
        <f t="shared" si="281"/>
        <v>5.400626743567756E-2</v>
      </c>
      <c r="Y257" s="183">
        <f t="shared" si="282"/>
        <v>5.400626743567756E-2</v>
      </c>
      <c r="Z257" s="1772">
        <f t="shared" si="289"/>
        <v>0</v>
      </c>
      <c r="AA257" s="87">
        <f t="shared" si="290"/>
        <v>9951454.2972157821</v>
      </c>
    </row>
    <row r="258" spans="1:27">
      <c r="A258" s="864">
        <f t="shared" ref="A258:P258" si="323">A92</f>
        <v>2018</v>
      </c>
      <c r="B258" s="62">
        <f t="shared" si="323"/>
        <v>43190</v>
      </c>
      <c r="C258" s="69">
        <f t="shared" si="323"/>
        <v>9778013</v>
      </c>
      <c r="D258" s="69">
        <f t="shared" si="323"/>
        <v>5363</v>
      </c>
      <c r="E258" s="860">
        <f t="shared" si="323"/>
        <v>0</v>
      </c>
      <c r="F258" s="887">
        <f t="shared" si="323"/>
        <v>0</v>
      </c>
      <c r="G258" s="73">
        <f t="shared" si="323"/>
        <v>0</v>
      </c>
      <c r="H258" s="71">
        <f t="shared" si="323"/>
        <v>9783376</v>
      </c>
      <c r="I258" s="259"/>
      <c r="J258" s="345">
        <f t="shared" ref="J258:K258" si="324">J246</f>
        <v>634.18181818181813</v>
      </c>
      <c r="K258" s="345">
        <f t="shared" si="324"/>
        <v>0</v>
      </c>
      <c r="L258" s="322">
        <f t="shared" si="323"/>
        <v>31</v>
      </c>
      <c r="M258" s="150">
        <f t="shared" si="323"/>
        <v>1</v>
      </c>
      <c r="N258" s="322">
        <f t="shared" si="323"/>
        <v>21</v>
      </c>
      <c r="O258" s="841">
        <f t="shared" si="323"/>
        <v>87</v>
      </c>
      <c r="P258" s="841">
        <f t="shared" si="323"/>
        <v>0</v>
      </c>
      <c r="Q258" s="1720">
        <v>0</v>
      </c>
      <c r="V258" s="65">
        <f t="shared" si="288"/>
        <v>10043476.488570977</v>
      </c>
      <c r="W258" s="182">
        <f t="shared" si="280"/>
        <v>260100.488570977</v>
      </c>
      <c r="X258" s="183">
        <f t="shared" si="281"/>
        <v>2.6585964657903059E-2</v>
      </c>
      <c r="Y258" s="183">
        <f t="shared" si="282"/>
        <v>2.6585964657903059E-2</v>
      </c>
      <c r="Z258" s="1772">
        <f t="shared" si="289"/>
        <v>0</v>
      </c>
      <c r="AA258" s="87">
        <f t="shared" si="290"/>
        <v>10043476.488570977</v>
      </c>
    </row>
    <row r="259" spans="1:27">
      <c r="A259" s="864">
        <f t="shared" ref="A259:P259" si="325">A93</f>
        <v>2018</v>
      </c>
      <c r="B259" s="62">
        <f t="shared" si="325"/>
        <v>43220</v>
      </c>
      <c r="C259" s="69">
        <f t="shared" si="325"/>
        <v>8757348</v>
      </c>
      <c r="D259" s="69">
        <f t="shared" si="325"/>
        <v>6637</v>
      </c>
      <c r="E259" s="860">
        <f t="shared" si="325"/>
        <v>0</v>
      </c>
      <c r="F259" s="887">
        <f t="shared" si="325"/>
        <v>0</v>
      </c>
      <c r="G259" s="73">
        <f t="shared" si="325"/>
        <v>0</v>
      </c>
      <c r="H259" s="71">
        <f t="shared" si="325"/>
        <v>8763985</v>
      </c>
      <c r="I259" s="259"/>
      <c r="J259" s="345">
        <f t="shared" ref="J259:K259" si="326">J247</f>
        <v>376.19090909090914</v>
      </c>
      <c r="K259" s="345">
        <f t="shared" si="326"/>
        <v>0.4</v>
      </c>
      <c r="L259" s="322">
        <f t="shared" si="325"/>
        <v>30</v>
      </c>
      <c r="M259" s="150">
        <f t="shared" si="325"/>
        <v>0</v>
      </c>
      <c r="N259" s="322">
        <f t="shared" si="325"/>
        <v>20</v>
      </c>
      <c r="O259" s="841">
        <f t="shared" si="325"/>
        <v>88</v>
      </c>
      <c r="P259" s="841">
        <f t="shared" si="325"/>
        <v>0</v>
      </c>
      <c r="Q259" s="1720">
        <v>0</v>
      </c>
      <c r="V259" s="65">
        <f t="shared" si="288"/>
        <v>8328809.41076905</v>
      </c>
      <c r="W259" s="182">
        <f t="shared" si="280"/>
        <v>-435175.58923094999</v>
      </c>
      <c r="X259" s="183">
        <f t="shared" si="281"/>
        <v>-4.9654990193496451E-2</v>
      </c>
      <c r="Y259" s="183">
        <f t="shared" si="282"/>
        <v>4.9654990193496451E-2</v>
      </c>
      <c r="Z259" s="1772">
        <f t="shared" si="289"/>
        <v>0</v>
      </c>
      <c r="AA259" s="87">
        <f t="shared" si="290"/>
        <v>8328809.41076905</v>
      </c>
    </row>
    <row r="260" spans="1:27">
      <c r="A260" s="864">
        <f t="shared" ref="A260:P260" si="327">A94</f>
        <v>2018</v>
      </c>
      <c r="B260" s="62">
        <f t="shared" si="327"/>
        <v>43251</v>
      </c>
      <c r="C260" s="69">
        <f t="shared" si="327"/>
        <v>7670323</v>
      </c>
      <c r="D260" s="69">
        <f t="shared" si="327"/>
        <v>10087</v>
      </c>
      <c r="E260" s="860">
        <f t="shared" si="327"/>
        <v>0</v>
      </c>
      <c r="F260" s="887">
        <f t="shared" si="327"/>
        <v>0</v>
      </c>
      <c r="G260" s="73">
        <f t="shared" si="327"/>
        <v>0</v>
      </c>
      <c r="H260" s="71">
        <f t="shared" si="327"/>
        <v>7680410</v>
      </c>
      <c r="I260" s="259"/>
      <c r="J260" s="345">
        <f t="shared" ref="J260:K260" si="328">J248</f>
        <v>147.39545454545458</v>
      </c>
      <c r="K260" s="345">
        <f t="shared" si="328"/>
        <v>17.336363636363636</v>
      </c>
      <c r="L260" s="322">
        <f t="shared" si="327"/>
        <v>31</v>
      </c>
      <c r="M260" s="150">
        <f t="shared" si="327"/>
        <v>0</v>
      </c>
      <c r="N260" s="322">
        <f t="shared" si="327"/>
        <v>22</v>
      </c>
      <c r="O260" s="841">
        <f t="shared" si="327"/>
        <v>89</v>
      </c>
      <c r="P260" s="841">
        <f t="shared" si="327"/>
        <v>0</v>
      </c>
      <c r="Q260" s="1720">
        <v>0</v>
      </c>
      <c r="V260" s="65">
        <f t="shared" si="288"/>
        <v>7841034.5723425616</v>
      </c>
      <c r="W260" s="182">
        <f t="shared" si="280"/>
        <v>160624.57234256156</v>
      </c>
      <c r="X260" s="183">
        <f t="shared" si="281"/>
        <v>2.0913541378983876E-2</v>
      </c>
      <c r="Y260" s="183">
        <f t="shared" si="282"/>
        <v>2.0913541378983876E-2</v>
      </c>
      <c r="Z260" s="1772">
        <f t="shared" si="289"/>
        <v>0</v>
      </c>
      <c r="AA260" s="87">
        <f t="shared" si="290"/>
        <v>7841034.5723425616</v>
      </c>
    </row>
    <row r="261" spans="1:27">
      <c r="A261" s="864">
        <f t="shared" ref="A261:P261" si="329">A95</f>
        <v>2018</v>
      </c>
      <c r="B261" s="62">
        <f t="shared" si="329"/>
        <v>43281</v>
      </c>
      <c r="C261" s="69">
        <f t="shared" si="329"/>
        <v>7836187</v>
      </c>
      <c r="D261" s="69">
        <f t="shared" si="329"/>
        <v>9769</v>
      </c>
      <c r="E261" s="860">
        <f t="shared" si="329"/>
        <v>0</v>
      </c>
      <c r="F261" s="887">
        <f t="shared" si="329"/>
        <v>0</v>
      </c>
      <c r="G261" s="73">
        <f t="shared" si="329"/>
        <v>0</v>
      </c>
      <c r="H261" s="71">
        <f t="shared" si="329"/>
        <v>7845956</v>
      </c>
      <c r="I261" s="259"/>
      <c r="J261" s="345">
        <f t="shared" ref="J261:K261" si="330">J249</f>
        <v>37.681818181818187</v>
      </c>
      <c r="K261" s="345">
        <f t="shared" si="330"/>
        <v>51.772727272727273</v>
      </c>
      <c r="L261" s="322">
        <f t="shared" si="329"/>
        <v>30</v>
      </c>
      <c r="M261" s="150">
        <f t="shared" si="329"/>
        <v>1</v>
      </c>
      <c r="N261" s="322">
        <f t="shared" si="329"/>
        <v>21</v>
      </c>
      <c r="O261" s="841">
        <f t="shared" si="329"/>
        <v>90</v>
      </c>
      <c r="P261" s="841">
        <f t="shared" si="329"/>
        <v>0</v>
      </c>
      <c r="Q261" s="1720">
        <v>0</v>
      </c>
      <c r="V261" s="65">
        <f t="shared" si="288"/>
        <v>8033805.9523361791</v>
      </c>
      <c r="W261" s="182">
        <f t="shared" si="280"/>
        <v>187849.95233617909</v>
      </c>
      <c r="X261" s="183">
        <f t="shared" si="281"/>
        <v>2.3942264312491569E-2</v>
      </c>
      <c r="Y261" s="183">
        <f t="shared" si="282"/>
        <v>2.3942264312491569E-2</v>
      </c>
      <c r="Z261" s="1772">
        <f t="shared" si="289"/>
        <v>0</v>
      </c>
      <c r="AA261" s="87">
        <f t="shared" si="290"/>
        <v>8033805.9523361791</v>
      </c>
    </row>
    <row r="262" spans="1:27">
      <c r="A262" s="864">
        <f t="shared" ref="A262:P262" si="331">A96</f>
        <v>2018</v>
      </c>
      <c r="B262" s="62">
        <f t="shared" si="331"/>
        <v>43312</v>
      </c>
      <c r="C262" s="69">
        <f t="shared" si="331"/>
        <v>9698694</v>
      </c>
      <c r="D262" s="69">
        <f t="shared" si="331"/>
        <v>11027</v>
      </c>
      <c r="E262" s="860">
        <f t="shared" si="331"/>
        <v>0</v>
      </c>
      <c r="F262" s="887">
        <f t="shared" si="331"/>
        <v>0</v>
      </c>
      <c r="G262" s="73">
        <f t="shared" si="331"/>
        <v>0</v>
      </c>
      <c r="H262" s="71">
        <f t="shared" si="331"/>
        <v>9709721</v>
      </c>
      <c r="I262" s="259"/>
      <c r="J262" s="345">
        <f t="shared" ref="J262:K262" si="332">J250</f>
        <v>4.5545454545454538</v>
      </c>
      <c r="K262" s="345">
        <f t="shared" si="332"/>
        <v>116.1</v>
      </c>
      <c r="L262" s="322">
        <f t="shared" si="331"/>
        <v>31</v>
      </c>
      <c r="M262" s="150">
        <f t="shared" si="331"/>
        <v>1</v>
      </c>
      <c r="N262" s="322">
        <f t="shared" si="331"/>
        <v>21</v>
      </c>
      <c r="O262" s="841">
        <f t="shared" si="331"/>
        <v>91</v>
      </c>
      <c r="P262" s="841">
        <f t="shared" si="331"/>
        <v>0</v>
      </c>
      <c r="Q262" s="1720">
        <v>0</v>
      </c>
      <c r="V262" s="65">
        <f t="shared" si="288"/>
        <v>9009984.8041430861</v>
      </c>
      <c r="W262" s="182">
        <f t="shared" si="280"/>
        <v>-699736.19585691392</v>
      </c>
      <c r="X262" s="183">
        <f t="shared" si="281"/>
        <v>-7.2065530601436847E-2</v>
      </c>
      <c r="Y262" s="183">
        <f t="shared" si="282"/>
        <v>7.2065530601436847E-2</v>
      </c>
      <c r="Z262" s="1772">
        <f t="shared" si="289"/>
        <v>0</v>
      </c>
      <c r="AA262" s="87">
        <f t="shared" si="290"/>
        <v>9009984.8041430861</v>
      </c>
    </row>
    <row r="263" spans="1:27">
      <c r="A263" s="864">
        <f t="shared" ref="A263:P263" si="333">A97</f>
        <v>2018</v>
      </c>
      <c r="B263" s="62">
        <f t="shared" si="333"/>
        <v>43343</v>
      </c>
      <c r="C263" s="69">
        <f t="shared" si="333"/>
        <v>9512830</v>
      </c>
      <c r="D263" s="69">
        <f t="shared" si="333"/>
        <v>8582</v>
      </c>
      <c r="E263" s="860">
        <f t="shared" si="333"/>
        <v>0</v>
      </c>
      <c r="F263" s="887">
        <f t="shared" si="333"/>
        <v>0</v>
      </c>
      <c r="G263" s="73">
        <f t="shared" si="333"/>
        <v>0</v>
      </c>
      <c r="H263" s="71">
        <f t="shared" si="333"/>
        <v>9521412</v>
      </c>
      <c r="I263" s="259"/>
      <c r="J263" s="345">
        <f t="shared" ref="J263:K263" si="334">J251</f>
        <v>10.836363636363636</v>
      </c>
      <c r="K263" s="345">
        <f t="shared" si="334"/>
        <v>82.954545454545453</v>
      </c>
      <c r="L263" s="322">
        <f t="shared" si="333"/>
        <v>31</v>
      </c>
      <c r="M263" s="150">
        <f t="shared" si="333"/>
        <v>1</v>
      </c>
      <c r="N263" s="322">
        <f t="shared" si="333"/>
        <v>22</v>
      </c>
      <c r="O263" s="841">
        <f t="shared" si="333"/>
        <v>92</v>
      </c>
      <c r="P263" s="841">
        <f t="shared" si="333"/>
        <v>1</v>
      </c>
      <c r="Q263" s="1720">
        <v>0</v>
      </c>
      <c r="V263" s="65">
        <f t="shared" si="288"/>
        <v>9001364.5506236479</v>
      </c>
      <c r="W263" s="182">
        <f t="shared" si="280"/>
        <v>-520047.44937635213</v>
      </c>
      <c r="X263" s="183">
        <f t="shared" si="281"/>
        <v>-5.4618731904086511E-2</v>
      </c>
      <c r="Y263" s="183">
        <f t="shared" si="282"/>
        <v>5.4618731904086511E-2</v>
      </c>
      <c r="Z263" s="1772">
        <f t="shared" si="289"/>
        <v>0</v>
      </c>
      <c r="AA263" s="87">
        <f t="shared" si="290"/>
        <v>9001364.5506236479</v>
      </c>
    </row>
    <row r="264" spans="1:27">
      <c r="A264" s="864">
        <f t="shared" ref="A264:P264" si="335">A98</f>
        <v>2018</v>
      </c>
      <c r="B264" s="62">
        <f t="shared" si="335"/>
        <v>43373</v>
      </c>
      <c r="C264" s="69">
        <f t="shared" si="335"/>
        <v>8248876</v>
      </c>
      <c r="D264" s="69">
        <f t="shared" si="335"/>
        <v>7700</v>
      </c>
      <c r="E264" s="860">
        <f t="shared" si="335"/>
        <v>0</v>
      </c>
      <c r="F264" s="887">
        <f t="shared" si="335"/>
        <v>0</v>
      </c>
      <c r="G264" s="73">
        <f t="shared" si="335"/>
        <v>0</v>
      </c>
      <c r="H264" s="71">
        <f t="shared" si="335"/>
        <v>8256576</v>
      </c>
      <c r="I264" s="259"/>
      <c r="J264" s="345">
        <f t="shared" ref="J264:K264" si="336">J252</f>
        <v>93.481818181818198</v>
      </c>
      <c r="K264" s="345">
        <f t="shared" si="336"/>
        <v>25.536363636363639</v>
      </c>
      <c r="L264" s="322">
        <f t="shared" si="335"/>
        <v>30</v>
      </c>
      <c r="M264" s="150">
        <f t="shared" si="335"/>
        <v>1</v>
      </c>
      <c r="N264" s="322">
        <f t="shared" si="335"/>
        <v>19</v>
      </c>
      <c r="O264" s="841">
        <f t="shared" si="335"/>
        <v>93</v>
      </c>
      <c r="P264" s="841">
        <f t="shared" si="335"/>
        <v>0</v>
      </c>
      <c r="Q264" s="1720">
        <v>0</v>
      </c>
      <c r="V264" s="65">
        <f t="shared" si="288"/>
        <v>7740851.1324379109</v>
      </c>
      <c r="W264" s="182">
        <f t="shared" si="280"/>
        <v>-515724.86756208912</v>
      </c>
      <c r="X264" s="183">
        <f t="shared" si="281"/>
        <v>-6.2462317013988501E-2</v>
      </c>
      <c r="Y264" s="183">
        <f t="shared" si="282"/>
        <v>6.2462317013988501E-2</v>
      </c>
      <c r="Z264" s="1772">
        <f t="shared" si="289"/>
        <v>0</v>
      </c>
      <c r="AA264" s="87">
        <f t="shared" si="290"/>
        <v>7740851.1324379109</v>
      </c>
    </row>
    <row r="265" spans="1:27">
      <c r="A265" s="864">
        <f t="shared" ref="A265:P265" si="337">A99</f>
        <v>2018</v>
      </c>
      <c r="B265" s="62">
        <f t="shared" si="337"/>
        <v>43404</v>
      </c>
      <c r="C265" s="69">
        <f t="shared" si="337"/>
        <v>8273205</v>
      </c>
      <c r="D265" s="69">
        <f t="shared" si="337"/>
        <v>4102</v>
      </c>
      <c r="E265" s="860">
        <f t="shared" si="337"/>
        <v>0</v>
      </c>
      <c r="F265" s="887">
        <f t="shared" si="337"/>
        <v>0</v>
      </c>
      <c r="G265" s="73">
        <f t="shared" si="337"/>
        <v>0</v>
      </c>
      <c r="H265" s="71">
        <f t="shared" si="337"/>
        <v>8277307</v>
      </c>
      <c r="I265" s="259"/>
      <c r="J265" s="345">
        <f t="shared" ref="J265:K265" si="338">J253</f>
        <v>276.59632529608206</v>
      </c>
      <c r="K265" s="345">
        <f t="shared" si="338"/>
        <v>0.63636363636363635</v>
      </c>
      <c r="L265" s="322">
        <f t="shared" si="337"/>
        <v>31</v>
      </c>
      <c r="M265" s="150">
        <f t="shared" si="337"/>
        <v>0</v>
      </c>
      <c r="N265" s="322">
        <f t="shared" si="337"/>
        <v>22</v>
      </c>
      <c r="O265" s="841">
        <f t="shared" si="337"/>
        <v>94</v>
      </c>
      <c r="P265" s="841">
        <f t="shared" si="337"/>
        <v>0</v>
      </c>
      <c r="Q265" s="1720">
        <v>0</v>
      </c>
      <c r="V265" s="65">
        <f t="shared" si="288"/>
        <v>8102062.8203277998</v>
      </c>
      <c r="W265" s="182">
        <f t="shared" si="280"/>
        <v>-175244.17967220023</v>
      </c>
      <c r="X265" s="183">
        <f t="shared" si="281"/>
        <v>-2.1171641896597558E-2</v>
      </c>
      <c r="Y265" s="183">
        <f t="shared" si="282"/>
        <v>2.1171641896597558E-2</v>
      </c>
      <c r="Z265" s="1772">
        <f t="shared" si="289"/>
        <v>0</v>
      </c>
      <c r="AA265" s="87">
        <f t="shared" si="290"/>
        <v>8102062.8203277998</v>
      </c>
    </row>
    <row r="266" spans="1:27">
      <c r="A266" s="864">
        <f t="shared" ref="A266:P266" si="339">A100</f>
        <v>2018</v>
      </c>
      <c r="B266" s="62">
        <f t="shared" si="339"/>
        <v>43434</v>
      </c>
      <c r="C266" s="69">
        <f t="shared" si="339"/>
        <v>9371732</v>
      </c>
      <c r="D266" s="69">
        <f t="shared" si="339"/>
        <v>1727</v>
      </c>
      <c r="E266" s="860">
        <f t="shared" si="339"/>
        <v>0</v>
      </c>
      <c r="F266" s="887">
        <f t="shared" si="339"/>
        <v>0</v>
      </c>
      <c r="G266" s="73">
        <f t="shared" si="339"/>
        <v>0</v>
      </c>
      <c r="H266" s="71">
        <f t="shared" si="339"/>
        <v>9373459</v>
      </c>
      <c r="I266" s="259"/>
      <c r="J266" s="345">
        <f t="shared" ref="J266:K266" si="340">J254</f>
        <v>506.81818181818181</v>
      </c>
      <c r="K266" s="345">
        <f t="shared" si="340"/>
        <v>0</v>
      </c>
      <c r="L266" s="322">
        <f t="shared" si="339"/>
        <v>30</v>
      </c>
      <c r="M266" s="150">
        <f t="shared" si="339"/>
        <v>0</v>
      </c>
      <c r="N266" s="322">
        <f t="shared" si="339"/>
        <v>22</v>
      </c>
      <c r="O266" s="841">
        <f t="shared" si="339"/>
        <v>95</v>
      </c>
      <c r="P266" s="841">
        <f t="shared" si="339"/>
        <v>0</v>
      </c>
      <c r="Q266" s="1720">
        <v>0</v>
      </c>
      <c r="V266" s="65">
        <f t="shared" si="288"/>
        <v>8931729.5041192155</v>
      </c>
      <c r="W266" s="182">
        <f t="shared" si="280"/>
        <v>-441729.49588078447</v>
      </c>
      <c r="X266" s="183">
        <f t="shared" si="281"/>
        <v>-4.7125559079181388E-2</v>
      </c>
      <c r="Y266" s="183">
        <f t="shared" si="282"/>
        <v>4.7125559079181388E-2</v>
      </c>
      <c r="Z266" s="1772">
        <f t="shared" si="289"/>
        <v>0</v>
      </c>
      <c r="AA266" s="87">
        <f t="shared" si="290"/>
        <v>8931729.5041192155</v>
      </c>
    </row>
    <row r="267" spans="1:27">
      <c r="A267" s="865">
        <f t="shared" ref="A267:P267" si="341">A101</f>
        <v>2018</v>
      </c>
      <c r="B267" s="151">
        <f t="shared" si="341"/>
        <v>43465</v>
      </c>
      <c r="C267" s="81">
        <f t="shared" si="341"/>
        <v>10215218</v>
      </c>
      <c r="D267" s="81">
        <f t="shared" si="341"/>
        <v>1945</v>
      </c>
      <c r="E267" s="861">
        <f t="shared" si="341"/>
        <v>0</v>
      </c>
      <c r="F267" s="953">
        <f t="shared" si="341"/>
        <v>0</v>
      </c>
      <c r="G267" s="83">
        <f t="shared" si="341"/>
        <v>0</v>
      </c>
      <c r="H267" s="76">
        <f t="shared" si="341"/>
        <v>10217163</v>
      </c>
      <c r="I267" s="260"/>
      <c r="J267" s="856">
        <f t="shared" ref="J267:K267" si="342">J255</f>
        <v>720.0090909090909</v>
      </c>
      <c r="K267" s="839">
        <f t="shared" si="342"/>
        <v>0</v>
      </c>
      <c r="L267" s="323">
        <f t="shared" si="341"/>
        <v>31</v>
      </c>
      <c r="M267" s="104">
        <f t="shared" si="341"/>
        <v>1</v>
      </c>
      <c r="N267" s="323">
        <f t="shared" si="341"/>
        <v>19</v>
      </c>
      <c r="O267" s="873">
        <f t="shared" si="341"/>
        <v>96</v>
      </c>
      <c r="P267" s="873">
        <f t="shared" si="341"/>
        <v>0</v>
      </c>
      <c r="Q267" s="1721">
        <v>0</v>
      </c>
      <c r="V267" s="65">
        <f t="shared" si="288"/>
        <v>10218390.763079664</v>
      </c>
      <c r="W267" s="190">
        <f t="shared" si="280"/>
        <v>1227.7630796637386</v>
      </c>
      <c r="X267" s="184">
        <f t="shared" si="281"/>
        <v>1.2016673118200606E-4</v>
      </c>
      <c r="Y267" s="184">
        <f t="shared" si="282"/>
        <v>1.2016673118200606E-4</v>
      </c>
      <c r="Z267" s="1772">
        <f t="shared" si="289"/>
        <v>0</v>
      </c>
      <c r="AA267" s="87">
        <f t="shared" si="290"/>
        <v>10218390.763079664</v>
      </c>
    </row>
    <row r="268" spans="1:27">
      <c r="A268" s="864">
        <f t="shared" ref="A268:P268" si="343">A102</f>
        <v>2019</v>
      </c>
      <c r="B268" s="62">
        <f t="shared" si="343"/>
        <v>43496</v>
      </c>
      <c r="C268" s="69">
        <f t="shared" si="343"/>
        <v>11356602</v>
      </c>
      <c r="D268" s="69">
        <f t="shared" si="343"/>
        <v>1769</v>
      </c>
      <c r="E268" s="860">
        <f t="shared" si="343"/>
        <v>0</v>
      </c>
      <c r="F268" s="887">
        <f t="shared" si="343"/>
        <v>0</v>
      </c>
      <c r="G268" s="73">
        <f t="shared" si="343"/>
        <v>0</v>
      </c>
      <c r="H268" s="71">
        <f t="shared" si="343"/>
        <v>11358371</v>
      </c>
      <c r="I268" s="259"/>
      <c r="J268" s="345">
        <f>J256</f>
        <v>849.19090909090926</v>
      </c>
      <c r="K268" s="345">
        <f>K256</f>
        <v>0</v>
      </c>
      <c r="L268" s="322">
        <f t="shared" si="343"/>
        <v>31</v>
      </c>
      <c r="M268" s="150">
        <f t="shared" si="343"/>
        <v>1</v>
      </c>
      <c r="N268" s="322">
        <f t="shared" si="343"/>
        <v>22</v>
      </c>
      <c r="O268" s="841">
        <f t="shared" si="343"/>
        <v>97</v>
      </c>
      <c r="P268" s="841">
        <f t="shared" si="343"/>
        <v>0</v>
      </c>
      <c r="Q268" s="1720">
        <v>0</v>
      </c>
      <c r="V268" s="65">
        <f t="shared" si="288"/>
        <v>10936330.273913113</v>
      </c>
      <c r="W268" s="182">
        <f t="shared" si="280"/>
        <v>-422040.7260868866</v>
      </c>
      <c r="X268" s="183">
        <f t="shared" si="281"/>
        <v>-3.7156800573505358E-2</v>
      </c>
      <c r="Y268" s="183">
        <f t="shared" si="282"/>
        <v>3.7156800573505358E-2</v>
      </c>
      <c r="Z268" s="1772">
        <f t="shared" si="289"/>
        <v>0</v>
      </c>
      <c r="AA268" s="87">
        <f t="shared" si="290"/>
        <v>10936330.273913113</v>
      </c>
    </row>
    <row r="269" spans="1:27">
      <c r="A269" s="864">
        <f t="shared" ref="A269:P269" si="344">A103</f>
        <v>2019</v>
      </c>
      <c r="B269" s="62">
        <f t="shared" si="344"/>
        <v>43524</v>
      </c>
      <c r="C269" s="69">
        <f t="shared" si="344"/>
        <v>9954781</v>
      </c>
      <c r="D269" s="69">
        <f t="shared" si="344"/>
        <v>3395</v>
      </c>
      <c r="E269" s="860">
        <f t="shared" si="344"/>
        <v>0</v>
      </c>
      <c r="F269" s="887">
        <f t="shared" si="344"/>
        <v>0</v>
      </c>
      <c r="G269" s="73">
        <f t="shared" si="344"/>
        <v>0</v>
      </c>
      <c r="H269" s="71">
        <f t="shared" si="344"/>
        <v>9958176</v>
      </c>
      <c r="I269" s="259"/>
      <c r="J269" s="345">
        <f t="shared" ref="J269:K269" si="345">J257</f>
        <v>743.30909090909097</v>
      </c>
      <c r="K269" s="345">
        <f t="shared" si="345"/>
        <v>0</v>
      </c>
      <c r="L269" s="322">
        <f t="shared" si="344"/>
        <v>28</v>
      </c>
      <c r="M269" s="150">
        <f t="shared" si="344"/>
        <v>1</v>
      </c>
      <c r="N269" s="322">
        <f t="shared" si="344"/>
        <v>19</v>
      </c>
      <c r="O269" s="841">
        <f t="shared" si="344"/>
        <v>98</v>
      </c>
      <c r="P269" s="841">
        <f t="shared" si="344"/>
        <v>0</v>
      </c>
      <c r="Q269" s="1720">
        <v>0</v>
      </c>
      <c r="V269" s="65">
        <f t="shared" si="288"/>
        <v>9829910.696258463</v>
      </c>
      <c r="W269" s="182">
        <f t="shared" si="280"/>
        <v>-128265.30374153703</v>
      </c>
      <c r="X269" s="183">
        <f t="shared" si="281"/>
        <v>-1.2880401364821934E-2</v>
      </c>
      <c r="Y269" s="183">
        <f t="shared" si="282"/>
        <v>1.2880401364821934E-2</v>
      </c>
      <c r="Z269" s="1772">
        <f t="shared" si="289"/>
        <v>0</v>
      </c>
      <c r="AA269" s="87">
        <f t="shared" si="290"/>
        <v>9829910.696258463</v>
      </c>
    </row>
    <row r="270" spans="1:27">
      <c r="A270" s="864">
        <f t="shared" ref="A270:P270" si="346">A104</f>
        <v>2019</v>
      </c>
      <c r="B270" s="62">
        <f t="shared" si="346"/>
        <v>43555</v>
      </c>
      <c r="C270" s="69">
        <f t="shared" si="346"/>
        <v>10085138</v>
      </c>
      <c r="D270" s="69">
        <f t="shared" si="346"/>
        <v>7474</v>
      </c>
      <c r="E270" s="860">
        <f t="shared" si="346"/>
        <v>0</v>
      </c>
      <c r="F270" s="887">
        <f t="shared" si="346"/>
        <v>0</v>
      </c>
      <c r="G270" s="73">
        <f t="shared" si="346"/>
        <v>0</v>
      </c>
      <c r="H270" s="71">
        <f t="shared" si="346"/>
        <v>10092612</v>
      </c>
      <c r="I270" s="259"/>
      <c r="J270" s="345">
        <f t="shared" ref="J270:K270" si="347">J258</f>
        <v>634.18181818181813</v>
      </c>
      <c r="K270" s="345">
        <f t="shared" si="347"/>
        <v>0</v>
      </c>
      <c r="L270" s="322">
        <f t="shared" si="346"/>
        <v>31</v>
      </c>
      <c r="M270" s="150">
        <f t="shared" si="346"/>
        <v>1</v>
      </c>
      <c r="N270" s="322">
        <f t="shared" si="346"/>
        <v>21</v>
      </c>
      <c r="O270" s="841">
        <f t="shared" si="346"/>
        <v>99</v>
      </c>
      <c r="P270" s="841">
        <f t="shared" si="346"/>
        <v>0</v>
      </c>
      <c r="Q270" s="1720">
        <v>0</v>
      </c>
      <c r="V270" s="65">
        <f t="shared" si="288"/>
        <v>9921932.8876136597</v>
      </c>
      <c r="W270" s="182">
        <f t="shared" si="280"/>
        <v>-170679.11238634028</v>
      </c>
      <c r="X270" s="183">
        <f t="shared" si="281"/>
        <v>-1.6911292377665987E-2</v>
      </c>
      <c r="Y270" s="183">
        <f t="shared" si="282"/>
        <v>1.6911292377665987E-2</v>
      </c>
      <c r="Z270" s="1772">
        <f t="shared" si="289"/>
        <v>0</v>
      </c>
      <c r="AA270" s="87">
        <f t="shared" si="290"/>
        <v>9921932.8876136597</v>
      </c>
    </row>
    <row r="271" spans="1:27">
      <c r="A271" s="864">
        <f t="shared" ref="A271:P271" si="348">A105</f>
        <v>2019</v>
      </c>
      <c r="B271" s="62">
        <f t="shared" si="348"/>
        <v>43585</v>
      </c>
      <c r="C271" s="69">
        <f t="shared" si="348"/>
        <v>8524502</v>
      </c>
      <c r="D271" s="69">
        <f t="shared" si="348"/>
        <v>7016</v>
      </c>
      <c r="E271" s="860">
        <f t="shared" si="348"/>
        <v>0</v>
      </c>
      <c r="F271" s="887">
        <f t="shared" si="348"/>
        <v>0</v>
      </c>
      <c r="G271" s="73">
        <f t="shared" si="348"/>
        <v>0</v>
      </c>
      <c r="H271" s="71">
        <f t="shared" si="348"/>
        <v>8531518</v>
      </c>
      <c r="I271" s="259"/>
      <c r="J271" s="345">
        <f t="shared" ref="J271:K271" si="349">J259</f>
        <v>376.19090909090914</v>
      </c>
      <c r="K271" s="345">
        <f t="shared" si="349"/>
        <v>0.4</v>
      </c>
      <c r="L271" s="322">
        <f t="shared" si="348"/>
        <v>30</v>
      </c>
      <c r="M271" s="150">
        <f t="shared" si="348"/>
        <v>0</v>
      </c>
      <c r="N271" s="322">
        <f t="shared" si="348"/>
        <v>20</v>
      </c>
      <c r="O271" s="841">
        <f t="shared" si="348"/>
        <v>100</v>
      </c>
      <c r="P271" s="841">
        <f t="shared" si="348"/>
        <v>0</v>
      </c>
      <c r="Q271" s="1720">
        <v>0</v>
      </c>
      <c r="V271" s="65">
        <f t="shared" si="288"/>
        <v>8207265.8098117327</v>
      </c>
      <c r="W271" s="182">
        <f t="shared" si="280"/>
        <v>-324252.19018826727</v>
      </c>
      <c r="X271" s="183">
        <f t="shared" si="281"/>
        <v>-3.8006388803055596E-2</v>
      </c>
      <c r="Y271" s="183">
        <f t="shared" si="282"/>
        <v>3.8006388803055596E-2</v>
      </c>
      <c r="Z271" s="1772">
        <f t="shared" si="289"/>
        <v>0</v>
      </c>
      <c r="AA271" s="87">
        <f t="shared" si="290"/>
        <v>8207265.8098117327</v>
      </c>
    </row>
    <row r="272" spans="1:27">
      <c r="A272" s="864">
        <f t="shared" ref="A272:P272" si="350">A106</f>
        <v>2019</v>
      </c>
      <c r="B272" s="62">
        <f t="shared" si="350"/>
        <v>43616</v>
      </c>
      <c r="C272" s="69">
        <f t="shared" si="350"/>
        <v>7801649</v>
      </c>
      <c r="D272" s="69">
        <f t="shared" si="350"/>
        <v>7750.88</v>
      </c>
      <c r="E272" s="860">
        <f t="shared" si="350"/>
        <v>0</v>
      </c>
      <c r="F272" s="887">
        <f t="shared" si="350"/>
        <v>0</v>
      </c>
      <c r="G272" s="73">
        <f t="shared" si="350"/>
        <v>0</v>
      </c>
      <c r="H272" s="71">
        <f t="shared" si="350"/>
        <v>7809399.8799999999</v>
      </c>
      <c r="I272" s="259"/>
      <c r="J272" s="345">
        <f t="shared" ref="J272:K272" si="351">J260</f>
        <v>147.39545454545458</v>
      </c>
      <c r="K272" s="345">
        <f t="shared" si="351"/>
        <v>17.336363636363636</v>
      </c>
      <c r="L272" s="322">
        <f t="shared" si="350"/>
        <v>31</v>
      </c>
      <c r="M272" s="150">
        <f t="shared" si="350"/>
        <v>0</v>
      </c>
      <c r="N272" s="322">
        <f t="shared" si="350"/>
        <v>22</v>
      </c>
      <c r="O272" s="841">
        <f t="shared" si="350"/>
        <v>101</v>
      </c>
      <c r="P272" s="841">
        <f t="shared" si="350"/>
        <v>0</v>
      </c>
      <c r="Q272" s="1720">
        <v>0</v>
      </c>
      <c r="V272" s="65">
        <f t="shared" si="288"/>
        <v>7719490.9713852443</v>
      </c>
      <c r="W272" s="182">
        <f t="shared" si="280"/>
        <v>-89908.908614755608</v>
      </c>
      <c r="X272" s="183">
        <f t="shared" si="281"/>
        <v>-1.1512908801739528E-2</v>
      </c>
      <c r="Y272" s="183">
        <f t="shared" si="282"/>
        <v>1.1512908801739528E-2</v>
      </c>
      <c r="Z272" s="1772">
        <f t="shared" si="289"/>
        <v>0</v>
      </c>
      <c r="AA272" s="87">
        <f t="shared" si="290"/>
        <v>7719490.9713852443</v>
      </c>
    </row>
    <row r="273" spans="1:27">
      <c r="A273" s="864">
        <f t="shared" ref="A273:P273" si="352">A107</f>
        <v>2019</v>
      </c>
      <c r="B273" s="62">
        <f t="shared" si="352"/>
        <v>43646</v>
      </c>
      <c r="C273" s="69">
        <f t="shared" si="352"/>
        <v>7764971</v>
      </c>
      <c r="D273" s="69">
        <f t="shared" si="352"/>
        <v>9236.0300000000007</v>
      </c>
      <c r="E273" s="860">
        <f t="shared" si="352"/>
        <v>0</v>
      </c>
      <c r="F273" s="887">
        <f t="shared" si="352"/>
        <v>0</v>
      </c>
      <c r="G273" s="73">
        <f t="shared" si="352"/>
        <v>0</v>
      </c>
      <c r="H273" s="71">
        <f t="shared" si="352"/>
        <v>7774207.0300000003</v>
      </c>
      <c r="I273" s="259"/>
      <c r="J273" s="345">
        <f t="shared" ref="J273:K273" si="353">J261</f>
        <v>37.681818181818187</v>
      </c>
      <c r="K273" s="345">
        <f t="shared" si="353"/>
        <v>51.772727272727273</v>
      </c>
      <c r="L273" s="322">
        <f t="shared" si="352"/>
        <v>30</v>
      </c>
      <c r="M273" s="150">
        <f t="shared" si="352"/>
        <v>1</v>
      </c>
      <c r="N273" s="322">
        <f t="shared" si="352"/>
        <v>20</v>
      </c>
      <c r="O273" s="841">
        <f t="shared" si="352"/>
        <v>102</v>
      </c>
      <c r="P273" s="841">
        <f t="shared" si="352"/>
        <v>0</v>
      </c>
      <c r="Q273" s="1720">
        <v>0</v>
      </c>
      <c r="V273" s="65">
        <f t="shared" si="288"/>
        <v>7857756.7985906638</v>
      </c>
      <c r="W273" s="182">
        <f t="shared" si="280"/>
        <v>83549.76859066356</v>
      </c>
      <c r="X273" s="183">
        <f t="shared" si="281"/>
        <v>1.0747047032353544E-2</v>
      </c>
      <c r="Y273" s="183">
        <f t="shared" si="282"/>
        <v>1.0747047032353544E-2</v>
      </c>
      <c r="Z273" s="1772">
        <f t="shared" si="289"/>
        <v>0</v>
      </c>
      <c r="AA273" s="87">
        <f t="shared" si="290"/>
        <v>7857756.7985906638</v>
      </c>
    </row>
    <row r="274" spans="1:27">
      <c r="A274" s="864">
        <f t="shared" ref="A274:P274" si="354">A108</f>
        <v>2019</v>
      </c>
      <c r="B274" s="62">
        <f t="shared" si="354"/>
        <v>43677</v>
      </c>
      <c r="C274" s="69">
        <f t="shared" si="354"/>
        <v>9557985</v>
      </c>
      <c r="D274" s="69">
        <f t="shared" si="354"/>
        <v>10449.490000000002</v>
      </c>
      <c r="E274" s="860">
        <f t="shared" si="354"/>
        <v>0</v>
      </c>
      <c r="F274" s="887">
        <f t="shared" si="354"/>
        <v>0</v>
      </c>
      <c r="G274" s="73">
        <f t="shared" si="354"/>
        <v>0</v>
      </c>
      <c r="H274" s="71">
        <f t="shared" si="354"/>
        <v>9568434.4900000002</v>
      </c>
      <c r="I274" s="259"/>
      <c r="J274" s="345">
        <f t="shared" ref="J274:K274" si="355">J262</f>
        <v>4.5545454545454538</v>
      </c>
      <c r="K274" s="345">
        <f t="shared" si="355"/>
        <v>116.1</v>
      </c>
      <c r="L274" s="322">
        <f t="shared" si="354"/>
        <v>31</v>
      </c>
      <c r="M274" s="150">
        <f t="shared" si="354"/>
        <v>1</v>
      </c>
      <c r="N274" s="322">
        <f t="shared" si="354"/>
        <v>22</v>
      </c>
      <c r="O274" s="841">
        <f t="shared" si="354"/>
        <v>103</v>
      </c>
      <c r="P274" s="841">
        <f t="shared" si="354"/>
        <v>0</v>
      </c>
      <c r="Q274" s="1720">
        <v>0</v>
      </c>
      <c r="V274" s="65">
        <f t="shared" si="288"/>
        <v>8942946.7559739668</v>
      </c>
      <c r="W274" s="182">
        <f t="shared" si="280"/>
        <v>-625487.73402603343</v>
      </c>
      <c r="X274" s="183">
        <f t="shared" si="281"/>
        <v>-6.5369913404301677E-2</v>
      </c>
      <c r="Y274" s="183">
        <f t="shared" si="282"/>
        <v>6.5369913404301677E-2</v>
      </c>
      <c r="Z274" s="1772">
        <f t="shared" si="289"/>
        <v>0</v>
      </c>
      <c r="AA274" s="87">
        <f t="shared" si="290"/>
        <v>8942946.7559739668</v>
      </c>
    </row>
    <row r="275" spans="1:27">
      <c r="A275" s="864">
        <f t="shared" ref="A275:P275" si="356">A109</f>
        <v>2019</v>
      </c>
      <c r="B275" s="62">
        <f t="shared" si="356"/>
        <v>43708</v>
      </c>
      <c r="C275" s="69">
        <f t="shared" si="356"/>
        <v>8688391.3699999992</v>
      </c>
      <c r="D275" s="69">
        <f t="shared" si="356"/>
        <v>9647.7199999999993</v>
      </c>
      <c r="E275" s="860">
        <f t="shared" si="356"/>
        <v>0</v>
      </c>
      <c r="F275" s="887">
        <f t="shared" si="356"/>
        <v>0</v>
      </c>
      <c r="G275" s="73">
        <f t="shared" si="356"/>
        <v>0</v>
      </c>
      <c r="H275" s="71">
        <f t="shared" si="356"/>
        <v>8698039.0899999999</v>
      </c>
      <c r="I275" s="259"/>
      <c r="J275" s="345">
        <f t="shared" ref="J275:K275" si="357">J263</f>
        <v>10.836363636363636</v>
      </c>
      <c r="K275" s="345">
        <f t="shared" si="357"/>
        <v>82.954545454545453</v>
      </c>
      <c r="L275" s="322">
        <f t="shared" si="356"/>
        <v>31</v>
      </c>
      <c r="M275" s="150">
        <f t="shared" si="356"/>
        <v>1</v>
      </c>
      <c r="N275" s="322">
        <f t="shared" si="356"/>
        <v>21</v>
      </c>
      <c r="O275" s="841">
        <f t="shared" si="356"/>
        <v>104</v>
      </c>
      <c r="P275" s="841">
        <f t="shared" si="356"/>
        <v>1</v>
      </c>
      <c r="Q275" s="1720">
        <v>0</v>
      </c>
      <c r="V275" s="65">
        <f t="shared" si="288"/>
        <v>8825315.3968781326</v>
      </c>
      <c r="W275" s="182">
        <f t="shared" si="280"/>
        <v>127276.30687813275</v>
      </c>
      <c r="X275" s="183">
        <f t="shared" si="281"/>
        <v>1.4632758666773564E-2</v>
      </c>
      <c r="Y275" s="183">
        <f t="shared" si="282"/>
        <v>1.4632758666773564E-2</v>
      </c>
      <c r="Z275" s="1772">
        <f t="shared" si="289"/>
        <v>0</v>
      </c>
      <c r="AA275" s="87">
        <f t="shared" si="290"/>
        <v>8825315.3968781326</v>
      </c>
    </row>
    <row r="276" spans="1:27">
      <c r="A276" s="864">
        <f t="shared" ref="A276:P276" si="358">A110</f>
        <v>2019</v>
      </c>
      <c r="B276" s="62">
        <f t="shared" si="358"/>
        <v>43738</v>
      </c>
      <c r="C276" s="69">
        <f t="shared" si="358"/>
        <v>7563722.3099999996</v>
      </c>
      <c r="D276" s="69">
        <f t="shared" si="358"/>
        <v>7379.5300000000007</v>
      </c>
      <c r="E276" s="860">
        <f t="shared" si="358"/>
        <v>0</v>
      </c>
      <c r="F276" s="887">
        <f t="shared" si="358"/>
        <v>0</v>
      </c>
      <c r="G276" s="73">
        <f t="shared" si="358"/>
        <v>0</v>
      </c>
      <c r="H276" s="71">
        <f t="shared" si="358"/>
        <v>7571101.8399999999</v>
      </c>
      <c r="I276" s="259"/>
      <c r="J276" s="345">
        <f t="shared" ref="J276:K276" si="359">J264</f>
        <v>93.481818181818198</v>
      </c>
      <c r="K276" s="345">
        <f t="shared" si="359"/>
        <v>25.536363636363639</v>
      </c>
      <c r="L276" s="322">
        <f t="shared" si="358"/>
        <v>30</v>
      </c>
      <c r="M276" s="150">
        <f t="shared" si="358"/>
        <v>1</v>
      </c>
      <c r="N276" s="322">
        <f t="shared" si="358"/>
        <v>20</v>
      </c>
      <c r="O276" s="841">
        <f t="shared" si="358"/>
        <v>105</v>
      </c>
      <c r="P276" s="841">
        <f t="shared" si="358"/>
        <v>0</v>
      </c>
      <c r="Q276" s="1720">
        <v>0</v>
      </c>
      <c r="V276" s="65">
        <f t="shared" si="288"/>
        <v>7673813.0842687916</v>
      </c>
      <c r="W276" s="182">
        <f t="shared" si="280"/>
        <v>102711.24426879175</v>
      </c>
      <c r="X276" s="183">
        <f t="shared" si="281"/>
        <v>1.3566221461471155E-2</v>
      </c>
      <c r="Y276" s="183">
        <f t="shared" si="282"/>
        <v>1.3566221461471155E-2</v>
      </c>
      <c r="Z276" s="1772">
        <f t="shared" si="289"/>
        <v>0</v>
      </c>
      <c r="AA276" s="87">
        <f t="shared" si="290"/>
        <v>7673813.0842687916</v>
      </c>
    </row>
    <row r="277" spans="1:27">
      <c r="A277" s="864">
        <f t="shared" ref="A277:P277" si="360">A111</f>
        <v>2019</v>
      </c>
      <c r="B277" s="62">
        <f t="shared" si="360"/>
        <v>43769</v>
      </c>
      <c r="C277" s="69">
        <f t="shared" si="360"/>
        <v>7908177</v>
      </c>
      <c r="D277" s="69">
        <f t="shared" si="360"/>
        <v>4809.9900000000007</v>
      </c>
      <c r="E277" s="860">
        <f t="shared" si="360"/>
        <v>0</v>
      </c>
      <c r="F277" s="887">
        <f t="shared" si="360"/>
        <v>0</v>
      </c>
      <c r="G277" s="73">
        <f t="shared" si="360"/>
        <v>0</v>
      </c>
      <c r="H277" s="71">
        <f t="shared" si="360"/>
        <v>7912986.9900000002</v>
      </c>
      <c r="I277" s="259"/>
      <c r="J277" s="345">
        <f t="shared" ref="J277:K277" si="361">J265</f>
        <v>276.59632529608206</v>
      </c>
      <c r="K277" s="345">
        <f t="shared" si="361"/>
        <v>0.63636363636363635</v>
      </c>
      <c r="L277" s="322">
        <f t="shared" si="360"/>
        <v>31</v>
      </c>
      <c r="M277" s="150">
        <f t="shared" si="360"/>
        <v>0</v>
      </c>
      <c r="N277" s="322">
        <f t="shared" si="360"/>
        <v>22</v>
      </c>
      <c r="O277" s="841">
        <f t="shared" si="360"/>
        <v>106</v>
      </c>
      <c r="P277" s="841">
        <f t="shared" si="360"/>
        <v>0</v>
      </c>
      <c r="Q277" s="1720">
        <v>0</v>
      </c>
      <c r="V277" s="65">
        <f t="shared" si="288"/>
        <v>7980519.2193704825</v>
      </c>
      <c r="W277" s="182">
        <f t="shared" si="280"/>
        <v>67532.229370482266</v>
      </c>
      <c r="X277" s="183">
        <f t="shared" si="281"/>
        <v>8.5343536462053841E-3</v>
      </c>
      <c r="Y277" s="183">
        <f t="shared" si="282"/>
        <v>8.5343536462053841E-3</v>
      </c>
      <c r="Z277" s="1772">
        <f t="shared" si="289"/>
        <v>0</v>
      </c>
      <c r="AA277" s="87">
        <f t="shared" si="290"/>
        <v>7980519.2193704825</v>
      </c>
    </row>
    <row r="278" spans="1:27">
      <c r="A278" s="864">
        <f t="shared" ref="A278:P278" si="362">A112</f>
        <v>2019</v>
      </c>
      <c r="B278" s="62">
        <f t="shared" si="362"/>
        <v>43799</v>
      </c>
      <c r="C278" s="69">
        <f t="shared" si="362"/>
        <v>9264874</v>
      </c>
      <c r="D278" s="69">
        <f t="shared" si="362"/>
        <v>2032.8500000000001</v>
      </c>
      <c r="E278" s="860">
        <f t="shared" si="362"/>
        <v>0</v>
      </c>
      <c r="F278" s="887">
        <f t="shared" si="362"/>
        <v>0</v>
      </c>
      <c r="G278" s="73">
        <f t="shared" si="362"/>
        <v>0</v>
      </c>
      <c r="H278" s="71">
        <f t="shared" si="362"/>
        <v>9266906.8499999996</v>
      </c>
      <c r="I278" s="259"/>
      <c r="J278" s="345">
        <f t="shared" ref="J278:K278" si="363">J266</f>
        <v>506.81818181818181</v>
      </c>
      <c r="K278" s="345">
        <f t="shared" si="363"/>
        <v>0</v>
      </c>
      <c r="L278" s="322">
        <f t="shared" si="362"/>
        <v>30</v>
      </c>
      <c r="M278" s="150">
        <f t="shared" si="362"/>
        <v>0</v>
      </c>
      <c r="N278" s="322">
        <f t="shared" si="362"/>
        <v>21</v>
      </c>
      <c r="O278" s="841">
        <f t="shared" si="362"/>
        <v>107</v>
      </c>
      <c r="P278" s="841">
        <f t="shared" si="362"/>
        <v>0</v>
      </c>
      <c r="Q278" s="1720">
        <v>0</v>
      </c>
      <c r="V278" s="65">
        <f t="shared" si="288"/>
        <v>8755680.3503737003</v>
      </c>
      <c r="W278" s="182">
        <f t="shared" si="280"/>
        <v>-511226.49962629937</v>
      </c>
      <c r="X278" s="183">
        <f t="shared" si="281"/>
        <v>-5.5166897423415816E-2</v>
      </c>
      <c r="Y278" s="183">
        <f t="shared" si="282"/>
        <v>5.5166897423415816E-2</v>
      </c>
      <c r="Z278" s="1772">
        <f t="shared" si="289"/>
        <v>0</v>
      </c>
      <c r="AA278" s="87">
        <f t="shared" si="290"/>
        <v>8755680.3503737003</v>
      </c>
    </row>
    <row r="279" spans="1:27">
      <c r="A279" s="865">
        <f t="shared" ref="A279:P279" si="364">A113</f>
        <v>2019</v>
      </c>
      <c r="B279" s="151">
        <f t="shared" si="364"/>
        <v>43830</v>
      </c>
      <c r="C279" s="81">
        <f t="shared" si="364"/>
        <v>10207018.220000001</v>
      </c>
      <c r="D279" s="81">
        <f t="shared" si="364"/>
        <v>1575.89</v>
      </c>
      <c r="E279" s="853">
        <f t="shared" si="364"/>
        <v>0</v>
      </c>
      <c r="F279" s="886">
        <f t="shared" si="364"/>
        <v>0</v>
      </c>
      <c r="G279" s="83">
        <f t="shared" si="364"/>
        <v>0</v>
      </c>
      <c r="H279" s="76">
        <f t="shared" si="364"/>
        <v>10208594.110000001</v>
      </c>
      <c r="I279" s="260"/>
      <c r="J279" s="856">
        <f t="shared" ref="J279:K279" si="365">J267</f>
        <v>720.0090909090909</v>
      </c>
      <c r="K279" s="839">
        <f t="shared" si="365"/>
        <v>0</v>
      </c>
      <c r="L279" s="323">
        <f t="shared" si="364"/>
        <v>31</v>
      </c>
      <c r="M279" s="104">
        <f t="shared" si="364"/>
        <v>1</v>
      </c>
      <c r="N279" s="323">
        <f t="shared" si="364"/>
        <v>20</v>
      </c>
      <c r="O279" s="873">
        <f t="shared" si="364"/>
        <v>108</v>
      </c>
      <c r="P279" s="873">
        <f t="shared" si="364"/>
        <v>0</v>
      </c>
      <c r="Q279" s="1721">
        <v>0</v>
      </c>
      <c r="V279" s="65">
        <f t="shared" si="288"/>
        <v>10151352.714910544</v>
      </c>
      <c r="W279" s="190">
        <f t="shared" si="280"/>
        <v>-57241.395089456812</v>
      </c>
      <c r="X279" s="184">
        <f t="shared" si="281"/>
        <v>-5.6071770973228361E-3</v>
      </c>
      <c r="Y279" s="184">
        <f t="shared" si="282"/>
        <v>5.6071770973228361E-3</v>
      </c>
      <c r="Z279" s="1772">
        <f t="shared" si="289"/>
        <v>0</v>
      </c>
      <c r="AA279" s="87">
        <f t="shared" si="290"/>
        <v>10151352.714910544</v>
      </c>
    </row>
    <row r="280" spans="1:27">
      <c r="A280" s="864">
        <f t="shared" ref="A280:P280" si="366">A114</f>
        <v>2020</v>
      </c>
      <c r="B280" s="62">
        <f t="shared" si="366"/>
        <v>43861</v>
      </c>
      <c r="C280" s="69">
        <f t="shared" si="366"/>
        <v>10475745.59</v>
      </c>
      <c r="D280" s="69">
        <f t="shared" si="366"/>
        <v>770</v>
      </c>
      <c r="E280" s="860">
        <f t="shared" si="366"/>
        <v>0</v>
      </c>
      <c r="F280" s="887">
        <f t="shared" si="366"/>
        <v>0</v>
      </c>
      <c r="G280" s="73">
        <f t="shared" si="366"/>
        <v>0</v>
      </c>
      <c r="H280" s="71">
        <f t="shared" si="366"/>
        <v>10476515.59</v>
      </c>
      <c r="I280" s="259"/>
      <c r="J280" s="345">
        <f>J268</f>
        <v>849.19090909090926</v>
      </c>
      <c r="K280" s="345">
        <f>K268</f>
        <v>0</v>
      </c>
      <c r="L280" s="322">
        <f t="shared" si="366"/>
        <v>31</v>
      </c>
      <c r="M280" s="150">
        <f t="shared" si="366"/>
        <v>1</v>
      </c>
      <c r="N280" s="322">
        <f t="shared" si="366"/>
        <v>22</v>
      </c>
      <c r="O280" s="841">
        <f t="shared" si="366"/>
        <v>109</v>
      </c>
      <c r="P280" s="841">
        <f t="shared" si="366"/>
        <v>0</v>
      </c>
      <c r="Q280" s="1720">
        <v>0</v>
      </c>
      <c r="V280" s="65">
        <f t="shared" si="288"/>
        <v>10814786.672955796</v>
      </c>
      <c r="W280" s="182">
        <f t="shared" si="280"/>
        <v>338271.08295579627</v>
      </c>
      <c r="X280" s="183">
        <f t="shared" si="281"/>
        <v>3.2288510435538452E-2</v>
      </c>
      <c r="Y280" s="183">
        <f t="shared" si="282"/>
        <v>3.2288510435538452E-2</v>
      </c>
      <c r="Z280" s="1772">
        <f t="shared" si="289"/>
        <v>0</v>
      </c>
      <c r="AA280" s="87">
        <f t="shared" si="290"/>
        <v>10814786.672955796</v>
      </c>
    </row>
    <row r="281" spans="1:27">
      <c r="A281" s="864">
        <f t="shared" ref="A281:P281" si="367">A115</f>
        <v>2020</v>
      </c>
      <c r="B281" s="62">
        <f t="shared" si="367"/>
        <v>43890</v>
      </c>
      <c r="C281" s="69">
        <f t="shared" si="367"/>
        <v>9817627</v>
      </c>
      <c r="D281" s="69">
        <f t="shared" si="367"/>
        <v>1630</v>
      </c>
      <c r="E281" s="860">
        <f t="shared" si="367"/>
        <v>0</v>
      </c>
      <c r="F281" s="887">
        <f t="shared" si="367"/>
        <v>0</v>
      </c>
      <c r="G281" s="73">
        <f t="shared" si="367"/>
        <v>0</v>
      </c>
      <c r="H281" s="71">
        <f t="shared" si="367"/>
        <v>9819257</v>
      </c>
      <c r="I281" s="259"/>
      <c r="J281" s="345">
        <f t="shared" ref="J281:K281" si="368">J269</f>
        <v>743.30909090909097</v>
      </c>
      <c r="K281" s="345">
        <f t="shared" si="368"/>
        <v>0</v>
      </c>
      <c r="L281" s="322">
        <f t="shared" si="367"/>
        <v>29</v>
      </c>
      <c r="M281" s="150">
        <f t="shared" si="367"/>
        <v>1</v>
      </c>
      <c r="N281" s="322">
        <f t="shared" si="367"/>
        <v>19</v>
      </c>
      <c r="O281" s="841">
        <f t="shared" si="367"/>
        <v>110</v>
      </c>
      <c r="P281" s="841">
        <f t="shared" si="367"/>
        <v>0</v>
      </c>
      <c r="Q281" s="1720">
        <v>0</v>
      </c>
      <c r="V281" s="65">
        <f t="shared" si="288"/>
        <v>9865049.9816779755</v>
      </c>
      <c r="W281" s="182">
        <f t="shared" si="280"/>
        <v>45792.981677975506</v>
      </c>
      <c r="X281" s="183">
        <f t="shared" si="281"/>
        <v>4.663589279512239E-3</v>
      </c>
      <c r="Y281" s="183">
        <f t="shared" si="282"/>
        <v>4.663589279512239E-3</v>
      </c>
      <c r="Z281" s="1772">
        <f t="shared" si="289"/>
        <v>0</v>
      </c>
      <c r="AA281" s="87">
        <f t="shared" si="290"/>
        <v>9865049.9816779755</v>
      </c>
    </row>
    <row r="282" spans="1:27">
      <c r="A282" s="864">
        <f t="shared" ref="A282:P282" si="369">A116</f>
        <v>2020</v>
      </c>
      <c r="B282" s="62">
        <f t="shared" si="369"/>
        <v>43921</v>
      </c>
      <c r="C282" s="69">
        <f t="shared" si="369"/>
        <v>9509806</v>
      </c>
      <c r="D282" s="69">
        <f t="shared" si="369"/>
        <v>6215</v>
      </c>
      <c r="E282" s="860">
        <f t="shared" si="369"/>
        <v>0</v>
      </c>
      <c r="F282" s="887">
        <f t="shared" si="369"/>
        <v>0</v>
      </c>
      <c r="G282" s="73">
        <f t="shared" si="369"/>
        <v>0</v>
      </c>
      <c r="H282" s="71">
        <f t="shared" si="369"/>
        <v>9516021</v>
      </c>
      <c r="I282" s="259"/>
      <c r="J282" s="345">
        <f t="shared" ref="J282:K282" si="370">J270</f>
        <v>634.18181818181813</v>
      </c>
      <c r="K282" s="345">
        <f t="shared" si="370"/>
        <v>0</v>
      </c>
      <c r="L282" s="322">
        <f t="shared" si="369"/>
        <v>31</v>
      </c>
      <c r="M282" s="150">
        <f t="shared" si="369"/>
        <v>1</v>
      </c>
      <c r="N282" s="322">
        <f t="shared" si="369"/>
        <v>22</v>
      </c>
      <c r="O282" s="841">
        <f t="shared" si="369"/>
        <v>111</v>
      </c>
      <c r="P282" s="841">
        <f t="shared" si="369"/>
        <v>0</v>
      </c>
      <c r="Q282" s="1720">
        <v>0</v>
      </c>
      <c r="V282" s="65">
        <f t="shared" si="288"/>
        <v>9854894.8394445404</v>
      </c>
      <c r="W282" s="182">
        <f t="shared" si="280"/>
        <v>338873.83944454044</v>
      </c>
      <c r="X282" s="183">
        <f t="shared" si="281"/>
        <v>3.5610875537637046E-2</v>
      </c>
      <c r="Y282" s="183">
        <f t="shared" si="282"/>
        <v>3.5610875537637046E-2</v>
      </c>
      <c r="Z282" s="1772">
        <f t="shared" si="289"/>
        <v>0</v>
      </c>
      <c r="AA282" s="87">
        <f t="shared" si="290"/>
        <v>9854894.8394445404</v>
      </c>
    </row>
    <row r="283" spans="1:27">
      <c r="A283" s="864">
        <f t="shared" ref="A283:P283" si="371">A117</f>
        <v>2020</v>
      </c>
      <c r="B283" s="62">
        <f t="shared" si="371"/>
        <v>43951</v>
      </c>
      <c r="C283" s="69">
        <f t="shared" si="371"/>
        <v>8024762.8899999997</v>
      </c>
      <c r="D283" s="69">
        <f t="shared" si="371"/>
        <v>7686</v>
      </c>
      <c r="E283" s="860">
        <f t="shared" si="371"/>
        <v>0</v>
      </c>
      <c r="F283" s="887">
        <f t="shared" si="371"/>
        <v>0</v>
      </c>
      <c r="G283" s="73">
        <f t="shared" si="371"/>
        <v>0</v>
      </c>
      <c r="H283" s="71">
        <f t="shared" si="371"/>
        <v>8032448.8899999997</v>
      </c>
      <c r="I283" s="259"/>
      <c r="J283" s="345">
        <f t="shared" ref="J283:K283" si="372">J271</f>
        <v>376.19090909090914</v>
      </c>
      <c r="K283" s="345">
        <f t="shared" si="372"/>
        <v>0.4</v>
      </c>
      <c r="L283" s="322">
        <f t="shared" si="371"/>
        <v>30</v>
      </c>
      <c r="M283" s="150">
        <f t="shared" si="371"/>
        <v>0</v>
      </c>
      <c r="N283" s="322">
        <f t="shared" si="371"/>
        <v>20</v>
      </c>
      <c r="O283" s="841">
        <f t="shared" si="371"/>
        <v>112</v>
      </c>
      <c r="P283" s="841">
        <f t="shared" si="371"/>
        <v>0</v>
      </c>
      <c r="Q283" s="1720">
        <v>0</v>
      </c>
      <c r="V283" s="65">
        <f t="shared" si="288"/>
        <v>8085722.2088544164</v>
      </c>
      <c r="W283" s="182">
        <f t="shared" si="280"/>
        <v>53273.318854416721</v>
      </c>
      <c r="X283" s="183">
        <f t="shared" si="281"/>
        <v>6.6322636575676637E-3</v>
      </c>
      <c r="Y283" s="183">
        <f t="shared" si="282"/>
        <v>6.6322636575676637E-3</v>
      </c>
      <c r="Z283" s="1772">
        <f t="shared" si="289"/>
        <v>0</v>
      </c>
      <c r="AA283" s="87">
        <f t="shared" si="290"/>
        <v>8085722.2088544164</v>
      </c>
    </row>
    <row r="284" spans="1:27">
      <c r="A284" s="864">
        <f t="shared" ref="A284:P284" si="373">A118</f>
        <v>2020</v>
      </c>
      <c r="B284" s="62">
        <f t="shared" si="373"/>
        <v>43982</v>
      </c>
      <c r="C284" s="69">
        <f t="shared" si="373"/>
        <v>7939253</v>
      </c>
      <c r="D284" s="69">
        <f t="shared" si="373"/>
        <v>9980</v>
      </c>
      <c r="E284" s="860">
        <f t="shared" si="373"/>
        <v>0</v>
      </c>
      <c r="F284" s="72">
        <f t="shared" si="373"/>
        <v>0</v>
      </c>
      <c r="G284" s="73">
        <f t="shared" si="373"/>
        <v>0</v>
      </c>
      <c r="H284" s="71">
        <f t="shared" si="373"/>
        <v>7949233</v>
      </c>
      <c r="I284" s="259"/>
      <c r="J284" s="345">
        <f t="shared" ref="J284:K284" si="374">J272</f>
        <v>147.39545454545458</v>
      </c>
      <c r="K284" s="345">
        <f t="shared" si="374"/>
        <v>17.336363636363636</v>
      </c>
      <c r="L284" s="322">
        <f t="shared" si="373"/>
        <v>31</v>
      </c>
      <c r="M284" s="150">
        <f t="shared" si="373"/>
        <v>0</v>
      </c>
      <c r="N284" s="322">
        <f t="shared" si="373"/>
        <v>20</v>
      </c>
      <c r="O284" s="841">
        <f t="shared" si="373"/>
        <v>113</v>
      </c>
      <c r="P284" s="841">
        <f t="shared" si="373"/>
        <v>0</v>
      </c>
      <c r="Q284" s="1720">
        <v>1</v>
      </c>
      <c r="V284" s="65">
        <f t="shared" si="288"/>
        <v>7931196.5984378941</v>
      </c>
      <c r="W284" s="182">
        <f t="shared" si="280"/>
        <v>-18036.401562105864</v>
      </c>
      <c r="X284" s="183">
        <f t="shared" si="281"/>
        <v>-2.2689486598399954E-3</v>
      </c>
      <c r="Y284" s="183">
        <f t="shared" si="282"/>
        <v>2.2689486598399954E-3</v>
      </c>
      <c r="Z284" s="1772">
        <f t="shared" si="289"/>
        <v>0</v>
      </c>
      <c r="AA284" s="87">
        <f t="shared" si="290"/>
        <v>7931196.5984378941</v>
      </c>
    </row>
    <row r="285" spans="1:27">
      <c r="A285" s="864">
        <f t="shared" ref="A285:P285" si="375">A119</f>
        <v>2020</v>
      </c>
      <c r="B285" s="62">
        <f t="shared" si="375"/>
        <v>44012</v>
      </c>
      <c r="C285" s="69">
        <f t="shared" si="375"/>
        <v>8515024.5999999996</v>
      </c>
      <c r="D285" s="69">
        <f t="shared" si="375"/>
        <v>10107.5</v>
      </c>
      <c r="E285" s="860">
        <f t="shared" si="375"/>
        <v>0</v>
      </c>
      <c r="F285" s="72">
        <f t="shared" si="375"/>
        <v>0</v>
      </c>
      <c r="G285" s="73">
        <f t="shared" si="375"/>
        <v>0</v>
      </c>
      <c r="H285" s="71">
        <f t="shared" si="375"/>
        <v>8525132.0999999996</v>
      </c>
      <c r="I285" s="259"/>
      <c r="J285" s="345">
        <f t="shared" ref="J285:K285" si="376">J273</f>
        <v>37.681818181818187</v>
      </c>
      <c r="K285" s="345">
        <f t="shared" si="376"/>
        <v>51.772727272727273</v>
      </c>
      <c r="L285" s="322">
        <f t="shared" si="375"/>
        <v>30</v>
      </c>
      <c r="M285" s="150">
        <f t="shared" si="375"/>
        <v>1</v>
      </c>
      <c r="N285" s="322">
        <f t="shared" si="375"/>
        <v>22</v>
      </c>
      <c r="O285" s="841">
        <f t="shared" si="375"/>
        <v>114</v>
      </c>
      <c r="P285" s="841">
        <f t="shared" si="375"/>
        <v>0</v>
      </c>
      <c r="Q285" s="1720">
        <v>1</v>
      </c>
      <c r="V285" s="65">
        <f t="shared" si="288"/>
        <v>8287484.6367961057</v>
      </c>
      <c r="W285" s="182">
        <f t="shared" si="280"/>
        <v>-237647.46320389397</v>
      </c>
      <c r="X285" s="183">
        <f t="shared" si="281"/>
        <v>-2.7876103316204798E-2</v>
      </c>
      <c r="Y285" s="183">
        <f t="shared" si="282"/>
        <v>2.7876103316204798E-2</v>
      </c>
      <c r="Z285" s="1772">
        <f t="shared" si="289"/>
        <v>0</v>
      </c>
      <c r="AA285" s="87">
        <f t="shared" si="290"/>
        <v>8287484.6367961057</v>
      </c>
    </row>
    <row r="286" spans="1:27">
      <c r="A286" s="864">
        <f t="shared" ref="A286:P286" si="377">A120</f>
        <v>2020</v>
      </c>
      <c r="B286" s="62">
        <f t="shared" si="377"/>
        <v>44043</v>
      </c>
      <c r="C286" s="69">
        <f t="shared" si="377"/>
        <v>10333884</v>
      </c>
      <c r="D286" s="69">
        <f t="shared" si="377"/>
        <v>9949.2099999999991</v>
      </c>
      <c r="E286" s="860">
        <f t="shared" si="377"/>
        <v>0</v>
      </c>
      <c r="F286" s="72">
        <f t="shared" si="377"/>
        <v>0</v>
      </c>
      <c r="G286" s="73">
        <f t="shared" si="377"/>
        <v>0</v>
      </c>
      <c r="H286" s="71">
        <f t="shared" si="377"/>
        <v>10343833.210000001</v>
      </c>
      <c r="I286" s="259"/>
      <c r="J286" s="345">
        <f t="shared" ref="J286:K286" si="378">J274</f>
        <v>4.5545454545454538</v>
      </c>
      <c r="K286" s="345">
        <f t="shared" si="378"/>
        <v>116.1</v>
      </c>
      <c r="L286" s="322">
        <f t="shared" si="377"/>
        <v>31</v>
      </c>
      <c r="M286" s="150">
        <f t="shared" si="377"/>
        <v>1</v>
      </c>
      <c r="N286" s="322">
        <f t="shared" si="377"/>
        <v>22</v>
      </c>
      <c r="O286" s="841">
        <f t="shared" si="377"/>
        <v>115</v>
      </c>
      <c r="P286" s="841">
        <f t="shared" si="377"/>
        <v>0</v>
      </c>
      <c r="Q286" s="1720">
        <v>1</v>
      </c>
      <c r="V286" s="65">
        <f t="shared" si="288"/>
        <v>9263663.4886030126</v>
      </c>
      <c r="W286" s="182">
        <f t="shared" si="280"/>
        <v>-1080169.7213969883</v>
      </c>
      <c r="X286" s="183">
        <f t="shared" si="281"/>
        <v>-0.10442644418828445</v>
      </c>
      <c r="Y286" s="183">
        <f t="shared" si="282"/>
        <v>0.10442644418828445</v>
      </c>
      <c r="Z286" s="1772">
        <f t="shared" si="289"/>
        <v>0</v>
      </c>
      <c r="AA286" s="87">
        <f t="shared" si="290"/>
        <v>9263663.4886030126</v>
      </c>
    </row>
    <row r="287" spans="1:27">
      <c r="A287" s="864">
        <f t="shared" ref="A287:P287" si="379">A121</f>
        <v>2020</v>
      </c>
      <c r="B287" s="62">
        <f t="shared" si="379"/>
        <v>44074</v>
      </c>
      <c r="C287" s="69">
        <f t="shared" si="379"/>
        <v>9206403</v>
      </c>
      <c r="D287" s="69">
        <f t="shared" si="379"/>
        <v>8971.9</v>
      </c>
      <c r="E287" s="860">
        <f t="shared" si="379"/>
        <v>0</v>
      </c>
      <c r="F287" s="72">
        <f t="shared" si="379"/>
        <v>0</v>
      </c>
      <c r="G287" s="73">
        <f t="shared" si="379"/>
        <v>0</v>
      </c>
      <c r="H287" s="71">
        <f t="shared" si="379"/>
        <v>9215374.9000000004</v>
      </c>
      <c r="I287" s="259"/>
      <c r="J287" s="345">
        <f t="shared" ref="J287:K287" si="380">J275</f>
        <v>10.836363636363636</v>
      </c>
      <c r="K287" s="345">
        <f t="shared" si="380"/>
        <v>82.954545454545453</v>
      </c>
      <c r="L287" s="322">
        <f t="shared" si="379"/>
        <v>31</v>
      </c>
      <c r="M287" s="150">
        <f t="shared" si="379"/>
        <v>1</v>
      </c>
      <c r="N287" s="322">
        <f t="shared" si="379"/>
        <v>20</v>
      </c>
      <c r="O287" s="841">
        <f t="shared" si="379"/>
        <v>116</v>
      </c>
      <c r="P287" s="841">
        <f t="shared" si="379"/>
        <v>1</v>
      </c>
      <c r="Q287" s="1720">
        <v>1</v>
      </c>
      <c r="V287" s="65">
        <f t="shared" si="288"/>
        <v>9091526.5767189804</v>
      </c>
      <c r="W287" s="182">
        <f t="shared" si="280"/>
        <v>-123848.32328101993</v>
      </c>
      <c r="X287" s="183">
        <f t="shared" si="281"/>
        <v>-1.3439314691474996E-2</v>
      </c>
      <c r="Y287" s="183">
        <f t="shared" si="282"/>
        <v>1.3439314691474996E-2</v>
      </c>
      <c r="Z287" s="1772">
        <f t="shared" si="289"/>
        <v>0</v>
      </c>
      <c r="AA287" s="87">
        <f t="shared" si="290"/>
        <v>9091526.5767189804</v>
      </c>
    </row>
    <row r="288" spans="1:27">
      <c r="A288" s="864">
        <f t="shared" ref="A288:P288" si="381">A122</f>
        <v>2020</v>
      </c>
      <c r="B288" s="62">
        <f t="shared" si="381"/>
        <v>44104</v>
      </c>
      <c r="C288" s="69">
        <f t="shared" si="381"/>
        <v>7627587</v>
      </c>
      <c r="D288" s="69">
        <f t="shared" si="381"/>
        <v>6829.99</v>
      </c>
      <c r="E288" s="860">
        <f t="shared" si="381"/>
        <v>0</v>
      </c>
      <c r="F288" s="72">
        <f t="shared" si="381"/>
        <v>0</v>
      </c>
      <c r="G288" s="73">
        <f t="shared" si="381"/>
        <v>0</v>
      </c>
      <c r="H288" s="71">
        <f t="shared" si="381"/>
        <v>7634416.9900000002</v>
      </c>
      <c r="I288" s="259"/>
      <c r="J288" s="345">
        <f t="shared" ref="J288:K288" si="382">J276</f>
        <v>93.481818181818198</v>
      </c>
      <c r="K288" s="345">
        <f t="shared" si="382"/>
        <v>25.536363636363639</v>
      </c>
      <c r="L288" s="322">
        <f t="shared" si="381"/>
        <v>30</v>
      </c>
      <c r="M288" s="150">
        <f t="shared" si="381"/>
        <v>1</v>
      </c>
      <c r="N288" s="322">
        <f t="shared" si="381"/>
        <v>21</v>
      </c>
      <c r="O288" s="841">
        <f t="shared" si="381"/>
        <v>117</v>
      </c>
      <c r="P288" s="841">
        <f t="shared" si="381"/>
        <v>0</v>
      </c>
      <c r="Q288" s="1720">
        <v>1</v>
      </c>
      <c r="V288" s="65">
        <f t="shared" si="288"/>
        <v>8049035.3696860354</v>
      </c>
      <c r="W288" s="182">
        <f t="shared" si="280"/>
        <v>414618.37968603522</v>
      </c>
      <c r="X288" s="183">
        <f t="shared" si="281"/>
        <v>5.4309108374500148E-2</v>
      </c>
      <c r="Y288" s="183">
        <f t="shared" si="282"/>
        <v>5.4309108374500148E-2</v>
      </c>
      <c r="Z288" s="1772">
        <f t="shared" si="289"/>
        <v>0</v>
      </c>
      <c r="AA288" s="87">
        <f t="shared" si="290"/>
        <v>8049035.3696860354</v>
      </c>
    </row>
    <row r="289" spans="1:28">
      <c r="A289" s="864">
        <f t="shared" ref="A289:P289" si="383">A123</f>
        <v>2020</v>
      </c>
      <c r="B289" s="62">
        <f t="shared" si="383"/>
        <v>44135</v>
      </c>
      <c r="C289" s="69">
        <f t="shared" si="383"/>
        <v>8195562</v>
      </c>
      <c r="D289" s="69">
        <f t="shared" si="383"/>
        <v>4414.1499999999996</v>
      </c>
      <c r="E289" s="860">
        <f t="shared" si="383"/>
        <v>0</v>
      </c>
      <c r="F289" s="885">
        <f t="shared" si="383"/>
        <v>0</v>
      </c>
      <c r="G289" s="73">
        <f t="shared" si="383"/>
        <v>0</v>
      </c>
      <c r="H289" s="71">
        <f t="shared" si="383"/>
        <v>8199976.1500000004</v>
      </c>
      <c r="I289" s="259"/>
      <c r="J289" s="345">
        <f t="shared" ref="J289:K289" si="384">J277</f>
        <v>276.59632529608206</v>
      </c>
      <c r="K289" s="345">
        <f t="shared" si="384"/>
        <v>0.63636363636363635</v>
      </c>
      <c r="L289" s="322">
        <f t="shared" si="383"/>
        <v>31</v>
      </c>
      <c r="M289" s="150">
        <f t="shared" si="383"/>
        <v>0</v>
      </c>
      <c r="N289" s="322">
        <f t="shared" si="383"/>
        <v>21</v>
      </c>
      <c r="O289" s="841">
        <f t="shared" si="383"/>
        <v>118</v>
      </c>
      <c r="P289" s="841">
        <f t="shared" si="383"/>
        <v>0</v>
      </c>
      <c r="Q289" s="1720">
        <v>1</v>
      </c>
      <c r="V289" s="65">
        <f t="shared" si="288"/>
        <v>8246730.3992113303</v>
      </c>
      <c r="W289" s="182">
        <f t="shared" si="280"/>
        <v>46754.249211329967</v>
      </c>
      <c r="X289" s="183">
        <f t="shared" si="281"/>
        <v>5.7017542924597368E-3</v>
      </c>
      <c r="Y289" s="183">
        <f t="shared" si="282"/>
        <v>5.7017542924597368E-3</v>
      </c>
      <c r="Z289" s="1772">
        <f t="shared" si="289"/>
        <v>0</v>
      </c>
      <c r="AA289" s="87">
        <f t="shared" si="290"/>
        <v>8246730.3992113303</v>
      </c>
      <c r="AB289" s="421"/>
    </row>
    <row r="290" spans="1:28">
      <c r="A290" s="864">
        <f t="shared" ref="A290:P290" si="385">A124</f>
        <v>2020</v>
      </c>
      <c r="B290" s="62">
        <f t="shared" si="385"/>
        <v>44165</v>
      </c>
      <c r="C290" s="69">
        <f t="shared" si="385"/>
        <v>8711856.7599999998</v>
      </c>
      <c r="D290" s="69">
        <f t="shared" si="385"/>
        <v>3033.13</v>
      </c>
      <c r="E290" s="860">
        <f t="shared" si="385"/>
        <v>0</v>
      </c>
      <c r="F290" s="885">
        <f t="shared" si="385"/>
        <v>0</v>
      </c>
      <c r="G290" s="73">
        <f t="shared" si="385"/>
        <v>0</v>
      </c>
      <c r="H290" s="71">
        <f t="shared" si="385"/>
        <v>8714889.8900000006</v>
      </c>
      <c r="I290" s="259"/>
      <c r="J290" s="345">
        <f t="shared" ref="J290:K290" si="386">J278</f>
        <v>506.81818181818181</v>
      </c>
      <c r="K290" s="345">
        <f t="shared" si="386"/>
        <v>0</v>
      </c>
      <c r="L290" s="322">
        <f t="shared" si="385"/>
        <v>30</v>
      </c>
      <c r="M290" s="150">
        <f t="shared" si="385"/>
        <v>0</v>
      </c>
      <c r="N290" s="322">
        <f t="shared" si="385"/>
        <v>21</v>
      </c>
      <c r="O290" s="841">
        <f t="shared" si="385"/>
        <v>119</v>
      </c>
      <c r="P290" s="841">
        <f t="shared" si="385"/>
        <v>0</v>
      </c>
      <c r="Q290" s="1720">
        <v>1</v>
      </c>
      <c r="V290" s="65">
        <f t="shared" si="288"/>
        <v>9076397.0830027461</v>
      </c>
      <c r="W290" s="182">
        <f t="shared" si="280"/>
        <v>361507.19300274551</v>
      </c>
      <c r="X290" s="183">
        <f t="shared" si="281"/>
        <v>4.1481555999641609E-2</v>
      </c>
      <c r="Y290" s="183">
        <f t="shared" si="282"/>
        <v>4.1481555999641609E-2</v>
      </c>
      <c r="Z290" s="1772">
        <f t="shared" si="289"/>
        <v>0</v>
      </c>
      <c r="AA290" s="87">
        <f t="shared" si="290"/>
        <v>9076397.0830027461</v>
      </c>
    </row>
    <row r="291" spans="1:28">
      <c r="A291" s="866">
        <f t="shared" ref="A291:P291" si="387">A125</f>
        <v>2020</v>
      </c>
      <c r="B291" s="694">
        <f t="shared" si="387"/>
        <v>44196</v>
      </c>
      <c r="C291" s="862">
        <f t="shared" si="387"/>
        <v>10055027.689999999</v>
      </c>
      <c r="D291" s="862">
        <f t="shared" si="387"/>
        <v>1633</v>
      </c>
      <c r="E291" s="862">
        <f t="shared" si="387"/>
        <v>0</v>
      </c>
      <c r="F291" s="958">
        <f t="shared" si="387"/>
        <v>0</v>
      </c>
      <c r="G291" s="696">
        <f t="shared" si="387"/>
        <v>0</v>
      </c>
      <c r="H291" s="695">
        <f t="shared" si="387"/>
        <v>10056660.689999999</v>
      </c>
      <c r="I291" s="697"/>
      <c r="J291" s="855">
        <f t="shared" ref="J291:K291" si="388">J279</f>
        <v>720.0090909090909</v>
      </c>
      <c r="K291" s="851">
        <f t="shared" si="388"/>
        <v>0</v>
      </c>
      <c r="L291" s="699">
        <f t="shared" si="387"/>
        <v>31</v>
      </c>
      <c r="M291" s="698">
        <f t="shared" si="387"/>
        <v>1</v>
      </c>
      <c r="N291" s="699">
        <f t="shared" si="387"/>
        <v>21</v>
      </c>
      <c r="O291" s="844">
        <f t="shared" si="387"/>
        <v>120</v>
      </c>
      <c r="P291" s="844">
        <f t="shared" si="387"/>
        <v>0</v>
      </c>
      <c r="Q291" s="1722">
        <v>1</v>
      </c>
      <c r="V291" s="65">
        <f t="shared" si="288"/>
        <v>10526575.000327788</v>
      </c>
      <c r="W291" s="852">
        <f t="shared" si="280"/>
        <v>469914.31032778881</v>
      </c>
      <c r="X291" s="704">
        <f t="shared" si="281"/>
        <v>4.6726674471085174E-2</v>
      </c>
      <c r="Y291" s="704">
        <f t="shared" si="282"/>
        <v>4.6726674471085174E-2</v>
      </c>
      <c r="Z291" s="1772">
        <f t="shared" si="289"/>
        <v>0</v>
      </c>
      <c r="AA291" s="87">
        <f t="shared" si="290"/>
        <v>10526575.000327788</v>
      </c>
    </row>
    <row r="292" spans="1:28">
      <c r="A292" s="864">
        <f t="shared" ref="A292:H292" si="389">A126</f>
        <v>2021</v>
      </c>
      <c r="B292" s="62">
        <f t="shared" si="389"/>
        <v>44227</v>
      </c>
      <c r="C292" s="69">
        <f t="shared" si="389"/>
        <v>10499395.99</v>
      </c>
      <c r="D292" s="69">
        <f t="shared" si="389"/>
        <v>1179.3399999999999</v>
      </c>
      <c r="E292" s="860">
        <f t="shared" si="389"/>
        <v>0</v>
      </c>
      <c r="F292" s="887">
        <f t="shared" si="389"/>
        <v>0</v>
      </c>
      <c r="G292" s="73">
        <f t="shared" si="389"/>
        <v>0</v>
      </c>
      <c r="H292" s="71">
        <f t="shared" si="389"/>
        <v>10500575.33</v>
      </c>
      <c r="I292" s="259"/>
      <c r="J292" s="345">
        <f>J280</f>
        <v>849.19090909090926</v>
      </c>
      <c r="K292" s="345">
        <f>K280</f>
        <v>0</v>
      </c>
      <c r="L292" s="322">
        <f t="shared" ref="L292:P292" si="390">L126</f>
        <v>31</v>
      </c>
      <c r="M292" s="150">
        <f t="shared" si="390"/>
        <v>1</v>
      </c>
      <c r="N292" s="322">
        <f t="shared" si="390"/>
        <v>20</v>
      </c>
      <c r="O292" s="841">
        <f t="shared" si="390"/>
        <v>121</v>
      </c>
      <c r="P292" s="841">
        <f t="shared" si="390"/>
        <v>0</v>
      </c>
      <c r="Q292" s="1720">
        <v>1</v>
      </c>
      <c r="V292" s="65">
        <f t="shared" si="288"/>
        <v>11026492.300008448</v>
      </c>
      <c r="W292" s="182">
        <f t="shared" ref="W292:W303" si="391">V292-H292</f>
        <v>525916.97000844777</v>
      </c>
      <c r="X292" s="183">
        <f t="shared" ref="X292:X303" si="392">W292/H292</f>
        <v>5.0084586175569844E-2</v>
      </c>
      <c r="Y292" s="183">
        <f t="shared" ref="Y292:Y303" si="393">ABS(X292)</f>
        <v>5.0084586175569844E-2</v>
      </c>
      <c r="Z292" s="1772">
        <f t="shared" si="289"/>
        <v>0</v>
      </c>
      <c r="AA292" s="87">
        <f t="shared" si="290"/>
        <v>11026492.300008448</v>
      </c>
    </row>
    <row r="293" spans="1:28">
      <c r="A293" s="864">
        <f t="shared" ref="A293:H293" si="394">A127</f>
        <v>2021</v>
      </c>
      <c r="B293" s="62">
        <f t="shared" si="394"/>
        <v>44255</v>
      </c>
      <c r="C293" s="69">
        <f t="shared" si="394"/>
        <v>9792629.25</v>
      </c>
      <c r="D293" s="69">
        <f t="shared" si="394"/>
        <v>1845.92</v>
      </c>
      <c r="E293" s="860">
        <f t="shared" si="394"/>
        <v>0</v>
      </c>
      <c r="F293" s="887">
        <f t="shared" si="394"/>
        <v>0</v>
      </c>
      <c r="G293" s="73">
        <f t="shared" si="394"/>
        <v>0</v>
      </c>
      <c r="H293" s="71">
        <f t="shared" si="394"/>
        <v>9794475.1699999999</v>
      </c>
      <c r="I293" s="259"/>
      <c r="J293" s="345">
        <f t="shared" ref="J293:K293" si="395">J281</f>
        <v>743.30909090909097</v>
      </c>
      <c r="K293" s="345">
        <f t="shared" si="395"/>
        <v>0</v>
      </c>
      <c r="L293" s="322">
        <f t="shared" ref="L293:P293" si="396">L127</f>
        <v>28</v>
      </c>
      <c r="M293" s="150">
        <f t="shared" si="396"/>
        <v>1</v>
      </c>
      <c r="N293" s="322">
        <f t="shared" si="396"/>
        <v>19</v>
      </c>
      <c r="O293" s="841">
        <f t="shared" si="396"/>
        <v>122</v>
      </c>
      <c r="P293" s="841">
        <f t="shared" si="396"/>
        <v>0</v>
      </c>
      <c r="Q293" s="1720">
        <v>1</v>
      </c>
      <c r="V293" s="65">
        <f t="shared" si="288"/>
        <v>10029083.827930193</v>
      </c>
      <c r="W293" s="182">
        <f t="shared" si="391"/>
        <v>234608.65793019347</v>
      </c>
      <c r="X293" s="183">
        <f t="shared" si="392"/>
        <v>2.3953162763512673E-2</v>
      </c>
      <c r="Y293" s="183">
        <f t="shared" si="393"/>
        <v>2.3953162763512673E-2</v>
      </c>
      <c r="Z293" s="1772">
        <f t="shared" si="289"/>
        <v>0</v>
      </c>
      <c r="AA293" s="87">
        <f t="shared" si="290"/>
        <v>10029083.827930193</v>
      </c>
    </row>
    <row r="294" spans="1:28">
      <c r="A294" s="864">
        <f t="shared" ref="A294:H294" si="397">A128</f>
        <v>2021</v>
      </c>
      <c r="B294" s="62">
        <f t="shared" si="397"/>
        <v>44286</v>
      </c>
      <c r="C294" s="69">
        <f t="shared" si="397"/>
        <v>9788308.2699999996</v>
      </c>
      <c r="D294" s="69">
        <f t="shared" si="397"/>
        <v>5980.15</v>
      </c>
      <c r="E294" s="860">
        <f t="shared" si="397"/>
        <v>0</v>
      </c>
      <c r="F294" s="887">
        <f t="shared" si="397"/>
        <v>0</v>
      </c>
      <c r="G294" s="73">
        <f t="shared" si="397"/>
        <v>0</v>
      </c>
      <c r="H294" s="71">
        <f t="shared" si="397"/>
        <v>9794288.4199999999</v>
      </c>
      <c r="I294" s="259"/>
      <c r="J294" s="345">
        <f t="shared" ref="J294:K294" si="398">J282</f>
        <v>634.18181818181813</v>
      </c>
      <c r="K294" s="345">
        <f t="shared" si="398"/>
        <v>0</v>
      </c>
      <c r="L294" s="322">
        <f t="shared" ref="L294:P294" si="399">L128</f>
        <v>31</v>
      </c>
      <c r="M294" s="150">
        <f t="shared" si="399"/>
        <v>1</v>
      </c>
      <c r="N294" s="322">
        <f t="shared" si="399"/>
        <v>23</v>
      </c>
      <c r="O294" s="841">
        <f t="shared" si="399"/>
        <v>123</v>
      </c>
      <c r="P294" s="841">
        <f t="shared" si="399"/>
        <v>0</v>
      </c>
      <c r="Q294" s="1720">
        <v>1</v>
      </c>
      <c r="V294" s="65">
        <f t="shared" si="288"/>
        <v>10230117.124861784</v>
      </c>
      <c r="W294" s="182">
        <f t="shared" si="391"/>
        <v>435828.70486178435</v>
      </c>
      <c r="X294" s="183">
        <f t="shared" si="392"/>
        <v>4.4498251039025903E-2</v>
      </c>
      <c r="Y294" s="183">
        <f t="shared" si="393"/>
        <v>4.4498251039025903E-2</v>
      </c>
      <c r="Z294" s="1772">
        <f t="shared" si="289"/>
        <v>0</v>
      </c>
      <c r="AA294" s="87">
        <f t="shared" si="290"/>
        <v>10230117.124861784</v>
      </c>
    </row>
    <row r="295" spans="1:28">
      <c r="A295" s="864">
        <f t="shared" ref="A295:H295" si="400">A129</f>
        <v>2021</v>
      </c>
      <c r="B295" s="62">
        <f t="shared" si="400"/>
        <v>44316</v>
      </c>
      <c r="C295" s="69">
        <f t="shared" si="400"/>
        <v>7927583.6500000004</v>
      </c>
      <c r="D295" s="69">
        <f t="shared" si="400"/>
        <v>7745.3</v>
      </c>
      <c r="E295" s="860">
        <f t="shared" si="400"/>
        <v>0</v>
      </c>
      <c r="F295" s="887">
        <f t="shared" si="400"/>
        <v>0</v>
      </c>
      <c r="G295" s="73">
        <f t="shared" si="400"/>
        <v>0</v>
      </c>
      <c r="H295" s="71">
        <f t="shared" si="400"/>
        <v>7935328.9500000002</v>
      </c>
      <c r="I295" s="259"/>
      <c r="J295" s="345">
        <f t="shared" ref="J295:K295" si="401">J283</f>
        <v>376.19090909090914</v>
      </c>
      <c r="K295" s="345">
        <f t="shared" si="401"/>
        <v>0.4</v>
      </c>
      <c r="L295" s="322">
        <f t="shared" ref="L295:P295" si="402">L129</f>
        <v>30</v>
      </c>
      <c r="M295" s="150">
        <f t="shared" si="402"/>
        <v>0</v>
      </c>
      <c r="N295" s="322">
        <f t="shared" si="402"/>
        <v>20</v>
      </c>
      <c r="O295" s="841">
        <f t="shared" si="402"/>
        <v>124</v>
      </c>
      <c r="P295" s="841">
        <f t="shared" si="402"/>
        <v>0</v>
      </c>
      <c r="Q295" s="1720">
        <v>1</v>
      </c>
      <c r="V295" s="65">
        <f t="shared" si="288"/>
        <v>8406438.9414834622</v>
      </c>
      <c r="W295" s="182">
        <f t="shared" si="391"/>
        <v>471109.99148346204</v>
      </c>
      <c r="X295" s="183">
        <f t="shared" si="392"/>
        <v>5.9368678280622762E-2</v>
      </c>
      <c r="Y295" s="183">
        <f t="shared" si="393"/>
        <v>5.9368678280622762E-2</v>
      </c>
      <c r="Z295" s="1772">
        <f t="shared" si="289"/>
        <v>0</v>
      </c>
      <c r="AA295" s="87">
        <f t="shared" si="290"/>
        <v>8406438.9414834622</v>
      </c>
    </row>
    <row r="296" spans="1:28">
      <c r="A296" s="864">
        <f t="shared" ref="A296:H296" si="403">A130</f>
        <v>2021</v>
      </c>
      <c r="B296" s="62">
        <f t="shared" si="403"/>
        <v>44347</v>
      </c>
      <c r="C296" s="69">
        <f t="shared" si="403"/>
        <v>8042340</v>
      </c>
      <c r="D296" s="69">
        <f t="shared" si="403"/>
        <v>10422.049999999999</v>
      </c>
      <c r="E296" s="860">
        <f t="shared" si="403"/>
        <v>0</v>
      </c>
      <c r="F296" s="72">
        <f t="shared" si="403"/>
        <v>0</v>
      </c>
      <c r="G296" s="73">
        <f t="shared" si="403"/>
        <v>0</v>
      </c>
      <c r="H296" s="71">
        <f t="shared" si="403"/>
        <v>8052762.0499999998</v>
      </c>
      <c r="I296" s="259"/>
      <c r="J296" s="345">
        <f t="shared" ref="J296:K296" si="404">J284</f>
        <v>147.39545454545458</v>
      </c>
      <c r="K296" s="345">
        <f t="shared" si="404"/>
        <v>17.336363636363636</v>
      </c>
      <c r="L296" s="322">
        <f t="shared" ref="L296:P296" si="405">L130</f>
        <v>31</v>
      </c>
      <c r="M296" s="150">
        <f t="shared" si="405"/>
        <v>0</v>
      </c>
      <c r="N296" s="322">
        <f t="shared" si="405"/>
        <v>20</v>
      </c>
      <c r="O296" s="841">
        <f t="shared" si="405"/>
        <v>125</v>
      </c>
      <c r="P296" s="841">
        <f t="shared" si="405"/>
        <v>0</v>
      </c>
      <c r="Q296" s="1720">
        <v>1</v>
      </c>
      <c r="V296" s="65">
        <f t="shared" si="288"/>
        <v>7809652.9974805769</v>
      </c>
      <c r="W296" s="182">
        <f t="shared" si="391"/>
        <v>-243109.05251942296</v>
      </c>
      <c r="X296" s="183">
        <f t="shared" si="392"/>
        <v>-3.0189523918619073E-2</v>
      </c>
      <c r="Y296" s="183">
        <f t="shared" si="393"/>
        <v>3.0189523918619073E-2</v>
      </c>
      <c r="Z296" s="1772">
        <f t="shared" si="289"/>
        <v>0</v>
      </c>
      <c r="AA296" s="87">
        <f t="shared" si="290"/>
        <v>7809652.9974805769</v>
      </c>
    </row>
    <row r="297" spans="1:28">
      <c r="A297" s="864">
        <f t="shared" ref="A297:H297" si="406">A131</f>
        <v>2021</v>
      </c>
      <c r="B297" s="62">
        <f t="shared" si="406"/>
        <v>44377</v>
      </c>
      <c r="C297" s="69">
        <f t="shared" si="406"/>
        <v>8737900</v>
      </c>
      <c r="D297" s="69">
        <f t="shared" si="406"/>
        <v>9154.92</v>
      </c>
      <c r="E297" s="860">
        <f t="shared" si="406"/>
        <v>0</v>
      </c>
      <c r="F297" s="72">
        <f t="shared" si="406"/>
        <v>0</v>
      </c>
      <c r="G297" s="73">
        <f t="shared" si="406"/>
        <v>0</v>
      </c>
      <c r="H297" s="71">
        <f t="shared" si="406"/>
        <v>8747054.9199999999</v>
      </c>
      <c r="I297" s="259"/>
      <c r="J297" s="345">
        <f t="shared" ref="J297:K297" si="407">J285</f>
        <v>37.681818181818187</v>
      </c>
      <c r="K297" s="345">
        <f t="shared" si="407"/>
        <v>51.772727272727273</v>
      </c>
      <c r="L297" s="322">
        <f t="shared" ref="L297:P297" si="408">L131</f>
        <v>30</v>
      </c>
      <c r="M297" s="150">
        <f t="shared" si="408"/>
        <v>1</v>
      </c>
      <c r="N297" s="322">
        <f t="shared" si="408"/>
        <v>22</v>
      </c>
      <c r="O297" s="841">
        <f t="shared" si="408"/>
        <v>126</v>
      </c>
      <c r="P297" s="841">
        <f t="shared" si="408"/>
        <v>0</v>
      </c>
      <c r="Q297" s="1720">
        <v>1</v>
      </c>
      <c r="V297" s="65">
        <f t="shared" si="288"/>
        <v>8165941.0358387884</v>
      </c>
      <c r="W297" s="182">
        <f t="shared" si="391"/>
        <v>-581113.88416121155</v>
      </c>
      <c r="X297" s="183">
        <f t="shared" si="392"/>
        <v>-6.6435376189590861E-2</v>
      </c>
      <c r="Y297" s="183">
        <f t="shared" si="393"/>
        <v>6.6435376189590861E-2</v>
      </c>
      <c r="Z297" s="1772">
        <f t="shared" si="289"/>
        <v>0</v>
      </c>
      <c r="AA297" s="87">
        <f t="shared" si="290"/>
        <v>8165941.0358387884</v>
      </c>
    </row>
    <row r="298" spans="1:28">
      <c r="A298" s="864">
        <f t="shared" ref="A298:H298" si="409">A132</f>
        <v>2021</v>
      </c>
      <c r="B298" s="62">
        <f t="shared" si="409"/>
        <v>44408</v>
      </c>
      <c r="C298" s="69">
        <f t="shared" si="409"/>
        <v>8943567.3800000008</v>
      </c>
      <c r="D298" s="69">
        <f t="shared" si="409"/>
        <v>8250.8799999999992</v>
      </c>
      <c r="E298" s="860">
        <f t="shared" si="409"/>
        <v>0</v>
      </c>
      <c r="F298" s="72">
        <f t="shared" si="409"/>
        <v>0</v>
      </c>
      <c r="G298" s="73">
        <f t="shared" si="409"/>
        <v>0</v>
      </c>
      <c r="H298" s="71">
        <f t="shared" si="409"/>
        <v>8951818.2600000016</v>
      </c>
      <c r="I298" s="259"/>
      <c r="J298" s="345">
        <f t="shared" ref="J298:K298" si="410">J286</f>
        <v>4.5545454545454538</v>
      </c>
      <c r="K298" s="345">
        <f t="shared" si="410"/>
        <v>116.1</v>
      </c>
      <c r="L298" s="322">
        <f t="shared" ref="L298:P298" si="411">L132</f>
        <v>31</v>
      </c>
      <c r="M298" s="150">
        <f t="shared" si="411"/>
        <v>1</v>
      </c>
      <c r="N298" s="322">
        <f t="shared" si="411"/>
        <v>21</v>
      </c>
      <c r="O298" s="841">
        <f t="shared" si="411"/>
        <v>127</v>
      </c>
      <c r="P298" s="841">
        <f t="shared" si="411"/>
        <v>0</v>
      </c>
      <c r="Q298" s="1720">
        <v>1</v>
      </c>
      <c r="V298" s="65">
        <f t="shared" si="288"/>
        <v>9087614.3348574974</v>
      </c>
      <c r="W298" s="182">
        <f t="shared" si="391"/>
        <v>135796.07485749573</v>
      </c>
      <c r="X298" s="183">
        <f t="shared" si="392"/>
        <v>1.5169663962491538E-2</v>
      </c>
      <c r="Y298" s="183">
        <f t="shared" si="393"/>
        <v>1.5169663962491538E-2</v>
      </c>
      <c r="Z298" s="1772">
        <f t="shared" si="289"/>
        <v>0</v>
      </c>
      <c r="AA298" s="87">
        <f t="shared" si="290"/>
        <v>9087614.3348574974</v>
      </c>
    </row>
    <row r="299" spans="1:28">
      <c r="A299" s="864">
        <f t="shared" ref="A299:H299" si="412">A133</f>
        <v>2021</v>
      </c>
      <c r="B299" s="62">
        <f t="shared" si="412"/>
        <v>44439</v>
      </c>
      <c r="C299" s="69">
        <f t="shared" si="412"/>
        <v>10027303.539999999</v>
      </c>
      <c r="D299" s="69">
        <f t="shared" si="412"/>
        <v>8439.5300000000007</v>
      </c>
      <c r="E299" s="860">
        <f t="shared" si="412"/>
        <v>0</v>
      </c>
      <c r="F299" s="72">
        <f t="shared" si="412"/>
        <v>0</v>
      </c>
      <c r="G299" s="73">
        <f t="shared" si="412"/>
        <v>0</v>
      </c>
      <c r="H299" s="71">
        <f t="shared" si="412"/>
        <v>10035743.069999998</v>
      </c>
      <c r="I299" s="259"/>
      <c r="J299" s="345">
        <f t="shared" ref="J299:K299" si="413">J287</f>
        <v>10.836363636363636</v>
      </c>
      <c r="K299" s="345">
        <f t="shared" si="413"/>
        <v>82.954545454545453</v>
      </c>
      <c r="L299" s="322">
        <f t="shared" ref="L299:P299" si="414">L133</f>
        <v>31</v>
      </c>
      <c r="M299" s="150">
        <f t="shared" si="414"/>
        <v>1</v>
      </c>
      <c r="N299" s="322">
        <f t="shared" si="414"/>
        <v>21</v>
      </c>
      <c r="O299" s="841">
        <f t="shared" si="414"/>
        <v>128</v>
      </c>
      <c r="P299" s="841">
        <f t="shared" si="414"/>
        <v>1</v>
      </c>
      <c r="Q299" s="1720">
        <v>1</v>
      </c>
      <c r="V299" s="65">
        <f t="shared" si="288"/>
        <v>9024488.5285498612</v>
      </c>
      <c r="W299" s="182">
        <f t="shared" si="391"/>
        <v>-1011254.5414501373</v>
      </c>
      <c r="X299" s="183">
        <f t="shared" si="392"/>
        <v>-0.10076528807050632</v>
      </c>
      <c r="Y299" s="183">
        <f t="shared" si="393"/>
        <v>0.10076528807050632</v>
      </c>
      <c r="Z299" s="1772">
        <f t="shared" si="289"/>
        <v>0</v>
      </c>
      <c r="AA299" s="87">
        <f t="shared" si="290"/>
        <v>9024488.5285498612</v>
      </c>
    </row>
    <row r="300" spans="1:28">
      <c r="A300" s="864">
        <f t="shared" ref="A300:H300" si="415">A134</f>
        <v>2021</v>
      </c>
      <c r="B300" s="62">
        <f t="shared" si="415"/>
        <v>44469</v>
      </c>
      <c r="C300" s="69">
        <f t="shared" si="415"/>
        <v>8054741.79</v>
      </c>
      <c r="D300" s="69">
        <f t="shared" si="415"/>
        <v>6534.67</v>
      </c>
      <c r="E300" s="860">
        <f t="shared" si="415"/>
        <v>0</v>
      </c>
      <c r="F300" s="72">
        <f t="shared" si="415"/>
        <v>0</v>
      </c>
      <c r="G300" s="73">
        <f t="shared" si="415"/>
        <v>0</v>
      </c>
      <c r="H300" s="71">
        <f t="shared" si="415"/>
        <v>8061276.46</v>
      </c>
      <c r="I300" s="259"/>
      <c r="J300" s="345">
        <f t="shared" ref="J300:K300" si="416">J288</f>
        <v>93.481818181818198</v>
      </c>
      <c r="K300" s="345">
        <f t="shared" si="416"/>
        <v>25.536363636363639</v>
      </c>
      <c r="L300" s="322">
        <f t="shared" ref="L300:P300" si="417">L134</f>
        <v>30</v>
      </c>
      <c r="M300" s="150">
        <f t="shared" si="417"/>
        <v>1</v>
      </c>
      <c r="N300" s="322">
        <f t="shared" si="417"/>
        <v>21</v>
      </c>
      <c r="O300" s="841">
        <f t="shared" si="417"/>
        <v>129</v>
      </c>
      <c r="P300" s="841">
        <f t="shared" si="417"/>
        <v>0</v>
      </c>
      <c r="Q300" s="1720">
        <v>1</v>
      </c>
      <c r="V300" s="65">
        <f t="shared" si="288"/>
        <v>7927491.7687287182</v>
      </c>
      <c r="W300" s="182">
        <f t="shared" si="391"/>
        <v>-133784.6912712818</v>
      </c>
      <c r="X300" s="183">
        <f t="shared" si="392"/>
        <v>-1.6595968632898344E-2</v>
      </c>
      <c r="Y300" s="183">
        <f t="shared" si="393"/>
        <v>1.6595968632898344E-2</v>
      </c>
      <c r="Z300" s="1772">
        <f t="shared" si="289"/>
        <v>0</v>
      </c>
      <c r="AA300" s="87">
        <f t="shared" si="290"/>
        <v>7927491.7687287182</v>
      </c>
    </row>
    <row r="301" spans="1:28">
      <c r="A301" s="864">
        <f t="shared" ref="A301:H301" si="418">A135</f>
        <v>2021</v>
      </c>
      <c r="B301" s="62">
        <f t="shared" si="418"/>
        <v>44500</v>
      </c>
      <c r="C301" s="69">
        <f t="shared" si="418"/>
        <v>8075869</v>
      </c>
      <c r="D301" s="69">
        <f t="shared" si="418"/>
        <v>4121.78</v>
      </c>
      <c r="E301" s="860">
        <f t="shared" si="418"/>
        <v>0</v>
      </c>
      <c r="F301" s="885">
        <f t="shared" si="418"/>
        <v>0</v>
      </c>
      <c r="G301" s="73">
        <f t="shared" si="418"/>
        <v>0</v>
      </c>
      <c r="H301" s="71">
        <f t="shared" si="418"/>
        <v>8079990.7800000003</v>
      </c>
      <c r="I301" s="259"/>
      <c r="J301" s="345">
        <f t="shared" ref="J301:K301" si="419">J289</f>
        <v>276.59632529608206</v>
      </c>
      <c r="K301" s="345">
        <f t="shared" si="419"/>
        <v>0.63636363636363635</v>
      </c>
      <c r="L301" s="322">
        <f t="shared" ref="L301:P301" si="420">L135</f>
        <v>31</v>
      </c>
      <c r="M301" s="150">
        <f t="shared" si="420"/>
        <v>0</v>
      </c>
      <c r="N301" s="322">
        <f t="shared" si="420"/>
        <v>20</v>
      </c>
      <c r="O301" s="841">
        <f t="shared" si="420"/>
        <v>130</v>
      </c>
      <c r="P301" s="841">
        <f t="shared" si="420"/>
        <v>0</v>
      </c>
      <c r="Q301" s="1720">
        <v>1</v>
      </c>
      <c r="V301" s="65">
        <f t="shared" ref="V301:V303" si="421">$AC$21+J301*$AC$22+K301*$AC$23+L301*$AC$24+M301*$AC$25+N301*$AC$26+O301*$AC$27+P301*$AC$28+Q301*$AC$29</f>
        <v>8070681.2454658151</v>
      </c>
      <c r="W301" s="182">
        <f t="shared" si="391"/>
        <v>-9309.5345341851935</v>
      </c>
      <c r="X301" s="183">
        <f t="shared" si="392"/>
        <v>-1.15217143034725E-3</v>
      </c>
      <c r="Y301" s="183">
        <f t="shared" si="393"/>
        <v>1.15217143034725E-3</v>
      </c>
      <c r="Z301" s="1772">
        <f t="shared" ref="Z301:Z303" si="422">-V301/H301*G301</f>
        <v>0</v>
      </c>
      <c r="AA301" s="87">
        <f t="shared" ref="AA301:AA303" si="423">V301+Z301</f>
        <v>8070681.2454658151</v>
      </c>
    </row>
    <row r="302" spans="1:28">
      <c r="A302" s="864">
        <f t="shared" ref="A302:H302" si="424">A136</f>
        <v>2021</v>
      </c>
      <c r="B302" s="62">
        <f t="shared" si="424"/>
        <v>44530</v>
      </c>
      <c r="C302" s="69">
        <f t="shared" si="424"/>
        <v>9085638.8699999992</v>
      </c>
      <c r="D302" s="69">
        <f t="shared" si="424"/>
        <v>3482.5299999999997</v>
      </c>
      <c r="E302" s="860">
        <f t="shared" si="424"/>
        <v>0</v>
      </c>
      <c r="F302" s="885">
        <f t="shared" si="424"/>
        <v>0</v>
      </c>
      <c r="G302" s="73">
        <f t="shared" si="424"/>
        <v>0</v>
      </c>
      <c r="H302" s="71">
        <f t="shared" si="424"/>
        <v>9089121.3999999985</v>
      </c>
      <c r="I302" s="259"/>
      <c r="J302" s="345">
        <f t="shared" ref="J302:K302" si="425">J290</f>
        <v>506.81818181818181</v>
      </c>
      <c r="K302" s="345">
        <f t="shared" si="425"/>
        <v>0</v>
      </c>
      <c r="L302" s="322">
        <f t="shared" ref="L302:P302" si="426">L136</f>
        <v>30</v>
      </c>
      <c r="M302" s="150">
        <f t="shared" si="426"/>
        <v>0</v>
      </c>
      <c r="N302" s="322">
        <f t="shared" si="426"/>
        <v>22</v>
      </c>
      <c r="O302" s="841">
        <f t="shared" si="426"/>
        <v>131</v>
      </c>
      <c r="P302" s="841">
        <f t="shared" si="426"/>
        <v>0</v>
      </c>
      <c r="Q302" s="1720">
        <v>1</v>
      </c>
      <c r="V302" s="65">
        <f t="shared" si="421"/>
        <v>9009359.0348336268</v>
      </c>
      <c r="W302" s="182">
        <f t="shared" si="391"/>
        <v>-79762.365166371688</v>
      </c>
      <c r="X302" s="183">
        <f t="shared" si="392"/>
        <v>-8.7755858521563705E-3</v>
      </c>
      <c r="Y302" s="183">
        <f t="shared" si="393"/>
        <v>8.7755858521563705E-3</v>
      </c>
      <c r="Z302" s="1772">
        <f t="shared" si="422"/>
        <v>0</v>
      </c>
      <c r="AA302" s="87">
        <f t="shared" si="423"/>
        <v>9009359.0348336268</v>
      </c>
    </row>
    <row r="303" spans="1:28">
      <c r="A303" s="866">
        <f t="shared" ref="A303:H303" si="427">A137</f>
        <v>2021</v>
      </c>
      <c r="B303" s="694">
        <f t="shared" si="427"/>
        <v>44561</v>
      </c>
      <c r="C303" s="862">
        <f t="shared" si="427"/>
        <v>10218754</v>
      </c>
      <c r="D303" s="862">
        <f t="shared" si="427"/>
        <v>1783.16</v>
      </c>
      <c r="E303" s="862">
        <f t="shared" si="427"/>
        <v>0</v>
      </c>
      <c r="F303" s="958">
        <f t="shared" si="427"/>
        <v>0</v>
      </c>
      <c r="G303" s="696">
        <f t="shared" si="427"/>
        <v>0</v>
      </c>
      <c r="H303" s="695">
        <f t="shared" si="427"/>
        <v>10220537.16</v>
      </c>
      <c r="I303" s="697"/>
      <c r="J303" s="855">
        <f t="shared" ref="J303:K303" si="428">J291</f>
        <v>720.0090909090909</v>
      </c>
      <c r="K303" s="851">
        <f t="shared" si="428"/>
        <v>0</v>
      </c>
      <c r="L303" s="699">
        <f t="shared" ref="L303:P303" si="429">L137</f>
        <v>31</v>
      </c>
      <c r="M303" s="698">
        <f t="shared" si="429"/>
        <v>1</v>
      </c>
      <c r="N303" s="699">
        <f t="shared" si="429"/>
        <v>21</v>
      </c>
      <c r="O303" s="844">
        <f t="shared" si="429"/>
        <v>132</v>
      </c>
      <c r="P303" s="844">
        <f t="shared" si="429"/>
        <v>0</v>
      </c>
      <c r="Q303" s="1721">
        <v>1</v>
      </c>
      <c r="V303" s="65">
        <f t="shared" si="421"/>
        <v>10405031.399370471</v>
      </c>
      <c r="W303" s="852">
        <f t="shared" si="391"/>
        <v>184494.23937047087</v>
      </c>
      <c r="X303" s="704">
        <f t="shared" si="392"/>
        <v>1.805132513900775E-2</v>
      </c>
      <c r="Y303" s="704">
        <f t="shared" si="393"/>
        <v>1.805132513900775E-2</v>
      </c>
      <c r="Z303" s="1772">
        <f t="shared" si="422"/>
        <v>0</v>
      </c>
      <c r="AA303" s="87">
        <f t="shared" si="423"/>
        <v>10405031.399370471</v>
      </c>
    </row>
    <row r="304" spans="1:28">
      <c r="Q304" s="1720">
        <v>0</v>
      </c>
    </row>
    <row r="305" spans="17:17">
      <c r="Q305" s="1720">
        <v>0</v>
      </c>
    </row>
    <row r="306" spans="17:17">
      <c r="Q306" s="1720">
        <v>0</v>
      </c>
    </row>
    <row r="307" spans="17:17">
      <c r="Q307" s="1720">
        <v>0</v>
      </c>
    </row>
    <row r="308" spans="17:17">
      <c r="Q308" s="1720">
        <v>0</v>
      </c>
    </row>
    <row r="309" spans="17:17">
      <c r="Q309" s="1720">
        <v>0</v>
      </c>
    </row>
    <row r="310" spans="17:17">
      <c r="Q310" s="1720">
        <v>0</v>
      </c>
    </row>
    <row r="311" spans="17:17">
      <c r="Q311" s="1720">
        <v>0</v>
      </c>
    </row>
    <row r="312" spans="17:17">
      <c r="Q312" s="1720">
        <v>0</v>
      </c>
    </row>
    <row r="313" spans="17:17">
      <c r="Q313" s="1720">
        <v>0</v>
      </c>
    </row>
    <row r="314" spans="17:17">
      <c r="Q314" s="1720">
        <v>0</v>
      </c>
    </row>
    <row r="315" spans="17:17">
      <c r="Q315" s="1721">
        <v>0</v>
      </c>
    </row>
  </sheetData>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39997558519241921"/>
    <pageSetUpPr fitToPage="1"/>
  </sheetPr>
  <dimension ref="A1:AR102"/>
  <sheetViews>
    <sheetView zoomScaleNormal="100" workbookViewId="0">
      <pane xSplit="1" ySplit="2" topLeftCell="B3" activePane="bottomRight" state="frozenSplit"/>
      <selection pane="topRight" activeCell="B1" sqref="B1"/>
      <selection pane="bottomLeft" activeCell="A3" sqref="A3"/>
      <selection pane="bottomRight" activeCell="E38" sqref="E38"/>
    </sheetView>
  </sheetViews>
  <sheetFormatPr defaultColWidth="9.109375" defaultRowHeight="13.2"/>
  <cols>
    <col min="1" max="1" width="8.44140625" style="158" customWidth="1"/>
    <col min="2" max="2" width="15" style="170" bestFit="1" customWidth="1"/>
    <col min="3" max="3" width="11.5546875" style="163" customWidth="1"/>
    <col min="4" max="4" width="14.5546875" style="163" customWidth="1"/>
    <col min="5" max="5" width="15.44140625" style="163" customWidth="1"/>
    <col min="6" max="6" width="15.109375" style="163" customWidth="1"/>
    <col min="7" max="7" width="14.6640625" style="163" customWidth="1"/>
    <col min="8" max="8" width="16.44140625" style="163" customWidth="1"/>
    <col min="9" max="12" width="12.6640625" style="163" customWidth="1"/>
    <col min="13" max="13" width="16.109375" style="163" customWidth="1"/>
    <col min="14" max="14" width="12.6640625" style="158" customWidth="1"/>
    <col min="15" max="15" width="11.6640625" style="158" customWidth="1"/>
    <col min="16" max="17" width="10.109375" style="158" customWidth="1"/>
    <col min="18" max="18" width="9.109375" style="158" customWidth="1"/>
    <col min="19" max="16384" width="9.109375" style="158"/>
  </cols>
  <sheetData>
    <row r="1" spans="1:26" ht="22.5" customHeight="1" thickBot="1">
      <c r="C1" s="159" t="s">
        <v>0</v>
      </c>
      <c r="D1" s="160"/>
      <c r="E1" s="161" t="s">
        <v>158</v>
      </c>
      <c r="F1" s="162"/>
      <c r="G1" s="162"/>
      <c r="H1" s="162"/>
      <c r="I1" s="162"/>
      <c r="J1" s="162"/>
      <c r="L1" s="167"/>
      <c r="M1" s="1061"/>
      <c r="N1" s="163"/>
      <c r="O1" s="163"/>
    </row>
    <row r="2" spans="1:26" ht="29.25" customHeight="1">
      <c r="B2" s="158" t="s">
        <v>500</v>
      </c>
      <c r="C2" s="158" t="s">
        <v>504</v>
      </c>
      <c r="D2" s="217" t="s">
        <v>11</v>
      </c>
      <c r="E2" s="217" t="s">
        <v>1</v>
      </c>
      <c r="F2" s="250" t="s">
        <v>110</v>
      </c>
      <c r="G2" s="250" t="s">
        <v>249</v>
      </c>
      <c r="H2" s="217" t="s">
        <v>179</v>
      </c>
      <c r="I2" s="217" t="s">
        <v>159</v>
      </c>
      <c r="J2" s="250" t="s">
        <v>2</v>
      </c>
      <c r="K2" s="158"/>
      <c r="L2" s="167"/>
      <c r="M2" s="1061"/>
    </row>
    <row r="3" spans="1:26">
      <c r="A3" s="880" t="str">
        <f>'Purchased Power Model No CDM'!AB38</f>
        <v>2011</v>
      </c>
      <c r="B3" s="195">
        <f>SUMIF('Purchased Power Model No CDM'!$A$6:$A$149,A3,'Purchased Power Model No CDM'!$C$6:$C$149)</f>
        <v>117969322</v>
      </c>
      <c r="C3" s="165">
        <f t="shared" ref="C3:C13" si="0">B3/D3</f>
        <v>1.0841704325347474</v>
      </c>
      <c r="D3" s="166">
        <f>SUM(E3:J3)</f>
        <v>108810680</v>
      </c>
      <c r="E3" s="192">
        <v>43287278</v>
      </c>
      <c r="F3" s="193">
        <v>20434679</v>
      </c>
      <c r="G3" s="193">
        <v>43031208</v>
      </c>
      <c r="H3" s="193">
        <v>1453874</v>
      </c>
      <c r="I3" s="193">
        <v>108262</v>
      </c>
      <c r="J3" s="194">
        <v>495379</v>
      </c>
      <c r="L3" s="167"/>
      <c r="M3" s="1061"/>
      <c r="N3" s="514"/>
      <c r="O3" s="514"/>
      <c r="P3" s="514"/>
      <c r="Q3" s="514"/>
      <c r="R3" s="514"/>
      <c r="S3" s="514"/>
    </row>
    <row r="4" spans="1:26">
      <c r="A4" s="880" t="str">
        <f>'Purchased Power Model No CDM'!AB39</f>
        <v>2012</v>
      </c>
      <c r="B4" s="195">
        <f>SUMIF('Purchased Power Model No CDM'!$A$6:$A$149,A4,'Purchased Power Model No CDM'!$C$6:$C$149)</f>
        <v>115215976</v>
      </c>
      <c r="C4" s="165">
        <f t="shared" si="0"/>
        <v>1.0828823507800245</v>
      </c>
      <c r="D4" s="166">
        <f t="shared" ref="D4:D13" si="1">SUM(E4:J4)</f>
        <v>106397501</v>
      </c>
      <c r="E4" s="192">
        <v>42116982</v>
      </c>
      <c r="F4" s="193">
        <v>19669183</v>
      </c>
      <c r="G4" s="193">
        <v>42549997</v>
      </c>
      <c r="H4" s="193">
        <v>1453808</v>
      </c>
      <c r="I4" s="193">
        <v>108266</v>
      </c>
      <c r="J4" s="194">
        <v>499265</v>
      </c>
      <c r="L4" s="167"/>
      <c r="M4" s="1061"/>
      <c r="N4" s="514"/>
      <c r="O4" s="514"/>
      <c r="P4" s="514"/>
      <c r="Q4" s="514"/>
      <c r="R4" s="514"/>
      <c r="S4" s="514"/>
    </row>
    <row r="5" spans="1:26">
      <c r="A5" s="880" t="str">
        <f>'Purchased Power Model No CDM'!AB40</f>
        <v>2013</v>
      </c>
      <c r="B5" s="195">
        <f>SUMIF('Purchased Power Model No CDM'!$A$6:$A$149,A5,'Purchased Power Model No CDM'!$C$6:$C$149)</f>
        <v>116534650</v>
      </c>
      <c r="C5" s="165">
        <f t="shared" si="0"/>
        <v>1.0871478263900263</v>
      </c>
      <c r="D5" s="166">
        <f t="shared" si="1"/>
        <v>107193012</v>
      </c>
      <c r="E5" s="192">
        <v>42764838</v>
      </c>
      <c r="F5" s="193">
        <v>20094189</v>
      </c>
      <c r="G5" s="193">
        <v>42246503</v>
      </c>
      <c r="H5" s="193">
        <v>1447303</v>
      </c>
      <c r="I5" s="193">
        <v>108281</v>
      </c>
      <c r="J5" s="194">
        <v>531898</v>
      </c>
      <c r="L5" s="167"/>
      <c r="M5" s="1061"/>
      <c r="N5" s="514"/>
      <c r="O5" s="514"/>
      <c r="P5" s="514"/>
      <c r="Q5" s="514"/>
      <c r="R5" s="514"/>
      <c r="S5" s="514"/>
    </row>
    <row r="6" spans="1:26">
      <c r="A6" s="880" t="str">
        <f>'Purchased Power Model No CDM'!AB41</f>
        <v>2014</v>
      </c>
      <c r="B6" s="195">
        <f>SUMIF('Purchased Power Model No CDM'!$A$6:$A$149,A6,'Purchased Power Model No CDM'!$C$6:$C$149)</f>
        <v>115878630</v>
      </c>
      <c r="C6" s="165">
        <f t="shared" si="0"/>
        <v>1.0770089961520823</v>
      </c>
      <c r="D6" s="166">
        <f t="shared" si="1"/>
        <v>107593001</v>
      </c>
      <c r="E6" s="192">
        <v>42272228</v>
      </c>
      <c r="F6" s="193">
        <v>20739791</v>
      </c>
      <c r="G6" s="193">
        <v>42584416</v>
      </c>
      <c r="H6" s="193">
        <v>1321505</v>
      </c>
      <c r="I6" s="193">
        <v>109302</v>
      </c>
      <c r="J6" s="194">
        <v>565759</v>
      </c>
      <c r="L6" s="167"/>
      <c r="M6" s="1061"/>
      <c r="N6" s="514"/>
      <c r="O6" s="514"/>
      <c r="P6" s="514"/>
      <c r="Q6" s="514"/>
      <c r="R6" s="514"/>
      <c r="S6" s="514"/>
    </row>
    <row r="7" spans="1:26">
      <c r="A7" s="880" t="str">
        <f>'Purchased Power Model No CDM'!AB42</f>
        <v>2015</v>
      </c>
      <c r="B7" s="195">
        <f>SUMIF('Purchased Power Model No CDM'!$A$6:$A$149,A7,'Purchased Power Model No CDM'!$C$6:$C$149)</f>
        <v>112605313.95</v>
      </c>
      <c r="C7" s="165">
        <f t="shared" si="0"/>
        <v>1.0805068377220113</v>
      </c>
      <c r="D7" s="166">
        <f t="shared" si="1"/>
        <v>104215271.962</v>
      </c>
      <c r="E7" s="192">
        <v>40938310.960000001</v>
      </c>
      <c r="F7" s="193">
        <v>20653133.002</v>
      </c>
      <c r="G7" s="193">
        <v>40918077</v>
      </c>
      <c r="H7" s="193">
        <v>1052678</v>
      </c>
      <c r="I7" s="193">
        <v>109502</v>
      </c>
      <c r="J7" s="194">
        <v>543571</v>
      </c>
      <c r="L7" s="167"/>
      <c r="M7" s="1061"/>
      <c r="N7" s="514"/>
      <c r="O7" s="514"/>
      <c r="P7" s="514"/>
      <c r="Q7" s="514"/>
      <c r="R7" s="514"/>
      <c r="S7" s="514"/>
    </row>
    <row r="8" spans="1:26">
      <c r="A8" s="880" t="str">
        <f>'Purchased Power Model No CDM'!AB43</f>
        <v>2016</v>
      </c>
      <c r="B8" s="195">
        <f>SUMIF('Purchased Power Model No CDM'!$A$6:$A$149,A8,'Purchased Power Model No CDM'!$C$6:$C$149)</f>
        <v>109654088.34999999</v>
      </c>
      <c r="C8" s="165">
        <f t="shared" si="0"/>
        <v>1.0780944896630682</v>
      </c>
      <c r="D8" s="166">
        <f t="shared" si="1"/>
        <v>101711018.28400001</v>
      </c>
      <c r="E8" s="192">
        <v>40480043.329000004</v>
      </c>
      <c r="F8" s="193">
        <v>20348622.955000002</v>
      </c>
      <c r="G8" s="193">
        <v>39456019</v>
      </c>
      <c r="H8" s="193">
        <v>773158</v>
      </c>
      <c r="I8" s="193">
        <v>106791</v>
      </c>
      <c r="J8" s="194">
        <v>546384</v>
      </c>
      <c r="L8" s="167"/>
      <c r="M8" s="1061"/>
      <c r="N8" s="514"/>
      <c r="O8" s="514"/>
      <c r="P8" s="514"/>
      <c r="Q8" s="514"/>
      <c r="R8" s="514"/>
      <c r="S8" s="514"/>
    </row>
    <row r="9" spans="1:26">
      <c r="A9" s="880" t="str">
        <f>'Purchased Power Model No CDM'!AB44</f>
        <v>2017</v>
      </c>
      <c r="B9" s="195">
        <f>SUMIF('Purchased Power Model No CDM'!$A$6:$A$149,A9,'Purchased Power Model No CDM'!$C$6:$C$149)</f>
        <v>107118589</v>
      </c>
      <c r="C9" s="165">
        <f t="shared" si="0"/>
        <v>1.0837760152319693</v>
      </c>
      <c r="D9" s="166">
        <f t="shared" si="1"/>
        <v>98838309.294999987</v>
      </c>
      <c r="E9" s="192">
        <v>39379535.354999997</v>
      </c>
      <c r="F9" s="193">
        <v>19816422.939999998</v>
      </c>
      <c r="G9" s="193">
        <v>38286678</v>
      </c>
      <c r="H9" s="193">
        <v>716670</v>
      </c>
      <c r="I9" s="193">
        <v>99906</v>
      </c>
      <c r="J9" s="194">
        <v>539097</v>
      </c>
      <c r="L9" s="167"/>
      <c r="M9" s="1061"/>
      <c r="N9" s="514"/>
      <c r="O9" s="514"/>
      <c r="P9" s="514"/>
      <c r="Q9" s="514"/>
      <c r="R9" s="514"/>
      <c r="S9" s="514"/>
    </row>
    <row r="10" spans="1:26">
      <c r="A10" s="880" t="str">
        <f>'Purchased Power Model No CDM'!AB45</f>
        <v>2018</v>
      </c>
      <c r="B10" s="195">
        <f>SUMIF('Purchased Power Model No CDM'!$A$6:$A$149,A10,'Purchased Power Model No CDM'!$C$6:$C$149)</f>
        <v>110214244.34999999</v>
      </c>
      <c r="C10" s="165">
        <f t="shared" si="0"/>
        <v>1.0821377171432705</v>
      </c>
      <c r="D10" s="166">
        <f>SUM(E10:J10)</f>
        <v>101848630.358208</v>
      </c>
      <c r="E10" s="192">
        <v>42538788.821000002</v>
      </c>
      <c r="F10" s="193">
        <v>20252448.662</v>
      </c>
      <c r="G10" s="193">
        <v>37703866.302273989</v>
      </c>
      <c r="H10" s="193">
        <v>714488.57293399889</v>
      </c>
      <c r="I10" s="193">
        <v>97401</v>
      </c>
      <c r="J10" s="194">
        <v>541637</v>
      </c>
      <c r="L10" s="167"/>
      <c r="M10" s="1061"/>
      <c r="N10" s="514"/>
      <c r="O10" s="514"/>
      <c r="P10" s="514"/>
      <c r="Q10" s="514"/>
      <c r="R10" s="514"/>
      <c r="S10" s="514"/>
    </row>
    <row r="11" spans="1:26">
      <c r="A11" s="880" t="str">
        <f>'Purchased Power Model No CDM'!AB46</f>
        <v>2019</v>
      </c>
      <c r="B11" s="195">
        <f>SUMIF('Purchased Power Model No CDM'!$A$6:$A$149,A11,'Purchased Power Model No CDM'!$C$6:$C$149)</f>
        <v>108677810.90000001</v>
      </c>
      <c r="C11" s="165">
        <f t="shared" si="0"/>
        <v>1.084402270377784</v>
      </c>
      <c r="D11" s="166">
        <f t="shared" si="1"/>
        <v>100219092</v>
      </c>
      <c r="E11" s="192">
        <v>42182601</v>
      </c>
      <c r="F11" s="193">
        <v>19700297</v>
      </c>
      <c r="G11" s="193">
        <v>37004001</v>
      </c>
      <c r="H11" s="193">
        <v>691963</v>
      </c>
      <c r="I11" s="193">
        <v>98084</v>
      </c>
      <c r="J11" s="194">
        <v>542146</v>
      </c>
      <c r="L11" s="167"/>
      <c r="M11" s="1061"/>
      <c r="N11" s="514"/>
      <c r="O11" s="514"/>
      <c r="P11" s="514"/>
      <c r="Q11" s="514"/>
      <c r="R11" s="514"/>
      <c r="S11" s="514"/>
    </row>
    <row r="12" spans="1:26">
      <c r="A12" s="880" t="str">
        <f>'Purchased Power Model No CDM'!AB47</f>
        <v>2020</v>
      </c>
      <c r="B12" s="195">
        <f>SUMIF('Purchased Power Model No CDM'!$A$6:$A$149,A12,'Purchased Power Model No CDM'!$C$6:$C$149)</f>
        <v>108412539.53</v>
      </c>
      <c r="C12" s="165">
        <f t="shared" si="0"/>
        <v>1.0894402294594179</v>
      </c>
      <c r="D12" s="564">
        <f t="shared" si="1"/>
        <v>99512150</v>
      </c>
      <c r="E12" s="192">
        <v>43593897</v>
      </c>
      <c r="F12" s="193">
        <v>18533558</v>
      </c>
      <c r="G12" s="193">
        <v>36107964</v>
      </c>
      <c r="H12" s="193">
        <v>644755</v>
      </c>
      <c r="I12" s="193">
        <v>96660</v>
      </c>
      <c r="J12" s="194">
        <v>535316</v>
      </c>
      <c r="L12" s="167"/>
      <c r="M12" s="1061"/>
      <c r="N12" s="514"/>
      <c r="O12" s="514"/>
      <c r="P12" s="514"/>
      <c r="Q12" s="514"/>
      <c r="R12" s="514"/>
      <c r="S12" s="514"/>
    </row>
    <row r="13" spans="1:26">
      <c r="A13" s="880" t="str">
        <f>'Purchased Power Model No CDM'!AB48</f>
        <v>2021</v>
      </c>
      <c r="B13" s="195">
        <f>SUMIF('Purchased Power Model No CDM'!$A$6:$A$149,A13,'Purchased Power Model No CDM'!$C$6:$C$149)</f>
        <v>109194031.74000002</v>
      </c>
      <c r="C13" s="165">
        <f t="shared" si="0"/>
        <v>1.0868059634590692</v>
      </c>
      <c r="D13" s="564">
        <f t="shared" si="1"/>
        <v>100472426</v>
      </c>
      <c r="E13" s="192">
        <v>43612856</v>
      </c>
      <c r="F13" s="193">
        <v>17739759</v>
      </c>
      <c r="G13" s="193">
        <v>37832568</v>
      </c>
      <c r="H13" s="193">
        <v>643596</v>
      </c>
      <c r="I13" s="193">
        <v>88607</v>
      </c>
      <c r="J13" s="194">
        <v>555040</v>
      </c>
      <c r="K13" s="180">
        <f>SUM(E13:J13)-D13</f>
        <v>0</v>
      </c>
      <c r="L13" s="167"/>
      <c r="M13" s="1061"/>
      <c r="N13" s="514"/>
      <c r="O13" s="514"/>
      <c r="P13" s="514"/>
      <c r="Q13" s="514"/>
      <c r="R13" s="514"/>
      <c r="S13" s="514"/>
    </row>
    <row r="14" spans="1:26">
      <c r="A14" s="880" t="str">
        <f>'Purchased Power Model No CDM'!AB49</f>
        <v>2022</v>
      </c>
      <c r="B14" s="1353">
        <f>'Purchased Power Model No CDM'!AC49</f>
        <v>103699020.77285595</v>
      </c>
      <c r="C14" s="1038">
        <f>C18</f>
        <v>1.0852999999999999</v>
      </c>
      <c r="D14" s="1033">
        <f>B14/C14</f>
        <v>95548715.353225797</v>
      </c>
      <c r="E14" s="1036">
        <f>E79</f>
        <v>40152604.799600743</v>
      </c>
      <c r="F14" s="1036">
        <f t="shared" ref="F14:J14" si="2">F79</f>
        <v>18422392.908433612</v>
      </c>
      <c r="G14" s="1036">
        <f t="shared" si="2"/>
        <v>35686578.685481668</v>
      </c>
      <c r="H14" s="1036">
        <f t="shared" si="2"/>
        <v>643596</v>
      </c>
      <c r="I14" s="1036">
        <f t="shared" si="2"/>
        <v>85699.641303017532</v>
      </c>
      <c r="J14" s="1037">
        <f t="shared" si="2"/>
        <v>557843.31840674079</v>
      </c>
      <c r="K14" s="180">
        <f>SUM(E14:J14)-D14</f>
        <v>0</v>
      </c>
      <c r="L14" s="167"/>
      <c r="M14" s="1061"/>
      <c r="N14" s="514"/>
      <c r="O14" s="163"/>
    </row>
    <row r="15" spans="1:26">
      <c r="A15" s="880"/>
      <c r="B15" s="1790"/>
      <c r="C15" s="1148"/>
      <c r="D15" s="959"/>
      <c r="E15" s="959"/>
      <c r="F15" s="959"/>
      <c r="G15" s="959"/>
      <c r="H15" s="959"/>
      <c r="I15" s="959"/>
      <c r="J15" s="959"/>
      <c r="K15" s="180"/>
      <c r="L15" s="169"/>
    </row>
    <row r="16" spans="1:26">
      <c r="A16" s="880"/>
      <c r="B16" s="1045"/>
      <c r="C16" s="1148"/>
      <c r="D16" s="959"/>
      <c r="E16" s="1773"/>
      <c r="F16" s="1773"/>
      <c r="G16" s="1773"/>
      <c r="H16" s="1773"/>
      <c r="I16" s="1773"/>
      <c r="J16" s="1773"/>
      <c r="K16" s="180"/>
      <c r="L16" s="169"/>
      <c r="M16" s="171"/>
      <c r="N16" s="310"/>
      <c r="O16" s="310"/>
      <c r="P16" s="310"/>
      <c r="Q16" s="310"/>
      <c r="R16" s="310"/>
      <c r="S16" s="310"/>
      <c r="T16" s="310"/>
      <c r="U16" s="310"/>
      <c r="V16" s="310"/>
      <c r="W16" s="310"/>
      <c r="X16" s="310"/>
      <c r="Y16" s="310"/>
      <c r="Z16" s="310"/>
    </row>
    <row r="17" spans="1:26">
      <c r="B17" s="158"/>
      <c r="C17" s="170"/>
      <c r="D17" s="171"/>
      <c r="H17" s="167"/>
    </row>
    <row r="18" spans="1:26">
      <c r="A18" s="1023" t="s">
        <v>453</v>
      </c>
      <c r="B18" s="1023"/>
      <c r="C18" s="1091">
        <f>C20</f>
        <v>1.0852999999999999</v>
      </c>
      <c r="D18" s="949" t="str">
        <f>D20</f>
        <v xml:space="preserve">5 year average from Appendix </v>
      </c>
      <c r="G18" s="168"/>
      <c r="H18" s="1352"/>
      <c r="I18" s="168"/>
      <c r="J18" s="168"/>
      <c r="K18" s="168"/>
      <c r="M18" s="171"/>
      <c r="N18" s="310"/>
      <c r="O18" s="310"/>
      <c r="P18" s="310"/>
      <c r="Q18" s="310"/>
      <c r="R18" s="310"/>
      <c r="S18" s="310"/>
      <c r="T18" s="310"/>
      <c r="U18" s="310"/>
      <c r="V18" s="310"/>
      <c r="W18" s="310"/>
      <c r="X18" s="310"/>
      <c r="Y18" s="310"/>
      <c r="Z18" s="310"/>
    </row>
    <row r="19" spans="1:26">
      <c r="A19" s="172"/>
      <c r="B19" s="172"/>
      <c r="C19" s="1024">
        <f>ROUND(AVERAGE(C9:C13),4)</f>
        <v>1.0852999999999999</v>
      </c>
      <c r="D19" s="1025" t="s">
        <v>160</v>
      </c>
      <c r="E19" s="174"/>
    </row>
    <row r="20" spans="1:26">
      <c r="A20" s="172"/>
      <c r="B20" s="172"/>
      <c r="C20" s="368">
        <f>ROUND('App.2-R_Loss Factors'!$H$27,4)</f>
        <v>1.0852999999999999</v>
      </c>
      <c r="D20" s="1025" t="s">
        <v>161</v>
      </c>
      <c r="E20" s="174"/>
      <c r="F20" s="168"/>
      <c r="M20" s="171"/>
      <c r="N20" s="310"/>
      <c r="O20" s="310"/>
      <c r="P20" s="310"/>
      <c r="Q20" s="310"/>
      <c r="R20" s="310"/>
      <c r="S20" s="310"/>
      <c r="T20" s="310"/>
      <c r="U20" s="310"/>
      <c r="V20" s="310"/>
      <c r="W20" s="310"/>
      <c r="X20" s="310"/>
      <c r="Y20" s="310"/>
      <c r="Z20" s="310"/>
    </row>
    <row r="21" spans="1:26">
      <c r="B21" s="158"/>
      <c r="C21" s="368">
        <f>AVERAGE(C3:C13)</f>
        <v>1.0833066480830427</v>
      </c>
      <c r="D21" s="1025" t="s">
        <v>598</v>
      </c>
    </row>
    <row r="22" spans="1:26">
      <c r="B22" s="158"/>
      <c r="C22" s="170"/>
      <c r="M22" s="171"/>
      <c r="N22" s="310"/>
      <c r="O22" s="310"/>
      <c r="P22" s="310"/>
      <c r="Q22" s="310"/>
      <c r="R22" s="310"/>
      <c r="S22" s="310"/>
      <c r="T22" s="310"/>
      <c r="U22" s="310"/>
      <c r="V22" s="310"/>
      <c r="W22" s="310"/>
      <c r="X22" s="310"/>
      <c r="Y22" s="310"/>
      <c r="Z22" s="310"/>
    </row>
    <row r="23" spans="1:26" ht="26.4">
      <c r="A23" s="937" t="s">
        <v>9</v>
      </c>
      <c r="B23" s="937"/>
      <c r="C23" s="170"/>
      <c r="D23" s="169"/>
      <c r="E23" s="551" t="s">
        <v>1</v>
      </c>
      <c r="F23" s="1475" t="s">
        <v>110</v>
      </c>
      <c r="G23" s="1475" t="s">
        <v>249</v>
      </c>
      <c r="H23" s="551" t="s">
        <v>179</v>
      </c>
      <c r="I23" s="551" t="s">
        <v>159</v>
      </c>
      <c r="J23" s="1475" t="s">
        <v>2</v>
      </c>
    </row>
    <row r="24" spans="1:26">
      <c r="A24" s="158" t="str">
        <f t="shared" ref="A24:A34" si="3">A3</f>
        <v>2011</v>
      </c>
      <c r="B24" s="158"/>
      <c r="C24" s="170"/>
      <c r="D24" s="169"/>
      <c r="E24" s="166">
        <f>E3/'Rate Class Customer Model'!B4</f>
        <v>8650.5351718625097</v>
      </c>
      <c r="F24" s="166">
        <f>F3/'Rate Class Customer Model'!C4</f>
        <v>26573.054616384914</v>
      </c>
      <c r="G24" s="166">
        <f>G3/'Rate Class Customer Model'!D4</f>
        <v>651988</v>
      </c>
      <c r="H24" s="166">
        <f>H3/'Rate Class Customer Model'!E4</f>
        <v>853.71344685848499</v>
      </c>
      <c r="I24" s="166">
        <f>I3/'Rate Class Customer Model'!F4</f>
        <v>1443.4933333333333</v>
      </c>
      <c r="J24" s="166">
        <f>J3/'Rate Class Customer Model'!G4</f>
        <v>8396.2542372881362</v>
      </c>
      <c r="M24" s="171"/>
      <c r="N24" s="310"/>
      <c r="O24" s="310"/>
      <c r="P24" s="310"/>
      <c r="Q24" s="310"/>
      <c r="R24" s="310"/>
      <c r="S24" s="310"/>
      <c r="T24" s="310"/>
      <c r="U24" s="310"/>
      <c r="V24" s="310"/>
      <c r="W24" s="310"/>
      <c r="X24" s="310"/>
      <c r="Y24" s="310"/>
      <c r="Z24" s="310"/>
    </row>
    <row r="25" spans="1:26">
      <c r="A25" s="158" t="str">
        <f t="shared" si="3"/>
        <v>2012</v>
      </c>
      <c r="B25" s="158"/>
      <c r="C25" s="170"/>
      <c r="D25" s="169"/>
      <c r="E25" s="166">
        <f>E4/'Rate Class Customer Model'!B5</f>
        <v>8381.4889552238801</v>
      </c>
      <c r="F25" s="166">
        <f>F4/'Rate Class Customer Model'!C5</f>
        <v>25544.393506493507</v>
      </c>
      <c r="G25" s="166">
        <f>G4/'Rate Class Customer Model'!D5</f>
        <v>635074.58208955219</v>
      </c>
      <c r="H25" s="166">
        <f>H4/'Rate Class Customer Model'!E5</f>
        <v>853.67469172049323</v>
      </c>
      <c r="I25" s="166">
        <f>I4/'Rate Class Customer Model'!F5</f>
        <v>1443.5466666666666</v>
      </c>
      <c r="J25" s="166">
        <f>J4/'Rate Class Customer Model'!G5</f>
        <v>8321.0833333333339</v>
      </c>
    </row>
    <row r="26" spans="1:26">
      <c r="A26" s="158" t="str">
        <f t="shared" si="3"/>
        <v>2013</v>
      </c>
      <c r="B26" s="158"/>
      <c r="D26" s="169"/>
      <c r="E26" s="166">
        <f>E5/'Rate Class Customer Model'!B6</f>
        <v>8493.5130089374379</v>
      </c>
      <c r="F26" s="166">
        <f>F5/'Rate Class Customer Model'!C6</f>
        <v>26474.557312252964</v>
      </c>
      <c r="G26" s="166">
        <f>G5/'Rate Class Customer Model'!D6</f>
        <v>649946.19999999995</v>
      </c>
      <c r="H26" s="166">
        <f>H5/'Rate Class Customer Model'!E6</f>
        <v>847.86350322202691</v>
      </c>
      <c r="I26" s="166">
        <f>I5/'Rate Class Customer Model'!F6</f>
        <v>1443.7466666666667</v>
      </c>
      <c r="J26" s="166">
        <f>J5/'Rate Class Customer Model'!G6</f>
        <v>8719.6393442622957</v>
      </c>
      <c r="M26" s="171"/>
      <c r="N26" s="310"/>
      <c r="O26" s="310"/>
      <c r="P26" s="310"/>
      <c r="Q26" s="310"/>
      <c r="R26" s="310"/>
      <c r="S26" s="310"/>
      <c r="T26" s="310"/>
      <c r="U26" s="310"/>
      <c r="V26" s="310"/>
      <c r="W26" s="310"/>
      <c r="X26" s="310"/>
      <c r="Y26" s="310"/>
      <c r="Z26" s="310"/>
    </row>
    <row r="27" spans="1:26">
      <c r="A27" s="158" t="str">
        <f t="shared" si="3"/>
        <v>2014</v>
      </c>
      <c r="B27" s="158"/>
      <c r="C27" s="170"/>
      <c r="D27" s="169"/>
      <c r="E27" s="166">
        <f>E6/'Rate Class Customer Model'!B7</f>
        <v>8387.3468253968258</v>
      </c>
      <c r="F27" s="166">
        <f>F6/'Rate Class Customer Model'!C7</f>
        <v>27506.354111405835</v>
      </c>
      <c r="G27" s="166">
        <f>G6/'Rate Class Customer Model'!D7</f>
        <v>665381.5</v>
      </c>
      <c r="H27" s="166">
        <f>H6/'Rate Class Customer Model'!E7</f>
        <v>774.1681312243702</v>
      </c>
      <c r="I27" s="166">
        <f>I6/'Rate Class Customer Model'!F7</f>
        <v>1457.36</v>
      </c>
      <c r="J27" s="166">
        <f>J6/'Rate Class Customer Model'!G7</f>
        <v>9274.7377049180323</v>
      </c>
    </row>
    <row r="28" spans="1:26">
      <c r="A28" s="158" t="str">
        <f t="shared" si="3"/>
        <v>2015</v>
      </c>
      <c r="B28" s="158"/>
      <c r="C28" s="170"/>
      <c r="D28" s="169"/>
      <c r="E28" s="166">
        <f>E7/'Rate Class Customer Model'!B8</f>
        <v>8100.1802453502178</v>
      </c>
      <c r="F28" s="166">
        <f>F7/'Rate Class Customer Model'!C8</f>
        <v>27834.411053908356</v>
      </c>
      <c r="G28" s="166">
        <f>G7/'Rate Class Customer Model'!D8</f>
        <v>639344.953125</v>
      </c>
      <c r="H28" s="166">
        <f>H7/'Rate Class Customer Model'!E8</f>
        <v>615.24137931034488</v>
      </c>
      <c r="I28" s="166">
        <f>I7/'Rate Class Customer Model'!F8</f>
        <v>1460.0266666666666</v>
      </c>
      <c r="J28" s="166">
        <f>J7/'Rate Class Customer Model'!G8</f>
        <v>9213.0677966101703</v>
      </c>
      <c r="M28" s="171"/>
      <c r="N28" s="310"/>
      <c r="O28" s="310"/>
      <c r="P28" s="310"/>
      <c r="Q28" s="310"/>
      <c r="R28" s="310"/>
      <c r="S28" s="310"/>
      <c r="T28" s="310"/>
      <c r="U28" s="310"/>
      <c r="V28" s="310"/>
      <c r="W28" s="310"/>
      <c r="X28" s="310"/>
      <c r="Y28" s="310"/>
      <c r="Z28" s="310"/>
    </row>
    <row r="29" spans="1:26">
      <c r="A29" s="158" t="str">
        <f t="shared" si="3"/>
        <v>2016</v>
      </c>
      <c r="B29" s="158"/>
      <c r="C29" s="170"/>
      <c r="D29" s="169"/>
      <c r="E29" s="166">
        <f>E8/'Rate Class Customer Model'!B9</f>
        <v>7982.6549652928425</v>
      </c>
      <c r="F29" s="166">
        <f>F8/'Rate Class Customer Model'!C9</f>
        <v>27498.139128378381</v>
      </c>
      <c r="G29" s="166">
        <f>G8/'Rate Class Customer Model'!D9</f>
        <v>616500.296875</v>
      </c>
      <c r="H29" s="166">
        <f>H8/'Rate Class Customer Model'!E9</f>
        <v>451.87492694330803</v>
      </c>
      <c r="I29" s="166">
        <f>I8/'Rate Class Customer Model'!F9</f>
        <v>1462.8904109589041</v>
      </c>
      <c r="J29" s="166">
        <f>J8/'Rate Class Customer Model'!G9</f>
        <v>9420.4137931034475</v>
      </c>
    </row>
    <row r="30" spans="1:26">
      <c r="A30" s="158" t="str">
        <f t="shared" si="3"/>
        <v>2017</v>
      </c>
      <c r="B30" s="158"/>
      <c r="C30" s="170"/>
      <c r="D30" s="169"/>
      <c r="E30" s="166">
        <f>E9/'Rate Class Customer Model'!B10</f>
        <v>7738.1676861858905</v>
      </c>
      <c r="F30" s="166">
        <f>F9/'Rate Class Customer Model'!C10</f>
        <v>26742.810985155193</v>
      </c>
      <c r="G30" s="166">
        <f>G9/'Rate Class Customer Model'!D10</f>
        <v>607725.04761904757</v>
      </c>
      <c r="H30" s="166">
        <f>H9/'Rate Class Customer Model'!E10</f>
        <v>418.86031560490943</v>
      </c>
      <c r="I30" s="166">
        <f>I9/'Rate Class Customer Model'!F10</f>
        <v>1407.1267605633802</v>
      </c>
      <c r="J30" s="166">
        <f>J9/'Rate Class Customer Model'!G10</f>
        <v>9457.8421052631584</v>
      </c>
      <c r="M30" s="171"/>
      <c r="N30" s="310"/>
      <c r="O30" s="310"/>
      <c r="P30" s="310"/>
      <c r="Q30" s="310"/>
      <c r="R30" s="310"/>
      <c r="S30" s="310"/>
      <c r="T30" s="310"/>
      <c r="U30" s="310"/>
      <c r="V30" s="310"/>
      <c r="W30" s="310"/>
      <c r="X30" s="310"/>
      <c r="Y30" s="310"/>
      <c r="Z30" s="310"/>
    </row>
    <row r="31" spans="1:26">
      <c r="A31" s="158" t="str">
        <f t="shared" si="3"/>
        <v>2018</v>
      </c>
      <c r="B31" s="158"/>
      <c r="C31" s="170"/>
      <c r="D31" s="169"/>
      <c r="E31" s="166">
        <f>E10/'Rate Class Customer Model'!B11</f>
        <v>8332.7696025465229</v>
      </c>
      <c r="F31" s="166">
        <f>F10/'Rate Class Customer Model'!C11</f>
        <v>27405.207932341003</v>
      </c>
      <c r="G31" s="166">
        <f>G10/'Rate Class Customer Model'!D11</f>
        <v>580059.48157344596</v>
      </c>
      <c r="H31" s="166">
        <f>H10/'Rate Class Customer Model'!E11</f>
        <v>417.58537284278134</v>
      </c>
      <c r="I31" s="166">
        <f>I10/'Rate Class Customer Model'!F11</f>
        <v>1352.7916666666667</v>
      </c>
      <c r="J31" s="166">
        <f>J10/'Rate Class Customer Model'!G11</f>
        <v>9502.4035087719294</v>
      </c>
    </row>
    <row r="32" spans="1:26">
      <c r="A32" s="158" t="str">
        <f t="shared" si="3"/>
        <v>2019</v>
      </c>
      <c r="B32" s="158"/>
      <c r="C32" s="170"/>
      <c r="D32" s="169"/>
      <c r="E32" s="166">
        <f>E11/'Rate Class Customer Model'!B12</f>
        <v>8250.0686485429305</v>
      </c>
      <c r="F32" s="166">
        <f>F11/'Rate Class Customer Model'!C12</f>
        <v>26803.125170068026</v>
      </c>
      <c r="G32" s="166">
        <f>G11/'Rate Class Customer Model'!D12</f>
        <v>596838.72580645164</v>
      </c>
      <c r="H32" s="166">
        <f>H11/'Rate Class Customer Model'!E12</f>
        <v>404.42022209234364</v>
      </c>
      <c r="I32" s="166">
        <f>I11/'Rate Class Customer Model'!F12</f>
        <v>1325.4594594594594</v>
      </c>
      <c r="J32" s="166">
        <f>J11/'Rate Class Customer Model'!G12</f>
        <v>9511.3333333333339</v>
      </c>
      <c r="M32" s="171"/>
      <c r="N32" s="310"/>
      <c r="O32" s="310"/>
      <c r="P32" s="310"/>
      <c r="Q32" s="310"/>
      <c r="R32" s="310"/>
      <c r="S32" s="310"/>
      <c r="T32" s="310"/>
      <c r="U32" s="310"/>
      <c r="V32" s="310"/>
      <c r="W32" s="310"/>
      <c r="X32" s="310"/>
      <c r="Y32" s="310"/>
      <c r="Z32" s="310"/>
    </row>
    <row r="33" spans="1:44">
      <c r="A33" s="1093" t="str">
        <f t="shared" si="3"/>
        <v>2020</v>
      </c>
      <c r="B33" s="1093"/>
      <c r="C33" s="1728"/>
      <c r="D33" s="1729"/>
      <c r="E33" s="564">
        <f>E12/'Rate Class Customer Model'!B13</f>
        <v>8536.1067162717845</v>
      </c>
      <c r="F33" s="564">
        <f>F12/'Rate Class Customer Model'!C13</f>
        <v>25353.704514363886</v>
      </c>
      <c r="G33" s="564">
        <f>G12/'Rate Class Customer Model'!D13</f>
        <v>591933.83606557373</v>
      </c>
      <c r="H33" s="564">
        <f>H12/'Rate Class Customer Model'!E13</f>
        <v>376.60922897196264</v>
      </c>
      <c r="I33" s="564">
        <f>I12/'Rate Class Customer Model'!F13</f>
        <v>1324.1095890410959</v>
      </c>
      <c r="J33" s="564">
        <f>J12/'Rate Class Customer Model'!G13</f>
        <v>9391.5087719298244</v>
      </c>
    </row>
    <row r="34" spans="1:44">
      <c r="A34" s="1730" t="str">
        <f t="shared" si="3"/>
        <v>2021</v>
      </c>
      <c r="B34" s="1730"/>
      <c r="C34" s="1731"/>
      <c r="D34" s="1732"/>
      <c r="E34" s="1733">
        <f>E13/'Rate Class Customer Model'!B14</f>
        <v>8523.1299589603277</v>
      </c>
      <c r="F34" s="1733">
        <f>F13/'Rate Class Customer Model'!C14</f>
        <v>24301.039726027397</v>
      </c>
      <c r="G34" s="1733">
        <f>G13/'Rate Class Customer Model'!D14</f>
        <v>620206.03278688528</v>
      </c>
      <c r="H34" s="1733">
        <f>H13/'Rate Class Customer Model'!E14</f>
        <v>375.93224299065423</v>
      </c>
      <c r="I34" s="1733">
        <f>I13/'Rate Class Customer Model'!F14</f>
        <v>1265.8142857142857</v>
      </c>
      <c r="J34" s="1733">
        <f>J13/'Rate Class Customer Model'!G14</f>
        <v>9737.5438596491222</v>
      </c>
      <c r="M34" s="171"/>
      <c r="N34" s="310"/>
      <c r="O34" s="310"/>
      <c r="P34" s="310"/>
      <c r="Q34" s="310"/>
      <c r="R34" s="310"/>
      <c r="S34" s="310"/>
      <c r="T34" s="310"/>
      <c r="U34" s="310"/>
      <c r="V34" s="310"/>
      <c r="W34" s="310"/>
      <c r="X34" s="310"/>
      <c r="Y34" s="310"/>
      <c r="Z34" s="310"/>
    </row>
    <row r="35" spans="1:44" ht="13.8" thickBot="1">
      <c r="A35" s="1093"/>
      <c r="B35" s="1093"/>
      <c r="C35" s="1728"/>
      <c r="D35" s="1729"/>
      <c r="E35" s="564"/>
      <c r="F35" s="564"/>
      <c r="G35" s="564"/>
      <c r="H35" s="564"/>
      <c r="I35" s="564"/>
      <c r="J35" s="564"/>
      <c r="M35" s="171"/>
      <c r="N35" s="310"/>
      <c r="O35" s="310"/>
      <c r="P35" s="310"/>
      <c r="Q35" s="310"/>
      <c r="R35" s="310"/>
      <c r="S35" s="310"/>
      <c r="T35" s="310"/>
      <c r="U35" s="310"/>
      <c r="V35" s="310"/>
      <c r="W35" s="310"/>
      <c r="X35" s="310"/>
      <c r="Y35" s="310"/>
      <c r="Z35" s="310"/>
    </row>
    <row r="36" spans="1:44" ht="13.8" thickTop="1">
      <c r="A36" s="1799" t="s">
        <v>447</v>
      </c>
      <c r="B36" s="1800"/>
      <c r="C36" s="1801"/>
      <c r="D36" s="1802"/>
      <c r="E36" s="1803">
        <f>E32</f>
        <v>8250.0686485429305</v>
      </c>
      <c r="F36" s="1803">
        <f>F32</f>
        <v>26803.125170068026</v>
      </c>
      <c r="G36" s="1803"/>
      <c r="H36" s="1803"/>
      <c r="I36" s="1803"/>
      <c r="J36" s="1804"/>
      <c r="M36" s="171"/>
      <c r="N36" s="310"/>
      <c r="O36" s="310"/>
      <c r="P36" s="310"/>
      <c r="Q36" s="310"/>
      <c r="R36" s="310"/>
      <c r="S36" s="310"/>
      <c r="T36" s="310"/>
      <c r="U36" s="310"/>
      <c r="V36" s="310"/>
      <c r="W36" s="310"/>
      <c r="X36" s="310"/>
      <c r="Y36" s="310"/>
      <c r="Z36" s="310"/>
    </row>
    <row r="37" spans="1:44">
      <c r="A37" s="1805" t="s">
        <v>768</v>
      </c>
      <c r="B37" s="1093"/>
      <c r="C37" s="1728"/>
      <c r="D37" s="1729"/>
      <c r="E37" s="1796">
        <f>E36*E57</f>
        <v>8222.8838234114646</v>
      </c>
      <c r="F37" s="1796">
        <f>F36*F57</f>
        <v>26664.651716888471</v>
      </c>
      <c r="G37" s="564"/>
      <c r="H37" s="564"/>
      <c r="I37" s="564"/>
      <c r="J37" s="1806"/>
      <c r="M37" s="171"/>
      <c r="N37" s="310"/>
      <c r="O37" s="310"/>
      <c r="P37" s="310"/>
      <c r="Q37" s="310"/>
      <c r="R37" s="310"/>
      <c r="S37" s="310"/>
      <c r="T37" s="310"/>
      <c r="U37" s="310"/>
      <c r="V37" s="310"/>
      <c r="W37" s="310"/>
      <c r="X37" s="310"/>
      <c r="Y37" s="310"/>
      <c r="Z37" s="310"/>
    </row>
    <row r="38" spans="1:44">
      <c r="A38" s="1805" t="s">
        <v>769</v>
      </c>
      <c r="B38" s="1093"/>
      <c r="C38" s="1728"/>
      <c r="D38" s="1729"/>
      <c r="E38" s="1796">
        <f>E37*E57</f>
        <v>8195.7885750761325</v>
      </c>
      <c r="F38" s="1796">
        <f>F37*F57</f>
        <v>26526.893661525919</v>
      </c>
      <c r="G38" s="564"/>
      <c r="H38" s="564"/>
      <c r="I38" s="564"/>
      <c r="J38" s="1806"/>
      <c r="M38" s="171"/>
      <c r="N38" s="310"/>
      <c r="O38" s="310"/>
      <c r="P38" s="310"/>
      <c r="Q38" s="310"/>
      <c r="R38" s="310"/>
      <c r="S38" s="310"/>
      <c r="T38" s="310"/>
      <c r="U38" s="310"/>
      <c r="V38" s="310"/>
      <c r="W38" s="310"/>
      <c r="X38" s="310"/>
      <c r="Y38" s="310"/>
      <c r="Z38" s="310"/>
    </row>
    <row r="39" spans="1:44">
      <c r="A39" s="1814" t="str">
        <f>A14</f>
        <v>2022</v>
      </c>
      <c r="B39" s="1815" t="s">
        <v>449</v>
      </c>
      <c r="C39" s="1728"/>
      <c r="D39" s="1729"/>
      <c r="E39" s="1797">
        <f>E38*E57</f>
        <v>8168.7826083721748</v>
      </c>
      <c r="F39" s="1797">
        <f>F38*F57</f>
        <v>26389.847308008142</v>
      </c>
      <c r="G39" s="1797">
        <f>G34*G57</f>
        <v>606866.6068776428</v>
      </c>
      <c r="H39" s="1798">
        <f>H14/'Rate Class Customer Model'!E15</f>
        <v>375.93224299065423</v>
      </c>
      <c r="I39" s="1797">
        <f>I34*I57</f>
        <v>1242.0237870002541</v>
      </c>
      <c r="J39" s="1807">
        <f>J34*J57</f>
        <v>9786.7248843287853</v>
      </c>
    </row>
    <row r="40" spans="1:44" ht="13.8" thickBot="1">
      <c r="A40" s="1808"/>
      <c r="B40" s="1809"/>
      <c r="C40" s="1810"/>
      <c r="D40" s="1811"/>
      <c r="E40" s="1812"/>
      <c r="F40" s="1812"/>
      <c r="G40" s="1812"/>
      <c r="H40" s="1812"/>
      <c r="I40" s="1812"/>
      <c r="J40" s="1813"/>
      <c r="M40" s="171"/>
      <c r="N40" s="310"/>
      <c r="O40" s="310"/>
      <c r="P40" s="310"/>
      <c r="Q40" s="310"/>
      <c r="R40" s="310"/>
      <c r="S40" s="310"/>
      <c r="T40" s="310"/>
      <c r="U40" s="310"/>
      <c r="V40" s="310"/>
      <c r="W40" s="310"/>
      <c r="X40" s="310"/>
      <c r="Y40" s="310"/>
      <c r="Z40" s="310"/>
    </row>
    <row r="41" spans="1:44" ht="13.8" thickTop="1">
      <c r="B41" s="158"/>
      <c r="C41" s="170"/>
      <c r="E41" s="923"/>
      <c r="F41" s="923"/>
      <c r="G41" s="923"/>
      <c r="H41" s="923"/>
      <c r="I41" s="923"/>
      <c r="J41" s="923"/>
    </row>
    <row r="42" spans="1:44">
      <c r="A42" s="176" t="s">
        <v>162</v>
      </c>
      <c r="B42" s="176"/>
      <c r="C42" s="170"/>
      <c r="E42" s="1028" t="s">
        <v>1</v>
      </c>
      <c r="F42" s="1028" t="s">
        <v>110</v>
      </c>
      <c r="G42" s="1028" t="s">
        <v>249</v>
      </c>
      <c r="H42" s="1028" t="s">
        <v>179</v>
      </c>
      <c r="I42" s="1028" t="s">
        <v>159</v>
      </c>
      <c r="J42" s="1028" t="s">
        <v>2</v>
      </c>
      <c r="M42" s="171"/>
      <c r="N42" s="310"/>
      <c r="O42" s="310"/>
      <c r="P42" s="310"/>
      <c r="Q42" s="310"/>
      <c r="R42" s="310"/>
      <c r="S42" s="310"/>
      <c r="T42" s="310"/>
      <c r="U42" s="310"/>
      <c r="V42" s="310"/>
      <c r="W42" s="310"/>
      <c r="X42" s="310"/>
      <c r="Y42" s="310"/>
      <c r="Z42" s="310"/>
    </row>
    <row r="43" spans="1:44">
      <c r="A43" s="1354">
        <v>2011</v>
      </c>
      <c r="B43" s="902"/>
      <c r="C43" s="170"/>
    </row>
    <row r="44" spans="1:44">
      <c r="A44" s="1354">
        <v>2012</v>
      </c>
      <c r="B44" s="903"/>
      <c r="C44" s="170"/>
      <c r="E44" s="168">
        <f t="shared" ref="E44:J53" si="4">E25/E24</f>
        <v>0.96889831538819093</v>
      </c>
      <c r="F44" s="168">
        <f t="shared" si="4"/>
        <v>0.96128931638679072</v>
      </c>
      <c r="G44" s="168">
        <f t="shared" si="4"/>
        <v>0.97405869753669116</v>
      </c>
      <c r="H44" s="168">
        <f t="shared" si="4"/>
        <v>0.99995460404409187</v>
      </c>
      <c r="I44" s="168">
        <f t="shared" si="4"/>
        <v>1.0000369474053685</v>
      </c>
      <c r="J44" s="168">
        <f t="shared" si="4"/>
        <v>0.99104709054414231</v>
      </c>
      <c r="L44" s="177"/>
      <c r="M44" s="171"/>
      <c r="N44" s="310"/>
      <c r="O44" s="310"/>
      <c r="P44" s="310"/>
      <c r="Q44" s="310"/>
      <c r="R44" s="310"/>
      <c r="S44" s="310"/>
      <c r="T44" s="310"/>
      <c r="U44" s="310"/>
      <c r="V44" s="310"/>
      <c r="W44" s="310"/>
      <c r="X44" s="310"/>
      <c r="Y44" s="310"/>
      <c r="Z44" s="310"/>
      <c r="AL44" s="922"/>
      <c r="AM44" s="921"/>
      <c r="AN44" s="921"/>
      <c r="AO44" s="921"/>
      <c r="AP44" s="921"/>
      <c r="AQ44" s="921"/>
      <c r="AR44" s="921"/>
    </row>
    <row r="45" spans="1:44">
      <c r="A45" s="1354">
        <v>2013</v>
      </c>
      <c r="B45" s="902"/>
      <c r="C45" s="170"/>
      <c r="E45" s="168">
        <f t="shared" si="4"/>
        <v>1.0133656506990607</v>
      </c>
      <c r="F45" s="168">
        <f t="shared" si="4"/>
        <v>1.0364136187270605</v>
      </c>
      <c r="G45" s="168">
        <f t="shared" si="4"/>
        <v>1.023417120334932</v>
      </c>
      <c r="H45" s="168">
        <f t="shared" si="4"/>
        <v>0.99319273658358731</v>
      </c>
      <c r="I45" s="168">
        <f t="shared" si="4"/>
        <v>1.0001385476511555</v>
      </c>
      <c r="J45" s="168">
        <f t="shared" si="4"/>
        <v>1.0478971300927118</v>
      </c>
      <c r="L45" s="177"/>
      <c r="AL45" s="922"/>
      <c r="AM45" s="921"/>
      <c r="AN45" s="921"/>
      <c r="AO45" s="921"/>
      <c r="AP45" s="921"/>
      <c r="AQ45" s="921"/>
      <c r="AR45" s="921"/>
    </row>
    <row r="46" spans="1:44">
      <c r="A46" s="1354">
        <v>2014</v>
      </c>
      <c r="B46" s="903"/>
      <c r="C46" s="170"/>
      <c r="E46" s="168">
        <f t="shared" si="4"/>
        <v>0.98750032131240661</v>
      </c>
      <c r="F46" s="168">
        <f t="shared" si="4"/>
        <v>1.0389731464433338</v>
      </c>
      <c r="G46" s="168">
        <f t="shared" si="4"/>
        <v>1.0237485810363998</v>
      </c>
      <c r="H46" s="168">
        <f t="shared" si="4"/>
        <v>0.91308108944706123</v>
      </c>
      <c r="I46" s="168">
        <f t="shared" si="4"/>
        <v>1.0094291703992389</v>
      </c>
      <c r="J46" s="168">
        <f t="shared" si="4"/>
        <v>1.0636607018638911</v>
      </c>
      <c r="L46" s="177"/>
      <c r="M46" s="171"/>
      <c r="N46" s="310"/>
      <c r="O46" s="310"/>
      <c r="P46" s="310"/>
      <c r="Q46" s="310"/>
      <c r="R46" s="310"/>
      <c r="S46" s="310"/>
      <c r="T46" s="310"/>
      <c r="U46" s="310"/>
      <c r="V46" s="310"/>
      <c r="W46" s="310"/>
      <c r="X46" s="310"/>
      <c r="Y46" s="310"/>
      <c r="Z46" s="310"/>
      <c r="AL46" s="922"/>
      <c r="AM46" s="921"/>
      <c r="AN46" s="921"/>
      <c r="AO46" s="921"/>
      <c r="AP46" s="921"/>
      <c r="AQ46" s="921"/>
      <c r="AR46" s="921"/>
    </row>
    <row r="47" spans="1:44">
      <c r="A47" s="1354">
        <v>2015</v>
      </c>
      <c r="B47" s="902"/>
      <c r="C47" s="170"/>
      <c r="E47" s="168">
        <f t="shared" si="4"/>
        <v>0.96576192853059684</v>
      </c>
      <c r="F47" s="168">
        <f t="shared" si="4"/>
        <v>1.0119265876231298</v>
      </c>
      <c r="G47" s="168">
        <f t="shared" si="4"/>
        <v>0.96086974634100886</v>
      </c>
      <c r="H47" s="910">
        <f t="shared" si="4"/>
        <v>0.79471287243162814</v>
      </c>
      <c r="I47" s="168">
        <f t="shared" si="4"/>
        <v>1.0018297926844888</v>
      </c>
      <c r="J47" s="168">
        <f t="shared" si="4"/>
        <v>0.99335076524318733</v>
      </c>
      <c r="L47" s="177"/>
      <c r="AL47" s="922"/>
      <c r="AM47" s="921"/>
      <c r="AN47" s="921"/>
      <c r="AO47" s="921"/>
      <c r="AP47" s="921"/>
      <c r="AQ47" s="921"/>
      <c r="AR47" s="921"/>
    </row>
    <row r="48" spans="1:44">
      <c r="A48" s="1354">
        <v>2016</v>
      </c>
      <c r="B48" s="903"/>
      <c r="C48" s="170"/>
      <c r="E48" s="168">
        <f t="shared" si="4"/>
        <v>0.98549102902681218</v>
      </c>
      <c r="F48" s="168">
        <f t="shared" si="4"/>
        <v>0.98791884172154032</v>
      </c>
      <c r="G48" s="168">
        <f t="shared" si="4"/>
        <v>0.96426865319208432</v>
      </c>
      <c r="H48" s="910">
        <f t="shared" si="4"/>
        <v>0.73446770997399013</v>
      </c>
      <c r="I48" s="168">
        <f t="shared" si="4"/>
        <v>1.0019614328680555</v>
      </c>
      <c r="J48" s="168">
        <f t="shared" si="4"/>
        <v>1.022505641016727</v>
      </c>
      <c r="L48" s="177"/>
      <c r="M48" s="171"/>
      <c r="N48" s="310"/>
      <c r="O48" s="310"/>
      <c r="P48" s="310"/>
      <c r="Q48" s="310"/>
      <c r="R48" s="310"/>
      <c r="S48" s="310"/>
      <c r="T48" s="310"/>
      <c r="U48" s="310"/>
      <c r="V48" s="310"/>
      <c r="W48" s="310"/>
      <c r="X48" s="310"/>
      <c r="Y48" s="310"/>
      <c r="Z48" s="310"/>
      <c r="AL48" s="922"/>
      <c r="AM48" s="921"/>
      <c r="AN48" s="921"/>
      <c r="AO48" s="921"/>
      <c r="AP48" s="921"/>
      <c r="AQ48" s="921"/>
      <c r="AR48" s="921"/>
    </row>
    <row r="49" spans="1:44">
      <c r="A49" s="1354">
        <v>2017</v>
      </c>
      <c r="B49" s="902"/>
      <c r="C49" s="170"/>
      <c r="E49" s="168">
        <f t="shared" si="4"/>
        <v>0.96937268613388161</v>
      </c>
      <c r="F49" s="168">
        <f t="shared" si="4"/>
        <v>0.97253166333558616</v>
      </c>
      <c r="G49" s="168">
        <f t="shared" si="4"/>
        <v>0.98576602590390694</v>
      </c>
      <c r="H49" s="401">
        <f t="shared" si="4"/>
        <v>0.92693860763259261</v>
      </c>
      <c r="I49" s="168">
        <f t="shared" si="4"/>
        <v>0.96188118400545697</v>
      </c>
      <c r="J49" s="168">
        <f t="shared" si="4"/>
        <v>1.0039731070186229</v>
      </c>
      <c r="L49" s="177"/>
      <c r="AL49" s="922"/>
      <c r="AM49" s="921"/>
      <c r="AN49" s="921"/>
      <c r="AO49" s="921"/>
      <c r="AP49" s="921"/>
      <c r="AQ49" s="921"/>
      <c r="AR49" s="921"/>
    </row>
    <row r="50" spans="1:44">
      <c r="A50" s="1354">
        <v>2018</v>
      </c>
      <c r="B50" s="903"/>
      <c r="C50" s="170"/>
      <c r="E50" s="168">
        <f t="shared" si="4"/>
        <v>1.0768401436198016</v>
      </c>
      <c r="F50" s="168">
        <f t="shared" si="4"/>
        <v>1.0247691593659882</v>
      </c>
      <c r="G50" s="168">
        <f t="shared" si="4"/>
        <v>0.95447683758635571</v>
      </c>
      <c r="H50" s="168">
        <f t="shared" si="4"/>
        <v>0.99695616243738239</v>
      </c>
      <c r="I50" s="168">
        <f t="shared" si="4"/>
        <v>0.96138578597214719</v>
      </c>
      <c r="J50" s="168">
        <f t="shared" si="4"/>
        <v>1.0047115825166899</v>
      </c>
      <c r="L50" s="177"/>
      <c r="M50" s="171"/>
      <c r="N50" s="310"/>
      <c r="O50" s="310"/>
      <c r="P50" s="310"/>
      <c r="Q50" s="310"/>
      <c r="R50" s="310"/>
      <c r="S50" s="310"/>
      <c r="T50" s="310"/>
      <c r="U50" s="310"/>
      <c r="V50" s="310"/>
      <c r="W50" s="310"/>
      <c r="X50" s="310"/>
      <c r="Y50" s="310"/>
      <c r="Z50" s="310"/>
      <c r="AL50" s="922"/>
      <c r="AM50" s="921"/>
      <c r="AN50" s="921"/>
      <c r="AO50" s="921"/>
      <c r="AP50" s="921"/>
      <c r="AQ50" s="921"/>
      <c r="AR50" s="921"/>
    </row>
    <row r="51" spans="1:44">
      <c r="A51" s="1354">
        <v>2019</v>
      </c>
      <c r="B51" s="902"/>
      <c r="C51" s="170"/>
      <c r="E51" s="168">
        <f t="shared" si="4"/>
        <v>0.99007521413068722</v>
      </c>
      <c r="F51" s="168">
        <f t="shared" si="4"/>
        <v>0.97803035234180957</v>
      </c>
      <c r="G51" s="168">
        <f t="shared" si="4"/>
        <v>1.0289267648681322</v>
      </c>
      <c r="H51" s="168">
        <f t="shared" si="4"/>
        <v>0.96847315158379765</v>
      </c>
      <c r="I51" s="168">
        <f t="shared" si="4"/>
        <v>0.97979570108193004</v>
      </c>
      <c r="J51" s="168">
        <f t="shared" si="4"/>
        <v>1.0009397437767362</v>
      </c>
      <c r="L51" s="177"/>
      <c r="AL51" s="922"/>
      <c r="AM51" s="921"/>
      <c r="AN51" s="921"/>
      <c r="AO51" s="921"/>
      <c r="AP51" s="921"/>
      <c r="AQ51" s="921"/>
      <c r="AR51" s="921"/>
    </row>
    <row r="52" spans="1:44">
      <c r="A52" s="1736">
        <v>2020</v>
      </c>
      <c r="B52" s="903"/>
      <c r="C52" s="1728"/>
      <c r="D52" s="180"/>
      <c r="E52" s="904">
        <f t="shared" si="4"/>
        <v>1.0346709924382718</v>
      </c>
      <c r="F52" s="904">
        <f t="shared" si="4"/>
        <v>0.94592344562406638</v>
      </c>
      <c r="G52" s="904">
        <f t="shared" si="4"/>
        <v>0.99178188423639835</v>
      </c>
      <c r="H52" s="904">
        <f t="shared" si="4"/>
        <v>0.93123243695259439</v>
      </c>
      <c r="I52" s="904">
        <f t="shared" si="4"/>
        <v>0.99898158302109519</v>
      </c>
      <c r="J52" s="904">
        <f t="shared" si="4"/>
        <v>0.98740191756464113</v>
      </c>
      <c r="K52" s="174"/>
      <c r="L52" s="177"/>
      <c r="M52" s="171"/>
      <c r="N52" s="310"/>
      <c r="O52" s="310"/>
      <c r="P52" s="310"/>
      <c r="Q52" s="310"/>
      <c r="R52" s="310"/>
      <c r="S52" s="310"/>
      <c r="T52" s="310"/>
      <c r="U52" s="310"/>
      <c r="V52" s="310"/>
      <c r="W52" s="310"/>
      <c r="X52" s="310"/>
      <c r="Y52" s="310"/>
      <c r="Z52" s="310"/>
      <c r="AL52" s="922"/>
      <c r="AM52" s="921"/>
      <c r="AN52" s="921"/>
      <c r="AO52" s="921"/>
      <c r="AP52" s="921"/>
      <c r="AQ52" s="921"/>
      <c r="AR52" s="921"/>
    </row>
    <row r="53" spans="1:44">
      <c r="A53" s="1737">
        <v>2021</v>
      </c>
      <c r="B53" s="1738"/>
      <c r="C53" s="1731"/>
      <c r="D53" s="1739"/>
      <c r="E53" s="1734">
        <f t="shared" si="4"/>
        <v>0.99847978033279272</v>
      </c>
      <c r="F53" s="1734">
        <f t="shared" si="4"/>
        <v>0.95848082919243172</v>
      </c>
      <c r="G53" s="1734">
        <f t="shared" si="4"/>
        <v>1.0477624271476509</v>
      </c>
      <c r="H53" s="1734">
        <f t="shared" si="4"/>
        <v>0.99820241797271836</v>
      </c>
      <c r="I53" s="1734">
        <f t="shared" si="4"/>
        <v>0.95597395879518787</v>
      </c>
      <c r="J53" s="1734">
        <f t="shared" si="4"/>
        <v>1.0368455267542909</v>
      </c>
      <c r="K53" s="1735"/>
      <c r="L53" s="177"/>
      <c r="AL53" s="922"/>
      <c r="AM53" s="921"/>
      <c r="AN53" s="921"/>
      <c r="AO53" s="921"/>
      <c r="AP53" s="921"/>
      <c r="AQ53" s="921"/>
      <c r="AR53" s="921"/>
    </row>
    <row r="54" spans="1:44">
      <c r="A54" s="1354">
        <v>2022</v>
      </c>
      <c r="B54" s="903"/>
      <c r="C54" s="170"/>
      <c r="E54" s="1787">
        <f>E57</f>
        <v>0.99670489709970256</v>
      </c>
      <c r="F54" s="1787">
        <f t="shared" ref="F54:J54" si="5">F57</f>
        <v>0.99483368255377203</v>
      </c>
      <c r="G54" s="1787">
        <f t="shared" si="5"/>
        <v>0.97849194428293129</v>
      </c>
      <c r="H54" s="1787" t="str">
        <f t="shared" si="5"/>
        <v>N/A</v>
      </c>
      <c r="I54" s="1787">
        <f t="shared" si="5"/>
        <v>0.98120537982346523</v>
      </c>
      <c r="J54" s="1787">
        <f t="shared" si="5"/>
        <v>1.0050506601447478</v>
      </c>
      <c r="K54" s="1735"/>
      <c r="L54" s="177"/>
      <c r="M54" s="171"/>
      <c r="N54" s="310"/>
      <c r="O54" s="310"/>
      <c r="P54" s="310"/>
      <c r="Q54" s="310"/>
      <c r="R54" s="310"/>
      <c r="S54" s="310"/>
      <c r="T54" s="310"/>
      <c r="U54" s="310"/>
      <c r="V54" s="310"/>
      <c r="W54" s="310"/>
      <c r="X54" s="310"/>
      <c r="Y54" s="310"/>
      <c r="Z54" s="310"/>
      <c r="AL54" s="922"/>
      <c r="AM54" s="921"/>
      <c r="AN54" s="921"/>
      <c r="AO54" s="921"/>
      <c r="AP54" s="921"/>
      <c r="AQ54" s="921"/>
      <c r="AR54" s="921"/>
    </row>
    <row r="55" spans="1:44">
      <c r="A55" s="903"/>
      <c r="B55" s="903"/>
      <c r="C55" s="170"/>
      <c r="D55" s="163" t="s">
        <v>764</v>
      </c>
      <c r="E55" s="1788">
        <v>2019</v>
      </c>
      <c r="F55" s="1788">
        <v>2019</v>
      </c>
      <c r="G55" s="1788">
        <v>2021</v>
      </c>
      <c r="H55" s="1789"/>
      <c r="I55" s="1788">
        <v>2021</v>
      </c>
      <c r="J55" s="1788">
        <v>2021</v>
      </c>
      <c r="K55" s="1735"/>
      <c r="L55" s="177"/>
      <c r="AL55" s="922"/>
      <c r="AM55" s="921"/>
      <c r="AN55" s="921"/>
      <c r="AO55" s="921"/>
      <c r="AP55" s="921"/>
      <c r="AQ55" s="921"/>
      <c r="AR55" s="921"/>
    </row>
    <row r="56" spans="1:44">
      <c r="A56" s="903"/>
      <c r="B56" s="903"/>
      <c r="C56" s="170"/>
      <c r="E56" s="1786"/>
      <c r="F56" s="1786"/>
      <c r="G56" s="1786"/>
      <c r="H56" s="168"/>
      <c r="I56" s="1786"/>
      <c r="J56" s="1786"/>
      <c r="K56" s="1735"/>
      <c r="L56" s="177"/>
      <c r="M56" s="171"/>
      <c r="N56" s="310"/>
      <c r="O56" s="310"/>
      <c r="P56" s="310"/>
      <c r="Q56" s="310"/>
      <c r="R56" s="310"/>
      <c r="S56" s="310"/>
      <c r="T56" s="310"/>
      <c r="U56" s="310"/>
      <c r="V56" s="310"/>
      <c r="W56" s="310"/>
      <c r="X56" s="310"/>
      <c r="Y56" s="310"/>
      <c r="Z56" s="310"/>
      <c r="AL56" s="922"/>
      <c r="AM56" s="921"/>
      <c r="AN56" s="921"/>
      <c r="AO56" s="921"/>
      <c r="AP56" s="921"/>
      <c r="AQ56" s="921"/>
      <c r="AR56" s="921"/>
    </row>
    <row r="57" spans="1:44">
      <c r="A57" s="176" t="s">
        <v>12</v>
      </c>
      <c r="B57" s="176"/>
      <c r="C57" s="170"/>
      <c r="E57" s="370">
        <f>IF($K57=$K59,E59,IF($K57=$K60,E60,E61))</f>
        <v>0.99670489709970256</v>
      </c>
      <c r="F57" s="370">
        <f t="shared" ref="F57:J57" si="6">IF($K57=$K59,F59,IF($K57=$K60,F60,F61))</f>
        <v>0.99483368255377203</v>
      </c>
      <c r="G57" s="370">
        <f t="shared" si="6"/>
        <v>0.97849194428293129</v>
      </c>
      <c r="H57" s="910" t="s">
        <v>450</v>
      </c>
      <c r="I57" s="370">
        <f t="shared" si="6"/>
        <v>0.98120537982346523</v>
      </c>
      <c r="J57" s="370">
        <f t="shared" si="6"/>
        <v>1.0050506601447478</v>
      </c>
      <c r="K57" s="1355" t="str">
        <f>K61</f>
        <v>2015 - 2019</v>
      </c>
      <c r="L57" s="1735"/>
    </row>
    <row r="58" spans="1:44">
      <c r="B58" s="158"/>
      <c r="C58" s="170"/>
      <c r="M58" s="171"/>
      <c r="N58" s="310"/>
      <c r="O58" s="310"/>
      <c r="P58" s="310"/>
      <c r="Q58" s="310"/>
      <c r="R58" s="310"/>
      <c r="S58" s="310"/>
      <c r="T58" s="310"/>
      <c r="U58" s="310"/>
      <c r="V58" s="310"/>
      <c r="W58" s="310"/>
      <c r="X58" s="310"/>
      <c r="Y58" s="310"/>
      <c r="Z58" s="310"/>
    </row>
    <row r="59" spans="1:44">
      <c r="A59" s="158" t="s">
        <v>8</v>
      </c>
      <c r="B59" s="158"/>
      <c r="C59" s="170"/>
      <c r="E59" s="983">
        <f>GEOMEAN(E44:E53)</f>
        <v>0.99851734530456104</v>
      </c>
      <c r="F59" s="983">
        <f t="shared" ref="F59:J59" si="7">GEOMEAN(F44:F53)</f>
        <v>0.99110196576746912</v>
      </c>
      <c r="G59" s="983">
        <f t="shared" si="7"/>
        <v>0.99501502413272491</v>
      </c>
      <c r="H59" s="983">
        <f t="shared" si="7"/>
        <v>0.92125476121319083</v>
      </c>
      <c r="I59" s="983">
        <f t="shared" si="7"/>
        <v>0.98695084003676781</v>
      </c>
      <c r="J59" s="983">
        <f t="shared" si="7"/>
        <v>1.0149306888475285</v>
      </c>
      <c r="K59" s="1025" t="s">
        <v>749</v>
      </c>
    </row>
    <row r="60" spans="1:44">
      <c r="B60" s="158"/>
      <c r="C60" s="170"/>
      <c r="E60" s="983">
        <f>GEOMEAN(E49:E53)</f>
        <v>1.0131887302757299</v>
      </c>
      <c r="F60" s="983">
        <f t="shared" ref="F60:I60" si="8">GEOMEAN(F49:F53)</f>
        <v>0.97558319355934009</v>
      </c>
      <c r="G60" s="983">
        <f t="shared" si="8"/>
        <v>1.0011993045170444</v>
      </c>
      <c r="H60" s="983">
        <f t="shared" si="8"/>
        <v>0.96386956284380065</v>
      </c>
      <c r="I60" s="983">
        <f t="shared" si="8"/>
        <v>0.97147502458559587</v>
      </c>
      <c r="J60" s="983">
        <f>GEOMEAN(J49:J53)</f>
        <v>1.006643953923481</v>
      </c>
      <c r="K60" s="1735" t="s">
        <v>601</v>
      </c>
      <c r="M60" s="171"/>
      <c r="N60" s="310"/>
      <c r="O60" s="310"/>
      <c r="P60" s="310"/>
      <c r="Q60" s="310"/>
      <c r="R60" s="310"/>
      <c r="S60" s="310"/>
      <c r="T60" s="310"/>
      <c r="U60" s="310"/>
      <c r="V60" s="310"/>
      <c r="W60" s="310"/>
      <c r="X60" s="310"/>
      <c r="Y60" s="310"/>
      <c r="Z60" s="310"/>
    </row>
    <row r="61" spans="1:44">
      <c r="A61" s="178"/>
      <c r="B61" s="178"/>
      <c r="C61" s="170"/>
      <c r="E61" s="168">
        <f>GEOMEAN(E47:E51)</f>
        <v>0.99670489709970256</v>
      </c>
      <c r="F61" s="168">
        <f t="shared" ref="F61:J61" si="9">GEOMEAN(F47:F51)</f>
        <v>0.99483368255377203</v>
      </c>
      <c r="G61" s="168">
        <f t="shared" si="9"/>
        <v>0.97849194428293129</v>
      </c>
      <c r="H61" s="168">
        <f t="shared" si="9"/>
        <v>0.87821229866913852</v>
      </c>
      <c r="I61" s="168">
        <f t="shared" si="9"/>
        <v>0.98120537982346523</v>
      </c>
      <c r="J61" s="168">
        <f t="shared" si="9"/>
        <v>1.0050506601447478</v>
      </c>
      <c r="K61" s="1735" t="s">
        <v>753</v>
      </c>
    </row>
    <row r="62" spans="1:44" ht="19.2" customHeight="1">
      <c r="A62" s="924" t="s">
        <v>164</v>
      </c>
      <c r="B62" s="924"/>
      <c r="C62" s="170"/>
      <c r="M62" s="171"/>
      <c r="N62" s="310"/>
      <c r="O62" s="310"/>
      <c r="P62" s="310"/>
      <c r="Q62" s="310"/>
      <c r="R62" s="310"/>
      <c r="S62" s="310"/>
      <c r="T62" s="310"/>
      <c r="U62" s="310"/>
      <c r="V62" s="310"/>
      <c r="W62" s="310"/>
      <c r="X62" s="310"/>
      <c r="Y62" s="310"/>
      <c r="Z62" s="310"/>
    </row>
    <row r="63" spans="1:44">
      <c r="A63" s="1748">
        <v>2021</v>
      </c>
      <c r="B63" s="1748"/>
      <c r="C63" s="1749"/>
      <c r="D63" s="1750">
        <f>SUM(E63:J63)</f>
        <v>100472426</v>
      </c>
      <c r="E63" s="1750">
        <f>E34*'Rate Class Customer Model'!B14</f>
        <v>43612856</v>
      </c>
      <c r="F63" s="1750">
        <f>F34*'Rate Class Customer Model'!C14</f>
        <v>17739759</v>
      </c>
      <c r="G63" s="1750">
        <f>G34*'Rate Class Customer Model'!D14</f>
        <v>37832568</v>
      </c>
      <c r="H63" s="1750">
        <f>H13</f>
        <v>643596</v>
      </c>
      <c r="I63" s="1750">
        <f>I34*'Rate Class Customer Model'!F14</f>
        <v>88607</v>
      </c>
      <c r="J63" s="1750">
        <f>J34*'Rate Class Customer Model'!G14</f>
        <v>555040</v>
      </c>
    </row>
    <row r="64" spans="1:44">
      <c r="A64" s="158">
        <v>2022</v>
      </c>
      <c r="B64" s="158"/>
      <c r="C64" s="173"/>
      <c r="D64" s="214">
        <f>SUM(E64:J64)</f>
        <v>98784123.863114029</v>
      </c>
      <c r="E64" s="214">
        <f>E39*'Rate Class Customer Model'!B15</f>
        <v>41873179.650515765</v>
      </c>
      <c r="F64" s="214">
        <f>F39*'Rate Class Customer Model'!C15</f>
        <v>19211808.840229928</v>
      </c>
      <c r="G64" s="214">
        <f>G39*'Rate Class Customer Model'!D15</f>
        <v>36411996.412658565</v>
      </c>
      <c r="H64" s="950">
        <f>H63</f>
        <v>643596</v>
      </c>
      <c r="I64" s="214">
        <f>I39*'Rate Class Customer Model'!F15</f>
        <v>85699.641303017532</v>
      </c>
      <c r="J64" s="214">
        <f>J39*'Rate Class Customer Model'!G15</f>
        <v>557843.31840674079</v>
      </c>
      <c r="M64" s="171"/>
      <c r="N64" s="310"/>
      <c r="O64" s="310"/>
      <c r="P64" s="310"/>
      <c r="Q64" s="310"/>
      <c r="R64" s="310"/>
      <c r="S64" s="310"/>
      <c r="T64" s="310"/>
      <c r="U64" s="310"/>
      <c r="V64" s="310"/>
      <c r="W64" s="310"/>
      <c r="X64" s="310"/>
      <c r="Y64" s="310"/>
      <c r="Z64" s="310"/>
    </row>
    <row r="65" spans="1:26">
      <c r="B65" s="158"/>
      <c r="C65" s="170"/>
      <c r="D65" s="164"/>
      <c r="E65" s="164"/>
      <c r="F65" s="164"/>
      <c r="G65" s="164"/>
      <c r="H65" s="164"/>
      <c r="I65" s="164"/>
      <c r="J65" s="164"/>
    </row>
    <row r="66" spans="1:26">
      <c r="B66" s="158"/>
      <c r="C66" s="170"/>
      <c r="D66" s="170"/>
      <c r="E66" s="164"/>
      <c r="F66" s="164"/>
      <c r="G66" s="164"/>
      <c r="H66" s="164"/>
      <c r="I66" s="164"/>
      <c r="J66" s="164"/>
      <c r="K66" s="164"/>
      <c r="L66" s="164"/>
      <c r="M66" s="171"/>
      <c r="N66" s="310"/>
      <c r="O66" s="310"/>
      <c r="P66" s="310"/>
      <c r="Q66" s="310"/>
      <c r="R66" s="310"/>
      <c r="S66" s="310"/>
      <c r="T66" s="310"/>
      <c r="U66" s="310"/>
      <c r="V66" s="310"/>
      <c r="W66" s="310"/>
      <c r="X66" s="310"/>
      <c r="Y66" s="310"/>
      <c r="Z66" s="310"/>
    </row>
    <row r="67" spans="1:26">
      <c r="B67" s="158"/>
      <c r="C67" s="170"/>
      <c r="D67" s="170"/>
      <c r="E67" s="1843" t="s">
        <v>247</v>
      </c>
      <c r="F67" s="1843"/>
      <c r="G67" s="1843"/>
      <c r="H67" s="1843"/>
      <c r="I67" s="1843"/>
      <c r="J67" s="1843"/>
      <c r="K67" s="164"/>
    </row>
    <row r="68" spans="1:26">
      <c r="A68" s="252" t="s">
        <v>34</v>
      </c>
      <c r="B68" s="252"/>
      <c r="C68" s="170"/>
      <c r="D68" s="170"/>
      <c r="E68" s="907">
        <f>(1+G68)/2</f>
        <v>0.66</v>
      </c>
      <c r="F68" s="907">
        <f>(1+G68)/2</f>
        <v>0.66</v>
      </c>
      <c r="G68" s="907">
        <v>0.32</v>
      </c>
      <c r="H68" s="907">
        <v>0</v>
      </c>
      <c r="I68" s="907">
        <v>0</v>
      </c>
      <c r="J68" s="907">
        <v>0</v>
      </c>
      <c r="K68" s="908" t="s">
        <v>5</v>
      </c>
      <c r="M68" s="171"/>
      <c r="N68" s="310"/>
      <c r="O68" s="310"/>
      <c r="P68" s="310"/>
      <c r="Q68" s="310"/>
      <c r="R68" s="310"/>
      <c r="S68" s="310"/>
      <c r="T68" s="310"/>
      <c r="U68" s="310"/>
      <c r="V68" s="310"/>
      <c r="W68" s="310"/>
      <c r="X68" s="310"/>
      <c r="Y68" s="310"/>
      <c r="Z68" s="310"/>
    </row>
    <row r="69" spans="1:26">
      <c r="A69" s="1748">
        <f>A63</f>
        <v>2021</v>
      </c>
      <c r="B69" s="1748"/>
      <c r="C69" s="1749"/>
      <c r="D69" s="1750"/>
      <c r="E69" s="1750">
        <f>E63*E68</f>
        <v>28784484.960000001</v>
      </c>
      <c r="F69" s="1750">
        <f t="shared" ref="F69:J69" si="10">F63*F68</f>
        <v>11708240.940000001</v>
      </c>
      <c r="G69" s="1750">
        <f t="shared" si="10"/>
        <v>12106421.76</v>
      </c>
      <c r="H69" s="1750">
        <f t="shared" si="10"/>
        <v>0</v>
      </c>
      <c r="I69" s="1750">
        <f t="shared" si="10"/>
        <v>0</v>
      </c>
      <c r="J69" s="1750">
        <f t="shared" si="10"/>
        <v>0</v>
      </c>
      <c r="K69" s="1748">
        <f>SUM(E69:J69)</f>
        <v>52599147.660000004</v>
      </c>
    </row>
    <row r="70" spans="1:26">
      <c r="A70" s="905">
        <f>A64</f>
        <v>2022</v>
      </c>
      <c r="B70" s="905"/>
      <c r="C70" s="170"/>
      <c r="E70" s="906">
        <f t="shared" ref="E70:J70" si="11">E64*E68</f>
        <v>27636298.569340408</v>
      </c>
      <c r="F70" s="906">
        <f t="shared" si="11"/>
        <v>12679793.834551753</v>
      </c>
      <c r="G70" s="906">
        <f t="shared" si="11"/>
        <v>11651838.85205074</v>
      </c>
      <c r="H70" s="906">
        <f t="shared" si="11"/>
        <v>0</v>
      </c>
      <c r="I70" s="906">
        <f t="shared" si="11"/>
        <v>0</v>
      </c>
      <c r="J70" s="906">
        <f t="shared" si="11"/>
        <v>0</v>
      </c>
      <c r="K70" s="906">
        <f>SUM(E70:J70)</f>
        <v>51967931.255942896</v>
      </c>
      <c r="M70" s="171"/>
      <c r="N70" s="310"/>
      <c r="O70" s="310"/>
      <c r="P70" s="310"/>
      <c r="Q70" s="310"/>
      <c r="R70" s="310"/>
      <c r="S70" s="310"/>
      <c r="T70" s="310"/>
      <c r="U70" s="310"/>
      <c r="V70" s="310"/>
      <c r="W70" s="310"/>
      <c r="X70" s="310"/>
      <c r="Y70" s="310"/>
      <c r="Z70" s="310"/>
    </row>
    <row r="71" spans="1:26" ht="12" customHeight="1">
      <c r="B71" s="158"/>
      <c r="C71" s="170"/>
      <c r="D71" s="164"/>
      <c r="E71" s="164"/>
      <c r="F71" s="164"/>
      <c r="G71" s="164"/>
      <c r="H71" s="164"/>
      <c r="I71" s="164"/>
      <c r="J71" s="164"/>
      <c r="K71" s="164"/>
    </row>
    <row r="72" spans="1:26">
      <c r="A72" s="924" t="s">
        <v>35</v>
      </c>
      <c r="B72" s="924"/>
      <c r="C72" s="170"/>
      <c r="D72" s="164"/>
      <c r="E72" s="164"/>
      <c r="F72" s="164"/>
      <c r="G72" s="164"/>
      <c r="H72" s="164"/>
      <c r="I72" s="164"/>
      <c r="J72" s="164"/>
      <c r="K72" s="164"/>
      <c r="L72" s="163" t="s">
        <v>10</v>
      </c>
      <c r="M72" s="171"/>
      <c r="N72" s="310"/>
      <c r="O72" s="310"/>
      <c r="P72" s="310"/>
      <c r="Q72" s="310"/>
      <c r="R72" s="310"/>
      <c r="S72" s="310"/>
      <c r="T72" s="310"/>
      <c r="U72" s="310"/>
      <c r="V72" s="310"/>
      <c r="W72" s="310"/>
      <c r="X72" s="310"/>
      <c r="Y72" s="310"/>
      <c r="Z72" s="310"/>
    </row>
    <row r="73" spans="1:26">
      <c r="A73" s="1748">
        <f>A69</f>
        <v>2021</v>
      </c>
      <c r="B73" s="1748"/>
      <c r="C73" s="1749"/>
      <c r="D73" s="1750">
        <f>D13-D63</f>
        <v>0</v>
      </c>
      <c r="E73" s="1750">
        <f>E69/$K$69*$D73</f>
        <v>0</v>
      </c>
      <c r="F73" s="1750">
        <f t="shared" ref="F73:J73" si="12">F69/$K$69*$D73</f>
        <v>0</v>
      </c>
      <c r="G73" s="1750">
        <f t="shared" si="12"/>
        <v>0</v>
      </c>
      <c r="H73" s="1750">
        <f t="shared" si="12"/>
        <v>0</v>
      </c>
      <c r="I73" s="1750">
        <f t="shared" si="12"/>
        <v>0</v>
      </c>
      <c r="J73" s="1750">
        <f t="shared" si="12"/>
        <v>0</v>
      </c>
      <c r="K73" s="1748">
        <f>SUM(E73:J73)</f>
        <v>0</v>
      </c>
      <c r="L73" s="1748">
        <f>D73-K73</f>
        <v>0</v>
      </c>
    </row>
    <row r="74" spans="1:26">
      <c r="A74" s="905">
        <f>A70</f>
        <v>2022</v>
      </c>
      <c r="B74" s="905"/>
      <c r="C74" s="173"/>
      <c r="D74" s="251">
        <f>D14-D64</f>
        <v>-3235408.5098882318</v>
      </c>
      <c r="E74" s="251">
        <f t="shared" ref="E74:J74" si="13">E70/$K$70*$D74</f>
        <v>-1720574.8509150192</v>
      </c>
      <c r="F74" s="251">
        <f t="shared" si="13"/>
        <v>-789415.93179631641</v>
      </c>
      <c r="G74" s="251">
        <f t="shared" si="13"/>
        <v>-725417.72717689641</v>
      </c>
      <c r="H74" s="251">
        <f t="shared" si="13"/>
        <v>0</v>
      </c>
      <c r="I74" s="251">
        <f t="shared" si="13"/>
        <v>0</v>
      </c>
      <c r="J74" s="251">
        <f t="shared" si="13"/>
        <v>0</v>
      </c>
      <c r="K74" s="164">
        <f>SUM(E74:J74)</f>
        <v>-3235408.5098882318</v>
      </c>
      <c r="L74" s="163">
        <f>D74-K74</f>
        <v>0</v>
      </c>
      <c r="M74" s="171"/>
      <c r="N74" s="310"/>
      <c r="O74" s="310"/>
      <c r="P74" s="310"/>
      <c r="Q74" s="310"/>
      <c r="R74" s="310"/>
      <c r="S74" s="310"/>
      <c r="T74" s="310"/>
      <c r="U74" s="310"/>
      <c r="V74" s="310"/>
      <c r="W74" s="310"/>
      <c r="X74" s="310"/>
      <c r="Y74" s="310"/>
      <c r="Z74" s="310"/>
    </row>
    <row r="75" spans="1:26">
      <c r="B75" s="158"/>
      <c r="C75" s="170"/>
    </row>
    <row r="76" spans="1:26">
      <c r="B76" s="158"/>
      <c r="C76" s="170"/>
      <c r="M76" s="171"/>
      <c r="N76" s="310"/>
      <c r="O76" s="310"/>
      <c r="P76" s="310"/>
      <c r="Q76" s="310"/>
      <c r="R76" s="310"/>
      <c r="S76" s="310"/>
      <c r="T76" s="310"/>
      <c r="U76" s="310"/>
      <c r="V76" s="310"/>
      <c r="W76" s="310"/>
      <c r="X76" s="310"/>
      <c r="Y76" s="310"/>
      <c r="Z76" s="310"/>
    </row>
    <row r="77" spans="1:26">
      <c r="A77" s="924" t="s">
        <v>414</v>
      </c>
      <c r="B77" s="924"/>
      <c r="C77" s="170"/>
      <c r="D77" s="164"/>
      <c r="E77" s="164"/>
      <c r="F77" s="164"/>
      <c r="G77" s="164"/>
      <c r="H77" s="164"/>
      <c r="I77" s="164"/>
      <c r="J77" s="164"/>
      <c r="K77" s="164" t="s">
        <v>11</v>
      </c>
      <c r="L77" s="167" t="s">
        <v>10</v>
      </c>
    </row>
    <row r="78" spans="1:26">
      <c r="A78" s="1748">
        <f>A63</f>
        <v>2021</v>
      </c>
      <c r="B78" s="1748"/>
      <c r="C78" s="1749"/>
      <c r="D78" s="1750">
        <f t="shared" ref="D78:J79" si="14">D63+D73</f>
        <v>100472426</v>
      </c>
      <c r="E78" s="1750">
        <f t="shared" si="14"/>
        <v>43612856</v>
      </c>
      <c r="F78" s="1750">
        <f t="shared" si="14"/>
        <v>17739759</v>
      </c>
      <c r="G78" s="1750">
        <f t="shared" si="14"/>
        <v>37832568</v>
      </c>
      <c r="H78" s="1750">
        <f>H63+H73</f>
        <v>643596</v>
      </c>
      <c r="I78" s="1750">
        <f t="shared" si="14"/>
        <v>88607</v>
      </c>
      <c r="J78" s="1750">
        <f t="shared" si="14"/>
        <v>555040</v>
      </c>
      <c r="K78" s="1748">
        <f>SUM(E78:J78)</f>
        <v>100472426</v>
      </c>
      <c r="L78" s="1748">
        <f>D78-K78</f>
        <v>0</v>
      </c>
      <c r="M78" s="171"/>
      <c r="N78" s="310"/>
      <c r="O78" s="310"/>
      <c r="P78" s="310"/>
      <c r="Q78" s="310"/>
      <c r="R78" s="310"/>
      <c r="S78" s="310"/>
      <c r="T78" s="310"/>
      <c r="U78" s="310"/>
      <c r="V78" s="310"/>
      <c r="W78" s="310"/>
      <c r="X78" s="310"/>
      <c r="Y78" s="310"/>
      <c r="Z78" s="310"/>
    </row>
    <row r="79" spans="1:26">
      <c r="A79" s="905">
        <f>A64</f>
        <v>2022</v>
      </c>
      <c r="B79" s="905"/>
      <c r="C79" s="170"/>
      <c r="D79" s="215">
        <f t="shared" si="14"/>
        <v>95548715.353225797</v>
      </c>
      <c r="E79" s="179">
        <f t="shared" si="14"/>
        <v>40152604.799600743</v>
      </c>
      <c r="F79" s="179">
        <f t="shared" si="14"/>
        <v>18422392.908433612</v>
      </c>
      <c r="G79" s="179">
        <f t="shared" si="14"/>
        <v>35686578.685481668</v>
      </c>
      <c r="H79" s="179">
        <f t="shared" si="14"/>
        <v>643596</v>
      </c>
      <c r="I79" s="179">
        <f t="shared" si="14"/>
        <v>85699.641303017532</v>
      </c>
      <c r="J79" s="179">
        <f t="shared" si="14"/>
        <v>557843.31840674079</v>
      </c>
      <c r="K79" s="215">
        <f>SUM(E79:J79)</f>
        <v>95548715.353225783</v>
      </c>
      <c r="L79" s="163">
        <f>D79-K79</f>
        <v>0</v>
      </c>
    </row>
    <row r="80" spans="1:26">
      <c r="A80" s="905"/>
      <c r="B80" s="905"/>
      <c r="C80" s="170"/>
      <c r="D80" s="215"/>
      <c r="E80" s="215"/>
      <c r="F80" s="215"/>
      <c r="G80" s="215"/>
      <c r="H80" s="215"/>
      <c r="I80" s="215"/>
      <c r="J80" s="215"/>
      <c r="K80" s="215"/>
      <c r="M80" s="171"/>
      <c r="N80" s="310"/>
      <c r="O80" s="310"/>
      <c r="P80" s="310"/>
      <c r="Q80" s="310"/>
      <c r="R80" s="310"/>
      <c r="S80" s="310"/>
      <c r="T80" s="310"/>
      <c r="U80" s="310"/>
      <c r="V80" s="310"/>
      <c r="W80" s="310"/>
      <c r="X80" s="310"/>
      <c r="Y80" s="310"/>
      <c r="Z80" s="310"/>
    </row>
    <row r="81" spans="1:32">
      <c r="A81" s="905"/>
      <c r="C81" s="215"/>
      <c r="D81" s="215"/>
      <c r="E81" s="215"/>
      <c r="F81" s="215"/>
      <c r="G81" s="215"/>
      <c r="H81" s="215"/>
      <c r="I81" s="215"/>
    </row>
    <row r="82" spans="1:32">
      <c r="A82" s="905"/>
      <c r="C82" s="215"/>
      <c r="D82" s="215"/>
      <c r="E82" s="215"/>
      <c r="F82" s="215"/>
      <c r="G82" s="215"/>
      <c r="H82" s="215"/>
      <c r="I82" s="215"/>
      <c r="M82" s="171"/>
      <c r="N82" s="310"/>
      <c r="O82" s="310"/>
      <c r="P82" s="310"/>
      <c r="Q82" s="310"/>
      <c r="R82" s="310"/>
      <c r="S82" s="310"/>
      <c r="T82" s="310"/>
      <c r="U82" s="310"/>
      <c r="V82" s="310"/>
      <c r="W82" s="310"/>
      <c r="X82" s="310"/>
      <c r="Y82" s="310"/>
      <c r="Z82" s="310"/>
    </row>
    <row r="83" spans="1:32">
      <c r="A83" s="905"/>
      <c r="C83" s="215"/>
      <c r="D83" s="215"/>
      <c r="E83" s="215"/>
      <c r="F83" s="215"/>
      <c r="G83" s="215"/>
      <c r="H83" s="215"/>
      <c r="I83" s="215"/>
    </row>
    <row r="84" spans="1:32">
      <c r="A84" s="905"/>
      <c r="C84" s="215"/>
      <c r="D84" s="215"/>
      <c r="E84" s="215"/>
      <c r="F84" s="215"/>
      <c r="G84" s="215"/>
      <c r="H84" s="215"/>
      <c r="I84" s="215"/>
      <c r="M84" s="171"/>
      <c r="N84" s="310"/>
      <c r="O84" s="310"/>
      <c r="P84" s="310"/>
      <c r="Q84" s="310"/>
      <c r="R84" s="310"/>
      <c r="S84" s="310"/>
      <c r="T84" s="310"/>
      <c r="U84" s="310"/>
      <c r="V84" s="310"/>
      <c r="W84" s="310"/>
      <c r="X84" s="310"/>
      <c r="Y84" s="310"/>
      <c r="Z84" s="310"/>
    </row>
    <row r="85" spans="1:32">
      <c r="A85" s="905"/>
      <c r="C85" s="215"/>
      <c r="D85" s="215"/>
      <c r="E85" s="215"/>
      <c r="F85" s="215"/>
      <c r="G85" s="215"/>
      <c r="H85" s="215"/>
      <c r="I85" s="215"/>
    </row>
    <row r="86" spans="1:32">
      <c r="A86" s="905"/>
      <c r="C86" s="215"/>
      <c r="D86" s="215"/>
      <c r="E86" s="215"/>
      <c r="F86" s="215"/>
      <c r="G86" s="215"/>
      <c r="H86" s="215"/>
      <c r="I86" s="215"/>
      <c r="M86" s="171"/>
      <c r="N86" s="310"/>
      <c r="O86" s="310"/>
      <c r="P86" s="310"/>
      <c r="Q86" s="310"/>
      <c r="R86" s="310"/>
      <c r="S86" s="310"/>
      <c r="T86" s="310"/>
      <c r="U86" s="310"/>
      <c r="V86" s="310"/>
      <c r="W86" s="310"/>
      <c r="X86" s="310"/>
      <c r="Y86" s="310"/>
      <c r="Z86" s="310"/>
    </row>
    <row r="87" spans="1:32">
      <c r="A87" s="905"/>
      <c r="C87" s="215"/>
      <c r="D87" s="215"/>
      <c r="E87" s="215"/>
      <c r="F87" s="215"/>
      <c r="G87" s="215"/>
      <c r="H87" s="215"/>
      <c r="I87" s="215"/>
    </row>
    <row r="88" spans="1:32">
      <c r="A88" s="905"/>
      <c r="C88" s="215"/>
      <c r="D88" s="215"/>
      <c r="E88" s="215"/>
      <c r="F88" s="215"/>
      <c r="G88" s="215"/>
      <c r="H88" s="215"/>
      <c r="I88" s="215"/>
      <c r="J88" s="990"/>
      <c r="M88" s="171"/>
      <c r="N88" s="310"/>
      <c r="O88" s="310"/>
      <c r="P88" s="310"/>
      <c r="Q88" s="310"/>
      <c r="R88" s="310"/>
      <c r="S88" s="310"/>
      <c r="T88" s="310"/>
      <c r="U88" s="310"/>
      <c r="V88" s="310"/>
      <c r="W88" s="310"/>
      <c r="X88" s="310"/>
      <c r="Y88" s="310"/>
      <c r="Z88" s="310"/>
    </row>
    <row r="89" spans="1:32">
      <c r="A89" s="905"/>
      <c r="C89" s="215"/>
      <c r="D89" s="215"/>
      <c r="E89" s="215"/>
      <c r="F89" s="215"/>
      <c r="G89" s="215"/>
      <c r="H89" s="215"/>
      <c r="I89" s="215"/>
      <c r="J89" s="991"/>
    </row>
    <row r="90" spans="1:32">
      <c r="A90" s="905"/>
      <c r="C90" s="215"/>
      <c r="D90" s="215"/>
      <c r="E90" s="215"/>
      <c r="F90" s="215"/>
      <c r="G90" s="215"/>
      <c r="H90" s="215"/>
      <c r="I90" s="215"/>
      <c r="J90" s="991"/>
      <c r="M90" s="171"/>
      <c r="N90" s="310"/>
      <c r="O90" s="310"/>
      <c r="P90" s="310"/>
      <c r="Q90" s="310"/>
      <c r="R90" s="310"/>
      <c r="S90" s="310"/>
      <c r="T90" s="310"/>
      <c r="U90" s="310"/>
      <c r="V90" s="310"/>
      <c r="W90" s="310"/>
      <c r="X90" s="310"/>
      <c r="Y90" s="310"/>
      <c r="Z90" s="310"/>
    </row>
    <row r="91" spans="1:32">
      <c r="A91" s="905"/>
      <c r="C91" s="215"/>
      <c r="D91" s="215"/>
      <c r="E91" s="215"/>
      <c r="F91" s="215"/>
      <c r="G91" s="215"/>
      <c r="H91" s="215"/>
      <c r="I91" s="215"/>
      <c r="J91" s="991"/>
    </row>
    <row r="92" spans="1:32">
      <c r="A92" s="905"/>
      <c r="C92" s="215"/>
      <c r="D92" s="215"/>
      <c r="E92" s="215"/>
      <c r="F92" s="215"/>
      <c r="G92" s="215"/>
      <c r="H92" s="215"/>
      <c r="I92" s="215"/>
      <c r="J92" s="991"/>
      <c r="M92" s="171"/>
      <c r="N92" s="310"/>
      <c r="O92" s="310"/>
      <c r="P92" s="310"/>
      <c r="Q92" s="310"/>
      <c r="R92" s="310"/>
      <c r="S92" s="310"/>
      <c r="T92" s="310"/>
      <c r="U92" s="310"/>
      <c r="V92" s="310"/>
      <c r="W92" s="310"/>
      <c r="X92" s="310"/>
      <c r="Y92" s="310"/>
      <c r="Z92" s="310"/>
    </row>
    <row r="93" spans="1:32">
      <c r="A93" s="905"/>
      <c r="C93" s="215"/>
      <c r="D93" s="215"/>
      <c r="E93" s="215"/>
      <c r="F93" s="215"/>
      <c r="G93" s="215"/>
      <c r="H93" s="215"/>
      <c r="I93" s="215"/>
      <c r="J93" s="991"/>
    </row>
    <row r="94" spans="1:32">
      <c r="A94" s="905"/>
      <c r="C94" s="215"/>
      <c r="D94" s="215"/>
      <c r="E94" s="215"/>
      <c r="F94" s="215"/>
      <c r="G94" s="215"/>
      <c r="H94" s="215"/>
      <c r="I94" s="215"/>
      <c r="J94" s="990"/>
      <c r="M94" s="171"/>
      <c r="N94" s="310"/>
      <c r="O94" s="310"/>
      <c r="P94" s="310"/>
      <c r="Q94" s="310"/>
      <c r="R94" s="310"/>
      <c r="S94" s="310"/>
      <c r="T94" s="310"/>
      <c r="U94" s="310"/>
      <c r="V94" s="310"/>
      <c r="W94" s="310"/>
      <c r="X94" s="310"/>
      <c r="Y94" s="310"/>
      <c r="Z94" s="310"/>
    </row>
    <row r="95" spans="1:32" ht="28.5" customHeight="1">
      <c r="A95" s="905"/>
      <c r="C95" s="215"/>
      <c r="D95" s="215"/>
      <c r="E95" s="215"/>
      <c r="F95" s="215"/>
      <c r="G95" s="215"/>
      <c r="H95" s="215"/>
      <c r="I95" s="215"/>
      <c r="J95" s="990"/>
    </row>
    <row r="96" spans="1:32">
      <c r="A96" s="905"/>
      <c r="C96" s="215"/>
      <c r="D96" s="215"/>
      <c r="E96" s="215"/>
      <c r="F96" s="215"/>
      <c r="G96" s="170"/>
      <c r="H96" s="215"/>
      <c r="I96" s="215"/>
      <c r="J96" s="990"/>
      <c r="L96" s="170"/>
      <c r="M96" s="171"/>
      <c r="N96" s="310"/>
      <c r="O96" s="310"/>
      <c r="P96" s="310"/>
      <c r="Q96" s="310"/>
      <c r="R96" s="310"/>
      <c r="S96" s="310"/>
      <c r="T96" s="310"/>
      <c r="U96" s="310"/>
      <c r="V96" s="310"/>
      <c r="W96" s="310"/>
      <c r="X96" s="310"/>
      <c r="Y96" s="310"/>
      <c r="Z96" s="310"/>
      <c r="AA96" s="170"/>
      <c r="AF96" s="170"/>
    </row>
    <row r="97" spans="1:26">
      <c r="A97" s="905"/>
      <c r="C97" s="215"/>
      <c r="D97" s="215"/>
      <c r="E97" s="215"/>
      <c r="F97" s="215"/>
      <c r="G97" s="215"/>
      <c r="H97" s="215"/>
      <c r="I97" s="215"/>
      <c r="J97" s="990"/>
    </row>
    <row r="98" spans="1:26" s="310" customFormat="1">
      <c r="A98" s="905"/>
      <c r="B98" s="170"/>
      <c r="C98" s="215"/>
      <c r="D98" s="215"/>
      <c r="E98" s="215"/>
      <c r="F98" s="215"/>
      <c r="G98" s="215"/>
      <c r="H98" s="215"/>
      <c r="I98" s="215"/>
      <c r="J98" s="984"/>
      <c r="K98" s="171"/>
      <c r="L98" s="171"/>
      <c r="M98" s="171"/>
    </row>
    <row r="99" spans="1:26" s="310" customFormat="1">
      <c r="A99" s="905"/>
      <c r="B99" s="170"/>
      <c r="C99" s="215"/>
      <c r="D99" s="215"/>
      <c r="E99" s="215"/>
      <c r="F99" s="215"/>
      <c r="G99" s="215"/>
      <c r="H99" s="215"/>
      <c r="I99" s="215"/>
      <c r="J99" s="984"/>
      <c r="K99" s="171"/>
      <c r="L99" s="171"/>
      <c r="M99" s="163"/>
      <c r="N99" s="158"/>
      <c r="O99" s="158"/>
      <c r="P99" s="158"/>
      <c r="Q99" s="158"/>
      <c r="R99" s="158"/>
      <c r="S99" s="158"/>
      <c r="T99" s="158"/>
      <c r="U99" s="158"/>
      <c r="V99" s="158"/>
      <c r="W99" s="158"/>
      <c r="X99" s="158"/>
      <c r="Y99" s="158"/>
      <c r="Z99" s="158"/>
    </row>
    <row r="100" spans="1:26" s="310" customFormat="1">
      <c r="A100" s="905"/>
      <c r="B100" s="170"/>
      <c r="C100" s="215"/>
      <c r="D100" s="215"/>
      <c r="E100" s="215"/>
      <c r="F100" s="215"/>
      <c r="G100" s="215"/>
      <c r="H100" s="215"/>
      <c r="I100" s="215"/>
      <c r="J100" s="984"/>
      <c r="K100" s="171"/>
      <c r="L100" s="171"/>
      <c r="M100" s="171"/>
    </row>
    <row r="101" spans="1:26">
      <c r="A101" s="905"/>
      <c r="C101" s="215"/>
      <c r="D101" s="215"/>
      <c r="E101" s="215"/>
      <c r="F101" s="215"/>
      <c r="G101" s="215"/>
      <c r="H101" s="215"/>
      <c r="I101" s="215"/>
      <c r="J101" s="990"/>
    </row>
    <row r="102" spans="1:26">
      <c r="A102" s="992"/>
      <c r="B102" s="989"/>
      <c r="C102" s="990"/>
      <c r="D102" s="990"/>
      <c r="E102" s="990"/>
      <c r="F102" s="990"/>
      <c r="G102" s="990"/>
      <c r="H102" s="990"/>
      <c r="I102" s="990"/>
      <c r="J102" s="990"/>
    </row>
  </sheetData>
  <mergeCells count="1">
    <mergeCell ref="E67:J67"/>
  </mergeCells>
  <phoneticPr fontId="319" type="noConversion"/>
  <dataValidations count="1">
    <dataValidation type="custom" allowBlank="1" showInputMessage="1" showErrorMessage="1" sqref="E68" xr:uid="{00000000-0002-0000-0500-000000000000}">
      <formula1>0.66</formula1>
    </dataValidation>
  </dataValidations>
  <pageMargins left="0.38" right="0.75" top="0.73" bottom="0.74" header="0.5" footer="0.5"/>
  <pageSetup scale="92" orientation="portrait"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39997558519241921"/>
    <pageSetUpPr fitToPage="1"/>
  </sheetPr>
  <dimension ref="A1:S122"/>
  <sheetViews>
    <sheetView zoomScaleNormal="100" workbookViewId="0">
      <pane xSplit="1" ySplit="2" topLeftCell="D60" activePane="bottomRight" state="frozenSplit"/>
      <selection pane="topRight" activeCell="B1" sqref="B1"/>
      <selection pane="bottomLeft" activeCell="A3" sqref="A3"/>
      <selection pane="bottomRight" activeCell="H75" sqref="H75"/>
    </sheetView>
  </sheetViews>
  <sheetFormatPr defaultColWidth="9.109375" defaultRowHeight="13.2"/>
  <cols>
    <col min="1" max="1" width="8.44140625" style="158" customWidth="1"/>
    <col min="2" max="2" width="15" style="170" bestFit="1" customWidth="1"/>
    <col min="3" max="3" width="10.88671875" style="170" customWidth="1"/>
    <col min="4" max="4" width="14.109375" style="163" customWidth="1"/>
    <col min="5" max="5" width="11.5546875" style="163" customWidth="1"/>
    <col min="6" max="6" width="14.109375" style="163" customWidth="1"/>
    <col min="7" max="7" width="15" style="163" customWidth="1"/>
    <col min="8" max="8" width="16.6640625" style="163" customWidth="1"/>
    <col min="9" max="9" width="15.44140625" style="163" customWidth="1"/>
    <col min="10" max="10" width="14.109375" style="163" customWidth="1"/>
    <col min="11" max="11" width="14.6640625" style="163" customWidth="1"/>
    <col min="12" max="12" width="16.44140625" style="163" customWidth="1"/>
    <col min="13" max="13" width="12.6640625" style="163" bestFit="1" customWidth="1"/>
    <col min="14" max="16384" width="9.109375" style="158"/>
  </cols>
  <sheetData>
    <row r="1" spans="1:13" ht="22.5" customHeight="1" thickBot="1">
      <c r="D1" s="1096" t="s">
        <v>180</v>
      </c>
      <c r="E1" s="159" t="s">
        <v>0</v>
      </c>
      <c r="F1" s="160"/>
      <c r="G1" s="161" t="s">
        <v>158</v>
      </c>
      <c r="H1" s="162"/>
      <c r="I1" s="162" t="s">
        <v>466</v>
      </c>
      <c r="J1" s="162"/>
      <c r="K1" s="162"/>
      <c r="L1" s="162"/>
    </row>
    <row r="2" spans="1:13" ht="29.25" customHeight="1">
      <c r="B2" s="158" t="s">
        <v>500</v>
      </c>
      <c r="C2" s="1087" t="s">
        <v>501</v>
      </c>
      <c r="D2" s="158" t="s">
        <v>502</v>
      </c>
      <c r="E2" s="158" t="s">
        <v>504</v>
      </c>
      <c r="F2" s="217" t="s">
        <v>11</v>
      </c>
      <c r="G2" s="217" t="s">
        <v>1</v>
      </c>
      <c r="H2" s="250" t="s">
        <v>110</v>
      </c>
      <c r="I2" s="250" t="s">
        <v>249</v>
      </c>
      <c r="J2" s="217" t="s">
        <v>179</v>
      </c>
      <c r="K2" s="217" t="s">
        <v>159</v>
      </c>
      <c r="L2" s="217" t="s">
        <v>2</v>
      </c>
      <c r="M2" s="158"/>
    </row>
    <row r="3" spans="1:13" s="1093" customFormat="1">
      <c r="A3" s="880" t="str">
        <f>'Purchased Power Model No CDM'!AB38</f>
        <v>2011</v>
      </c>
      <c r="B3" s="195">
        <f>'Rate Class Energy Model '!B3</f>
        <v>117969322</v>
      </c>
      <c r="C3" s="195">
        <f>SUMIF('Purchased Power Model No CDM'!$A$6:$A$125,A3,'Purchased Power Model No CDM'!$D$6:$D$125)</f>
        <v>34912</v>
      </c>
      <c r="D3" s="1086">
        <f>'Rate Class Energy Model '!B3</f>
        <v>117969322</v>
      </c>
      <c r="E3" s="165">
        <f>'Rate Class Energy Model '!C3</f>
        <v>1.0841704325347474</v>
      </c>
      <c r="F3" s="166">
        <f>SUM(G3:L3)</f>
        <v>108810680</v>
      </c>
      <c r="G3" s="192">
        <f>'Rate Class Energy Model '!E3</f>
        <v>43287278</v>
      </c>
      <c r="H3" s="193">
        <f>'Rate Class Energy Model '!F3</f>
        <v>20434679</v>
      </c>
      <c r="I3" s="193">
        <f>'Rate Class Energy Model '!G3</f>
        <v>43031208</v>
      </c>
      <c r="J3" s="193">
        <f>'Rate Class Energy Model '!H3</f>
        <v>1453874</v>
      </c>
      <c r="K3" s="193">
        <f>'Rate Class Energy Model '!I3</f>
        <v>108262</v>
      </c>
      <c r="L3" s="194">
        <f>'Rate Class Energy Model '!J3</f>
        <v>495379</v>
      </c>
      <c r="M3" s="180"/>
    </row>
    <row r="4" spans="1:13" s="1093" customFormat="1">
      <c r="A4" s="880" t="str">
        <f>'Purchased Power Model No CDM'!AB39</f>
        <v>2012</v>
      </c>
      <c r="B4" s="195">
        <f>'Rate Class Energy Model '!B4</f>
        <v>115215976</v>
      </c>
      <c r="C4" s="195">
        <f>SUMIF('Purchased Power Model No CDM'!$A$6:$A$125,A4,'Purchased Power Model No CDM'!$D$6:$D$125)</f>
        <v>64514</v>
      </c>
      <c r="D4" s="1086">
        <f>'Rate Class Energy Model '!B4</f>
        <v>115215976</v>
      </c>
      <c r="E4" s="165">
        <f>'Rate Class Energy Model '!C4</f>
        <v>1.0828823507800245</v>
      </c>
      <c r="F4" s="166">
        <f t="shared" ref="F4:F7" si="0">SUM(G4:L4)</f>
        <v>106397501</v>
      </c>
      <c r="G4" s="192">
        <f>'Rate Class Energy Model '!E4</f>
        <v>42116982</v>
      </c>
      <c r="H4" s="193">
        <f>'Rate Class Energy Model '!F4</f>
        <v>19669183</v>
      </c>
      <c r="I4" s="193">
        <f>'Rate Class Energy Model '!G4</f>
        <v>42549997</v>
      </c>
      <c r="J4" s="193">
        <f>'Rate Class Energy Model '!H4</f>
        <v>1453808</v>
      </c>
      <c r="K4" s="193">
        <f>'Rate Class Energy Model '!I4</f>
        <v>108266</v>
      </c>
      <c r="L4" s="194">
        <f>'Rate Class Energy Model '!J4</f>
        <v>499265</v>
      </c>
      <c r="M4" s="180"/>
    </row>
    <row r="5" spans="1:13" s="1093" customFormat="1">
      <c r="A5" s="880" t="str">
        <f>'Purchased Power Model No CDM'!AB40</f>
        <v>2013</v>
      </c>
      <c r="B5" s="195">
        <f>'Rate Class Energy Model '!B5</f>
        <v>116534650</v>
      </c>
      <c r="C5" s="195">
        <f>SUMIF('Purchased Power Model No CDM'!$A$6:$A$125,A5,'Purchased Power Model No CDM'!$D$6:$D$125)</f>
        <v>60445</v>
      </c>
      <c r="D5" s="1086">
        <f>'Rate Class Energy Model '!B5</f>
        <v>116534650</v>
      </c>
      <c r="E5" s="165">
        <f>'Rate Class Energy Model '!C5</f>
        <v>1.0871478263900263</v>
      </c>
      <c r="F5" s="166">
        <f t="shared" si="0"/>
        <v>107193012</v>
      </c>
      <c r="G5" s="192">
        <f>'Rate Class Energy Model '!E5</f>
        <v>42764838</v>
      </c>
      <c r="H5" s="193">
        <f>'Rate Class Energy Model '!F5</f>
        <v>20094189</v>
      </c>
      <c r="I5" s="193">
        <f>'Rate Class Energy Model '!G5</f>
        <v>42246503</v>
      </c>
      <c r="J5" s="193">
        <f>'Rate Class Energy Model '!H5</f>
        <v>1447303</v>
      </c>
      <c r="K5" s="193">
        <f>'Rate Class Energy Model '!I5</f>
        <v>108281</v>
      </c>
      <c r="L5" s="194">
        <f>'Rate Class Energy Model '!J5</f>
        <v>531898</v>
      </c>
      <c r="M5" s="180"/>
    </row>
    <row r="6" spans="1:13" s="1093" customFormat="1">
      <c r="A6" s="880" t="str">
        <f>'Purchased Power Model No CDM'!AB41</f>
        <v>2014</v>
      </c>
      <c r="B6" s="195">
        <f>'Rate Class Energy Model '!B6</f>
        <v>115878630</v>
      </c>
      <c r="C6" s="195">
        <f>SUMIF('Purchased Power Model No CDM'!$A$6:$A$125,A6,'Purchased Power Model No CDM'!$D$6:$D$125)</f>
        <v>71106</v>
      </c>
      <c r="D6" s="1086">
        <f>'Rate Class Energy Model '!B6</f>
        <v>115878630</v>
      </c>
      <c r="E6" s="165">
        <f>'Rate Class Energy Model '!C6</f>
        <v>1.0770089961520823</v>
      </c>
      <c r="F6" s="166">
        <f t="shared" si="0"/>
        <v>107593001</v>
      </c>
      <c r="G6" s="192">
        <f>'Rate Class Energy Model '!E6</f>
        <v>42272228</v>
      </c>
      <c r="H6" s="193">
        <f>'Rate Class Energy Model '!F6</f>
        <v>20739791</v>
      </c>
      <c r="I6" s="193">
        <f>'Rate Class Energy Model '!G6</f>
        <v>42584416</v>
      </c>
      <c r="J6" s="193">
        <f>'Rate Class Energy Model '!H6</f>
        <v>1321505</v>
      </c>
      <c r="K6" s="193">
        <f>'Rate Class Energy Model '!I6</f>
        <v>109302</v>
      </c>
      <c r="L6" s="194">
        <f>'Rate Class Energy Model '!J6</f>
        <v>565759</v>
      </c>
      <c r="M6" s="180"/>
    </row>
    <row r="7" spans="1:13">
      <c r="A7" s="880" t="str">
        <f>'Purchased Power Model No CDM'!AB42</f>
        <v>2015</v>
      </c>
      <c r="B7" s="1109">
        <f>'Rate Class Energy Model '!B7</f>
        <v>112605313.95</v>
      </c>
      <c r="C7" s="1109">
        <f>SUMIF('Purchased Power Model No CDM'!$A$6:$A$125,A7,'Purchased Power Model No CDM'!$D$6:$D$125)</f>
        <v>79072</v>
      </c>
      <c r="D7" s="1110">
        <f>'Rate Class Energy Model '!B7</f>
        <v>112605313.95</v>
      </c>
      <c r="E7" s="1111">
        <f>'Rate Class Energy Model '!C7</f>
        <v>1.0805068377220113</v>
      </c>
      <c r="F7" s="1094">
        <f t="shared" si="0"/>
        <v>104215271.962</v>
      </c>
      <c r="G7" s="1112">
        <f>'Rate Class Energy Model '!E7</f>
        <v>40938310.960000001</v>
      </c>
      <c r="H7" s="1113">
        <f>'Rate Class Energy Model '!F7</f>
        <v>20653133.002</v>
      </c>
      <c r="I7" s="1113">
        <f>'Rate Class Energy Model '!G7</f>
        <v>40918077</v>
      </c>
      <c r="J7" s="1113">
        <f>'Rate Class Energy Model '!H7</f>
        <v>1052678</v>
      </c>
      <c r="K7" s="1113">
        <f>'Rate Class Energy Model '!I7</f>
        <v>109502</v>
      </c>
      <c r="L7" s="1114">
        <f>'Rate Class Energy Model '!J7</f>
        <v>543571</v>
      </c>
    </row>
    <row r="8" spans="1:13">
      <c r="A8" s="880" t="str">
        <f>'Purchased Power Model No CDM'!AB43</f>
        <v>2016</v>
      </c>
      <c r="B8" s="193">
        <f>'Rate Class Energy Model '!B8</f>
        <v>109654088.34999999</v>
      </c>
      <c r="C8" s="195">
        <f>SUMIF('Purchased Power Model No CDM'!$A$6:$A$125,A8,'Purchased Power Model No CDM'!$D$6:$D$125)</f>
        <v>80384</v>
      </c>
      <c r="D8" s="1095">
        <f>'Rate Class Energy Model '!B8</f>
        <v>109654088.34999999</v>
      </c>
      <c r="E8" s="165">
        <f>'Rate Class Energy Model '!C8</f>
        <v>1.0780944896630682</v>
      </c>
      <c r="F8" s="166">
        <f t="shared" ref="F8:F13" si="1">SUM(G8:L8)</f>
        <v>101711018.28400001</v>
      </c>
      <c r="G8" s="192">
        <f>'Rate Class Energy Model '!E8</f>
        <v>40480043.329000004</v>
      </c>
      <c r="H8" s="192">
        <f>'Rate Class Energy Model '!F8</f>
        <v>20348622.955000002</v>
      </c>
      <c r="I8" s="192">
        <f>'Rate Class Energy Model '!G8</f>
        <v>39456019</v>
      </c>
      <c r="J8" s="192">
        <f>'Rate Class Energy Model '!H8</f>
        <v>773158</v>
      </c>
      <c r="K8" s="192">
        <f>'Rate Class Energy Model '!I8</f>
        <v>106791</v>
      </c>
      <c r="L8" s="192">
        <f>'Rate Class Energy Model '!J8</f>
        <v>546384</v>
      </c>
    </row>
    <row r="9" spans="1:13">
      <c r="A9" s="880" t="str">
        <f>'Purchased Power Model No CDM'!AB44</f>
        <v>2017</v>
      </c>
      <c r="B9" s="195">
        <f>'Rate Class Energy Model '!B9</f>
        <v>107118589</v>
      </c>
      <c r="C9" s="195">
        <f>SUMIF('Purchased Power Model No CDM'!$A$6:$A$125,A9,'Purchased Power Model No CDM'!$D$6:$D$125)</f>
        <v>67810</v>
      </c>
      <c r="D9" s="1086">
        <f>'Rate Class Energy Model '!B9</f>
        <v>107118589</v>
      </c>
      <c r="E9" s="165">
        <f>'Rate Class Energy Model '!C9</f>
        <v>1.0837760152319693</v>
      </c>
      <c r="F9" s="166">
        <f t="shared" si="1"/>
        <v>98838309.294999987</v>
      </c>
      <c r="G9" s="192">
        <f>'Rate Class Energy Model '!E9</f>
        <v>39379535.354999997</v>
      </c>
      <c r="H9" s="193">
        <f>'Rate Class Energy Model '!F9</f>
        <v>19816422.939999998</v>
      </c>
      <c r="I9" s="193">
        <f>'Rate Class Energy Model '!G9</f>
        <v>38286678</v>
      </c>
      <c r="J9" s="193">
        <f>'Rate Class Energy Model '!H9</f>
        <v>716670</v>
      </c>
      <c r="K9" s="193">
        <f>'Rate Class Energy Model '!I9</f>
        <v>99906</v>
      </c>
      <c r="L9" s="194">
        <f>'Rate Class Energy Model '!J9</f>
        <v>539097</v>
      </c>
    </row>
    <row r="10" spans="1:13">
      <c r="A10" s="880" t="str">
        <f>'Purchased Power Model No CDM'!AB45</f>
        <v>2018</v>
      </c>
      <c r="B10" s="195">
        <f>'Rate Class Energy Model '!B10</f>
        <v>110214244.34999999</v>
      </c>
      <c r="C10" s="195">
        <f>SUMIF('Purchased Power Model No CDM'!$A$6:$A$125,A10,'Purchased Power Model No CDM'!$D$6:$D$125)</f>
        <v>71345</v>
      </c>
      <c r="D10" s="1086">
        <f>'Rate Class Energy Model '!B10</f>
        <v>110214244.34999999</v>
      </c>
      <c r="E10" s="165">
        <f>'Rate Class Energy Model '!C10</f>
        <v>1.0821377171432705</v>
      </c>
      <c r="F10" s="166">
        <f>SUM(G10:L10)</f>
        <v>101848630.358208</v>
      </c>
      <c r="G10" s="192">
        <f>'Rate Class Energy Model '!E10</f>
        <v>42538788.821000002</v>
      </c>
      <c r="H10" s="193">
        <f>'Rate Class Energy Model '!F10</f>
        <v>20252448.662</v>
      </c>
      <c r="I10" s="193">
        <f>'Rate Class Energy Model '!G10</f>
        <v>37703866.302273989</v>
      </c>
      <c r="J10" s="193">
        <f>'Rate Class Energy Model '!H10</f>
        <v>714488.57293399889</v>
      </c>
      <c r="K10" s="193">
        <f>'Rate Class Energy Model '!I10</f>
        <v>97401</v>
      </c>
      <c r="L10" s="194">
        <f>'Rate Class Energy Model '!J10</f>
        <v>541637</v>
      </c>
    </row>
    <row r="11" spans="1:13">
      <c r="A11" s="880" t="str">
        <f>'Purchased Power Model No CDM'!AB46</f>
        <v>2019</v>
      </c>
      <c r="B11" s="195">
        <f>'Rate Class Energy Model '!B11</f>
        <v>108677810.90000001</v>
      </c>
      <c r="C11" s="195">
        <f>SUMIF('Purchased Power Model No CDM'!$A$6:$A$125,A11,'Purchased Power Model No CDM'!$D$6:$D$125)</f>
        <v>72536.380000000019</v>
      </c>
      <c r="D11" s="1086">
        <f>'Rate Class Energy Model '!B11</f>
        <v>108677810.90000001</v>
      </c>
      <c r="E11" s="165">
        <f>'Rate Class Energy Model '!C11</f>
        <v>1.084402270377784</v>
      </c>
      <c r="F11" s="166">
        <f t="shared" si="1"/>
        <v>100219092</v>
      </c>
      <c r="G11" s="192">
        <f>'Rate Class Energy Model '!E11</f>
        <v>42182601</v>
      </c>
      <c r="H11" s="193">
        <f>'Rate Class Energy Model '!F11</f>
        <v>19700297</v>
      </c>
      <c r="I11" s="193">
        <f>'Rate Class Energy Model '!G11</f>
        <v>37004001</v>
      </c>
      <c r="J11" s="193">
        <f>'Rate Class Energy Model '!H11</f>
        <v>691963</v>
      </c>
      <c r="K11" s="193">
        <f>'Rate Class Energy Model '!I11</f>
        <v>98084</v>
      </c>
      <c r="L11" s="194">
        <f>'Rate Class Energy Model '!J11</f>
        <v>542146</v>
      </c>
    </row>
    <row r="12" spans="1:13">
      <c r="A12" s="880" t="str">
        <f>'Purchased Power Model No CDM'!AB47</f>
        <v>2020</v>
      </c>
      <c r="B12" s="195">
        <f>'Rate Class Energy Model '!B12</f>
        <v>108412539.53</v>
      </c>
      <c r="C12" s="195">
        <f>SUMIF('Purchased Power Model No CDM'!$A$6:$A$125,A12,'Purchased Power Model No CDM'!$D$6:$D$125)</f>
        <v>71219.88</v>
      </c>
      <c r="D12" s="1086">
        <f>'Rate Class Energy Model '!B12</f>
        <v>108412539.53</v>
      </c>
      <c r="E12" s="165">
        <f>'Rate Class Energy Model '!C12</f>
        <v>1.0894402294594179</v>
      </c>
      <c r="F12" s="564">
        <f t="shared" si="1"/>
        <v>99512150</v>
      </c>
      <c r="G12" s="192">
        <f>'Rate Class Energy Model '!E12</f>
        <v>43593897</v>
      </c>
      <c r="H12" s="193">
        <f>'Rate Class Energy Model '!F12</f>
        <v>18533558</v>
      </c>
      <c r="I12" s="193">
        <f>'Rate Class Energy Model '!G12</f>
        <v>36107964</v>
      </c>
      <c r="J12" s="193">
        <f>'Rate Class Energy Model '!H12</f>
        <v>644755</v>
      </c>
      <c r="K12" s="193">
        <f>'Rate Class Energy Model '!I12</f>
        <v>96660</v>
      </c>
      <c r="L12" s="194">
        <f>'Rate Class Energy Model '!J12</f>
        <v>535316</v>
      </c>
    </row>
    <row r="13" spans="1:13">
      <c r="A13" s="880" t="str">
        <f>'Purchased Power Model No CDM'!AB48</f>
        <v>2021</v>
      </c>
      <c r="B13" s="195">
        <f>'Rate Class Energy Model '!B13</f>
        <v>109194031.74000002</v>
      </c>
      <c r="C13" s="195">
        <f>SUM('Purchased Power Model No CDM'!D126:D137)</f>
        <v>68940.23</v>
      </c>
      <c r="D13" s="1034">
        <f>'Rate Class Energy Model '!B13</f>
        <v>109194031.74000002</v>
      </c>
      <c r="E13" s="1035">
        <f>'Rate Class Energy Model '!C13</f>
        <v>1.0868059634590692</v>
      </c>
      <c r="F13" s="564">
        <f t="shared" si="1"/>
        <v>100472426</v>
      </c>
      <c r="G13" s="192">
        <f>'Rate Class Energy Model '!E13</f>
        <v>43612856</v>
      </c>
      <c r="H13" s="193">
        <f>'Rate Class Energy Model '!F13</f>
        <v>17739759</v>
      </c>
      <c r="I13" s="193">
        <f>'Rate Class Energy Model '!G13</f>
        <v>37832568</v>
      </c>
      <c r="J13" s="193">
        <f>'Rate Class Energy Model '!H13</f>
        <v>643596</v>
      </c>
      <c r="K13" s="193">
        <f>'Rate Class Energy Model '!I13</f>
        <v>88607</v>
      </c>
      <c r="L13" s="194">
        <f>'Rate Class Energy Model '!J13</f>
        <v>555040</v>
      </c>
      <c r="M13" s="564"/>
    </row>
    <row r="14" spans="1:13">
      <c r="A14" s="880" t="str">
        <f>'Purchased Power Model No CDM'!AB49</f>
        <v>2022</v>
      </c>
      <c r="B14" s="195"/>
      <c r="C14" s="195"/>
      <c r="D14" s="1034">
        <f>'Rate Class Energy Model '!B14</f>
        <v>103699020.77285595</v>
      </c>
      <c r="E14" s="1038">
        <f>'Rate Class Energy Model '!C14</f>
        <v>1.0852999999999999</v>
      </c>
      <c r="F14" s="959"/>
      <c r="G14" s="959"/>
      <c r="H14" s="959"/>
      <c r="I14" s="959"/>
      <c r="J14" s="959"/>
      <c r="K14" s="959"/>
      <c r="L14" s="959"/>
      <c r="M14" s="180"/>
    </row>
    <row r="15" spans="1:13">
      <c r="A15" s="880"/>
      <c r="B15" s="959"/>
      <c r="C15" s="959"/>
      <c r="D15" s="959"/>
      <c r="E15" s="959"/>
      <c r="F15" s="959"/>
      <c r="G15" s="959"/>
      <c r="H15" s="959"/>
      <c r="I15" s="959"/>
      <c r="J15" s="959"/>
      <c r="K15" s="959"/>
      <c r="L15" s="959"/>
      <c r="M15" s="180"/>
    </row>
    <row r="16" spans="1:13">
      <c r="A16" s="880"/>
      <c r="B16" s="158"/>
      <c r="C16" s="158"/>
      <c r="D16" s="158"/>
      <c r="E16" s="158"/>
      <c r="F16" s="959"/>
      <c r="G16" s="959"/>
      <c r="H16" s="959"/>
      <c r="I16" s="959"/>
      <c r="J16" s="959"/>
      <c r="K16" s="959"/>
      <c r="L16" s="959"/>
      <c r="M16" s="180"/>
    </row>
    <row r="17" spans="1:14">
      <c r="A17" s="880" t="s">
        <v>464</v>
      </c>
      <c r="B17" s="880"/>
      <c r="C17" s="880"/>
      <c r="D17" s="1059" t="s">
        <v>464</v>
      </c>
      <c r="E17" s="898"/>
      <c r="F17" s="1144" t="s">
        <v>469</v>
      </c>
      <c r="G17" s="1145"/>
      <c r="H17" s="959"/>
      <c r="I17" s="959"/>
      <c r="J17" s="959"/>
      <c r="K17" s="959"/>
      <c r="L17" s="959"/>
      <c r="M17" s="180"/>
    </row>
    <row r="18" spans="1:14" ht="26.4">
      <c r="A18" s="880"/>
      <c r="B18" s="880"/>
      <c r="C18" s="880"/>
      <c r="D18" s="1097" t="s">
        <v>505</v>
      </c>
      <c r="E18" s="898"/>
      <c r="F18" s="1097" t="s">
        <v>507</v>
      </c>
      <c r="G18" s="217" t="s">
        <v>1</v>
      </c>
      <c r="H18" s="250" t="s">
        <v>110</v>
      </c>
      <c r="I18" s="250" t="s">
        <v>249</v>
      </c>
      <c r="J18" s="217" t="s">
        <v>179</v>
      </c>
      <c r="K18" s="217" t="s">
        <v>159</v>
      </c>
      <c r="L18" s="217" t="s">
        <v>2</v>
      </c>
      <c r="M18" s="991" t="s">
        <v>5</v>
      </c>
      <c r="N18" s="992" t="s">
        <v>10</v>
      </c>
    </row>
    <row r="19" spans="1:14">
      <c r="A19" s="181" t="str">
        <f>A3</f>
        <v>2011</v>
      </c>
      <c r="B19" s="880"/>
      <c r="C19" s="880"/>
      <c r="D19" s="193">
        <f>'Purchased Power Model No CDM'!AC172</f>
        <v>118415995.09846276</v>
      </c>
      <c r="E19" s="1120">
        <f t="shared" ref="E19:E23" si="2">E3</f>
        <v>1.0841704325347474</v>
      </c>
      <c r="F19" s="166">
        <f t="shared" ref="F19:F29" si="3">D19/E19</f>
        <v>109222675.27773365</v>
      </c>
      <c r="G19" s="564">
        <f t="shared" ref="G19:L29" si="4">G3+G60</f>
        <v>43498119.559493177</v>
      </c>
      <c r="H19" s="564">
        <f t="shared" si="4"/>
        <v>20534211.236425273</v>
      </c>
      <c r="I19" s="564">
        <f t="shared" si="4"/>
        <v>43132829.481815204</v>
      </c>
      <c r="J19" s="564">
        <f t="shared" si="4"/>
        <v>1453874</v>
      </c>
      <c r="K19" s="564">
        <f t="shared" si="4"/>
        <v>108262</v>
      </c>
      <c r="L19" s="564">
        <f t="shared" si="4"/>
        <v>495379</v>
      </c>
      <c r="M19" s="990">
        <f>SUM(G19:L19)</f>
        <v>109222675.27773365</v>
      </c>
      <c r="N19" s="1126">
        <f>M19-F19</f>
        <v>0</v>
      </c>
    </row>
    <row r="20" spans="1:14">
      <c r="A20" s="181" t="str">
        <f t="shared" ref="A20:A23" si="5">A4</f>
        <v>2012</v>
      </c>
      <c r="B20" s="880"/>
      <c r="C20" s="880"/>
      <c r="D20" s="193">
        <f>'Purchased Power Model No CDM'!AC173</f>
        <v>117168660.32613999</v>
      </c>
      <c r="E20" s="1120">
        <f t="shared" si="2"/>
        <v>1.0828823507800245</v>
      </c>
      <c r="F20" s="166">
        <f t="shared" si="3"/>
        <v>108200729.50837252</v>
      </c>
      <c r="G20" s="564">
        <f t="shared" si="4"/>
        <v>43038479.19327268</v>
      </c>
      <c r="H20" s="564">
        <f t="shared" si="4"/>
        <v>20099534.275608178</v>
      </c>
      <c r="I20" s="564">
        <f t="shared" si="4"/>
        <v>43001377.039491661</v>
      </c>
      <c r="J20" s="564">
        <f t="shared" si="4"/>
        <v>1453808</v>
      </c>
      <c r="K20" s="564">
        <f t="shared" si="4"/>
        <v>108266</v>
      </c>
      <c r="L20" s="564">
        <f t="shared" si="4"/>
        <v>499265</v>
      </c>
      <c r="M20" s="990">
        <f t="shared" ref="M20:M28" si="6">SUM(G20:L20)</f>
        <v>108200729.50837252</v>
      </c>
      <c r="N20" s="1126">
        <f t="shared" ref="N20:N28" si="7">M20-F20</f>
        <v>0</v>
      </c>
    </row>
    <row r="21" spans="1:14">
      <c r="A21" s="181" t="str">
        <f t="shared" si="5"/>
        <v>2013</v>
      </c>
      <c r="B21" s="158"/>
      <c r="C21" s="158"/>
      <c r="D21" s="193">
        <f>'Purchased Power Model No CDM'!AC174</f>
        <v>115553454.22827533</v>
      </c>
      <c r="E21" s="1120">
        <f t="shared" si="2"/>
        <v>1.0871478263900263</v>
      </c>
      <c r="F21" s="166">
        <f t="shared" si="3"/>
        <v>106290470.73752715</v>
      </c>
      <c r="G21" s="564">
        <f t="shared" si="4"/>
        <v>42301722.793606304</v>
      </c>
      <c r="H21" s="564">
        <f t="shared" si="4"/>
        <v>19876582.084569875</v>
      </c>
      <c r="I21" s="564">
        <f t="shared" si="4"/>
        <v>42024683.859350972</v>
      </c>
      <c r="J21" s="564">
        <f t="shared" si="4"/>
        <v>1447303</v>
      </c>
      <c r="K21" s="564">
        <f t="shared" si="4"/>
        <v>108281</v>
      </c>
      <c r="L21" s="564">
        <f t="shared" si="4"/>
        <v>531898</v>
      </c>
      <c r="M21" s="990">
        <f t="shared" si="6"/>
        <v>106290470.73752716</v>
      </c>
      <c r="N21" s="1126">
        <f t="shared" si="7"/>
        <v>0</v>
      </c>
    </row>
    <row r="22" spans="1:14">
      <c r="A22" s="181" t="str">
        <f t="shared" si="5"/>
        <v>2014</v>
      </c>
      <c r="B22" s="1023"/>
      <c r="C22" s="1023"/>
      <c r="D22" s="193">
        <f>'Purchased Power Model No CDM'!AC175</f>
        <v>114094931.0167875</v>
      </c>
      <c r="E22" s="1120">
        <f t="shared" si="2"/>
        <v>1.0770089961520823</v>
      </c>
      <c r="F22" s="166">
        <f t="shared" si="3"/>
        <v>105936841.2189905</v>
      </c>
      <c r="G22" s="564">
        <f t="shared" si="4"/>
        <v>41435383.707207955</v>
      </c>
      <c r="H22" s="564">
        <f t="shared" si="4"/>
        <v>20329214.681854434</v>
      </c>
      <c r="I22" s="564">
        <f t="shared" si="4"/>
        <v>42175676.829928115</v>
      </c>
      <c r="J22" s="564">
        <f t="shared" si="4"/>
        <v>1321505</v>
      </c>
      <c r="K22" s="564">
        <f t="shared" si="4"/>
        <v>109302</v>
      </c>
      <c r="L22" s="564">
        <f t="shared" si="4"/>
        <v>565759</v>
      </c>
      <c r="M22" s="990">
        <f t="shared" si="6"/>
        <v>105936841.2189905</v>
      </c>
      <c r="N22" s="1126">
        <f t="shared" si="7"/>
        <v>0</v>
      </c>
    </row>
    <row r="23" spans="1:14">
      <c r="A23" s="181" t="str">
        <f t="shared" si="5"/>
        <v>2015</v>
      </c>
      <c r="B23" s="172"/>
      <c r="C23" s="172"/>
      <c r="D23" s="1054">
        <f>'Purchased Power Model No CDM'!AC176</f>
        <v>112636407.8052997</v>
      </c>
      <c r="E23" s="1120">
        <f t="shared" si="2"/>
        <v>1.0805068377220113</v>
      </c>
      <c r="F23" s="166">
        <f t="shared" si="3"/>
        <v>104244049.06383237</v>
      </c>
      <c r="G23" s="564">
        <f t="shared" si="4"/>
        <v>40952778.33740212</v>
      </c>
      <c r="H23" s="564">
        <f t="shared" si="4"/>
        <v>20660431.70736105</v>
      </c>
      <c r="I23" s="564">
        <f t="shared" si="4"/>
        <v>40925088.019069202</v>
      </c>
      <c r="J23" s="564">
        <f t="shared" si="4"/>
        <v>1052678</v>
      </c>
      <c r="K23" s="564">
        <f t="shared" si="4"/>
        <v>109502</v>
      </c>
      <c r="L23" s="564">
        <f t="shared" si="4"/>
        <v>543571</v>
      </c>
      <c r="M23" s="990">
        <f t="shared" si="6"/>
        <v>104244049.06383237</v>
      </c>
      <c r="N23" s="1126">
        <f t="shared" si="7"/>
        <v>0</v>
      </c>
    </row>
    <row r="24" spans="1:14">
      <c r="A24" s="1115" t="str">
        <f t="shared" ref="A24:A30" si="8">A8</f>
        <v>2016</v>
      </c>
      <c r="B24" s="1121"/>
      <c r="C24" s="1121"/>
      <c r="D24" s="1055">
        <f>'Purchased Power Model No CDM'!AC177</f>
        <v>111334567.48018874</v>
      </c>
      <c r="E24" s="1122">
        <f>E8</f>
        <v>1.0780944896630682</v>
      </c>
      <c r="F24" s="1123">
        <f t="shared" si="3"/>
        <v>103269767.67591457</v>
      </c>
      <c r="G24" s="1123">
        <f t="shared" si="4"/>
        <v>41269177.204134397</v>
      </c>
      <c r="H24" s="1123">
        <f t="shared" si="4"/>
        <v>20745307.008809399</v>
      </c>
      <c r="I24" s="1123">
        <f t="shared" si="4"/>
        <v>39828950.462970771</v>
      </c>
      <c r="J24" s="1123">
        <f t="shared" si="4"/>
        <v>773158</v>
      </c>
      <c r="K24" s="1123">
        <f t="shared" si="4"/>
        <v>106791</v>
      </c>
      <c r="L24" s="1123">
        <f t="shared" si="4"/>
        <v>546384</v>
      </c>
      <c r="M24" s="990">
        <f t="shared" si="6"/>
        <v>103269767.67591456</v>
      </c>
      <c r="N24" s="1126">
        <f t="shared" si="7"/>
        <v>0</v>
      </c>
    </row>
    <row r="25" spans="1:14">
      <c r="A25" s="181" t="str">
        <f t="shared" si="8"/>
        <v>2017</v>
      </c>
      <c r="B25" s="880"/>
      <c r="C25" s="880"/>
      <c r="D25" s="193">
        <f>'Purchased Power Model No CDM'!AC178</f>
        <v>109664855.82953592</v>
      </c>
      <c r="E25" s="1120">
        <f t="shared" ref="E25:E27" si="9">E9</f>
        <v>1.0837760152319693</v>
      </c>
      <c r="F25" s="1125">
        <f t="shared" si="3"/>
        <v>101187749.39493698</v>
      </c>
      <c r="G25" s="1124">
        <f t="shared" si="4"/>
        <v>40569360.663189359</v>
      </c>
      <c r="H25" s="1124">
        <f t="shared" si="4"/>
        <v>20415162.394877858</v>
      </c>
      <c r="I25" s="1124">
        <f t="shared" si="4"/>
        <v>38847553.336869769</v>
      </c>
      <c r="J25" s="1124">
        <f t="shared" si="4"/>
        <v>716670</v>
      </c>
      <c r="K25" s="1124">
        <f t="shared" si="4"/>
        <v>99906</v>
      </c>
      <c r="L25" s="1124">
        <f t="shared" si="4"/>
        <v>539097</v>
      </c>
      <c r="M25" s="990">
        <f t="shared" si="6"/>
        <v>101187749.39493698</v>
      </c>
      <c r="N25" s="1126">
        <f t="shared" si="7"/>
        <v>0</v>
      </c>
    </row>
    <row r="26" spans="1:14">
      <c r="A26" s="181" t="str">
        <f t="shared" si="8"/>
        <v>2018</v>
      </c>
      <c r="B26" s="158"/>
      <c r="C26" s="158"/>
      <c r="D26" s="193">
        <f>'Purchased Power Model No CDM'!AC179</f>
        <v>108260838.1708363</v>
      </c>
      <c r="E26" s="1120">
        <f t="shared" si="9"/>
        <v>1.0821377171432705</v>
      </c>
      <c r="F26" s="1125">
        <f t="shared" si="3"/>
        <v>100043493.96177919</v>
      </c>
      <c r="G26" s="1124">
        <f t="shared" si="4"/>
        <v>41591625.67292235</v>
      </c>
      <c r="H26" s="1124">
        <f t="shared" si="4"/>
        <v>19801510.269943308</v>
      </c>
      <c r="I26" s="1124">
        <f t="shared" si="4"/>
        <v>37296831.445979528</v>
      </c>
      <c r="J26" s="1124">
        <f t="shared" si="4"/>
        <v>714488.57293399889</v>
      </c>
      <c r="K26" s="1124">
        <f t="shared" si="4"/>
        <v>97401</v>
      </c>
      <c r="L26" s="1124">
        <f t="shared" si="4"/>
        <v>541637</v>
      </c>
      <c r="M26" s="990">
        <f t="shared" si="6"/>
        <v>100043493.96177918</v>
      </c>
      <c r="N26" s="1126">
        <f t="shared" si="7"/>
        <v>0</v>
      </c>
    </row>
    <row r="27" spans="1:14">
      <c r="A27" s="181" t="str">
        <f t="shared" si="8"/>
        <v>2019</v>
      </c>
      <c r="B27" s="1023"/>
      <c r="C27" s="1023"/>
      <c r="D27" s="193">
        <f>'Purchased Power Model No CDM'!AC180</f>
        <v>106802314.9593485</v>
      </c>
      <c r="E27" s="1120">
        <f t="shared" si="9"/>
        <v>1.084402270377784</v>
      </c>
      <c r="F27" s="1125">
        <f t="shared" si="3"/>
        <v>98489571.514951468</v>
      </c>
      <c r="G27" s="1124">
        <f t="shared" si="4"/>
        <v>41268647.042907096</v>
      </c>
      <c r="H27" s="1124">
        <f t="shared" si="4"/>
        <v>19273458.351547394</v>
      </c>
      <c r="I27" s="1124">
        <f t="shared" si="4"/>
        <v>36615273.120496981</v>
      </c>
      <c r="J27" s="1124">
        <f t="shared" si="4"/>
        <v>691963</v>
      </c>
      <c r="K27" s="1124">
        <f t="shared" si="4"/>
        <v>98084</v>
      </c>
      <c r="L27" s="1124">
        <f t="shared" si="4"/>
        <v>542146</v>
      </c>
      <c r="M27" s="990">
        <f t="shared" si="6"/>
        <v>98489571.514951468</v>
      </c>
      <c r="N27" s="1126">
        <f t="shared" si="7"/>
        <v>0</v>
      </c>
    </row>
    <row r="28" spans="1:14">
      <c r="A28" s="181" t="str">
        <f t="shared" si="8"/>
        <v>2020</v>
      </c>
      <c r="B28" s="172"/>
      <c r="C28" s="172"/>
      <c r="D28" s="193">
        <f>'Purchased Power Model No CDM'!AC181</f>
        <v>109093062.85571662</v>
      </c>
      <c r="E28" s="1120">
        <f>E12</f>
        <v>1.0894402294594179</v>
      </c>
      <c r="F28" s="1125">
        <f t="shared" si="3"/>
        <v>100136804.11806418</v>
      </c>
      <c r="G28" s="1124">
        <f t="shared" si="4"/>
        <v>43935848.788816221</v>
      </c>
      <c r="H28" s="1124">
        <f t="shared" si="4"/>
        <v>18678935.764947906</v>
      </c>
      <c r="I28" s="1124">
        <f t="shared" si="4"/>
        <v>36245288.564300053</v>
      </c>
      <c r="J28" s="1124">
        <f t="shared" si="4"/>
        <v>644755</v>
      </c>
      <c r="K28" s="1124">
        <f t="shared" si="4"/>
        <v>96660</v>
      </c>
      <c r="L28" s="1124">
        <f t="shared" si="4"/>
        <v>535316</v>
      </c>
      <c r="M28" s="990">
        <f t="shared" si="6"/>
        <v>100136804.11806418</v>
      </c>
      <c r="N28" s="1126">
        <f t="shared" si="7"/>
        <v>0</v>
      </c>
    </row>
    <row r="29" spans="1:14">
      <c r="A29" s="181" t="str">
        <f t="shared" si="8"/>
        <v>2021</v>
      </c>
      <c r="B29" s="172"/>
      <c r="C29" s="172"/>
      <c r="D29" s="193">
        <f>'Purchased Power Model No CDM'!AC182</f>
        <v>109192392.53940925</v>
      </c>
      <c r="E29" s="1120">
        <f>E13</f>
        <v>1.0868059634590692</v>
      </c>
      <c r="F29" s="1125">
        <f t="shared" si="3"/>
        <v>100470917.72654006</v>
      </c>
      <c r="G29" s="1124">
        <f t="shared" si="4"/>
        <v>43612030.60877876</v>
      </c>
      <c r="H29" s="1124">
        <f t="shared" si="4"/>
        <v>17739423.267771285</v>
      </c>
      <c r="I29" s="1124">
        <f t="shared" si="4"/>
        <v>37832220.84999001</v>
      </c>
      <c r="J29" s="1124">
        <f t="shared" si="4"/>
        <v>643596</v>
      </c>
      <c r="K29" s="1124">
        <f t="shared" si="4"/>
        <v>88607</v>
      </c>
      <c r="L29" s="1124">
        <f t="shared" si="4"/>
        <v>555040</v>
      </c>
      <c r="M29" s="990"/>
      <c r="N29" s="1126"/>
    </row>
    <row r="30" spans="1:14">
      <c r="A30" s="181" t="str">
        <f t="shared" si="8"/>
        <v>2022</v>
      </c>
      <c r="B30" s="172"/>
      <c r="C30" s="172"/>
      <c r="D30" s="172"/>
      <c r="E30" s="1120"/>
      <c r="F30" s="166">
        <f>SUM(G30:L30)</f>
        <v>95548715.353225783</v>
      </c>
      <c r="G30" s="564">
        <f>'Rate Class Energy Model '!E14</f>
        <v>40152604.799600743</v>
      </c>
      <c r="H30" s="564">
        <f>'Rate Class Energy Model '!F14</f>
        <v>18422392.908433612</v>
      </c>
      <c r="I30" s="564">
        <f>'Rate Class Energy Model '!G14</f>
        <v>35686578.685481668</v>
      </c>
      <c r="J30" s="564">
        <f>'Rate Class Energy Model '!H14</f>
        <v>643596</v>
      </c>
      <c r="K30" s="564">
        <f>'Rate Class Energy Model '!I14</f>
        <v>85699.641303017532</v>
      </c>
      <c r="L30" s="564">
        <f>'Rate Class Energy Model '!J14</f>
        <v>557843.31840674079</v>
      </c>
      <c r="M30" s="990"/>
      <c r="N30" s="1126"/>
    </row>
    <row r="31" spans="1:14">
      <c r="A31" s="181"/>
      <c r="B31" s="172"/>
      <c r="C31" s="172"/>
      <c r="D31" s="170"/>
      <c r="E31" s="898"/>
      <c r="F31" s="181"/>
      <c r="G31" s="181"/>
      <c r="H31" s="181"/>
      <c r="I31" s="181"/>
      <c r="J31" s="181"/>
      <c r="K31" s="959"/>
      <c r="L31" s="959"/>
    </row>
    <row r="32" spans="1:14">
      <c r="A32" s="181"/>
      <c r="B32" s="158"/>
      <c r="C32" s="158"/>
      <c r="D32" s="170"/>
      <c r="E32" s="898"/>
      <c r="F32" s="181"/>
      <c r="G32" s="181"/>
      <c r="H32" s="181"/>
      <c r="I32" s="181"/>
      <c r="J32" s="181"/>
      <c r="K32" s="181"/>
      <c r="L32" s="181"/>
    </row>
    <row r="33" spans="1:19">
      <c r="A33" s="1058" t="s">
        <v>34</v>
      </c>
      <c r="B33" s="158"/>
      <c r="C33" s="158"/>
      <c r="D33" s="170"/>
      <c r="E33" s="170"/>
      <c r="F33" s="181"/>
      <c r="G33" s="1060">
        <f>'Rate Class Energy Model '!E68</f>
        <v>0.66</v>
      </c>
      <c r="H33" s="1060">
        <f>'Rate Class Energy Model '!F68</f>
        <v>0.66</v>
      </c>
      <c r="I33" s="1060">
        <f>'Rate Class Energy Model '!G68</f>
        <v>0.32</v>
      </c>
      <c r="J33" s="181"/>
      <c r="K33" s="181"/>
      <c r="L33" s="181"/>
    </row>
    <row r="34" spans="1:19">
      <c r="A34" s="551" t="s">
        <v>467</v>
      </c>
      <c r="B34" s="937"/>
      <c r="C34" s="937"/>
      <c r="D34" s="175"/>
      <c r="E34" s="170"/>
      <c r="F34" s="181"/>
      <c r="G34" s="1056"/>
      <c r="H34" s="1056"/>
      <c r="I34" s="1056"/>
      <c r="J34" s="181"/>
      <c r="K34" s="181"/>
      <c r="L34" s="181"/>
    </row>
    <row r="35" spans="1:19">
      <c r="A35" s="181" t="str">
        <f t="shared" ref="A35:A44" si="10">A19</f>
        <v>2011</v>
      </c>
      <c r="B35" s="158"/>
      <c r="C35" s="158"/>
      <c r="E35" s="170"/>
      <c r="F35" s="181">
        <f>SUM(G35:I35)</f>
        <v>55826478.180000007</v>
      </c>
      <c r="G35" s="181">
        <f t="shared" ref="G35:I45" si="11">G3*G$33</f>
        <v>28569603.48</v>
      </c>
      <c r="H35" s="181">
        <f t="shared" si="11"/>
        <v>13486888.140000001</v>
      </c>
      <c r="I35" s="181">
        <f t="shared" si="11"/>
        <v>13769986.560000001</v>
      </c>
      <c r="J35" s="181"/>
      <c r="K35" s="181"/>
      <c r="L35" s="181"/>
    </row>
    <row r="36" spans="1:19">
      <c r="A36" s="181" t="str">
        <f t="shared" si="10"/>
        <v>2012</v>
      </c>
      <c r="B36" s="158"/>
      <c r="C36" s="158"/>
      <c r="E36" s="170"/>
      <c r="F36" s="181">
        <f t="shared" ref="F36:F39" si="12">SUM(G36:I36)</f>
        <v>54394867.940000005</v>
      </c>
      <c r="G36" s="181">
        <f t="shared" si="11"/>
        <v>27797208.120000001</v>
      </c>
      <c r="H36" s="181">
        <f t="shared" si="11"/>
        <v>12981660.780000001</v>
      </c>
      <c r="I36" s="181">
        <f t="shared" si="11"/>
        <v>13615999.040000001</v>
      </c>
      <c r="J36" s="181"/>
      <c r="K36" s="181"/>
      <c r="L36" s="181"/>
    </row>
    <row r="37" spans="1:19">
      <c r="A37" s="181" t="str">
        <f t="shared" si="10"/>
        <v>2013</v>
      </c>
      <c r="B37" s="158"/>
      <c r="C37" s="158"/>
      <c r="F37" s="181">
        <f t="shared" si="12"/>
        <v>55005838.780000001</v>
      </c>
      <c r="G37" s="181">
        <f t="shared" si="11"/>
        <v>28224793.080000002</v>
      </c>
      <c r="H37" s="181">
        <f t="shared" si="11"/>
        <v>13262164.74</v>
      </c>
      <c r="I37" s="181">
        <f t="shared" si="11"/>
        <v>13518880.960000001</v>
      </c>
      <c r="J37" s="181"/>
      <c r="K37" s="181"/>
      <c r="L37" s="181"/>
    </row>
    <row r="38" spans="1:19">
      <c r="A38" s="181" t="str">
        <f t="shared" si="10"/>
        <v>2014</v>
      </c>
      <c r="B38" s="158"/>
      <c r="C38" s="158"/>
      <c r="E38" s="170"/>
      <c r="F38" s="181">
        <f t="shared" si="12"/>
        <v>55214945.659999996</v>
      </c>
      <c r="G38" s="181">
        <f t="shared" si="11"/>
        <v>27899670.48</v>
      </c>
      <c r="H38" s="181">
        <f t="shared" si="11"/>
        <v>13688262.060000001</v>
      </c>
      <c r="I38" s="181">
        <f t="shared" si="11"/>
        <v>13627013.120000001</v>
      </c>
      <c r="J38" s="181"/>
      <c r="K38" s="181"/>
      <c r="L38" s="181"/>
    </row>
    <row r="39" spans="1:19">
      <c r="A39" s="181" t="str">
        <f t="shared" si="10"/>
        <v>2015</v>
      </c>
      <c r="B39" s="158"/>
      <c r="C39" s="158"/>
      <c r="E39" s="170"/>
      <c r="F39" s="181">
        <f t="shared" si="12"/>
        <v>53744137.654920004</v>
      </c>
      <c r="G39" s="181">
        <f t="shared" si="11"/>
        <v>27019285.233600002</v>
      </c>
      <c r="H39" s="181">
        <f t="shared" si="11"/>
        <v>13631067.78132</v>
      </c>
      <c r="I39" s="181">
        <f t="shared" si="11"/>
        <v>13093784.640000001</v>
      </c>
      <c r="J39" s="181"/>
      <c r="K39" s="181"/>
      <c r="L39" s="181"/>
    </row>
    <row r="40" spans="1:19">
      <c r="A40" s="1115" t="str">
        <f t="shared" si="10"/>
        <v>2016</v>
      </c>
      <c r="B40" s="1116"/>
      <c r="C40" s="1116"/>
      <c r="D40" s="1117"/>
      <c r="E40" s="1118"/>
      <c r="F40" s="1115">
        <f>SUM(G40:I40)</f>
        <v>52772845.827440001</v>
      </c>
      <c r="G40" s="1115">
        <f t="shared" si="11"/>
        <v>26716828.597140003</v>
      </c>
      <c r="H40" s="1115">
        <f t="shared" si="11"/>
        <v>13430091.150300002</v>
      </c>
      <c r="I40" s="1115">
        <f t="shared" si="11"/>
        <v>12625926.08</v>
      </c>
      <c r="J40" s="181"/>
      <c r="K40" s="181"/>
      <c r="L40" s="181"/>
    </row>
    <row r="41" spans="1:19">
      <c r="A41" s="181" t="str">
        <f t="shared" si="10"/>
        <v>2017</v>
      </c>
      <c r="B41" s="158"/>
      <c r="C41" s="158"/>
      <c r="E41" s="170"/>
      <c r="F41" s="181">
        <f t="shared" ref="F41:F44" si="13">SUM(G41:I41)</f>
        <v>51321069.434700005</v>
      </c>
      <c r="G41" s="181">
        <f t="shared" si="11"/>
        <v>25990493.3343</v>
      </c>
      <c r="H41" s="181">
        <f t="shared" si="11"/>
        <v>13078839.1404</v>
      </c>
      <c r="I41" s="181">
        <f t="shared" si="11"/>
        <v>12251736.960000001</v>
      </c>
      <c r="J41" s="181"/>
      <c r="K41" s="181"/>
      <c r="L41" s="181"/>
    </row>
    <row r="42" spans="1:19">
      <c r="A42" s="181" t="str">
        <f t="shared" si="10"/>
        <v>2018</v>
      </c>
      <c r="B42" s="158"/>
      <c r="C42" s="158"/>
      <c r="F42" s="181">
        <f t="shared" si="13"/>
        <v>53507453.955507681</v>
      </c>
      <c r="G42" s="181">
        <f t="shared" si="11"/>
        <v>28075600.621860001</v>
      </c>
      <c r="H42" s="181">
        <f t="shared" si="11"/>
        <v>13366616.116920002</v>
      </c>
      <c r="I42" s="181">
        <f t="shared" si="11"/>
        <v>12065237.216727676</v>
      </c>
      <c r="J42" s="181"/>
      <c r="K42" s="181"/>
      <c r="L42" s="181"/>
    </row>
    <row r="43" spans="1:19">
      <c r="A43" s="181" t="str">
        <f t="shared" si="10"/>
        <v>2019</v>
      </c>
      <c r="B43" s="158"/>
      <c r="C43" s="158"/>
      <c r="E43" s="170"/>
      <c r="F43" s="181">
        <f t="shared" si="13"/>
        <v>52683993</v>
      </c>
      <c r="G43" s="181">
        <f t="shared" si="11"/>
        <v>27840516.66</v>
      </c>
      <c r="H43" s="181">
        <f t="shared" si="11"/>
        <v>13002196.020000001</v>
      </c>
      <c r="I43" s="181">
        <f t="shared" si="11"/>
        <v>11841280.32</v>
      </c>
      <c r="J43" s="181"/>
      <c r="K43" s="181"/>
      <c r="L43" s="181"/>
    </row>
    <row r="44" spans="1:19">
      <c r="A44" s="181" t="str">
        <f t="shared" si="10"/>
        <v>2020</v>
      </c>
      <c r="B44" s="158"/>
      <c r="C44" s="158"/>
      <c r="E44" s="170"/>
      <c r="F44" s="181">
        <f t="shared" si="13"/>
        <v>52558668.780000001</v>
      </c>
      <c r="G44" s="181">
        <f t="shared" si="11"/>
        <v>28771972.02</v>
      </c>
      <c r="H44" s="181">
        <f t="shared" si="11"/>
        <v>12232148.280000001</v>
      </c>
      <c r="I44" s="181">
        <f t="shared" si="11"/>
        <v>11554548.48</v>
      </c>
      <c r="J44" s="181"/>
      <c r="K44" s="181"/>
      <c r="L44" s="181"/>
    </row>
    <row r="45" spans="1:19">
      <c r="A45" s="181">
        <v>2021</v>
      </c>
      <c r="B45" s="158"/>
      <c r="C45" s="158"/>
      <c r="E45" s="170"/>
      <c r="F45" s="181">
        <f t="shared" ref="F45" si="14">SUM(G45:I45)</f>
        <v>52599147.660000004</v>
      </c>
      <c r="G45" s="181">
        <f t="shared" si="11"/>
        <v>28784484.960000001</v>
      </c>
      <c r="H45" s="181">
        <f t="shared" si="11"/>
        <v>11708240.940000001</v>
      </c>
      <c r="I45" s="181">
        <f t="shared" si="11"/>
        <v>12106421.76</v>
      </c>
      <c r="J45" s="181"/>
      <c r="K45" s="181"/>
      <c r="L45" s="181"/>
    </row>
    <row r="46" spans="1:19" s="163" customFormat="1">
      <c r="A46" s="158" t="s">
        <v>658</v>
      </c>
      <c r="B46" s="158"/>
      <c r="C46" s="158"/>
      <c r="E46" s="170"/>
      <c r="F46" s="171"/>
      <c r="J46" s="167"/>
      <c r="N46" s="158"/>
      <c r="O46" s="158"/>
      <c r="P46" s="158"/>
      <c r="Q46" s="158"/>
      <c r="R46" s="158"/>
      <c r="S46" s="158"/>
    </row>
    <row r="47" spans="1:19" s="163" customFormat="1">
      <c r="A47" s="1023"/>
      <c r="B47" s="158"/>
      <c r="C47" s="158"/>
      <c r="D47" s="170"/>
      <c r="E47" s="170"/>
      <c r="F47" s="949"/>
      <c r="J47" s="167"/>
      <c r="N47" s="158"/>
      <c r="O47" s="158"/>
      <c r="P47" s="158"/>
      <c r="Q47" s="158"/>
      <c r="R47" s="158"/>
      <c r="S47" s="158"/>
    </row>
    <row r="48" spans="1:19" s="163" customFormat="1">
      <c r="A48" s="174" t="str">
        <f t="shared" ref="A48:A58" si="15">A35</f>
        <v>2011</v>
      </c>
      <c r="B48" s="158"/>
      <c r="C48" s="158"/>
      <c r="D48" s="170"/>
      <c r="E48" s="170"/>
      <c r="F48" s="167">
        <f t="shared" ref="F48:F58" si="16">F19-F3</f>
        <v>411995.27773365378</v>
      </c>
      <c r="G48" s="1119">
        <f>G35/$F35</f>
        <v>0.51175722365798715</v>
      </c>
      <c r="H48" s="1119">
        <f t="shared" ref="G48:I58" si="17">H35/$F35</f>
        <v>0.24158586713126598</v>
      </c>
      <c r="I48" s="1119">
        <f t="shared" si="17"/>
        <v>0.24665690921074682</v>
      </c>
      <c r="J48" s="167"/>
      <c r="N48" s="158"/>
      <c r="O48" s="158"/>
      <c r="P48" s="158"/>
      <c r="Q48" s="158"/>
      <c r="R48" s="158"/>
      <c r="S48" s="158"/>
    </row>
    <row r="49" spans="1:19" s="163" customFormat="1">
      <c r="A49" s="174" t="str">
        <f t="shared" si="15"/>
        <v>2012</v>
      </c>
      <c r="B49" s="158"/>
      <c r="C49" s="158"/>
      <c r="D49" s="170"/>
      <c r="E49" s="170"/>
      <c r="F49" s="167">
        <f t="shared" si="16"/>
        <v>1803228.5083725154</v>
      </c>
      <c r="G49" s="1119">
        <f t="shared" si="17"/>
        <v>0.51102630032416985</v>
      </c>
      <c r="H49" s="1119">
        <f t="shared" si="17"/>
        <v>0.23865598486826661</v>
      </c>
      <c r="I49" s="1119">
        <f t="shared" si="17"/>
        <v>0.25031771480756349</v>
      </c>
      <c r="N49" s="158"/>
      <c r="O49" s="158"/>
      <c r="P49" s="158"/>
      <c r="Q49" s="158"/>
      <c r="R49" s="158"/>
      <c r="S49" s="158"/>
    </row>
    <row r="50" spans="1:19" s="163" customFormat="1">
      <c r="A50" s="174" t="str">
        <f t="shared" si="15"/>
        <v>2013</v>
      </c>
      <c r="B50" s="1090"/>
      <c r="C50" s="1090"/>
      <c r="D50" s="1027"/>
      <c r="E50" s="1027"/>
      <c r="F50" s="167">
        <f t="shared" si="16"/>
        <v>-902541.26247285306</v>
      </c>
      <c r="G50" s="1119">
        <f t="shared" si="17"/>
        <v>0.51312358298702054</v>
      </c>
      <c r="H50" s="1119">
        <f t="shared" si="17"/>
        <v>0.24110467241565078</v>
      </c>
      <c r="I50" s="1119">
        <f t="shared" si="17"/>
        <v>0.24577174459732873</v>
      </c>
      <c r="N50" s="158"/>
      <c r="O50" s="158"/>
      <c r="P50" s="158"/>
      <c r="Q50" s="158"/>
      <c r="R50" s="158"/>
      <c r="S50" s="158"/>
    </row>
    <row r="51" spans="1:19" s="163" customFormat="1">
      <c r="A51" s="174" t="str">
        <f t="shared" si="15"/>
        <v>2014</v>
      </c>
      <c r="B51" s="158"/>
      <c r="C51" s="158"/>
      <c r="D51" s="170"/>
      <c r="E51" s="170"/>
      <c r="F51" s="167">
        <f t="shared" si="16"/>
        <v>-1656159.7810094953</v>
      </c>
      <c r="G51" s="1119">
        <f t="shared" si="17"/>
        <v>0.50529200285370712</v>
      </c>
      <c r="H51" s="1119">
        <f t="shared" si="17"/>
        <v>0.24790863952468484</v>
      </c>
      <c r="I51" s="1119">
        <f t="shared" si="17"/>
        <v>0.24679935762160818</v>
      </c>
      <c r="N51" s="158"/>
      <c r="O51" s="158"/>
      <c r="P51" s="158"/>
      <c r="Q51" s="158"/>
      <c r="R51" s="158"/>
      <c r="S51" s="158"/>
    </row>
    <row r="52" spans="1:19">
      <c r="A52" s="174" t="str">
        <f t="shared" si="15"/>
        <v>2015</v>
      </c>
      <c r="B52" s="158"/>
      <c r="C52" s="158"/>
      <c r="D52" s="170"/>
      <c r="E52" s="170"/>
      <c r="F52" s="167">
        <f t="shared" si="16"/>
        <v>28777.10183237493</v>
      </c>
      <c r="G52" s="1119">
        <f t="shared" si="17"/>
        <v>0.50273920863862853</v>
      </c>
      <c r="H52" s="1119">
        <f t="shared" si="17"/>
        <v>0.25362892356450611</v>
      </c>
      <c r="I52" s="1119">
        <f t="shared" si="17"/>
        <v>0.2436318677968653</v>
      </c>
    </row>
    <row r="53" spans="1:19" s="163" customFormat="1">
      <c r="A53" s="174" t="str">
        <f t="shared" si="15"/>
        <v>2016</v>
      </c>
      <c r="B53" s="158"/>
      <c r="C53" s="158"/>
      <c r="D53" s="170"/>
      <c r="E53" s="170"/>
      <c r="F53" s="167">
        <f t="shared" si="16"/>
        <v>1558749.3919145614</v>
      </c>
      <c r="G53" s="1119">
        <f t="shared" si="17"/>
        <v>0.50626090327780282</v>
      </c>
      <c r="H53" s="1119">
        <f t="shared" si="17"/>
        <v>0.25448866627762629</v>
      </c>
      <c r="I53" s="1119">
        <f t="shared" si="17"/>
        <v>0.23925043044457095</v>
      </c>
      <c r="J53" s="167"/>
      <c r="N53" s="158"/>
      <c r="O53" s="158"/>
      <c r="P53" s="158"/>
      <c r="Q53" s="158"/>
      <c r="R53" s="158"/>
      <c r="S53" s="158"/>
    </row>
    <row r="54" spans="1:19" s="163" customFormat="1">
      <c r="A54" s="174" t="str">
        <f t="shared" si="15"/>
        <v>2017</v>
      </c>
      <c r="B54" s="158"/>
      <c r="C54" s="158"/>
      <c r="D54" s="170"/>
      <c r="E54" s="170"/>
      <c r="F54" s="167">
        <f t="shared" si="16"/>
        <v>2349440.0999369919</v>
      </c>
      <c r="G54" s="1119">
        <f t="shared" si="17"/>
        <v>0.50642930127108576</v>
      </c>
      <c r="H54" s="1119">
        <f t="shared" si="17"/>
        <v>0.25484346457435531</v>
      </c>
      <c r="I54" s="1119">
        <f t="shared" si="17"/>
        <v>0.23872723415455885</v>
      </c>
      <c r="N54" s="158"/>
      <c r="O54" s="158"/>
      <c r="P54" s="158"/>
      <c r="Q54" s="158"/>
      <c r="R54" s="158"/>
      <c r="S54" s="158"/>
    </row>
    <row r="55" spans="1:19" s="163" customFormat="1">
      <c r="A55" s="174" t="str">
        <f t="shared" si="15"/>
        <v>2018</v>
      </c>
      <c r="B55" s="1090"/>
      <c r="C55" s="1090"/>
      <c r="D55" s="1027"/>
      <c r="E55" s="1027"/>
      <c r="F55" s="167">
        <f t="shared" si="16"/>
        <v>-1805136.3964288086</v>
      </c>
      <c r="G55" s="1119">
        <f t="shared" si="17"/>
        <v>0.5247044765988178</v>
      </c>
      <c r="H55" s="1119">
        <f t="shared" si="17"/>
        <v>0.24980848702004324</v>
      </c>
      <c r="I55" s="1119">
        <f t="shared" si="17"/>
        <v>0.22548703638113893</v>
      </c>
      <c r="N55" s="158"/>
      <c r="O55" s="158"/>
      <c r="P55" s="158"/>
      <c r="Q55" s="158"/>
      <c r="R55" s="158"/>
      <c r="S55" s="158"/>
    </row>
    <row r="56" spans="1:19" s="163" customFormat="1">
      <c r="A56" s="174" t="str">
        <f t="shared" si="15"/>
        <v>2019</v>
      </c>
      <c r="B56" s="158"/>
      <c r="C56" s="158"/>
      <c r="D56" s="170"/>
      <c r="E56" s="170"/>
      <c r="F56" s="167">
        <f t="shared" si="16"/>
        <v>-1729520.4850485325</v>
      </c>
      <c r="G56" s="1119">
        <f t="shared" si="17"/>
        <v>0.52844355704018109</v>
      </c>
      <c r="H56" s="1119">
        <f t="shared" si="17"/>
        <v>0.24679594843921571</v>
      </c>
      <c r="I56" s="1119">
        <f t="shared" si="17"/>
        <v>0.22476049452060326</v>
      </c>
      <c r="N56" s="158"/>
      <c r="O56" s="158"/>
      <c r="P56" s="158"/>
      <c r="Q56" s="158"/>
      <c r="R56" s="158"/>
      <c r="S56" s="158"/>
    </row>
    <row r="57" spans="1:19">
      <c r="A57" s="174" t="str">
        <f t="shared" si="15"/>
        <v>2020</v>
      </c>
      <c r="B57" s="158"/>
      <c r="C57" s="158"/>
      <c r="D57" s="170"/>
      <c r="E57" s="170"/>
      <c r="F57" s="167">
        <f t="shared" si="16"/>
        <v>624654.11806418002</v>
      </c>
      <c r="G57" s="1119">
        <f t="shared" si="17"/>
        <v>0.54742581362617226</v>
      </c>
      <c r="H57" s="1119">
        <f t="shared" si="17"/>
        <v>0.23273322106389926</v>
      </c>
      <c r="I57" s="1119">
        <f t="shared" si="17"/>
        <v>0.21984096530992847</v>
      </c>
    </row>
    <row r="58" spans="1:19" s="163" customFormat="1">
      <c r="A58" s="174">
        <f t="shared" si="15"/>
        <v>2021</v>
      </c>
      <c r="B58" s="158"/>
      <c r="C58" s="158"/>
      <c r="D58" s="170"/>
      <c r="E58" s="170"/>
      <c r="F58" s="167">
        <f t="shared" si="16"/>
        <v>-1508.2734599411488</v>
      </c>
      <c r="G58" s="1119">
        <f t="shared" si="17"/>
        <v>0.54724242198870643</v>
      </c>
      <c r="H58" s="1119">
        <f t="shared" si="17"/>
        <v>0.22259373888873393</v>
      </c>
      <c r="I58" s="1119">
        <f t="shared" si="17"/>
        <v>0.23016383912255964</v>
      </c>
      <c r="N58" s="158"/>
      <c r="O58" s="158"/>
      <c r="P58" s="158"/>
      <c r="Q58" s="158"/>
      <c r="R58" s="158"/>
      <c r="S58" s="158"/>
    </row>
    <row r="59" spans="1:19" s="163" customFormat="1">
      <c r="A59" s="158" t="s">
        <v>468</v>
      </c>
      <c r="B59" s="158"/>
      <c r="C59" s="158"/>
      <c r="D59" s="170"/>
      <c r="E59" s="170"/>
      <c r="F59" s="169"/>
      <c r="G59" s="166"/>
      <c r="H59" s="166"/>
      <c r="I59" s="166"/>
      <c r="N59" s="158"/>
      <c r="O59" s="158"/>
      <c r="P59" s="158"/>
      <c r="Q59" s="158"/>
      <c r="R59" s="158"/>
      <c r="S59" s="158"/>
    </row>
    <row r="60" spans="1:19" s="163" customFormat="1">
      <c r="A60" s="1057" t="str">
        <f t="shared" ref="A60:A70" si="18">A48</f>
        <v>2011</v>
      </c>
      <c r="B60" s="176"/>
      <c r="C60" s="176"/>
      <c r="D60" s="170"/>
      <c r="E60" s="163">
        <f>F60-F48</f>
        <v>0</v>
      </c>
      <c r="F60" s="163">
        <f>SUM(G60:I60)</f>
        <v>411995.27773365378</v>
      </c>
      <c r="G60" s="166">
        <f t="shared" ref="G60:I70" si="19">$F48*G48</f>
        <v>210841.559493176</v>
      </c>
      <c r="H60" s="166">
        <f t="shared" si="19"/>
        <v>99532.236425271505</v>
      </c>
      <c r="I60" s="166">
        <f t="shared" si="19"/>
        <v>101621.48181520627</v>
      </c>
      <c r="J60" s="166"/>
      <c r="K60" s="166"/>
      <c r="L60" s="166"/>
      <c r="N60" s="158"/>
      <c r="O60" s="158"/>
      <c r="P60" s="158"/>
      <c r="Q60" s="158"/>
      <c r="R60" s="158"/>
      <c r="S60" s="158"/>
    </row>
    <row r="61" spans="1:19" s="163" customFormat="1">
      <c r="A61" s="1057" t="str">
        <f t="shared" si="18"/>
        <v>2012</v>
      </c>
      <c r="B61" s="902"/>
      <c r="C61" s="902"/>
      <c r="D61" s="170"/>
      <c r="E61" s="163">
        <f t="shared" ref="E61:E69" si="20">F61-F49</f>
        <v>0</v>
      </c>
      <c r="F61" s="163">
        <f t="shared" ref="F61:F64" si="21">SUM(G61:I61)</f>
        <v>1803228.5083725154</v>
      </c>
      <c r="G61" s="166">
        <f t="shared" si="19"/>
        <v>921497.19327267795</v>
      </c>
      <c r="H61" s="166">
        <f t="shared" si="19"/>
        <v>430351.275608178</v>
      </c>
      <c r="I61" s="166">
        <f t="shared" si="19"/>
        <v>451380.03949165944</v>
      </c>
      <c r="J61" s="166"/>
      <c r="K61" s="166"/>
      <c r="L61" s="166"/>
      <c r="N61" s="158"/>
      <c r="O61" s="158"/>
      <c r="P61" s="158"/>
      <c r="Q61" s="158"/>
      <c r="R61" s="158"/>
      <c r="S61" s="158"/>
    </row>
    <row r="62" spans="1:19" s="163" customFormat="1">
      <c r="A62" s="1057" t="str">
        <f t="shared" si="18"/>
        <v>2013</v>
      </c>
      <c r="B62" s="903"/>
      <c r="C62" s="903"/>
      <c r="D62" s="170"/>
      <c r="E62" s="163">
        <f t="shared" si="20"/>
        <v>0</v>
      </c>
      <c r="F62" s="163">
        <f t="shared" si="21"/>
        <v>-902541.26247285318</v>
      </c>
      <c r="G62" s="166">
        <f t="shared" si="19"/>
        <v>-463115.20639369934</v>
      </c>
      <c r="H62" s="166">
        <f t="shared" si="19"/>
        <v>-217606.91543012514</v>
      </c>
      <c r="I62" s="166">
        <f t="shared" si="19"/>
        <v>-221819.14064902868</v>
      </c>
      <c r="J62" s="166"/>
      <c r="K62" s="166"/>
      <c r="L62" s="166"/>
      <c r="N62" s="158"/>
      <c r="O62" s="158"/>
      <c r="P62" s="158"/>
      <c r="Q62" s="158"/>
      <c r="R62" s="158"/>
      <c r="S62" s="158"/>
    </row>
    <row r="63" spans="1:19" s="163" customFormat="1">
      <c r="A63" s="1057" t="str">
        <f t="shared" si="18"/>
        <v>2014</v>
      </c>
      <c r="B63" s="902"/>
      <c r="C63" s="902"/>
      <c r="D63" s="170"/>
      <c r="E63" s="163">
        <f t="shared" si="20"/>
        <v>0</v>
      </c>
      <c r="F63" s="163">
        <f t="shared" si="21"/>
        <v>-1656159.7810094955</v>
      </c>
      <c r="G63" s="166">
        <f t="shared" si="19"/>
        <v>-836844.29279204481</v>
      </c>
      <c r="H63" s="166">
        <f t="shared" si="19"/>
        <v>-410576.31814556394</v>
      </c>
      <c r="I63" s="166">
        <f t="shared" si="19"/>
        <v>-408739.17007188668</v>
      </c>
      <c r="J63" s="166"/>
      <c r="K63" s="166"/>
      <c r="L63" s="166"/>
      <c r="N63" s="158"/>
      <c r="O63" s="158"/>
      <c r="P63" s="158"/>
      <c r="Q63" s="158"/>
      <c r="R63" s="158"/>
      <c r="S63" s="158"/>
    </row>
    <row r="64" spans="1:19" s="163" customFormat="1">
      <c r="A64" s="1057" t="str">
        <f t="shared" si="18"/>
        <v>2015</v>
      </c>
      <c r="B64" s="903"/>
      <c r="C64" s="903"/>
      <c r="D64" s="170"/>
      <c r="E64" s="163">
        <f t="shared" si="20"/>
        <v>0</v>
      </c>
      <c r="F64" s="163">
        <f t="shared" si="21"/>
        <v>28777.10183237493</v>
      </c>
      <c r="G64" s="166">
        <f t="shared" si="19"/>
        <v>14467.377402121399</v>
      </c>
      <c r="H64" s="166">
        <f t="shared" si="19"/>
        <v>7298.7053610514304</v>
      </c>
      <c r="I64" s="166">
        <f t="shared" si="19"/>
        <v>7011.0190692020988</v>
      </c>
      <c r="J64" s="166"/>
      <c r="K64" s="166"/>
      <c r="L64" s="166"/>
      <c r="N64" s="158"/>
      <c r="O64" s="158"/>
      <c r="P64" s="158"/>
      <c r="Q64" s="158"/>
      <c r="R64" s="158"/>
      <c r="S64" s="158"/>
    </row>
    <row r="65" spans="1:19" s="163" customFormat="1">
      <c r="A65" s="1057" t="str">
        <f t="shared" si="18"/>
        <v>2016</v>
      </c>
      <c r="B65" s="176"/>
      <c r="C65" s="176"/>
      <c r="D65" s="170"/>
      <c r="E65" s="163">
        <f t="shared" si="20"/>
        <v>0</v>
      </c>
      <c r="F65" s="163">
        <f>SUM(G65:I65)</f>
        <v>1558749.3919145616</v>
      </c>
      <c r="G65" s="166">
        <f t="shared" si="19"/>
        <v>789133.87513439171</v>
      </c>
      <c r="H65" s="166">
        <f t="shared" si="19"/>
        <v>396684.05380939774</v>
      </c>
      <c r="I65" s="166">
        <f t="shared" si="19"/>
        <v>372931.46297077206</v>
      </c>
      <c r="J65" s="166"/>
      <c r="K65" s="166"/>
      <c r="L65" s="166"/>
      <c r="N65" s="158"/>
      <c r="O65" s="158"/>
      <c r="P65" s="158"/>
      <c r="Q65" s="158"/>
      <c r="R65" s="158"/>
      <c r="S65" s="158"/>
    </row>
    <row r="66" spans="1:19" s="163" customFormat="1">
      <c r="A66" s="1057" t="str">
        <f t="shared" si="18"/>
        <v>2017</v>
      </c>
      <c r="B66" s="902"/>
      <c r="C66" s="902"/>
      <c r="D66" s="170"/>
      <c r="E66" s="163">
        <f t="shared" si="20"/>
        <v>0</v>
      </c>
      <c r="F66" s="163">
        <f t="shared" ref="F66:F69" si="22">SUM(G66:I66)</f>
        <v>2349440.0999369915</v>
      </c>
      <c r="G66" s="166">
        <f t="shared" si="19"/>
        <v>1189825.3081893607</v>
      </c>
      <c r="H66" s="166">
        <f t="shared" si="19"/>
        <v>598739.45487786259</v>
      </c>
      <c r="I66" s="166">
        <f t="shared" si="19"/>
        <v>560875.33686976845</v>
      </c>
      <c r="J66" s="166"/>
      <c r="K66" s="166"/>
      <c r="L66" s="166"/>
      <c r="N66" s="158"/>
      <c r="O66" s="158"/>
      <c r="P66" s="158"/>
      <c r="Q66" s="158"/>
      <c r="R66" s="158"/>
      <c r="S66" s="158"/>
    </row>
    <row r="67" spans="1:19" s="163" customFormat="1">
      <c r="A67" s="1057" t="str">
        <f t="shared" si="18"/>
        <v>2018</v>
      </c>
      <c r="B67" s="903"/>
      <c r="C67" s="903"/>
      <c r="D67" s="170"/>
      <c r="E67" s="163">
        <f t="shared" si="20"/>
        <v>0</v>
      </c>
      <c r="F67" s="163">
        <f t="shared" si="22"/>
        <v>-1805136.3964288086</v>
      </c>
      <c r="G67" s="166">
        <f t="shared" si="19"/>
        <v>-947163.14807765407</v>
      </c>
      <c r="H67" s="166">
        <f t="shared" si="19"/>
        <v>-450938.39205669367</v>
      </c>
      <c r="I67" s="166">
        <f t="shared" si="19"/>
        <v>-407034.85629446077</v>
      </c>
      <c r="J67" s="166"/>
      <c r="K67" s="166"/>
      <c r="L67" s="166"/>
      <c r="N67" s="158"/>
      <c r="O67" s="158"/>
      <c r="P67" s="158"/>
      <c r="Q67" s="158"/>
      <c r="R67" s="158"/>
      <c r="S67" s="158"/>
    </row>
    <row r="68" spans="1:19" s="163" customFormat="1">
      <c r="A68" s="1057" t="str">
        <f t="shared" si="18"/>
        <v>2019</v>
      </c>
      <c r="B68" s="902"/>
      <c r="C68" s="902"/>
      <c r="D68" s="170"/>
      <c r="E68" s="163">
        <f t="shared" si="20"/>
        <v>0</v>
      </c>
      <c r="F68" s="163">
        <f t="shared" si="22"/>
        <v>-1729520.4850485325</v>
      </c>
      <c r="G68" s="166">
        <f t="shared" si="19"/>
        <v>-913953.95709290588</v>
      </c>
      <c r="H68" s="166">
        <f t="shared" si="19"/>
        <v>-426838.64845260495</v>
      </c>
      <c r="I68" s="166">
        <f t="shared" si="19"/>
        <v>-388727.87950302177</v>
      </c>
      <c r="J68" s="166"/>
      <c r="K68" s="166"/>
      <c r="L68" s="166"/>
      <c r="N68" s="158"/>
      <c r="O68" s="158"/>
      <c r="P68" s="158"/>
      <c r="Q68" s="158"/>
      <c r="R68" s="158"/>
      <c r="S68" s="158"/>
    </row>
    <row r="69" spans="1:19" s="163" customFormat="1">
      <c r="A69" s="1057" t="str">
        <f t="shared" si="18"/>
        <v>2020</v>
      </c>
      <c r="B69" s="903"/>
      <c r="C69" s="903"/>
      <c r="D69" s="170"/>
      <c r="E69" s="163">
        <f t="shared" si="20"/>
        <v>0</v>
      </c>
      <c r="F69" s="163">
        <f t="shared" si="22"/>
        <v>624654.11806418002</v>
      </c>
      <c r="G69" s="166">
        <f t="shared" si="19"/>
        <v>341951.7888162228</v>
      </c>
      <c r="H69" s="166">
        <f t="shared" si="19"/>
        <v>145377.76494790585</v>
      </c>
      <c r="I69" s="166">
        <f t="shared" si="19"/>
        <v>137324.56430005137</v>
      </c>
      <c r="J69" s="166"/>
      <c r="K69" s="166"/>
      <c r="L69" s="166"/>
      <c r="N69" s="158"/>
      <c r="O69" s="158"/>
      <c r="P69" s="158"/>
      <c r="Q69" s="158"/>
      <c r="R69" s="158"/>
      <c r="S69" s="158"/>
    </row>
    <row r="70" spans="1:19" s="163" customFormat="1">
      <c r="A70" s="1057">
        <f t="shared" si="18"/>
        <v>2021</v>
      </c>
      <c r="B70" s="902"/>
      <c r="C70" s="902"/>
      <c r="D70" s="170"/>
      <c r="E70" s="163">
        <f t="shared" ref="E70" si="23">F70-F58</f>
        <v>0</v>
      </c>
      <c r="F70" s="163">
        <f t="shared" ref="F70" si="24">SUM(G70:I70)</f>
        <v>-1508.2734599411488</v>
      </c>
      <c r="G70" s="166">
        <f t="shared" si="19"/>
        <v>-825.39122123948039</v>
      </c>
      <c r="H70" s="166">
        <f t="shared" si="19"/>
        <v>-335.73222871494738</v>
      </c>
      <c r="I70" s="166">
        <f t="shared" si="19"/>
        <v>-347.15000998672099</v>
      </c>
      <c r="J70" s="166"/>
      <c r="K70" s="166"/>
      <c r="L70" s="166"/>
      <c r="N70" s="158"/>
      <c r="O70" s="158"/>
      <c r="P70" s="158"/>
      <c r="Q70" s="158"/>
      <c r="R70" s="158"/>
      <c r="S70" s="158"/>
    </row>
    <row r="71" spans="1:19">
      <c r="B71" s="903"/>
      <c r="C71" s="903"/>
      <c r="D71" s="170"/>
      <c r="E71" s="170"/>
      <c r="G71" s="215"/>
      <c r="H71" s="215"/>
      <c r="I71" s="215"/>
      <c r="J71" s="215"/>
      <c r="K71" s="215"/>
      <c r="L71" s="215"/>
    </row>
    <row r="72" spans="1:19">
      <c r="A72" s="1026" t="s">
        <v>508</v>
      </c>
      <c r="B72" s="176"/>
      <c r="C72" s="176"/>
      <c r="D72" s="988"/>
      <c r="E72" s="170"/>
    </row>
    <row r="73" spans="1:19">
      <c r="A73" s="1057" t="str">
        <f>A60</f>
        <v>2011</v>
      </c>
      <c r="B73" s="158"/>
      <c r="C73" s="158"/>
      <c r="D73" s="170"/>
      <c r="E73" s="170"/>
      <c r="F73" s="163">
        <f>SUM(I73:K73)</f>
        <v>135311.80444269936</v>
      </c>
      <c r="I73" s="1127">
        <f>I19/I3*'Rate Class Load Model'!B3</f>
        <v>131070.80444269934</v>
      </c>
      <c r="J73" s="1061">
        <f>'Rate Class Load Model'!C3</f>
        <v>3941</v>
      </c>
      <c r="K73" s="1061">
        <f>'Rate Class Load Model'!D3</f>
        <v>300</v>
      </c>
    </row>
    <row r="74" spans="1:19">
      <c r="A74" s="1057" t="str">
        <f t="shared" ref="A74:A82" si="25">A61</f>
        <v>2012</v>
      </c>
      <c r="B74" s="158"/>
      <c r="C74" s="158"/>
      <c r="D74" s="170"/>
      <c r="E74" s="170"/>
      <c r="F74" s="163">
        <f t="shared" ref="F74:F77" si="26">SUM(I74:K74)</f>
        <v>131019.00367022304</v>
      </c>
      <c r="I74" s="1127">
        <f>I20/I4*'Rate Class Load Model'!B4</f>
        <v>126800.00367022304</v>
      </c>
      <c r="J74" s="1061">
        <f>'Rate Class Load Model'!C4</f>
        <v>3919</v>
      </c>
      <c r="K74" s="1061">
        <f>'Rate Class Load Model'!D4</f>
        <v>300</v>
      </c>
    </row>
    <row r="75" spans="1:19">
      <c r="A75" s="1057" t="str">
        <f t="shared" si="25"/>
        <v>2013</v>
      </c>
      <c r="B75" s="158"/>
      <c r="C75" s="158"/>
      <c r="D75" s="170"/>
      <c r="E75" s="170"/>
      <c r="F75" s="163">
        <f t="shared" si="26"/>
        <v>136668.89420799783</v>
      </c>
      <c r="I75" s="1127">
        <f>I21/I5*'Rate Class Load Model'!B5</f>
        <v>132448.89420799783</v>
      </c>
      <c r="J75" s="1061">
        <f>'Rate Class Load Model'!C5</f>
        <v>3920</v>
      </c>
      <c r="K75" s="1061">
        <f>'Rate Class Load Model'!D5</f>
        <v>300</v>
      </c>
    </row>
    <row r="76" spans="1:19">
      <c r="A76" s="1057" t="str">
        <f t="shared" si="25"/>
        <v>2014</v>
      </c>
      <c r="B76" s="178"/>
      <c r="C76" s="178"/>
      <c r="D76" s="309"/>
      <c r="E76" s="170"/>
      <c r="F76" s="163">
        <f t="shared" si="26"/>
        <v>134602.52948474215</v>
      </c>
      <c r="I76" s="1127">
        <f>I22/I6*'Rate Class Load Model'!B6</f>
        <v>130680.52948474213</v>
      </c>
      <c r="J76" s="1061">
        <f>'Rate Class Load Model'!C6</f>
        <v>3620</v>
      </c>
      <c r="K76" s="1061">
        <f>'Rate Class Load Model'!D6</f>
        <v>302</v>
      </c>
    </row>
    <row r="77" spans="1:19">
      <c r="A77" s="1057" t="str">
        <f t="shared" si="25"/>
        <v>2015</v>
      </c>
      <c r="B77" s="924"/>
      <c r="C77" s="924"/>
      <c r="D77" s="170"/>
      <c r="E77" s="170"/>
      <c r="F77" s="163">
        <f t="shared" si="26"/>
        <v>128919.58369464859</v>
      </c>
      <c r="I77" s="1127">
        <f>I23/I7*'Rate Class Load Model'!B7</f>
        <v>125755.98369464859</v>
      </c>
      <c r="J77" s="1061">
        <f>'Rate Class Load Model'!C7</f>
        <v>2861.6</v>
      </c>
      <c r="K77" s="1061">
        <f>'Rate Class Load Model'!D7</f>
        <v>302</v>
      </c>
    </row>
    <row r="78" spans="1:19" s="1116" customFormat="1">
      <c r="A78" s="1161" t="str">
        <f t="shared" si="25"/>
        <v>2016</v>
      </c>
      <c r="B78" s="1161"/>
      <c r="D78" s="1118"/>
      <c r="E78" s="1118"/>
      <c r="F78" s="1117">
        <f>SUM(I78:K78)</f>
        <v>118940.6876733182</v>
      </c>
      <c r="G78" s="1117"/>
      <c r="H78" s="1117"/>
      <c r="I78" s="1162">
        <f>I24/I8*'Rate Class Load Model'!B8</f>
        <v>116568.36767331821</v>
      </c>
      <c r="J78" s="1163">
        <f>'Rate Class Load Model'!C8</f>
        <v>2070.3199999999997</v>
      </c>
      <c r="K78" s="1163">
        <f>'Rate Class Load Model'!D8</f>
        <v>302</v>
      </c>
      <c r="L78" s="1117"/>
      <c r="M78" s="1117"/>
    </row>
    <row r="79" spans="1:19">
      <c r="A79" s="1057" t="str">
        <f t="shared" si="25"/>
        <v>2017</v>
      </c>
      <c r="B79" s="158"/>
      <c r="C79" s="158"/>
      <c r="D79" s="170"/>
      <c r="E79" s="170"/>
      <c r="F79" s="163">
        <f t="shared" ref="F79:F84" si="27">SUM(I79:K79)</f>
        <v>115560.91506161302</v>
      </c>
      <c r="I79" s="1127">
        <f>I25/I9*'Rate Class Load Model'!B9</f>
        <v>113340.59506161303</v>
      </c>
      <c r="J79" s="1061">
        <f>'Rate Class Load Model'!C9</f>
        <v>1944.6200000000001</v>
      </c>
      <c r="K79" s="1061">
        <f>'Rate Class Load Model'!D9</f>
        <v>275.7</v>
      </c>
    </row>
    <row r="80" spans="1:19">
      <c r="A80" s="1057" t="str">
        <f t="shared" si="25"/>
        <v>2018</v>
      </c>
      <c r="B80" s="158"/>
      <c r="C80" s="158"/>
      <c r="D80" s="170"/>
      <c r="E80" s="170"/>
      <c r="F80" s="163">
        <f t="shared" si="27"/>
        <v>113487.66924279371</v>
      </c>
      <c r="I80" s="1127">
        <f>I26/I10*'Rate Class Load Model'!B10</f>
        <v>111278.96924279371</v>
      </c>
      <c r="J80" s="1061">
        <f>'Rate Class Load Model'!C10</f>
        <v>1938.5</v>
      </c>
      <c r="K80" s="1061">
        <f>'Rate Class Load Model'!D10</f>
        <v>270.2</v>
      </c>
    </row>
    <row r="81" spans="1:11">
      <c r="A81" s="1057" t="str">
        <f t="shared" si="25"/>
        <v>2019</v>
      </c>
      <c r="B81" s="178"/>
      <c r="C81" s="178"/>
      <c r="D81" s="309"/>
      <c r="E81" s="170"/>
      <c r="F81" s="163">
        <f t="shared" si="27"/>
        <v>110769.83086364856</v>
      </c>
      <c r="I81" s="1127">
        <f>I27/I11*'Rate Class Load Model'!B11</f>
        <v>108610.53086364857</v>
      </c>
      <c r="J81" s="1061">
        <f>'Rate Class Load Model'!C11</f>
        <v>1886.9</v>
      </c>
      <c r="K81" s="1061">
        <f>'Rate Class Load Model'!D11</f>
        <v>272.39999999999998</v>
      </c>
    </row>
    <row r="82" spans="1:11">
      <c r="A82" s="1057" t="str">
        <f t="shared" si="25"/>
        <v>2020</v>
      </c>
      <c r="B82" s="924"/>
      <c r="C82" s="924"/>
      <c r="D82" s="170"/>
      <c r="E82" s="170"/>
      <c r="F82" s="163">
        <f t="shared" si="27"/>
        <v>111574.50410887906</v>
      </c>
      <c r="I82" s="1127">
        <f>I28/I12*'Rate Class Load Model'!B12</f>
        <v>109562.10410887907</v>
      </c>
      <c r="J82" s="1061">
        <f>'Rate Class Load Model'!C12</f>
        <v>1743.9</v>
      </c>
      <c r="K82" s="1061">
        <f>'Rate Class Load Model'!D12</f>
        <v>268.5</v>
      </c>
    </row>
    <row r="83" spans="1:11">
      <c r="A83" s="1057" t="s">
        <v>405</v>
      </c>
      <c r="B83" s="423"/>
      <c r="C83" s="423"/>
      <c r="D83" s="158"/>
      <c r="E83" s="173"/>
      <c r="F83" s="163">
        <f t="shared" si="27"/>
        <v>112825.01354480567</v>
      </c>
      <c r="I83" s="1127">
        <f>I29/I13*'Rate Class Load Model'!B13</f>
        <v>110833.2829892501</v>
      </c>
      <c r="J83" s="163">
        <f>'Rate Class Load Model'!C13</f>
        <v>1745.6</v>
      </c>
      <c r="K83" s="163">
        <f>'Rate Class Load Model'!D13</f>
        <v>246.13055555555553</v>
      </c>
    </row>
    <row r="84" spans="1:11">
      <c r="A84" s="1057" t="s">
        <v>406</v>
      </c>
      <c r="B84" s="158"/>
      <c r="C84" s="158"/>
      <c r="D84" s="170"/>
      <c r="E84" s="173"/>
      <c r="F84" s="163">
        <f t="shared" si="27"/>
        <v>107757.50620932988</v>
      </c>
      <c r="I84" s="163">
        <f>'Rate Class Load Model'!B14</f>
        <v>105773.85165015483</v>
      </c>
      <c r="J84" s="163">
        <f>'Rate Class Load Model'!C14</f>
        <v>1745.6</v>
      </c>
      <c r="K84" s="163">
        <f>'Rate Class Load Model'!D14</f>
        <v>238.05455917504869</v>
      </c>
    </row>
    <row r="85" spans="1:11">
      <c r="B85" s="158"/>
      <c r="C85" s="158"/>
      <c r="D85" s="170"/>
      <c r="E85" s="170"/>
    </row>
    <row r="86" spans="1:11">
      <c r="B86" s="158"/>
      <c r="C86" s="158"/>
      <c r="D86" s="170"/>
      <c r="E86" s="170"/>
    </row>
    <row r="87" spans="1:11">
      <c r="B87" s="158"/>
      <c r="C87" s="158"/>
      <c r="D87" s="170"/>
      <c r="E87" s="170"/>
    </row>
    <row r="88" spans="1:11">
      <c r="B88" s="252"/>
      <c r="C88" s="252"/>
      <c r="D88" s="170"/>
      <c r="E88" s="170"/>
    </row>
    <row r="89" spans="1:11">
      <c r="B89" s="905"/>
      <c r="C89" s="905"/>
      <c r="D89" s="170"/>
      <c r="E89" s="170"/>
    </row>
    <row r="90" spans="1:11">
      <c r="B90" s="905"/>
      <c r="C90" s="905"/>
      <c r="D90" s="170"/>
      <c r="E90" s="170"/>
    </row>
    <row r="91" spans="1:11">
      <c r="B91" s="158"/>
      <c r="C91" s="158"/>
      <c r="D91" s="170"/>
      <c r="E91" s="170"/>
    </row>
    <row r="92" spans="1:11">
      <c r="B92" s="924"/>
      <c r="C92" s="924"/>
      <c r="D92" s="170"/>
      <c r="E92" s="170"/>
    </row>
    <row r="93" spans="1:11">
      <c r="B93" s="905"/>
      <c r="C93" s="905"/>
      <c r="D93" s="158"/>
      <c r="E93" s="173"/>
    </row>
    <row r="94" spans="1:11">
      <c r="B94" s="905"/>
      <c r="C94" s="905"/>
      <c r="D94" s="170"/>
      <c r="E94" s="173"/>
    </row>
    <row r="95" spans="1:11">
      <c r="B95" s="158"/>
      <c r="C95" s="158"/>
      <c r="D95" s="170"/>
      <c r="E95" s="170"/>
    </row>
    <row r="96" spans="1:11">
      <c r="B96" s="158"/>
      <c r="C96" s="158"/>
      <c r="D96" s="170"/>
      <c r="E96" s="170"/>
    </row>
    <row r="97" spans="2:5">
      <c r="B97" s="924"/>
      <c r="C97" s="924"/>
      <c r="D97" s="170"/>
      <c r="E97" s="170"/>
    </row>
    <row r="98" spans="2:5">
      <c r="B98" s="905"/>
      <c r="C98" s="905"/>
      <c r="D98" s="170"/>
      <c r="E98" s="170"/>
    </row>
    <row r="99" spans="2:5">
      <c r="B99" s="905"/>
      <c r="C99" s="905"/>
      <c r="D99" s="170"/>
      <c r="E99" s="170"/>
    </row>
    <row r="100" spans="2:5">
      <c r="B100" s="905"/>
      <c r="C100" s="905"/>
      <c r="D100" s="170"/>
      <c r="E100" s="170"/>
    </row>
    <row r="101" spans="2:5">
      <c r="D101" s="215"/>
      <c r="E101" s="215"/>
    </row>
    <row r="102" spans="2:5">
      <c r="D102" s="215"/>
      <c r="E102" s="215"/>
    </row>
    <row r="103" spans="2:5">
      <c r="D103" s="215"/>
      <c r="E103" s="215"/>
    </row>
    <row r="104" spans="2:5">
      <c r="D104" s="215"/>
      <c r="E104" s="215"/>
    </row>
    <row r="105" spans="2:5">
      <c r="D105" s="215"/>
      <c r="E105" s="215"/>
    </row>
    <row r="106" spans="2:5">
      <c r="D106" s="215"/>
      <c r="E106" s="215"/>
    </row>
    <row r="107" spans="2:5">
      <c r="D107" s="215"/>
      <c r="E107" s="215"/>
    </row>
    <row r="108" spans="2:5">
      <c r="D108" s="215"/>
      <c r="E108" s="215"/>
    </row>
    <row r="109" spans="2:5">
      <c r="D109" s="215"/>
      <c r="E109" s="215"/>
    </row>
    <row r="110" spans="2:5">
      <c r="D110" s="215"/>
      <c r="E110" s="215"/>
    </row>
    <row r="111" spans="2:5">
      <c r="D111" s="215"/>
      <c r="E111" s="215"/>
    </row>
    <row r="112" spans="2:5">
      <c r="D112" s="215"/>
      <c r="E112" s="215"/>
    </row>
    <row r="113" spans="2:5">
      <c r="D113" s="215"/>
      <c r="E113" s="215"/>
    </row>
    <row r="114" spans="2:5">
      <c r="D114" s="215"/>
      <c r="E114" s="215"/>
    </row>
    <row r="115" spans="2:5">
      <c r="D115" s="215"/>
      <c r="E115" s="215"/>
    </row>
    <row r="116" spans="2:5">
      <c r="D116" s="215"/>
      <c r="E116" s="215"/>
    </row>
    <row r="117" spans="2:5">
      <c r="D117" s="215"/>
      <c r="E117" s="215"/>
    </row>
    <row r="118" spans="2:5">
      <c r="D118" s="215"/>
      <c r="E118" s="215"/>
    </row>
    <row r="119" spans="2:5">
      <c r="D119" s="215"/>
      <c r="E119" s="215"/>
    </row>
    <row r="120" spans="2:5">
      <c r="D120" s="215"/>
      <c r="E120" s="215"/>
    </row>
    <row r="121" spans="2:5">
      <c r="D121" s="215"/>
      <c r="E121" s="215"/>
    </row>
    <row r="122" spans="2:5">
      <c r="B122" s="989"/>
      <c r="C122" s="989"/>
      <c r="D122" s="990"/>
      <c r="E122" s="990"/>
    </row>
  </sheetData>
  <pageMargins left="0.38" right="0.75" top="0.73" bottom="0.74" header="0.5" footer="0.5"/>
  <pageSetup scale="90" orientation="portrait"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39997558519241921"/>
    <pageSetUpPr fitToPage="1"/>
  </sheetPr>
  <dimension ref="A1:M73"/>
  <sheetViews>
    <sheetView zoomScaleNormal="100" workbookViewId="0">
      <pane xSplit="1" ySplit="2" topLeftCell="B3" activePane="bottomRight" state="frozen"/>
      <selection activeCell="M35" sqref="M35"/>
      <selection pane="topRight" activeCell="M35" sqref="M35"/>
      <selection pane="bottomLeft" activeCell="M35" sqref="M35"/>
      <selection pane="bottomRight" activeCell="I40" sqref="I40"/>
    </sheetView>
  </sheetViews>
  <sheetFormatPr defaultRowHeight="13.2"/>
  <cols>
    <col min="1" max="1" width="11" customWidth="1"/>
    <col min="2" max="2" width="15" style="4" customWidth="1"/>
    <col min="3" max="3" width="14.109375" style="4" bestFit="1" customWidth="1"/>
    <col min="4" max="4" width="16.5546875" style="4" customWidth="1"/>
    <col min="5" max="5" width="14" style="4" customWidth="1"/>
    <col min="6" max="7" width="12.5546875" style="4" customWidth="1"/>
    <col min="8" max="8" width="12.6640625" style="4" bestFit="1" customWidth="1"/>
    <col min="9" max="9" width="8.6640625" style="4" customWidth="1"/>
    <col min="10" max="10" width="7.44140625" style="4" customWidth="1"/>
    <col min="11" max="11" width="10.88671875" style="4" customWidth="1"/>
  </cols>
  <sheetData>
    <row r="1" spans="1:13" ht="13.8" thickBot="1">
      <c r="C1" s="517" t="s">
        <v>333</v>
      </c>
      <c r="F1" s="948" t="s">
        <v>423</v>
      </c>
      <c r="G1" s="944" t="s">
        <v>599</v>
      </c>
    </row>
    <row r="2" spans="1:13" ht="27" thickTop="1">
      <c r="A2" s="582"/>
      <c r="B2" s="707" t="s">
        <v>1</v>
      </c>
      <c r="C2" s="707" t="s">
        <v>110</v>
      </c>
      <c r="D2" s="707" t="s">
        <v>249</v>
      </c>
      <c r="E2" s="707" t="s">
        <v>179</v>
      </c>
      <c r="F2" s="707" t="s">
        <v>159</v>
      </c>
      <c r="G2" s="707" t="s">
        <v>2</v>
      </c>
      <c r="H2" s="708" t="s">
        <v>5</v>
      </c>
      <c r="J2" s="12"/>
      <c r="K2" s="12"/>
    </row>
    <row r="3" spans="1:13">
      <c r="A3" s="709"/>
      <c r="B3" s="549"/>
      <c r="C3" s="549"/>
      <c r="D3" s="549"/>
      <c r="E3" s="549"/>
      <c r="F3" s="549"/>
      <c r="G3" s="549"/>
      <c r="H3" s="530"/>
      <c r="I3" s="10"/>
    </row>
    <row r="4" spans="1:13">
      <c r="A4" s="710">
        <v>2011</v>
      </c>
      <c r="B4" s="191">
        <v>5004</v>
      </c>
      <c r="C4" s="191">
        <v>769</v>
      </c>
      <c r="D4" s="191">
        <v>66</v>
      </c>
      <c r="E4" s="191">
        <v>1703</v>
      </c>
      <c r="F4" s="191">
        <v>75</v>
      </c>
      <c r="G4" s="191">
        <v>59</v>
      </c>
      <c r="H4" s="550">
        <f t="shared" ref="H4:H13" si="0">SUM(B4:G4)</f>
        <v>7676</v>
      </c>
      <c r="L4" s="515"/>
      <c r="M4" s="515"/>
    </row>
    <row r="5" spans="1:13">
      <c r="A5" s="710">
        <v>2012</v>
      </c>
      <c r="B5" s="191">
        <v>5025</v>
      </c>
      <c r="C5" s="191">
        <v>770</v>
      </c>
      <c r="D5" s="191">
        <v>67</v>
      </c>
      <c r="E5" s="191">
        <v>1703</v>
      </c>
      <c r="F5" s="191">
        <v>75</v>
      </c>
      <c r="G5" s="191">
        <v>60</v>
      </c>
      <c r="H5" s="550">
        <f t="shared" si="0"/>
        <v>7700</v>
      </c>
      <c r="I5" s="9">
        <f>H5/H4</f>
        <v>1.0031266284523188</v>
      </c>
      <c r="L5" s="515"/>
      <c r="M5" s="515"/>
    </row>
    <row r="6" spans="1:13">
      <c r="A6" s="710">
        <v>2013</v>
      </c>
      <c r="B6" s="191">
        <v>5035</v>
      </c>
      <c r="C6" s="191">
        <v>759</v>
      </c>
      <c r="D6" s="191">
        <v>65</v>
      </c>
      <c r="E6" s="191">
        <v>1707</v>
      </c>
      <c r="F6" s="191">
        <v>75</v>
      </c>
      <c r="G6" s="191">
        <v>61</v>
      </c>
      <c r="H6" s="550">
        <f t="shared" si="0"/>
        <v>7702</v>
      </c>
      <c r="I6" s="9">
        <f t="shared" ref="I6:I15" si="1">H6/H5</f>
        <v>1.0002597402597402</v>
      </c>
      <c r="L6" s="515"/>
      <c r="M6" s="515"/>
    </row>
    <row r="7" spans="1:13">
      <c r="A7" s="710">
        <v>2014</v>
      </c>
      <c r="B7" s="191">
        <v>5040</v>
      </c>
      <c r="C7" s="191">
        <v>754</v>
      </c>
      <c r="D7" s="191">
        <v>64</v>
      </c>
      <c r="E7" s="191">
        <v>1707</v>
      </c>
      <c r="F7" s="191">
        <v>75</v>
      </c>
      <c r="G7" s="191">
        <v>61</v>
      </c>
      <c r="H7" s="550">
        <f t="shared" si="0"/>
        <v>7701</v>
      </c>
      <c r="I7" s="9">
        <f t="shared" si="1"/>
        <v>0.99987016359387171</v>
      </c>
      <c r="L7" s="515"/>
      <c r="M7" s="515"/>
    </row>
    <row r="8" spans="1:13">
      <c r="A8" s="1167">
        <v>2015</v>
      </c>
      <c r="B8" s="1168">
        <v>5054</v>
      </c>
      <c r="C8" s="1168">
        <v>742</v>
      </c>
      <c r="D8" s="1168">
        <v>64</v>
      </c>
      <c r="E8" s="1168">
        <v>1711</v>
      </c>
      <c r="F8" s="1168">
        <v>75</v>
      </c>
      <c r="G8" s="1168">
        <v>59</v>
      </c>
      <c r="H8" s="1169">
        <f t="shared" si="0"/>
        <v>7705</v>
      </c>
      <c r="I8" s="9">
        <f t="shared" si="1"/>
        <v>1.0005194130632384</v>
      </c>
      <c r="L8" s="515"/>
      <c r="M8" s="515"/>
    </row>
    <row r="9" spans="1:13">
      <c r="A9" s="1164">
        <v>2016</v>
      </c>
      <c r="B9" s="1165">
        <v>5071</v>
      </c>
      <c r="C9" s="1165">
        <v>740</v>
      </c>
      <c r="D9" s="1165">
        <v>64</v>
      </c>
      <c r="E9" s="1165">
        <v>1711</v>
      </c>
      <c r="F9" s="1165">
        <v>73</v>
      </c>
      <c r="G9" s="1165">
        <v>58</v>
      </c>
      <c r="H9" s="1166">
        <f t="shared" si="0"/>
        <v>7717</v>
      </c>
      <c r="I9" s="9">
        <f t="shared" si="1"/>
        <v>1.0015574302401038</v>
      </c>
      <c r="L9" s="515"/>
      <c r="M9" s="515"/>
    </row>
    <row r="10" spans="1:13">
      <c r="A10" s="710">
        <v>2017</v>
      </c>
      <c r="B10" s="191">
        <v>5089</v>
      </c>
      <c r="C10" s="191">
        <v>741</v>
      </c>
      <c r="D10" s="191">
        <v>63</v>
      </c>
      <c r="E10" s="191">
        <v>1711</v>
      </c>
      <c r="F10" s="191">
        <v>71</v>
      </c>
      <c r="G10" s="191">
        <v>57</v>
      </c>
      <c r="H10" s="550">
        <f t="shared" si="0"/>
        <v>7732</v>
      </c>
      <c r="I10" s="9">
        <f t="shared" si="1"/>
        <v>1.0019437605287029</v>
      </c>
      <c r="L10" s="515"/>
      <c r="M10" s="515"/>
    </row>
    <row r="11" spans="1:13">
      <c r="A11" s="710">
        <v>2018</v>
      </c>
      <c r="B11" s="191">
        <v>5105</v>
      </c>
      <c r="C11" s="191">
        <v>739</v>
      </c>
      <c r="D11" s="191">
        <v>65</v>
      </c>
      <c r="E11" s="191">
        <v>1711</v>
      </c>
      <c r="F11" s="191">
        <v>72</v>
      </c>
      <c r="G11" s="191">
        <v>57</v>
      </c>
      <c r="H11" s="550">
        <f t="shared" si="0"/>
        <v>7749</v>
      </c>
      <c r="I11" s="9">
        <f t="shared" si="1"/>
        <v>1.0021986549405071</v>
      </c>
      <c r="L11" s="515"/>
      <c r="M11" s="515"/>
    </row>
    <row r="12" spans="1:13">
      <c r="A12" s="710">
        <v>2019</v>
      </c>
      <c r="B12" s="191">
        <v>5113</v>
      </c>
      <c r="C12" s="191">
        <v>735</v>
      </c>
      <c r="D12" s="191">
        <v>62</v>
      </c>
      <c r="E12" s="191">
        <v>1711</v>
      </c>
      <c r="F12" s="191">
        <v>74</v>
      </c>
      <c r="G12" s="191">
        <v>57</v>
      </c>
      <c r="H12" s="550">
        <f t="shared" si="0"/>
        <v>7752</v>
      </c>
      <c r="I12" s="9">
        <f t="shared" si="1"/>
        <v>1.0003871467286101</v>
      </c>
      <c r="L12" s="515"/>
      <c r="M12" s="515"/>
    </row>
    <row r="13" spans="1:13">
      <c r="A13" s="710">
        <v>2020</v>
      </c>
      <c r="B13" s="191">
        <v>5107</v>
      </c>
      <c r="C13" s="191">
        <v>731</v>
      </c>
      <c r="D13" s="191">
        <v>61</v>
      </c>
      <c r="E13" s="191">
        <v>1712</v>
      </c>
      <c r="F13" s="191">
        <v>73</v>
      </c>
      <c r="G13" s="191">
        <v>57</v>
      </c>
      <c r="H13" s="550">
        <f t="shared" si="0"/>
        <v>7741</v>
      </c>
      <c r="I13" s="9">
        <f t="shared" si="1"/>
        <v>0.99858101135190913</v>
      </c>
      <c r="L13" s="515"/>
      <c r="M13" s="515"/>
    </row>
    <row r="14" spans="1:13">
      <c r="A14" s="710">
        <v>2021</v>
      </c>
      <c r="B14" s="1713">
        <v>5117</v>
      </c>
      <c r="C14" s="1713">
        <v>730</v>
      </c>
      <c r="D14" s="1713">
        <v>61</v>
      </c>
      <c r="E14" s="1713">
        <f t="shared" ref="E14" si="2">ROUND(E13*E32,0)</f>
        <v>1712</v>
      </c>
      <c r="F14" s="1713">
        <v>70</v>
      </c>
      <c r="G14" s="1713">
        <v>57</v>
      </c>
      <c r="H14" s="550">
        <f t="shared" ref="H14:H15" si="3">SUM(B14:G14)</f>
        <v>7747</v>
      </c>
      <c r="I14" s="9">
        <f t="shared" si="1"/>
        <v>1.0007750936571502</v>
      </c>
      <c r="M14" s="515"/>
    </row>
    <row r="15" spans="1:13">
      <c r="A15" s="1464">
        <v>2022</v>
      </c>
      <c r="B15" s="1465">
        <f>ROUND(B14*B30,0)</f>
        <v>5126</v>
      </c>
      <c r="C15" s="1465">
        <f t="shared" ref="C15:G15" si="4">ROUND(C14*C30,0)</f>
        <v>728</v>
      </c>
      <c r="D15" s="1465">
        <f t="shared" si="4"/>
        <v>60</v>
      </c>
      <c r="E15" s="1465">
        <f t="shared" si="4"/>
        <v>1712</v>
      </c>
      <c r="F15" s="1465">
        <f t="shared" si="4"/>
        <v>69</v>
      </c>
      <c r="G15" s="1465">
        <f t="shared" si="4"/>
        <v>57</v>
      </c>
      <c r="H15" s="1466">
        <f t="shared" si="3"/>
        <v>7752</v>
      </c>
      <c r="I15" s="401">
        <f t="shared" si="1"/>
        <v>1.0006454111268879</v>
      </c>
      <c r="M15" s="19"/>
    </row>
    <row r="16" spans="1:13">
      <c r="A16" s="7"/>
      <c r="B16" s="943">
        <v>5126</v>
      </c>
      <c r="C16" s="943">
        <v>728</v>
      </c>
      <c r="D16" s="943">
        <v>60</v>
      </c>
      <c r="E16" s="943">
        <v>1712</v>
      </c>
      <c r="F16" s="943">
        <v>69</v>
      </c>
      <c r="G16" s="943">
        <v>57</v>
      </c>
      <c r="H16" s="943">
        <v>7752</v>
      </c>
      <c r="M16" s="19"/>
    </row>
    <row r="17" spans="1:13" ht="13.8" thickBot="1">
      <c r="A17" s="6" t="s">
        <v>337</v>
      </c>
      <c r="B17" s="3"/>
      <c r="C17" s="3"/>
      <c r="D17" s="552"/>
      <c r="E17" s="18"/>
      <c r="F17" s="3"/>
      <c r="G17" s="3"/>
      <c r="I17" s="1462"/>
      <c r="J17" s="1462"/>
      <c r="K17" s="1462"/>
      <c r="M17" s="19"/>
    </row>
    <row r="18" spans="1:13" ht="27" thickTop="1">
      <c r="A18" s="711"/>
      <c r="B18" s="707" t="s">
        <v>1</v>
      </c>
      <c r="C18" s="707" t="s">
        <v>110</v>
      </c>
      <c r="D18" s="707" t="s">
        <v>249</v>
      </c>
      <c r="E18" s="707" t="s">
        <v>179</v>
      </c>
      <c r="F18" s="707" t="s">
        <v>159</v>
      </c>
      <c r="G18" s="707" t="s">
        <v>2</v>
      </c>
      <c r="J18" s="1461"/>
      <c r="K18" s="1461"/>
      <c r="M18" s="19"/>
    </row>
    <row r="19" spans="1:13">
      <c r="A19" s="710">
        <f>A4</f>
        <v>2011</v>
      </c>
      <c r="B19" s="993"/>
      <c r="C19" s="994"/>
      <c r="D19" s="994"/>
      <c r="E19" s="994"/>
      <c r="F19" s="994"/>
      <c r="G19" s="994"/>
      <c r="M19" s="19"/>
    </row>
    <row r="20" spans="1:13">
      <c r="A20" s="710">
        <f t="shared" ref="A20:A30" si="5">A5</f>
        <v>2012</v>
      </c>
      <c r="B20" s="196">
        <f>B5/B4</f>
        <v>1.0041966426858513</v>
      </c>
      <c r="C20" s="196">
        <f t="shared" ref="B20:G29" si="6">C5/C4</f>
        <v>1.0013003901170352</v>
      </c>
      <c r="D20" s="196">
        <f t="shared" si="6"/>
        <v>1.0151515151515151</v>
      </c>
      <c r="E20" s="196">
        <f t="shared" si="6"/>
        <v>1</v>
      </c>
      <c r="F20" s="196">
        <f t="shared" si="6"/>
        <v>1</v>
      </c>
      <c r="G20" s="196">
        <f t="shared" si="6"/>
        <v>1.0169491525423728</v>
      </c>
      <c r="I20" s="1176"/>
      <c r="M20" s="19"/>
    </row>
    <row r="21" spans="1:13">
      <c r="A21" s="710">
        <f t="shared" si="5"/>
        <v>2013</v>
      </c>
      <c r="B21" s="196">
        <f t="shared" si="6"/>
        <v>1.0019900497512437</v>
      </c>
      <c r="C21" s="196">
        <f t="shared" si="6"/>
        <v>0.98571428571428577</v>
      </c>
      <c r="D21" s="196">
        <f t="shared" si="6"/>
        <v>0.97014925373134331</v>
      </c>
      <c r="E21" s="196">
        <f t="shared" si="6"/>
        <v>1.002348796241926</v>
      </c>
      <c r="F21" s="196">
        <f t="shared" si="6"/>
        <v>1</v>
      </c>
      <c r="G21" s="196">
        <f t="shared" si="6"/>
        <v>1.0166666666666666</v>
      </c>
      <c r="M21" s="19"/>
    </row>
    <row r="22" spans="1:13">
      <c r="A22" s="710">
        <f t="shared" si="5"/>
        <v>2014</v>
      </c>
      <c r="B22" s="196">
        <f t="shared" si="6"/>
        <v>1.0009930486593843</v>
      </c>
      <c r="C22" s="196">
        <f t="shared" si="6"/>
        <v>0.99341238471673254</v>
      </c>
      <c r="D22" s="196">
        <f t="shared" si="6"/>
        <v>0.98461538461538467</v>
      </c>
      <c r="E22" s="196">
        <f t="shared" si="6"/>
        <v>1</v>
      </c>
      <c r="F22" s="196">
        <f t="shared" si="6"/>
        <v>1</v>
      </c>
      <c r="G22" s="196">
        <f t="shared" si="6"/>
        <v>1</v>
      </c>
      <c r="M22" s="19"/>
    </row>
    <row r="23" spans="1:13">
      <c r="A23" s="710">
        <f t="shared" si="5"/>
        <v>2015</v>
      </c>
      <c r="B23" s="196">
        <f t="shared" si="6"/>
        <v>1.0027777777777778</v>
      </c>
      <c r="C23" s="196">
        <f t="shared" si="6"/>
        <v>0.98408488063660482</v>
      </c>
      <c r="D23" s="196">
        <f t="shared" si="6"/>
        <v>1</v>
      </c>
      <c r="E23" s="334">
        <f t="shared" si="6"/>
        <v>1.0023432923257176</v>
      </c>
      <c r="F23" s="196">
        <f t="shared" si="6"/>
        <v>1</v>
      </c>
      <c r="G23" s="196">
        <f t="shared" si="6"/>
        <v>0.96721311475409832</v>
      </c>
      <c r="M23" s="19"/>
    </row>
    <row r="24" spans="1:13">
      <c r="A24" s="710">
        <f t="shared" si="5"/>
        <v>2016</v>
      </c>
      <c r="B24" s="196">
        <f t="shared" si="6"/>
        <v>1.0033636723387416</v>
      </c>
      <c r="C24" s="196">
        <f t="shared" si="6"/>
        <v>0.99730458221024254</v>
      </c>
      <c r="D24" s="196">
        <f t="shared" si="6"/>
        <v>1</v>
      </c>
      <c r="E24" s="334">
        <f t="shared" si="6"/>
        <v>1</v>
      </c>
      <c r="F24" s="394">
        <f t="shared" si="6"/>
        <v>0.97333333333333338</v>
      </c>
      <c r="G24" s="196">
        <f t="shared" si="6"/>
        <v>0.98305084745762716</v>
      </c>
      <c r="M24" s="19"/>
    </row>
    <row r="25" spans="1:13">
      <c r="A25" s="710">
        <f t="shared" si="5"/>
        <v>2017</v>
      </c>
      <c r="B25" s="196">
        <f t="shared" si="6"/>
        <v>1.0035495957404852</v>
      </c>
      <c r="C25" s="196">
        <f t="shared" si="6"/>
        <v>1.0013513513513514</v>
      </c>
      <c r="D25" s="196">
        <f t="shared" si="6"/>
        <v>0.984375</v>
      </c>
      <c r="E25" s="196">
        <f t="shared" si="6"/>
        <v>1</v>
      </c>
      <c r="F25" s="196">
        <f t="shared" si="6"/>
        <v>0.9726027397260274</v>
      </c>
      <c r="G25" s="196">
        <f t="shared" si="6"/>
        <v>0.98275862068965514</v>
      </c>
      <c r="M25" s="19"/>
    </row>
    <row r="26" spans="1:13">
      <c r="A26" s="710">
        <f t="shared" si="5"/>
        <v>2018</v>
      </c>
      <c r="B26" s="196">
        <f t="shared" si="6"/>
        <v>1.0031440361564159</v>
      </c>
      <c r="C26" s="196">
        <f t="shared" si="6"/>
        <v>0.9973009446693657</v>
      </c>
      <c r="D26" s="196">
        <f t="shared" si="6"/>
        <v>1.0317460317460319</v>
      </c>
      <c r="E26" s="196">
        <f t="shared" si="6"/>
        <v>1</v>
      </c>
      <c r="F26" s="196">
        <f t="shared" si="6"/>
        <v>1.0140845070422535</v>
      </c>
      <c r="G26" s="196">
        <f t="shared" si="6"/>
        <v>1</v>
      </c>
      <c r="M26" s="19"/>
    </row>
    <row r="27" spans="1:13">
      <c r="A27" s="1715">
        <f t="shared" si="5"/>
        <v>2019</v>
      </c>
      <c r="B27" s="1716">
        <f t="shared" si="6"/>
        <v>1.0015670910871695</v>
      </c>
      <c r="C27" s="1716">
        <f t="shared" si="6"/>
        <v>0.99458728010825437</v>
      </c>
      <c r="D27" s="1716">
        <f t="shared" si="6"/>
        <v>0.9538461538461539</v>
      </c>
      <c r="E27" s="1716">
        <f t="shared" si="6"/>
        <v>1</v>
      </c>
      <c r="F27" s="1716">
        <f t="shared" si="6"/>
        <v>1.0277777777777777</v>
      </c>
      <c r="G27" s="1716">
        <f t="shared" si="6"/>
        <v>1</v>
      </c>
      <c r="M27" s="19"/>
    </row>
    <row r="28" spans="1:13">
      <c r="A28" s="925">
        <f t="shared" si="5"/>
        <v>2020</v>
      </c>
      <c r="B28" s="1717">
        <f t="shared" si="6"/>
        <v>0.99882652063367883</v>
      </c>
      <c r="C28" s="1717">
        <f t="shared" si="6"/>
        <v>0.99455782312925167</v>
      </c>
      <c r="D28" s="1717">
        <f t="shared" si="6"/>
        <v>0.9838709677419355</v>
      </c>
      <c r="E28" s="1717">
        <f t="shared" si="6"/>
        <v>1.0005844535359438</v>
      </c>
      <c r="F28" s="1717">
        <f t="shared" si="6"/>
        <v>0.98648648648648651</v>
      </c>
      <c r="G28" s="1717">
        <f>G13/G12</f>
        <v>1</v>
      </c>
      <c r="M28" s="19"/>
    </row>
    <row r="29" spans="1:13">
      <c r="A29" s="1164">
        <f t="shared" si="5"/>
        <v>2021</v>
      </c>
      <c r="B29" s="1714">
        <f>B14/B13</f>
        <v>1.0019580967299784</v>
      </c>
      <c r="C29" s="1714">
        <f t="shared" si="6"/>
        <v>0.99863201094391241</v>
      </c>
      <c r="D29" s="1714">
        <f t="shared" si="6"/>
        <v>1</v>
      </c>
      <c r="E29" s="1714">
        <f t="shared" si="6"/>
        <v>1</v>
      </c>
      <c r="F29" s="1714">
        <f t="shared" si="6"/>
        <v>0.95890410958904104</v>
      </c>
      <c r="G29" s="1714">
        <f>G14/G13</f>
        <v>1</v>
      </c>
      <c r="M29" s="19"/>
    </row>
    <row r="30" spans="1:13">
      <c r="A30" s="710">
        <f t="shared" si="5"/>
        <v>2022</v>
      </c>
      <c r="B30" s="1029">
        <f>B32</f>
        <v>1.001807690508143</v>
      </c>
      <c r="C30" s="1029">
        <f t="shared" ref="C30:G30" si="7">C32</f>
        <v>0.99728256850836006</v>
      </c>
      <c r="D30" s="1029">
        <f t="shared" si="7"/>
        <v>0.9904441066777725</v>
      </c>
      <c r="E30" s="1029">
        <f t="shared" si="7"/>
        <v>1</v>
      </c>
      <c r="F30" s="1029">
        <f t="shared" si="7"/>
        <v>0.99164228173510338</v>
      </c>
      <c r="G30" s="1029">
        <f t="shared" si="7"/>
        <v>0.99652769390397555</v>
      </c>
      <c r="M30" s="19"/>
    </row>
    <row r="31" spans="1:13">
      <c r="A31" s="710"/>
      <c r="B31" s="197"/>
      <c r="C31" s="197"/>
      <c r="D31" s="197"/>
      <c r="E31" s="197"/>
      <c r="F31" s="197"/>
      <c r="G31" s="197"/>
      <c r="M31" s="19"/>
    </row>
    <row r="32" spans="1:13">
      <c r="A32" s="712" t="s">
        <v>48</v>
      </c>
      <c r="B32" s="369">
        <f>B35</f>
        <v>1.001807690508143</v>
      </c>
      <c r="C32" s="369">
        <f t="shared" ref="C32:D32" si="8">C35</f>
        <v>0.99728256850836006</v>
      </c>
      <c r="D32" s="369">
        <f t="shared" si="8"/>
        <v>0.9904441066777725</v>
      </c>
      <c r="E32" s="947">
        <v>1</v>
      </c>
      <c r="F32" s="369">
        <f t="shared" ref="F32" si="9">F35</f>
        <v>0.99164228173510338</v>
      </c>
      <c r="G32" s="369">
        <f>G35</f>
        <v>0.99652769390397555</v>
      </c>
      <c r="H32" s="4" t="str">
        <f>H35</f>
        <v>5 year</v>
      </c>
      <c r="K32" s="9"/>
      <c r="M32" s="19"/>
    </row>
    <row r="33" spans="1:13">
      <c r="A33" s="712"/>
      <c r="B33" s="198"/>
      <c r="C33" s="198"/>
      <c r="D33" s="198"/>
      <c r="E33" s="198"/>
      <c r="F33" s="198"/>
      <c r="G33" s="198"/>
      <c r="M33" s="19"/>
    </row>
    <row r="34" spans="1:13">
      <c r="A34" s="712" t="s">
        <v>8</v>
      </c>
      <c r="B34" s="941">
        <f>GEOMEAN(B20:B29)</f>
        <v>1.0022355688879034</v>
      </c>
      <c r="C34" s="941">
        <f t="shared" ref="C34:G34" si="10">GEOMEAN(C20:C29)</f>
        <v>0.99480887715388822</v>
      </c>
      <c r="D34" s="941">
        <f t="shared" si="10"/>
        <v>0.99215286301722061</v>
      </c>
      <c r="E34" s="941">
        <f t="shared" si="10"/>
        <v>1.0005272265389802</v>
      </c>
      <c r="F34" s="941">
        <f t="shared" si="10"/>
        <v>0.99312445829262985</v>
      </c>
      <c r="G34" s="941">
        <f t="shared" si="10"/>
        <v>0.99655732204475866</v>
      </c>
      <c r="H34" s="942" t="s">
        <v>749</v>
      </c>
      <c r="K34" s="198"/>
      <c r="M34" s="19"/>
    </row>
    <row r="35" spans="1:13">
      <c r="A35" s="712" t="s">
        <v>8</v>
      </c>
      <c r="B35" s="941">
        <f>GEOMEAN(B25:B29)</f>
        <v>1.001807690508143</v>
      </c>
      <c r="C35" s="941">
        <f t="shared" ref="C35:F35" si="11">GEOMEAN(C25:C29)</f>
        <v>0.99728256850836006</v>
      </c>
      <c r="D35" s="941">
        <f t="shared" si="11"/>
        <v>0.9904441066777725</v>
      </c>
      <c r="E35" s="941">
        <f t="shared" si="11"/>
        <v>1.0001168633898927</v>
      </c>
      <c r="F35" s="941">
        <f t="shared" si="11"/>
        <v>0.99164228173510338</v>
      </c>
      <c r="G35" s="941">
        <f>GEOMEAN(G25:G29)</f>
        <v>0.99652769390397555</v>
      </c>
      <c r="H35" s="942" t="s">
        <v>163</v>
      </c>
      <c r="I35" s="9"/>
      <c r="M35" s="19"/>
    </row>
    <row r="36" spans="1:13">
      <c r="A36" s="2"/>
      <c r="B36" s="198"/>
      <c r="C36" s="9"/>
      <c r="D36" s="9"/>
      <c r="E36" s="9"/>
      <c r="F36" s="9"/>
      <c r="G36" s="9"/>
      <c r="I36" s="9"/>
    </row>
    <row r="42" spans="1:13">
      <c r="A42" s="2"/>
      <c r="B42" s="901" t="s">
        <v>262</v>
      </c>
      <c r="C42" s="9"/>
      <c r="D42" s="9"/>
      <c r="E42" s="945" t="s">
        <v>424</v>
      </c>
      <c r="F42" s="9"/>
      <c r="G42" s="9"/>
      <c r="I42" s="9"/>
    </row>
    <row r="43" spans="1:13">
      <c r="A43" s="2">
        <v>2011</v>
      </c>
      <c r="B43" s="197">
        <f t="shared" ref="B43:G43" si="12">AVERAGE(B4,B73)</f>
        <v>4993</v>
      </c>
      <c r="C43" s="197">
        <f t="shared" si="12"/>
        <v>769.5</v>
      </c>
      <c r="D43" s="197">
        <f t="shared" si="12"/>
        <v>66</v>
      </c>
      <c r="E43" s="197">
        <f t="shared" si="12"/>
        <v>1702</v>
      </c>
      <c r="F43" s="197">
        <f t="shared" si="12"/>
        <v>75</v>
      </c>
      <c r="G43" s="197">
        <f t="shared" si="12"/>
        <v>53.5</v>
      </c>
    </row>
    <row r="44" spans="1:13">
      <c r="A44" s="2">
        <v>2012</v>
      </c>
      <c r="B44" s="341">
        <f t="shared" ref="B44:G53" si="13">AVERAGE(B4:B5)</f>
        <v>5014.5</v>
      </c>
      <c r="C44" s="341">
        <f t="shared" si="13"/>
        <v>769.5</v>
      </c>
      <c r="D44" s="341">
        <f t="shared" si="13"/>
        <v>66.5</v>
      </c>
      <c r="E44" s="341">
        <f t="shared" si="13"/>
        <v>1703</v>
      </c>
      <c r="F44" s="341">
        <f t="shared" si="13"/>
        <v>75</v>
      </c>
      <c r="G44" s="341">
        <f t="shared" si="13"/>
        <v>59.5</v>
      </c>
      <c r="H44" s="4">
        <f t="shared" ref="H44:H49" si="14">SUM(B44:G44)</f>
        <v>7688</v>
      </c>
    </row>
    <row r="45" spans="1:13">
      <c r="A45" s="2">
        <v>2013</v>
      </c>
      <c r="B45" s="341">
        <f t="shared" si="13"/>
        <v>5030</v>
      </c>
      <c r="C45" s="341">
        <f t="shared" si="13"/>
        <v>764.5</v>
      </c>
      <c r="D45" s="341">
        <f t="shared" si="13"/>
        <v>66</v>
      </c>
      <c r="E45" s="341">
        <f t="shared" si="13"/>
        <v>1705</v>
      </c>
      <c r="F45" s="341">
        <f t="shared" si="13"/>
        <v>75</v>
      </c>
      <c r="G45" s="341">
        <f t="shared" si="13"/>
        <v>60.5</v>
      </c>
      <c r="H45" s="4">
        <f t="shared" si="14"/>
        <v>7701</v>
      </c>
    </row>
    <row r="46" spans="1:13">
      <c r="A46" s="2">
        <v>2014</v>
      </c>
      <c r="B46" s="341">
        <f t="shared" si="13"/>
        <v>5037.5</v>
      </c>
      <c r="C46" s="341">
        <f t="shared" si="13"/>
        <v>756.5</v>
      </c>
      <c r="D46" s="341">
        <f t="shared" si="13"/>
        <v>64.5</v>
      </c>
      <c r="E46" s="341">
        <f t="shared" si="13"/>
        <v>1707</v>
      </c>
      <c r="F46" s="341">
        <f t="shared" si="13"/>
        <v>75</v>
      </c>
      <c r="G46" s="341">
        <f t="shared" si="13"/>
        <v>61</v>
      </c>
      <c r="H46" s="4">
        <f t="shared" si="14"/>
        <v>7701.5</v>
      </c>
    </row>
    <row r="47" spans="1:13">
      <c r="A47" s="2">
        <v>2015</v>
      </c>
      <c r="B47" s="341">
        <f t="shared" si="13"/>
        <v>5047</v>
      </c>
      <c r="C47" s="341">
        <f t="shared" si="13"/>
        <v>748</v>
      </c>
      <c r="D47" s="341">
        <f t="shared" si="13"/>
        <v>64</v>
      </c>
      <c r="E47" s="341">
        <f t="shared" si="13"/>
        <v>1709</v>
      </c>
      <c r="F47" s="341">
        <f t="shared" si="13"/>
        <v>75</v>
      </c>
      <c r="G47" s="341">
        <f t="shared" si="13"/>
        <v>60</v>
      </c>
      <c r="H47" s="4">
        <f t="shared" si="14"/>
        <v>7703</v>
      </c>
    </row>
    <row r="48" spans="1:13">
      <c r="A48" s="2">
        <v>2016</v>
      </c>
      <c r="B48" s="341">
        <f t="shared" si="13"/>
        <v>5062.5</v>
      </c>
      <c r="C48" s="341">
        <f t="shared" si="13"/>
        <v>741</v>
      </c>
      <c r="D48" s="341">
        <f t="shared" si="13"/>
        <v>64</v>
      </c>
      <c r="E48" s="341">
        <f t="shared" si="13"/>
        <v>1711</v>
      </c>
      <c r="F48" s="341">
        <f t="shared" si="13"/>
        <v>74</v>
      </c>
      <c r="G48" s="341">
        <f t="shared" si="13"/>
        <v>58.5</v>
      </c>
      <c r="H48" s="4">
        <f t="shared" si="14"/>
        <v>7711</v>
      </c>
    </row>
    <row r="49" spans="1:9">
      <c r="A49" s="2">
        <v>2017</v>
      </c>
      <c r="B49" s="341">
        <f t="shared" si="13"/>
        <v>5080</v>
      </c>
      <c r="C49" s="341">
        <f t="shared" si="13"/>
        <v>740.5</v>
      </c>
      <c r="D49" s="341">
        <f t="shared" si="13"/>
        <v>63.5</v>
      </c>
      <c r="E49" s="341">
        <f t="shared" si="13"/>
        <v>1711</v>
      </c>
      <c r="F49" s="341">
        <f t="shared" si="13"/>
        <v>72</v>
      </c>
      <c r="G49" s="341">
        <f t="shared" si="13"/>
        <v>57.5</v>
      </c>
      <c r="H49" s="4">
        <f t="shared" si="14"/>
        <v>7724.5</v>
      </c>
    </row>
    <row r="50" spans="1:9">
      <c r="A50" s="2">
        <v>2018</v>
      </c>
      <c r="B50" s="341">
        <f t="shared" si="13"/>
        <v>5097</v>
      </c>
      <c r="C50" s="341">
        <f t="shared" si="13"/>
        <v>740</v>
      </c>
      <c r="D50" s="341">
        <f t="shared" si="13"/>
        <v>64</v>
      </c>
      <c r="E50" s="341">
        <f t="shared" si="13"/>
        <v>1711</v>
      </c>
      <c r="F50" s="341">
        <f t="shared" si="13"/>
        <v>71.5</v>
      </c>
      <c r="G50" s="341">
        <f t="shared" si="13"/>
        <v>57</v>
      </c>
      <c r="H50" s="4">
        <f>SUM(B50:G50)</f>
        <v>7740.5</v>
      </c>
    </row>
    <row r="51" spans="1:9">
      <c r="A51" s="2">
        <v>2019</v>
      </c>
      <c r="B51" s="341">
        <f t="shared" si="13"/>
        <v>5109</v>
      </c>
      <c r="C51" s="341">
        <f t="shared" si="13"/>
        <v>737</v>
      </c>
      <c r="D51" s="341">
        <f t="shared" si="13"/>
        <v>63.5</v>
      </c>
      <c r="E51" s="341">
        <f t="shared" si="13"/>
        <v>1711</v>
      </c>
      <c r="F51" s="341">
        <f t="shared" si="13"/>
        <v>73</v>
      </c>
      <c r="G51" s="341">
        <f t="shared" si="13"/>
        <v>57</v>
      </c>
      <c r="H51" s="4">
        <f>SUM(B51:G51)</f>
        <v>7750.5</v>
      </c>
    </row>
    <row r="52" spans="1:9">
      <c r="A52" s="2">
        <v>2020</v>
      </c>
      <c r="B52" s="341">
        <f t="shared" si="13"/>
        <v>5110</v>
      </c>
      <c r="C52" s="341">
        <f t="shared" si="13"/>
        <v>733</v>
      </c>
      <c r="D52" s="341">
        <f t="shared" si="13"/>
        <v>61.5</v>
      </c>
      <c r="E52" s="341">
        <f t="shared" si="13"/>
        <v>1711.5</v>
      </c>
      <c r="F52" s="341">
        <f t="shared" si="13"/>
        <v>73.5</v>
      </c>
      <c r="G52" s="341">
        <f t="shared" si="13"/>
        <v>57</v>
      </c>
      <c r="H52" s="4">
        <f>SUM(B52:G52)</f>
        <v>7746.5</v>
      </c>
    </row>
    <row r="53" spans="1:9">
      <c r="A53" s="2">
        <v>2021</v>
      </c>
      <c r="B53" s="341">
        <f t="shared" si="13"/>
        <v>5112</v>
      </c>
      <c r="C53" s="341">
        <f t="shared" si="13"/>
        <v>730.5</v>
      </c>
      <c r="D53" s="341">
        <f t="shared" si="13"/>
        <v>61</v>
      </c>
      <c r="E53" s="341">
        <f t="shared" si="13"/>
        <v>1712</v>
      </c>
      <c r="F53" s="341">
        <f t="shared" si="13"/>
        <v>71.5</v>
      </c>
      <c r="G53" s="341">
        <f t="shared" si="13"/>
        <v>57</v>
      </c>
      <c r="H53" s="4">
        <f>SUM(B53:G53)</f>
        <v>7744</v>
      </c>
    </row>
    <row r="54" spans="1:9">
      <c r="A54" s="2">
        <v>2022</v>
      </c>
      <c r="B54" s="900">
        <f>B53*B69</f>
        <v>5121.9579292244798</v>
      </c>
      <c r="C54" s="900">
        <f t="shared" ref="C54:G54" si="15">C53*C69</f>
        <v>727.54639919436966</v>
      </c>
      <c r="D54" s="900">
        <f t="shared" si="15"/>
        <v>60.515811770193643</v>
      </c>
      <c r="E54" s="900">
        <f t="shared" si="15"/>
        <v>1712</v>
      </c>
      <c r="F54" s="900">
        <f t="shared" si="15"/>
        <v>71.211684153678306</v>
      </c>
      <c r="G54" s="900">
        <f t="shared" si="15"/>
        <v>56.418245556158347</v>
      </c>
      <c r="H54" s="4">
        <f>SUM(B54:G54)</f>
        <v>7749.6500698988802</v>
      </c>
    </row>
    <row r="55" spans="1:9">
      <c r="B55" s="943">
        <v>5133.9168691899449</v>
      </c>
      <c r="C55" s="943">
        <v>729.03244718039502</v>
      </c>
      <c r="D55" s="943">
        <v>60.286863074595274</v>
      </c>
      <c r="E55" s="943">
        <v>1711.5</v>
      </c>
      <c r="F55" s="943">
        <v>73.5</v>
      </c>
      <c r="G55" s="943">
        <v>57</v>
      </c>
    </row>
    <row r="56" spans="1:9">
      <c r="B56" s="198"/>
      <c r="C56" s="517" t="s">
        <v>335</v>
      </c>
    </row>
    <row r="57" spans="1:9">
      <c r="A57">
        <f>A43</f>
        <v>2011</v>
      </c>
      <c r="B57" s="915"/>
      <c r="C57" s="915"/>
      <c r="D57" s="915"/>
      <c r="E57" s="915"/>
      <c r="F57" s="915"/>
      <c r="G57" s="915"/>
    </row>
    <row r="58" spans="1:9">
      <c r="A58">
        <f>A44</f>
        <v>2012</v>
      </c>
      <c r="B58" s="9">
        <f>B44/B43</f>
        <v>1.0043060284398158</v>
      </c>
      <c r="C58" s="9">
        <f t="shared" ref="C58:F58" si="16">C44/C43</f>
        <v>1</v>
      </c>
      <c r="D58" s="9">
        <f t="shared" si="16"/>
        <v>1.0075757575757576</v>
      </c>
      <c r="E58" s="9">
        <f t="shared" si="16"/>
        <v>1.000587544065805</v>
      </c>
      <c r="F58" s="9">
        <f t="shared" si="16"/>
        <v>1</v>
      </c>
      <c r="G58" s="9">
        <f>G44/G43</f>
        <v>1.1121495327102804</v>
      </c>
      <c r="H58" s="9"/>
      <c r="I58" s="9"/>
    </row>
    <row r="59" spans="1:9">
      <c r="A59">
        <f t="shared" ref="A59:A67" si="17">A45</f>
        <v>2013</v>
      </c>
      <c r="B59" s="9">
        <f t="shared" ref="B59:G59" si="18">B45/B44</f>
        <v>1.0030910359956127</v>
      </c>
      <c r="C59" s="9">
        <f t="shared" si="18"/>
        <v>0.99350227420402859</v>
      </c>
      <c r="D59" s="9">
        <f t="shared" si="18"/>
        <v>0.99248120300751874</v>
      </c>
      <c r="E59" s="9">
        <f t="shared" si="18"/>
        <v>1.0011743981209631</v>
      </c>
      <c r="F59" s="9">
        <f t="shared" si="18"/>
        <v>1</v>
      </c>
      <c r="G59" s="9">
        <f t="shared" si="18"/>
        <v>1.0168067226890756</v>
      </c>
      <c r="H59" s="9"/>
      <c r="I59" s="9"/>
    </row>
    <row r="60" spans="1:9">
      <c r="A60">
        <f t="shared" si="17"/>
        <v>2014</v>
      </c>
      <c r="B60" s="9">
        <f t="shared" ref="B60:G60" si="19">B46/B45</f>
        <v>1.0014910536779325</v>
      </c>
      <c r="C60" s="9">
        <f t="shared" si="19"/>
        <v>0.98953564421190321</v>
      </c>
      <c r="D60" s="9">
        <f t="shared" si="19"/>
        <v>0.97727272727272729</v>
      </c>
      <c r="E60" s="9">
        <f t="shared" si="19"/>
        <v>1.0011730205278593</v>
      </c>
      <c r="F60" s="9">
        <f t="shared" si="19"/>
        <v>1</v>
      </c>
      <c r="G60" s="9">
        <f t="shared" si="19"/>
        <v>1.0082644628099173</v>
      </c>
      <c r="H60" s="9"/>
      <c r="I60" s="9"/>
    </row>
    <row r="61" spans="1:9">
      <c r="A61">
        <f t="shared" si="17"/>
        <v>2015</v>
      </c>
      <c r="B61" s="9">
        <f t="shared" ref="B61:G61" si="20">B47/B46</f>
        <v>1.0018858560794044</v>
      </c>
      <c r="C61" s="9">
        <f t="shared" si="20"/>
        <v>0.9887640449438202</v>
      </c>
      <c r="D61" s="9">
        <f t="shared" si="20"/>
        <v>0.99224806201550386</v>
      </c>
      <c r="E61" s="9">
        <f t="shared" si="20"/>
        <v>1.0011716461628588</v>
      </c>
      <c r="F61" s="9">
        <f t="shared" si="20"/>
        <v>1</v>
      </c>
      <c r="G61" s="9">
        <f t="shared" si="20"/>
        <v>0.98360655737704916</v>
      </c>
      <c r="H61" s="9"/>
      <c r="I61" s="9"/>
    </row>
    <row r="62" spans="1:9">
      <c r="A62">
        <f t="shared" si="17"/>
        <v>2016</v>
      </c>
      <c r="B62" s="9">
        <f t="shared" ref="B62:G62" si="21">B48/B47</f>
        <v>1.0030711313651675</v>
      </c>
      <c r="C62" s="9">
        <f t="shared" si="21"/>
        <v>0.99064171122994649</v>
      </c>
      <c r="D62" s="9">
        <f t="shared" si="21"/>
        <v>1</v>
      </c>
      <c r="E62" s="9">
        <f t="shared" si="21"/>
        <v>1.0011702750146285</v>
      </c>
      <c r="F62" s="9">
        <f t="shared" si="21"/>
        <v>0.98666666666666669</v>
      </c>
      <c r="G62" s="9">
        <f t="shared" si="21"/>
        <v>0.97499999999999998</v>
      </c>
      <c r="H62" s="9"/>
      <c r="I62" s="9"/>
    </row>
    <row r="63" spans="1:9">
      <c r="A63">
        <f t="shared" si="17"/>
        <v>2017</v>
      </c>
      <c r="B63" s="9">
        <f t="shared" ref="B63:G63" si="22">B49/B48</f>
        <v>1.0034567901234568</v>
      </c>
      <c r="C63" s="9">
        <f t="shared" si="22"/>
        <v>0.99932523616734148</v>
      </c>
      <c r="D63" s="9">
        <f t="shared" si="22"/>
        <v>0.9921875</v>
      </c>
      <c r="E63" s="9">
        <f t="shared" si="22"/>
        <v>1</v>
      </c>
      <c r="F63" s="9">
        <f t="shared" si="22"/>
        <v>0.97297297297297303</v>
      </c>
      <c r="G63" s="9">
        <f t="shared" si="22"/>
        <v>0.98290598290598286</v>
      </c>
      <c r="H63" s="9"/>
      <c r="I63" s="9"/>
    </row>
    <row r="64" spans="1:9">
      <c r="A64">
        <f t="shared" si="17"/>
        <v>2018</v>
      </c>
      <c r="B64" s="9">
        <f t="shared" ref="B64:G64" si="23">B50/B49</f>
        <v>1.0033464566929133</v>
      </c>
      <c r="C64" s="9">
        <f t="shared" si="23"/>
        <v>0.9993247805536799</v>
      </c>
      <c r="D64" s="9">
        <f t="shared" si="23"/>
        <v>1.0078740157480315</v>
      </c>
      <c r="E64" s="9">
        <f t="shared" si="23"/>
        <v>1</v>
      </c>
      <c r="F64" s="9">
        <f t="shared" si="23"/>
        <v>0.99305555555555558</v>
      </c>
      <c r="G64" s="9">
        <f t="shared" si="23"/>
        <v>0.99130434782608701</v>
      </c>
      <c r="H64" s="9"/>
      <c r="I64" s="9"/>
    </row>
    <row r="65" spans="1:9">
      <c r="A65">
        <f t="shared" si="17"/>
        <v>2019</v>
      </c>
      <c r="B65" s="9">
        <f t="shared" ref="B65:G65" si="24">B51/B50</f>
        <v>1.0023543260741612</v>
      </c>
      <c r="C65" s="9">
        <f t="shared" si="24"/>
        <v>0.99594594594594599</v>
      </c>
      <c r="D65" s="9">
        <f t="shared" si="24"/>
        <v>0.9921875</v>
      </c>
      <c r="E65" s="9">
        <f t="shared" si="24"/>
        <v>1</v>
      </c>
      <c r="F65" s="9">
        <f t="shared" si="24"/>
        <v>1.020979020979021</v>
      </c>
      <c r="G65" s="9">
        <f t="shared" si="24"/>
        <v>1</v>
      </c>
      <c r="H65" s="9"/>
      <c r="I65" s="9"/>
    </row>
    <row r="66" spans="1:9">
      <c r="A66">
        <f t="shared" si="17"/>
        <v>2020</v>
      </c>
      <c r="B66" s="9">
        <f t="shared" ref="B66:G67" si="25">B52/B51</f>
        <v>1.0001957330201605</v>
      </c>
      <c r="C66" s="9">
        <f t="shared" si="25"/>
        <v>0.99457259158751699</v>
      </c>
      <c r="D66" s="9">
        <f t="shared" si="25"/>
        <v>0.96850393700787396</v>
      </c>
      <c r="E66" s="9">
        <f t="shared" si="25"/>
        <v>1.0002922267679719</v>
      </c>
      <c r="F66" s="9">
        <f t="shared" si="25"/>
        <v>1.0068493150684932</v>
      </c>
      <c r="G66" s="9">
        <f t="shared" si="25"/>
        <v>1</v>
      </c>
      <c r="H66" s="9"/>
      <c r="I66" s="9"/>
    </row>
    <row r="67" spans="1:9">
      <c r="A67">
        <f t="shared" si="17"/>
        <v>2021</v>
      </c>
      <c r="B67" s="9">
        <f t="shared" si="25"/>
        <v>1.0003913894324854</v>
      </c>
      <c r="C67" s="9">
        <f t="shared" si="25"/>
        <v>0.99658935879945432</v>
      </c>
      <c r="D67" s="9">
        <f t="shared" si="25"/>
        <v>0.99186991869918695</v>
      </c>
      <c r="E67" s="9">
        <f t="shared" si="25"/>
        <v>1.0002921413964359</v>
      </c>
      <c r="F67" s="9">
        <f t="shared" si="25"/>
        <v>0.97278911564625847</v>
      </c>
      <c r="G67" s="9">
        <f t="shared" si="25"/>
        <v>1</v>
      </c>
      <c r="H67" s="9"/>
      <c r="I67" s="9"/>
    </row>
    <row r="68" spans="1:9">
      <c r="B68" s="9"/>
      <c r="C68" s="9"/>
      <c r="D68" s="9"/>
      <c r="E68" s="9"/>
      <c r="F68" s="9"/>
      <c r="G68" s="9"/>
    </row>
    <row r="69" spans="1:9">
      <c r="A69" t="s">
        <v>48</v>
      </c>
      <c r="B69" s="899">
        <f>B71</f>
        <v>1.0019479517262284</v>
      </c>
      <c r="C69" s="899">
        <f t="shared" ref="C69:D69" si="26">C71</f>
        <v>0.99595674085471553</v>
      </c>
      <c r="D69" s="899">
        <f t="shared" si="26"/>
        <v>0.99206248803596142</v>
      </c>
      <c r="E69" s="899">
        <v>1</v>
      </c>
      <c r="F69" s="899">
        <f>F71</f>
        <v>0.99596761054095539</v>
      </c>
      <c r="G69" s="899">
        <f>G71</f>
        <v>0.98979378168698851</v>
      </c>
      <c r="H69" s="4" t="str">
        <f>H71</f>
        <v>5 year</v>
      </c>
    </row>
    <row r="70" spans="1:9">
      <c r="A70" s="371" t="s">
        <v>8</v>
      </c>
      <c r="B70" s="372">
        <f>GEOMEAN(B58:B67)</f>
        <v>1.0023581546388942</v>
      </c>
      <c r="C70" s="372">
        <f t="shared" ref="C70:F70" si="27">GEOMEAN(C58:C66)</f>
        <v>0.99461507857312359</v>
      </c>
      <c r="D70" s="372">
        <f t="shared" si="27"/>
        <v>0.99218430625668574</v>
      </c>
      <c r="E70" s="372">
        <f t="shared" si="27"/>
        <v>1.0006186522683056</v>
      </c>
      <c r="F70" s="372">
        <f t="shared" si="27"/>
        <v>0.9977577722990234</v>
      </c>
      <c r="G70" s="372">
        <f>GEOMEAN(G58:G66)</f>
        <v>1.0070659148168415</v>
      </c>
      <c r="H70" s="4" t="s">
        <v>749</v>
      </c>
    </row>
    <row r="71" spans="1:9">
      <c r="B71" s="372">
        <f>GEOMEAN(B63:B67)</f>
        <v>1.0019479517262284</v>
      </c>
      <c r="C71" s="372">
        <f>GEOMEAN(C62:C66)</f>
        <v>0.99595674085471553</v>
      </c>
      <c r="D71" s="372">
        <f>GEOMEAN(D62:D66)</f>
        <v>0.99206248803596142</v>
      </c>
      <c r="E71" s="372">
        <f>GEOMEAN(E62:E66)</f>
        <v>1.0002923977108094</v>
      </c>
      <c r="F71" s="372">
        <f>GEOMEAN(F62:F66)</f>
        <v>0.99596761054095539</v>
      </c>
      <c r="G71" s="372">
        <f>GEOMEAN(G62:G66)</f>
        <v>0.98979378168698851</v>
      </c>
      <c r="H71" s="4" t="s">
        <v>163</v>
      </c>
    </row>
    <row r="73" spans="1:9">
      <c r="A73">
        <v>2010</v>
      </c>
      <c r="B73" s="4">
        <v>4982</v>
      </c>
      <c r="C73" s="4">
        <v>770</v>
      </c>
      <c r="D73" s="4">
        <v>66</v>
      </c>
      <c r="E73" s="4">
        <v>1701</v>
      </c>
      <c r="F73" s="4">
        <v>75</v>
      </c>
      <c r="G73" s="4">
        <v>48</v>
      </c>
    </row>
  </sheetData>
  <phoneticPr fontId="0" type="noConversion"/>
  <pageMargins left="0.38" right="0.75" top="0.73" bottom="0.74" header="0.5" footer="0.5"/>
  <pageSetup scale="85" orientation="landscape" r:id="rId1"/>
  <headerFooter alignWithMargins="0">
    <oddFooter>&amp;L&amp;Z&amp;F</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39997558519241921"/>
    <pageSetUpPr fitToPage="1"/>
  </sheetPr>
  <dimension ref="A1:I58"/>
  <sheetViews>
    <sheetView zoomScaleNormal="100" workbookViewId="0">
      <selection activeCell="B15" sqref="B15:E15"/>
    </sheetView>
  </sheetViews>
  <sheetFormatPr defaultRowHeight="13.2"/>
  <cols>
    <col min="1" max="1" width="16" customWidth="1"/>
    <col min="2" max="2" width="28.44140625" style="4" bestFit="1" customWidth="1"/>
    <col min="3" max="3" width="17.6640625" style="4" customWidth="1"/>
    <col min="4" max="4" width="16.109375" style="4" customWidth="1"/>
    <col min="5" max="5" width="12.6640625" style="4" bestFit="1" customWidth="1"/>
    <col min="6" max="6" width="12.33203125" style="4" bestFit="1" customWidth="1"/>
    <col min="7" max="7" width="10.6640625" style="4" bestFit="1" customWidth="1"/>
    <col min="8" max="9" width="9.109375" style="4" customWidth="1"/>
  </cols>
  <sheetData>
    <row r="1" spans="1:9" ht="42" customHeight="1">
      <c r="A1" s="253"/>
      <c r="B1" s="254" t="s">
        <v>273</v>
      </c>
      <c r="C1" s="254" t="s">
        <v>179</v>
      </c>
      <c r="D1" s="254" t="s">
        <v>159</v>
      </c>
      <c r="E1" s="4" t="s">
        <v>5</v>
      </c>
      <c r="G1" s="517"/>
    </row>
    <row r="2" spans="1:9">
      <c r="A2" s="4"/>
      <c r="G2" s="311"/>
      <c r="H2" s="311"/>
      <c r="I2" s="311"/>
    </row>
    <row r="3" spans="1:9">
      <c r="A3" s="925">
        <f>'Rate Class Customer Model'!A4</f>
        <v>2011</v>
      </c>
      <c r="B3" s="926">
        <v>130762</v>
      </c>
      <c r="C3" s="926">
        <v>3941</v>
      </c>
      <c r="D3" s="927">
        <v>300</v>
      </c>
      <c r="E3" s="4">
        <f t="shared" ref="E3:E14" si="0">SUM(B3:D3)</f>
        <v>135003</v>
      </c>
      <c r="H3" s="167"/>
      <c r="I3" s="900"/>
    </row>
    <row r="4" spans="1:9">
      <c r="A4" s="925">
        <f>'Rate Class Customer Model'!A5</f>
        <v>2012</v>
      </c>
      <c r="B4" s="926">
        <v>125469</v>
      </c>
      <c r="C4" s="926">
        <v>3919</v>
      </c>
      <c r="D4" s="927">
        <v>300</v>
      </c>
      <c r="E4" s="4">
        <f t="shared" si="0"/>
        <v>129688</v>
      </c>
      <c r="H4" s="167"/>
      <c r="I4" s="900"/>
    </row>
    <row r="5" spans="1:9">
      <c r="A5" s="925">
        <f>'Rate Class Customer Model'!A6</f>
        <v>2013</v>
      </c>
      <c r="B5" s="926">
        <v>133148</v>
      </c>
      <c r="C5" s="926">
        <v>3920</v>
      </c>
      <c r="D5" s="927">
        <v>300</v>
      </c>
      <c r="E5" s="4">
        <f t="shared" si="0"/>
        <v>137368</v>
      </c>
      <c r="H5" s="167"/>
      <c r="I5" s="900"/>
    </row>
    <row r="6" spans="1:9">
      <c r="A6" s="925">
        <f>'Rate Class Customer Model'!A7</f>
        <v>2014</v>
      </c>
      <c r="B6" s="926">
        <v>131947</v>
      </c>
      <c r="C6" s="926">
        <v>3620</v>
      </c>
      <c r="D6" s="927">
        <v>302</v>
      </c>
      <c r="E6" s="4">
        <f t="shared" si="0"/>
        <v>135869</v>
      </c>
      <c r="H6" s="167"/>
      <c r="I6" s="900"/>
    </row>
    <row r="7" spans="1:9">
      <c r="A7" s="925">
        <f>'Rate Class Customer Model'!A8</f>
        <v>2015</v>
      </c>
      <c r="B7" s="926">
        <v>125734.44</v>
      </c>
      <c r="C7" s="926">
        <v>2861.6</v>
      </c>
      <c r="D7" s="927">
        <v>302</v>
      </c>
      <c r="E7" s="4">
        <f t="shared" si="0"/>
        <v>128898.04000000001</v>
      </c>
      <c r="H7" s="167"/>
      <c r="I7" s="900"/>
    </row>
    <row r="8" spans="1:9">
      <c r="A8" s="925">
        <f>'Rate Class Customer Model'!A9</f>
        <v>2016</v>
      </c>
      <c r="B8" s="926">
        <v>115476.9</v>
      </c>
      <c r="C8" s="1743">
        <v>2070.3199999999997</v>
      </c>
      <c r="D8" s="1742">
        <v>302</v>
      </c>
      <c r="E8" s="4">
        <f t="shared" si="0"/>
        <v>117849.22</v>
      </c>
      <c r="H8" s="167"/>
      <c r="I8" s="900"/>
    </row>
    <row r="9" spans="1:9">
      <c r="A9" s="1765">
        <f>'Rate Class Customer Model'!A10</f>
        <v>2017</v>
      </c>
      <c r="B9" s="1766">
        <v>111704.2</v>
      </c>
      <c r="C9" s="926">
        <v>1944.6200000000001</v>
      </c>
      <c r="D9" s="927">
        <v>275.7</v>
      </c>
      <c r="E9" s="4">
        <f t="shared" si="0"/>
        <v>113924.51999999999</v>
      </c>
      <c r="H9" s="167"/>
      <c r="I9" s="900"/>
    </row>
    <row r="10" spans="1:9">
      <c r="A10" s="925">
        <f>'Rate Class Customer Model'!A11</f>
        <v>2018</v>
      </c>
      <c r="B10" s="926">
        <v>112493.40000000001</v>
      </c>
      <c r="C10" s="926">
        <v>1938.5</v>
      </c>
      <c r="D10" s="927">
        <v>270.2</v>
      </c>
      <c r="E10" s="4">
        <f t="shared" si="0"/>
        <v>114702.1</v>
      </c>
      <c r="H10" s="167"/>
      <c r="I10" s="900"/>
    </row>
    <row r="11" spans="1:9">
      <c r="A11" s="925">
        <f>'Rate Class Customer Model'!A12</f>
        <v>2019</v>
      </c>
      <c r="B11" s="926">
        <v>109763.6</v>
      </c>
      <c r="C11" s="926">
        <v>1886.9</v>
      </c>
      <c r="D11" s="927">
        <v>272.39999999999998</v>
      </c>
      <c r="E11" s="4">
        <f t="shared" si="0"/>
        <v>111922.9</v>
      </c>
      <c r="H11" s="167"/>
      <c r="I11" s="900"/>
    </row>
    <row r="12" spans="1:9">
      <c r="A12" s="925">
        <f>'Rate Class Customer Model'!A13</f>
        <v>2020</v>
      </c>
      <c r="B12" s="926">
        <v>109147</v>
      </c>
      <c r="C12" s="926">
        <v>1743.9</v>
      </c>
      <c r="D12" s="927">
        <v>268.5</v>
      </c>
      <c r="E12" s="4">
        <f t="shared" si="0"/>
        <v>111159.4</v>
      </c>
      <c r="F12" s="23"/>
      <c r="H12" s="167"/>
      <c r="I12" s="900"/>
    </row>
    <row r="13" spans="1:9">
      <c r="A13" s="1740">
        <f>'[22]Rate Class Customer Model'!A14</f>
        <v>2021</v>
      </c>
      <c r="B13" s="1743">
        <v>110834.3</v>
      </c>
      <c r="C13" s="1741">
        <v>1745.6</v>
      </c>
      <c r="D13" s="1742">
        <v>246.13055555555553</v>
      </c>
      <c r="E13" s="4">
        <f t="shared" si="0"/>
        <v>112826.03055555557</v>
      </c>
      <c r="H13" s="167"/>
      <c r="I13" s="900"/>
    </row>
    <row r="14" spans="1:9">
      <c r="A14" s="1467" t="s">
        <v>652</v>
      </c>
      <c r="B14" s="1751">
        <f>B31*'Rate Class Energy Model '!G14</f>
        <v>105773.85165015483</v>
      </c>
      <c r="C14" s="1752">
        <f>C13</f>
        <v>1745.6</v>
      </c>
      <c r="D14" s="1751">
        <f>D31*'Rate Class Energy Model '!I14</f>
        <v>238.05455917504869</v>
      </c>
      <c r="E14" s="4">
        <f t="shared" si="0"/>
        <v>107757.50620932988</v>
      </c>
      <c r="H14" s="167"/>
      <c r="I14" s="900"/>
    </row>
    <row r="15" spans="1:9">
      <c r="A15" s="7"/>
      <c r="B15" s="943"/>
      <c r="C15" s="943"/>
      <c r="D15" s="943"/>
      <c r="E15" s="943"/>
      <c r="H15" s="167"/>
      <c r="I15" s="900"/>
    </row>
    <row r="16" spans="1:9">
      <c r="A16" s="7"/>
      <c r="B16" s="900"/>
      <c r="C16" s="943"/>
      <c r="D16" s="943"/>
      <c r="H16" s="167"/>
      <c r="I16" s="900"/>
    </row>
    <row r="17" spans="1:9">
      <c r="H17" s="167"/>
      <c r="I17" s="900"/>
    </row>
    <row r="18" spans="1:9">
      <c r="H18" s="167"/>
      <c r="I18" s="900"/>
    </row>
    <row r="19" spans="1:9">
      <c r="A19" s="6" t="s">
        <v>49</v>
      </c>
      <c r="B19" s="928" t="s">
        <v>273</v>
      </c>
      <c r="C19" s="928" t="s">
        <v>179</v>
      </c>
      <c r="D19" s="928" t="s">
        <v>159</v>
      </c>
      <c r="H19" s="167"/>
      <c r="I19" s="900"/>
    </row>
    <row r="20" spans="1:9">
      <c r="A20" s="909">
        <f t="shared" ref="A20:A31" si="1">A3</f>
        <v>2011</v>
      </c>
      <c r="B20" s="11">
        <f>B3/'Rate Class Energy Model '!G3</f>
        <v>3.0387713029111337E-3</v>
      </c>
      <c r="C20" s="11">
        <f>C3/'Rate Class Energy Model '!H3</f>
        <v>2.71068882172733E-3</v>
      </c>
      <c r="D20" s="11">
        <f>D3/'Rate Class Energy Model '!I3</f>
        <v>2.77105540263435E-3</v>
      </c>
      <c r="H20" s="167"/>
      <c r="I20" s="900"/>
    </row>
    <row r="21" spans="1:9">
      <c r="A21" s="909">
        <f t="shared" si="1"/>
        <v>2012</v>
      </c>
      <c r="B21" s="11">
        <f>B4/'Rate Class Energy Model '!G4</f>
        <v>2.9487428636011418E-3</v>
      </c>
      <c r="C21" s="11">
        <f>C4/'Rate Class Energy Model '!H4</f>
        <v>2.6956792093591449E-3</v>
      </c>
      <c r="D21" s="11">
        <f>D4/'Rate Class Energy Model '!I4</f>
        <v>2.7709530231097481E-3</v>
      </c>
      <c r="H21" s="167"/>
      <c r="I21" s="900"/>
    </row>
    <row r="22" spans="1:9">
      <c r="A22" s="909">
        <f t="shared" si="1"/>
        <v>2013</v>
      </c>
      <c r="B22" s="11">
        <f>B5/'Rate Class Energy Model '!G5</f>
        <v>3.1516928158527111E-3</v>
      </c>
      <c r="C22" s="11">
        <f>C5/'Rate Class Energy Model '!H5</f>
        <v>2.7084860599335455E-3</v>
      </c>
      <c r="D22" s="11">
        <f>D5/'Rate Class Energy Model '!I5</f>
        <v>2.7705691672592608E-3</v>
      </c>
      <c r="H22" s="167"/>
      <c r="I22" s="900"/>
    </row>
    <row r="23" spans="1:9">
      <c r="A23" s="909">
        <f t="shared" si="1"/>
        <v>2014</v>
      </c>
      <c r="B23" s="11">
        <f>B6/'Rate Class Energy Model '!G6</f>
        <v>3.0984809090724643E-3</v>
      </c>
      <c r="C23" s="11">
        <f>C6/'Rate Class Energy Model '!H6</f>
        <v>2.739301024211032E-3</v>
      </c>
      <c r="D23" s="11">
        <f>D6/'Rate Class Energy Model '!I6</f>
        <v>2.7629869535781594E-3</v>
      </c>
      <c r="H23" s="167"/>
      <c r="I23" s="900"/>
    </row>
    <row r="24" spans="1:9">
      <c r="A24" s="909">
        <f t="shared" si="1"/>
        <v>2015</v>
      </c>
      <c r="B24" s="11">
        <f>B7/'Rate Class Energy Model '!G7</f>
        <v>3.0728335547147048E-3</v>
      </c>
      <c r="C24" s="11">
        <f>C7/'Rate Class Energy Model '!H7</f>
        <v>2.7184001185547716E-3</v>
      </c>
      <c r="D24" s="11">
        <f>D7/'Rate Class Energy Model '!I7</f>
        <v>2.757940494237548E-3</v>
      </c>
      <c r="F24" s="11"/>
      <c r="H24" s="167"/>
      <c r="I24" s="900"/>
    </row>
    <row r="25" spans="1:9">
      <c r="A25" s="909">
        <f t="shared" si="1"/>
        <v>2016</v>
      </c>
      <c r="B25" s="11">
        <f>B8/'Rate Class Energy Model '!G8</f>
        <v>2.9267245638745255E-3</v>
      </c>
      <c r="C25" s="11">
        <f>C8/'Rate Class Energy Model '!H8</f>
        <v>2.6777450404703823E-3</v>
      </c>
      <c r="D25" s="11">
        <f>D8/'Rate Class Energy Model '!I8</f>
        <v>2.8279536665074771E-3</v>
      </c>
      <c r="F25" s="11"/>
      <c r="H25" s="167"/>
      <c r="I25" s="900"/>
    </row>
    <row r="26" spans="1:9">
      <c r="A26" s="909">
        <f t="shared" si="1"/>
        <v>2017</v>
      </c>
      <c r="B26" s="11">
        <f>B9/'Rate Class Energy Model '!G9</f>
        <v>2.9175735748084488E-3</v>
      </c>
      <c r="C26" s="11">
        <f>C9/'Rate Class Energy Model '!H9</f>
        <v>2.7134106352993707E-3</v>
      </c>
      <c r="D26" s="11">
        <f>D9/'Rate Class Energy Model '!I9</f>
        <v>2.7595940183772747E-3</v>
      </c>
      <c r="F26" s="11"/>
      <c r="H26" s="167"/>
      <c r="I26" s="900"/>
    </row>
    <row r="27" spans="1:9">
      <c r="A27" s="909">
        <f t="shared" si="1"/>
        <v>2018</v>
      </c>
      <c r="B27" s="11">
        <f>B10/'Rate Class Energy Model '!G10</f>
        <v>2.9836038325124054E-3</v>
      </c>
      <c r="C27" s="11">
        <f>C10/'Rate Class Energy Model '!H10</f>
        <v>2.7131294655136067E-3</v>
      </c>
      <c r="D27" s="11">
        <f>D10/'Rate Class Energy Model '!I10</f>
        <v>2.7740988285541216E-3</v>
      </c>
      <c r="F27" s="11"/>
      <c r="H27" s="167"/>
      <c r="I27" s="900"/>
    </row>
    <row r="28" spans="1:9">
      <c r="A28" s="909">
        <f t="shared" si="1"/>
        <v>2019</v>
      </c>
      <c r="B28" s="11">
        <f>B11/'Rate Class Energy Model '!G11</f>
        <v>2.9662630265305636E-3</v>
      </c>
      <c r="C28" s="11">
        <f>C11/'Rate Class Energy Model '!H11</f>
        <v>2.7268799054284694E-3</v>
      </c>
      <c r="D28" s="11">
        <f>D11/'Rate Class Energy Model '!I11</f>
        <v>2.7772113698462538E-3</v>
      </c>
      <c r="F28" s="11"/>
      <c r="H28" s="167"/>
      <c r="I28" s="900"/>
    </row>
    <row r="29" spans="1:9">
      <c r="A29" s="1364">
        <f t="shared" si="1"/>
        <v>2020</v>
      </c>
      <c r="B29" s="11">
        <f>B12/'Rate Class Energy Model '!G12</f>
        <v>3.0227957466668572E-3</v>
      </c>
      <c r="C29" s="1744">
        <f>C12/'Rate Class Energy Model '!H12</f>
        <v>2.7047483152515296E-3</v>
      </c>
      <c r="D29" s="1744">
        <f>D12/'Rate Class Energy Model '!I12</f>
        <v>2.7777777777777779E-3</v>
      </c>
      <c r="E29"/>
      <c r="H29" s="167"/>
      <c r="I29" s="900"/>
    </row>
    <row r="30" spans="1:9">
      <c r="A30" s="1745">
        <f t="shared" si="1"/>
        <v>2021</v>
      </c>
      <c r="B30" s="1746">
        <f>B13/'Rate Class Energy Model '!G13</f>
        <v>2.9296002322654916E-3</v>
      </c>
      <c r="C30" s="1746">
        <f>C13/'Rate Class Energy Model '!H13</f>
        <v>2.7122604863920844E-3</v>
      </c>
      <c r="D30" s="1746">
        <f>D13/'Rate Class Energy Model '!I13</f>
        <v>2.7777777777777775E-3</v>
      </c>
      <c r="E30"/>
      <c r="H30" s="167"/>
      <c r="I30" s="900"/>
    </row>
    <row r="31" spans="1:9">
      <c r="A31" s="1468" t="str">
        <f t="shared" si="1"/>
        <v>2022 Test</v>
      </c>
      <c r="B31" s="1199">
        <f>B33</f>
        <v>2.9639672825567528E-3</v>
      </c>
      <c r="C31" s="1356">
        <f>C14/'Rate Class Energy Model '!H14</f>
        <v>2.7122604863920844E-3</v>
      </c>
      <c r="D31" s="1199">
        <f>D33</f>
        <v>2.7777777777777779E-3</v>
      </c>
      <c r="E31"/>
      <c r="H31" s="167"/>
      <c r="I31" s="900"/>
    </row>
    <row r="32" spans="1:9">
      <c r="E32"/>
      <c r="H32" s="167"/>
      <c r="I32" s="900"/>
    </row>
    <row r="33" spans="1:9">
      <c r="A33" s="30" t="s">
        <v>425</v>
      </c>
      <c r="B33" s="1092">
        <f>B37</f>
        <v>2.9639672825567528E-3</v>
      </c>
      <c r="C33" s="1039" t="s">
        <v>450</v>
      </c>
      <c r="D33" s="1039">
        <f>D29</f>
        <v>2.7777777777777779E-3</v>
      </c>
      <c r="E33"/>
      <c r="H33" s="167"/>
      <c r="I33" s="900"/>
    </row>
    <row r="34" spans="1:9">
      <c r="B34" s="430" t="str">
        <f>E37</f>
        <v>5 year</v>
      </c>
      <c r="C34" s="1032"/>
      <c r="D34" s="1031" t="s">
        <v>415</v>
      </c>
      <c r="H34" s="167"/>
      <c r="I34" s="900"/>
    </row>
    <row r="35" spans="1:9">
      <c r="B35" s="430"/>
      <c r="C35" s="430"/>
      <c r="D35" s="430"/>
      <c r="F35" s="216"/>
      <c r="H35" s="167"/>
      <c r="I35" s="900"/>
    </row>
    <row r="36" spans="1:9">
      <c r="A36" s="30" t="s">
        <v>426</v>
      </c>
      <c r="B36" s="1030">
        <f>AVERAGE(B20:B30)</f>
        <v>3.005189311164586E-3</v>
      </c>
      <c r="C36" s="1030">
        <f t="shared" ref="C36:D36" si="2">AVERAGE(C20:C30)</f>
        <v>2.7109753711037519E-3</v>
      </c>
      <c r="D36" s="1030">
        <f t="shared" si="2"/>
        <v>2.7752653163327042E-3</v>
      </c>
      <c r="E36" s="1046" t="s">
        <v>749</v>
      </c>
    </row>
    <row r="37" spans="1:9">
      <c r="B37" s="911">
        <f>AVERAGE(B26:B30)</f>
        <v>2.9639672825567528E-3</v>
      </c>
      <c r="C37" s="911">
        <f t="shared" ref="C37:D37" si="3">AVERAGE(C26:C30)</f>
        <v>2.7140857615770122E-3</v>
      </c>
      <c r="D37" s="911">
        <f t="shared" si="3"/>
        <v>2.7732919544666409E-3</v>
      </c>
      <c r="E37" t="s">
        <v>163</v>
      </c>
    </row>
    <row r="38" spans="1:9">
      <c r="B38" s="1030">
        <f>B30</f>
        <v>2.9296002322654916E-3</v>
      </c>
      <c r="C38" s="1030">
        <f t="shared" ref="C38:D38" si="4">C30</f>
        <v>2.7122604863920844E-3</v>
      </c>
      <c r="D38" s="1747">
        <f t="shared" si="4"/>
        <v>2.7777777777777775E-3</v>
      </c>
      <c r="E38" s="1476" t="s">
        <v>754</v>
      </c>
      <c r="F38" s="311"/>
    </row>
    <row r="40" spans="1:9">
      <c r="A40" s="6"/>
    </row>
    <row r="57" spans="2:4">
      <c r="B57" s="5"/>
      <c r="C57" s="5"/>
      <c r="D57" s="5"/>
    </row>
    <row r="58" spans="2:4">
      <c r="B58" s="5"/>
      <c r="C58" s="5"/>
      <c r="D58" s="5"/>
    </row>
  </sheetData>
  <phoneticPr fontId="0" type="noConversion"/>
  <pageMargins left="0.38" right="0.75" top="0.73" bottom="0.74" header="0.5" footer="0.5"/>
  <pageSetup orientation="landscape" r:id="rId1"/>
  <headerFooter alignWithMargins="0">
    <oddFooter>&amp;L&amp;Z&amp;F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39997558519241921"/>
    <pageSetUpPr fitToPage="1"/>
  </sheetPr>
  <dimension ref="A1:AB39"/>
  <sheetViews>
    <sheetView topLeftCell="D16" zoomScale="120" zoomScaleNormal="120" workbookViewId="0">
      <selection activeCell="C5" sqref="C5:K5"/>
    </sheetView>
  </sheetViews>
  <sheetFormatPr defaultRowHeight="13.2"/>
  <cols>
    <col min="1" max="1" width="6.88671875" style="32" customWidth="1"/>
    <col min="2" max="2" width="6.44140625" style="32" hidden="1" customWidth="1"/>
    <col min="3" max="3" width="5.5546875" style="32" customWidth="1"/>
    <col min="4" max="4" width="6.109375" style="35" bestFit="1" customWidth="1"/>
    <col min="5" max="5" width="6.6640625" style="35" customWidth="1"/>
    <col min="6" max="6" width="6.44140625" style="32" customWidth="1"/>
    <col min="7" max="7" width="6.109375" style="32" customWidth="1"/>
    <col min="8" max="9" width="5.6640625" style="32" customWidth="1"/>
    <col min="10" max="12" width="6.33203125" style="32" customWidth="1"/>
    <col min="13" max="13" width="6" style="32" customWidth="1"/>
    <col min="14" max="14" width="6.33203125" style="32" customWidth="1"/>
    <col min="15" max="15" width="5.88671875" style="32" customWidth="1"/>
    <col min="16" max="16" width="5.5546875" style="32" customWidth="1"/>
    <col min="17" max="18" width="5.6640625" style="32" customWidth="1"/>
    <col min="19" max="19" width="6" style="32" customWidth="1"/>
    <col min="20" max="20" width="6.33203125" style="32" customWidth="1"/>
    <col min="21" max="22" width="6.109375" style="32" customWidth="1"/>
    <col min="23" max="23" width="6.77734375" style="32" customWidth="1"/>
    <col min="24" max="24" width="11.44140625" style="32" customWidth="1"/>
    <col min="25" max="25" width="10.33203125" style="32" bestFit="1" customWidth="1"/>
    <col min="26" max="260" width="9.109375" style="32"/>
    <col min="261" max="261" width="9.33203125" style="32" customWidth="1"/>
    <col min="262" max="262" width="9.5546875" style="32" customWidth="1"/>
    <col min="263" max="276" width="9.109375" style="32"/>
    <col min="277" max="277" width="9.88671875" style="32" bestFit="1" customWidth="1"/>
    <col min="278" max="278" width="11" style="32" bestFit="1" customWidth="1"/>
    <col min="279" max="516" width="9.109375" style="32"/>
    <col min="517" max="517" width="9.33203125" style="32" customWidth="1"/>
    <col min="518" max="518" width="9.5546875" style="32" customWidth="1"/>
    <col min="519" max="532" width="9.109375" style="32"/>
    <col min="533" max="533" width="9.88671875" style="32" bestFit="1" customWidth="1"/>
    <col min="534" max="534" width="11" style="32" bestFit="1" customWidth="1"/>
    <col min="535" max="772" width="9.109375" style="32"/>
    <col min="773" max="773" width="9.33203125" style="32" customWidth="1"/>
    <col min="774" max="774" width="9.5546875" style="32" customWidth="1"/>
    <col min="775" max="788" width="9.109375" style="32"/>
    <col min="789" max="789" width="9.88671875" style="32" bestFit="1" customWidth="1"/>
    <col min="790" max="790" width="11" style="32" bestFit="1" customWidth="1"/>
    <col min="791" max="1028" width="9.109375" style="32"/>
    <col min="1029" max="1029" width="9.33203125" style="32" customWidth="1"/>
    <col min="1030" max="1030" width="9.5546875" style="32" customWidth="1"/>
    <col min="1031" max="1044" width="9.109375" style="32"/>
    <col min="1045" max="1045" width="9.88671875" style="32" bestFit="1" customWidth="1"/>
    <col min="1046" max="1046" width="11" style="32" bestFit="1" customWidth="1"/>
    <col min="1047" max="1284" width="9.109375" style="32"/>
    <col min="1285" max="1285" width="9.33203125" style="32" customWidth="1"/>
    <col min="1286" max="1286" width="9.5546875" style="32" customWidth="1"/>
    <col min="1287" max="1300" width="9.109375" style="32"/>
    <col min="1301" max="1301" width="9.88671875" style="32" bestFit="1" customWidth="1"/>
    <col min="1302" max="1302" width="11" style="32" bestFit="1" customWidth="1"/>
    <col min="1303" max="1540" width="9.109375" style="32"/>
    <col min="1541" max="1541" width="9.33203125" style="32" customWidth="1"/>
    <col min="1542" max="1542" width="9.5546875" style="32" customWidth="1"/>
    <col min="1543" max="1556" width="9.109375" style="32"/>
    <col min="1557" max="1557" width="9.88671875" style="32" bestFit="1" customWidth="1"/>
    <col min="1558" max="1558" width="11" style="32" bestFit="1" customWidth="1"/>
    <col min="1559" max="1796" width="9.109375" style="32"/>
    <col min="1797" max="1797" width="9.33203125" style="32" customWidth="1"/>
    <col min="1798" max="1798" width="9.5546875" style="32" customWidth="1"/>
    <col min="1799" max="1812" width="9.109375" style="32"/>
    <col min="1813" max="1813" width="9.88671875" style="32" bestFit="1" customWidth="1"/>
    <col min="1814" max="1814" width="11" style="32" bestFit="1" customWidth="1"/>
    <col min="1815" max="2052" width="9.109375" style="32"/>
    <col min="2053" max="2053" width="9.33203125" style="32" customWidth="1"/>
    <col min="2054" max="2054" width="9.5546875" style="32" customWidth="1"/>
    <col min="2055" max="2068" width="9.109375" style="32"/>
    <col min="2069" max="2069" width="9.88671875" style="32" bestFit="1" customWidth="1"/>
    <col min="2070" max="2070" width="11" style="32" bestFit="1" customWidth="1"/>
    <col min="2071" max="2308" width="9.109375" style="32"/>
    <col min="2309" max="2309" width="9.33203125" style="32" customWidth="1"/>
    <col min="2310" max="2310" width="9.5546875" style="32" customWidth="1"/>
    <col min="2311" max="2324" width="9.109375" style="32"/>
    <col min="2325" max="2325" width="9.88671875" style="32" bestFit="1" customWidth="1"/>
    <col min="2326" max="2326" width="11" style="32" bestFit="1" customWidth="1"/>
    <col min="2327" max="2564" width="9.109375" style="32"/>
    <col min="2565" max="2565" width="9.33203125" style="32" customWidth="1"/>
    <col min="2566" max="2566" width="9.5546875" style="32" customWidth="1"/>
    <col min="2567" max="2580" width="9.109375" style="32"/>
    <col min="2581" max="2581" width="9.88671875" style="32" bestFit="1" customWidth="1"/>
    <col min="2582" max="2582" width="11" style="32" bestFit="1" customWidth="1"/>
    <col min="2583" max="2820" width="9.109375" style="32"/>
    <col min="2821" max="2821" width="9.33203125" style="32" customWidth="1"/>
    <col min="2822" max="2822" width="9.5546875" style="32" customWidth="1"/>
    <col min="2823" max="2836" width="9.109375" style="32"/>
    <col min="2837" max="2837" width="9.88671875" style="32" bestFit="1" customWidth="1"/>
    <col min="2838" max="2838" width="11" style="32" bestFit="1" customWidth="1"/>
    <col min="2839" max="3076" width="9.109375" style="32"/>
    <col min="3077" max="3077" width="9.33203125" style="32" customWidth="1"/>
    <col min="3078" max="3078" width="9.5546875" style="32" customWidth="1"/>
    <col min="3079" max="3092" width="9.109375" style="32"/>
    <col min="3093" max="3093" width="9.88671875" style="32" bestFit="1" customWidth="1"/>
    <col min="3094" max="3094" width="11" style="32" bestFit="1" customWidth="1"/>
    <col min="3095" max="3332" width="9.109375" style="32"/>
    <col min="3333" max="3333" width="9.33203125" style="32" customWidth="1"/>
    <col min="3334" max="3334" width="9.5546875" style="32" customWidth="1"/>
    <col min="3335" max="3348" width="9.109375" style="32"/>
    <col min="3349" max="3349" width="9.88671875" style="32" bestFit="1" customWidth="1"/>
    <col min="3350" max="3350" width="11" style="32" bestFit="1" customWidth="1"/>
    <col min="3351" max="3588" width="9.109375" style="32"/>
    <col min="3589" max="3589" width="9.33203125" style="32" customWidth="1"/>
    <col min="3590" max="3590" width="9.5546875" style="32" customWidth="1"/>
    <col min="3591" max="3604" width="9.109375" style="32"/>
    <col min="3605" max="3605" width="9.88671875" style="32" bestFit="1" customWidth="1"/>
    <col min="3606" max="3606" width="11" style="32" bestFit="1" customWidth="1"/>
    <col min="3607" max="3844" width="9.109375" style="32"/>
    <col min="3845" max="3845" width="9.33203125" style="32" customWidth="1"/>
    <col min="3846" max="3846" width="9.5546875" style="32" customWidth="1"/>
    <col min="3847" max="3860" width="9.109375" style="32"/>
    <col min="3861" max="3861" width="9.88671875" style="32" bestFit="1" customWidth="1"/>
    <col min="3862" max="3862" width="11" style="32" bestFit="1" customWidth="1"/>
    <col min="3863" max="4100" width="9.109375" style="32"/>
    <col min="4101" max="4101" width="9.33203125" style="32" customWidth="1"/>
    <col min="4102" max="4102" width="9.5546875" style="32" customWidth="1"/>
    <col min="4103" max="4116" width="9.109375" style="32"/>
    <col min="4117" max="4117" width="9.88671875" style="32" bestFit="1" customWidth="1"/>
    <col min="4118" max="4118" width="11" style="32" bestFit="1" customWidth="1"/>
    <col min="4119" max="4356" width="9.109375" style="32"/>
    <col min="4357" max="4357" width="9.33203125" style="32" customWidth="1"/>
    <col min="4358" max="4358" width="9.5546875" style="32" customWidth="1"/>
    <col min="4359" max="4372" width="9.109375" style="32"/>
    <col min="4373" max="4373" width="9.88671875" style="32" bestFit="1" customWidth="1"/>
    <col min="4374" max="4374" width="11" style="32" bestFit="1" customWidth="1"/>
    <col min="4375" max="4612" width="9.109375" style="32"/>
    <col min="4613" max="4613" width="9.33203125" style="32" customWidth="1"/>
    <col min="4614" max="4614" width="9.5546875" style="32" customWidth="1"/>
    <col min="4615" max="4628" width="9.109375" style="32"/>
    <col min="4629" max="4629" width="9.88671875" style="32" bestFit="1" customWidth="1"/>
    <col min="4630" max="4630" width="11" style="32" bestFit="1" customWidth="1"/>
    <col min="4631" max="4868" width="9.109375" style="32"/>
    <col min="4869" max="4869" width="9.33203125" style="32" customWidth="1"/>
    <col min="4870" max="4870" width="9.5546875" style="32" customWidth="1"/>
    <col min="4871" max="4884" width="9.109375" style="32"/>
    <col min="4885" max="4885" width="9.88671875" style="32" bestFit="1" customWidth="1"/>
    <col min="4886" max="4886" width="11" style="32" bestFit="1" customWidth="1"/>
    <col min="4887" max="5124" width="9.109375" style="32"/>
    <col min="5125" max="5125" width="9.33203125" style="32" customWidth="1"/>
    <col min="5126" max="5126" width="9.5546875" style="32" customWidth="1"/>
    <col min="5127" max="5140" width="9.109375" style="32"/>
    <col min="5141" max="5141" width="9.88671875" style="32" bestFit="1" customWidth="1"/>
    <col min="5142" max="5142" width="11" style="32" bestFit="1" customWidth="1"/>
    <col min="5143" max="5380" width="9.109375" style="32"/>
    <col min="5381" max="5381" width="9.33203125" style="32" customWidth="1"/>
    <col min="5382" max="5382" width="9.5546875" style="32" customWidth="1"/>
    <col min="5383" max="5396" width="9.109375" style="32"/>
    <col min="5397" max="5397" width="9.88671875" style="32" bestFit="1" customWidth="1"/>
    <col min="5398" max="5398" width="11" style="32" bestFit="1" customWidth="1"/>
    <col min="5399" max="5636" width="9.109375" style="32"/>
    <col min="5637" max="5637" width="9.33203125" style="32" customWidth="1"/>
    <col min="5638" max="5638" width="9.5546875" style="32" customWidth="1"/>
    <col min="5639" max="5652" width="9.109375" style="32"/>
    <col min="5653" max="5653" width="9.88671875" style="32" bestFit="1" customWidth="1"/>
    <col min="5654" max="5654" width="11" style="32" bestFit="1" customWidth="1"/>
    <col min="5655" max="5892" width="9.109375" style="32"/>
    <col min="5893" max="5893" width="9.33203125" style="32" customWidth="1"/>
    <col min="5894" max="5894" width="9.5546875" style="32" customWidth="1"/>
    <col min="5895" max="5908" width="9.109375" style="32"/>
    <col min="5909" max="5909" width="9.88671875" style="32" bestFit="1" customWidth="1"/>
    <col min="5910" max="5910" width="11" style="32" bestFit="1" customWidth="1"/>
    <col min="5911" max="6148" width="9.109375" style="32"/>
    <col min="6149" max="6149" width="9.33203125" style="32" customWidth="1"/>
    <col min="6150" max="6150" width="9.5546875" style="32" customWidth="1"/>
    <col min="6151" max="6164" width="9.109375" style="32"/>
    <col min="6165" max="6165" width="9.88671875" style="32" bestFit="1" customWidth="1"/>
    <col min="6166" max="6166" width="11" style="32" bestFit="1" customWidth="1"/>
    <col min="6167" max="6404" width="9.109375" style="32"/>
    <col min="6405" max="6405" width="9.33203125" style="32" customWidth="1"/>
    <col min="6406" max="6406" width="9.5546875" style="32" customWidth="1"/>
    <col min="6407" max="6420" width="9.109375" style="32"/>
    <col min="6421" max="6421" width="9.88671875" style="32" bestFit="1" customWidth="1"/>
    <col min="6422" max="6422" width="11" style="32" bestFit="1" customWidth="1"/>
    <col min="6423" max="6660" width="9.109375" style="32"/>
    <col min="6661" max="6661" width="9.33203125" style="32" customWidth="1"/>
    <col min="6662" max="6662" width="9.5546875" style="32" customWidth="1"/>
    <col min="6663" max="6676" width="9.109375" style="32"/>
    <col min="6677" max="6677" width="9.88671875" style="32" bestFit="1" customWidth="1"/>
    <col min="6678" max="6678" width="11" style="32" bestFit="1" customWidth="1"/>
    <col min="6679" max="6916" width="9.109375" style="32"/>
    <col min="6917" max="6917" width="9.33203125" style="32" customWidth="1"/>
    <col min="6918" max="6918" width="9.5546875" style="32" customWidth="1"/>
    <col min="6919" max="6932" width="9.109375" style="32"/>
    <col min="6933" max="6933" width="9.88671875" style="32" bestFit="1" customWidth="1"/>
    <col min="6934" max="6934" width="11" style="32" bestFit="1" customWidth="1"/>
    <col min="6935" max="7172" width="9.109375" style="32"/>
    <col min="7173" max="7173" width="9.33203125" style="32" customWidth="1"/>
    <col min="7174" max="7174" width="9.5546875" style="32" customWidth="1"/>
    <col min="7175" max="7188" width="9.109375" style="32"/>
    <col min="7189" max="7189" width="9.88671875" style="32" bestFit="1" customWidth="1"/>
    <col min="7190" max="7190" width="11" style="32" bestFit="1" customWidth="1"/>
    <col min="7191" max="7428" width="9.109375" style="32"/>
    <col min="7429" max="7429" width="9.33203125" style="32" customWidth="1"/>
    <col min="7430" max="7430" width="9.5546875" style="32" customWidth="1"/>
    <col min="7431" max="7444" width="9.109375" style="32"/>
    <col min="7445" max="7445" width="9.88671875" style="32" bestFit="1" customWidth="1"/>
    <col min="7446" max="7446" width="11" style="32" bestFit="1" customWidth="1"/>
    <col min="7447" max="7684" width="9.109375" style="32"/>
    <col min="7685" max="7685" width="9.33203125" style="32" customWidth="1"/>
    <col min="7686" max="7686" width="9.5546875" style="32" customWidth="1"/>
    <col min="7687" max="7700" width="9.109375" style="32"/>
    <col min="7701" max="7701" width="9.88671875" style="32" bestFit="1" customWidth="1"/>
    <col min="7702" max="7702" width="11" style="32" bestFit="1" customWidth="1"/>
    <col min="7703" max="7940" width="9.109375" style="32"/>
    <col min="7941" max="7941" width="9.33203125" style="32" customWidth="1"/>
    <col min="7942" max="7942" width="9.5546875" style="32" customWidth="1"/>
    <col min="7943" max="7956" width="9.109375" style="32"/>
    <col min="7957" max="7957" width="9.88671875" style="32" bestFit="1" customWidth="1"/>
    <col min="7958" max="7958" width="11" style="32" bestFit="1" customWidth="1"/>
    <col min="7959" max="8196" width="9.109375" style="32"/>
    <col min="8197" max="8197" width="9.33203125" style="32" customWidth="1"/>
    <col min="8198" max="8198" width="9.5546875" style="32" customWidth="1"/>
    <col min="8199" max="8212" width="9.109375" style="32"/>
    <col min="8213" max="8213" width="9.88671875" style="32" bestFit="1" customWidth="1"/>
    <col min="8214" max="8214" width="11" style="32" bestFit="1" customWidth="1"/>
    <col min="8215" max="8452" width="9.109375" style="32"/>
    <col min="8453" max="8453" width="9.33203125" style="32" customWidth="1"/>
    <col min="8454" max="8454" width="9.5546875" style="32" customWidth="1"/>
    <col min="8455" max="8468" width="9.109375" style="32"/>
    <col min="8469" max="8469" width="9.88671875" style="32" bestFit="1" customWidth="1"/>
    <col min="8470" max="8470" width="11" style="32" bestFit="1" customWidth="1"/>
    <col min="8471" max="8708" width="9.109375" style="32"/>
    <col min="8709" max="8709" width="9.33203125" style="32" customWidth="1"/>
    <col min="8710" max="8710" width="9.5546875" style="32" customWidth="1"/>
    <col min="8711" max="8724" width="9.109375" style="32"/>
    <col min="8725" max="8725" width="9.88671875" style="32" bestFit="1" customWidth="1"/>
    <col min="8726" max="8726" width="11" style="32" bestFit="1" customWidth="1"/>
    <col min="8727" max="8964" width="9.109375" style="32"/>
    <col min="8965" max="8965" width="9.33203125" style="32" customWidth="1"/>
    <col min="8966" max="8966" width="9.5546875" style="32" customWidth="1"/>
    <col min="8967" max="8980" width="9.109375" style="32"/>
    <col min="8981" max="8981" width="9.88671875" style="32" bestFit="1" customWidth="1"/>
    <col min="8982" max="8982" width="11" style="32" bestFit="1" customWidth="1"/>
    <col min="8983" max="9220" width="9.109375" style="32"/>
    <col min="9221" max="9221" width="9.33203125" style="32" customWidth="1"/>
    <col min="9222" max="9222" width="9.5546875" style="32" customWidth="1"/>
    <col min="9223" max="9236" width="9.109375" style="32"/>
    <col min="9237" max="9237" width="9.88671875" style="32" bestFit="1" customWidth="1"/>
    <col min="9238" max="9238" width="11" style="32" bestFit="1" customWidth="1"/>
    <col min="9239" max="9476" width="9.109375" style="32"/>
    <col min="9477" max="9477" width="9.33203125" style="32" customWidth="1"/>
    <col min="9478" max="9478" width="9.5546875" style="32" customWidth="1"/>
    <col min="9479" max="9492" width="9.109375" style="32"/>
    <col min="9493" max="9493" width="9.88671875" style="32" bestFit="1" customWidth="1"/>
    <col min="9494" max="9494" width="11" style="32" bestFit="1" customWidth="1"/>
    <col min="9495" max="9732" width="9.109375" style="32"/>
    <col min="9733" max="9733" width="9.33203125" style="32" customWidth="1"/>
    <col min="9734" max="9734" width="9.5546875" style="32" customWidth="1"/>
    <col min="9735" max="9748" width="9.109375" style="32"/>
    <col min="9749" max="9749" width="9.88671875" style="32" bestFit="1" customWidth="1"/>
    <col min="9750" max="9750" width="11" style="32" bestFit="1" customWidth="1"/>
    <col min="9751" max="9988" width="9.109375" style="32"/>
    <col min="9989" max="9989" width="9.33203125" style="32" customWidth="1"/>
    <col min="9990" max="9990" width="9.5546875" style="32" customWidth="1"/>
    <col min="9991" max="10004" width="9.109375" style="32"/>
    <col min="10005" max="10005" width="9.88671875" style="32" bestFit="1" customWidth="1"/>
    <col min="10006" max="10006" width="11" style="32" bestFit="1" customWidth="1"/>
    <col min="10007" max="10244" width="9.109375" style="32"/>
    <col min="10245" max="10245" width="9.33203125" style="32" customWidth="1"/>
    <col min="10246" max="10246" width="9.5546875" style="32" customWidth="1"/>
    <col min="10247" max="10260" width="9.109375" style="32"/>
    <col min="10261" max="10261" width="9.88671875" style="32" bestFit="1" customWidth="1"/>
    <col min="10262" max="10262" width="11" style="32" bestFit="1" customWidth="1"/>
    <col min="10263" max="10500" width="9.109375" style="32"/>
    <col min="10501" max="10501" width="9.33203125" style="32" customWidth="1"/>
    <col min="10502" max="10502" width="9.5546875" style="32" customWidth="1"/>
    <col min="10503" max="10516" width="9.109375" style="32"/>
    <col min="10517" max="10517" width="9.88671875" style="32" bestFit="1" customWidth="1"/>
    <col min="10518" max="10518" width="11" style="32" bestFit="1" customWidth="1"/>
    <col min="10519" max="10756" width="9.109375" style="32"/>
    <col min="10757" max="10757" width="9.33203125" style="32" customWidth="1"/>
    <col min="10758" max="10758" width="9.5546875" style="32" customWidth="1"/>
    <col min="10759" max="10772" width="9.109375" style="32"/>
    <col min="10773" max="10773" width="9.88671875" style="32" bestFit="1" customWidth="1"/>
    <col min="10774" max="10774" width="11" style="32" bestFit="1" customWidth="1"/>
    <col min="10775" max="11012" width="9.109375" style="32"/>
    <col min="11013" max="11013" width="9.33203125" style="32" customWidth="1"/>
    <col min="11014" max="11014" width="9.5546875" style="32" customWidth="1"/>
    <col min="11015" max="11028" width="9.109375" style="32"/>
    <col min="11029" max="11029" width="9.88671875" style="32" bestFit="1" customWidth="1"/>
    <col min="11030" max="11030" width="11" style="32" bestFit="1" customWidth="1"/>
    <col min="11031" max="11268" width="9.109375" style="32"/>
    <col min="11269" max="11269" width="9.33203125" style="32" customWidth="1"/>
    <col min="11270" max="11270" width="9.5546875" style="32" customWidth="1"/>
    <col min="11271" max="11284" width="9.109375" style="32"/>
    <col min="11285" max="11285" width="9.88671875" style="32" bestFit="1" customWidth="1"/>
    <col min="11286" max="11286" width="11" style="32" bestFit="1" customWidth="1"/>
    <col min="11287" max="11524" width="9.109375" style="32"/>
    <col min="11525" max="11525" width="9.33203125" style="32" customWidth="1"/>
    <col min="11526" max="11526" width="9.5546875" style="32" customWidth="1"/>
    <col min="11527" max="11540" width="9.109375" style="32"/>
    <col min="11541" max="11541" width="9.88671875" style="32" bestFit="1" customWidth="1"/>
    <col min="11542" max="11542" width="11" style="32" bestFit="1" customWidth="1"/>
    <col min="11543" max="11780" width="9.109375" style="32"/>
    <col min="11781" max="11781" width="9.33203125" style="32" customWidth="1"/>
    <col min="11782" max="11782" width="9.5546875" style="32" customWidth="1"/>
    <col min="11783" max="11796" width="9.109375" style="32"/>
    <col min="11797" max="11797" width="9.88671875" style="32" bestFit="1" customWidth="1"/>
    <col min="11798" max="11798" width="11" style="32" bestFit="1" customWidth="1"/>
    <col min="11799" max="12036" width="9.109375" style="32"/>
    <col min="12037" max="12037" width="9.33203125" style="32" customWidth="1"/>
    <col min="12038" max="12038" width="9.5546875" style="32" customWidth="1"/>
    <col min="12039" max="12052" width="9.109375" style="32"/>
    <col min="12053" max="12053" width="9.88671875" style="32" bestFit="1" customWidth="1"/>
    <col min="12054" max="12054" width="11" style="32" bestFit="1" customWidth="1"/>
    <col min="12055" max="12292" width="9.109375" style="32"/>
    <col min="12293" max="12293" width="9.33203125" style="32" customWidth="1"/>
    <col min="12294" max="12294" width="9.5546875" style="32" customWidth="1"/>
    <col min="12295" max="12308" width="9.109375" style="32"/>
    <col min="12309" max="12309" width="9.88671875" style="32" bestFit="1" customWidth="1"/>
    <col min="12310" max="12310" width="11" style="32" bestFit="1" customWidth="1"/>
    <col min="12311" max="12548" width="9.109375" style="32"/>
    <col min="12549" max="12549" width="9.33203125" style="32" customWidth="1"/>
    <col min="12550" max="12550" width="9.5546875" style="32" customWidth="1"/>
    <col min="12551" max="12564" width="9.109375" style="32"/>
    <col min="12565" max="12565" width="9.88671875" style="32" bestFit="1" customWidth="1"/>
    <col min="12566" max="12566" width="11" style="32" bestFit="1" customWidth="1"/>
    <col min="12567" max="12804" width="9.109375" style="32"/>
    <col min="12805" max="12805" width="9.33203125" style="32" customWidth="1"/>
    <col min="12806" max="12806" width="9.5546875" style="32" customWidth="1"/>
    <col min="12807" max="12820" width="9.109375" style="32"/>
    <col min="12821" max="12821" width="9.88671875" style="32" bestFit="1" customWidth="1"/>
    <col min="12822" max="12822" width="11" style="32" bestFit="1" customWidth="1"/>
    <col min="12823" max="13060" width="9.109375" style="32"/>
    <col min="13061" max="13061" width="9.33203125" style="32" customWidth="1"/>
    <col min="13062" max="13062" width="9.5546875" style="32" customWidth="1"/>
    <col min="13063" max="13076" width="9.109375" style="32"/>
    <col min="13077" max="13077" width="9.88671875" style="32" bestFit="1" customWidth="1"/>
    <col min="13078" max="13078" width="11" style="32" bestFit="1" customWidth="1"/>
    <col min="13079" max="13316" width="9.109375" style="32"/>
    <col min="13317" max="13317" width="9.33203125" style="32" customWidth="1"/>
    <col min="13318" max="13318" width="9.5546875" style="32" customWidth="1"/>
    <col min="13319" max="13332" width="9.109375" style="32"/>
    <col min="13333" max="13333" width="9.88671875" style="32" bestFit="1" customWidth="1"/>
    <col min="13334" max="13334" width="11" style="32" bestFit="1" customWidth="1"/>
    <col min="13335" max="13572" width="9.109375" style="32"/>
    <col min="13573" max="13573" width="9.33203125" style="32" customWidth="1"/>
    <col min="13574" max="13574" width="9.5546875" style="32" customWidth="1"/>
    <col min="13575" max="13588" width="9.109375" style="32"/>
    <col min="13589" max="13589" width="9.88671875" style="32" bestFit="1" customWidth="1"/>
    <col min="13590" max="13590" width="11" style="32" bestFit="1" customWidth="1"/>
    <col min="13591" max="13828" width="9.109375" style="32"/>
    <col min="13829" max="13829" width="9.33203125" style="32" customWidth="1"/>
    <col min="13830" max="13830" width="9.5546875" style="32" customWidth="1"/>
    <col min="13831" max="13844" width="9.109375" style="32"/>
    <col min="13845" max="13845" width="9.88671875" style="32" bestFit="1" customWidth="1"/>
    <col min="13846" max="13846" width="11" style="32" bestFit="1" customWidth="1"/>
    <col min="13847" max="14084" width="9.109375" style="32"/>
    <col min="14085" max="14085" width="9.33203125" style="32" customWidth="1"/>
    <col min="14086" max="14086" width="9.5546875" style="32" customWidth="1"/>
    <col min="14087" max="14100" width="9.109375" style="32"/>
    <col min="14101" max="14101" width="9.88671875" style="32" bestFit="1" customWidth="1"/>
    <col min="14102" max="14102" width="11" style="32" bestFit="1" customWidth="1"/>
    <col min="14103" max="14340" width="9.109375" style="32"/>
    <col min="14341" max="14341" width="9.33203125" style="32" customWidth="1"/>
    <col min="14342" max="14342" width="9.5546875" style="32" customWidth="1"/>
    <col min="14343" max="14356" width="9.109375" style="32"/>
    <col min="14357" max="14357" width="9.88671875" style="32" bestFit="1" customWidth="1"/>
    <col min="14358" max="14358" width="11" style="32" bestFit="1" customWidth="1"/>
    <col min="14359" max="14596" width="9.109375" style="32"/>
    <col min="14597" max="14597" width="9.33203125" style="32" customWidth="1"/>
    <col min="14598" max="14598" width="9.5546875" style="32" customWidth="1"/>
    <col min="14599" max="14612" width="9.109375" style="32"/>
    <col min="14613" max="14613" width="9.88671875" style="32" bestFit="1" customWidth="1"/>
    <col min="14614" max="14614" width="11" style="32" bestFit="1" customWidth="1"/>
    <col min="14615" max="14852" width="9.109375" style="32"/>
    <col min="14853" max="14853" width="9.33203125" style="32" customWidth="1"/>
    <col min="14854" max="14854" width="9.5546875" style="32" customWidth="1"/>
    <col min="14855" max="14868" width="9.109375" style="32"/>
    <col min="14869" max="14869" width="9.88671875" style="32" bestFit="1" customWidth="1"/>
    <col min="14870" max="14870" width="11" style="32" bestFit="1" customWidth="1"/>
    <col min="14871" max="15108" width="9.109375" style="32"/>
    <col min="15109" max="15109" width="9.33203125" style="32" customWidth="1"/>
    <col min="15110" max="15110" width="9.5546875" style="32" customWidth="1"/>
    <col min="15111" max="15124" width="9.109375" style="32"/>
    <col min="15125" max="15125" width="9.88671875" style="32" bestFit="1" customWidth="1"/>
    <col min="15126" max="15126" width="11" style="32" bestFit="1" customWidth="1"/>
    <col min="15127" max="15364" width="9.109375" style="32"/>
    <col min="15365" max="15365" width="9.33203125" style="32" customWidth="1"/>
    <col min="15366" max="15366" width="9.5546875" style="32" customWidth="1"/>
    <col min="15367" max="15380" width="9.109375" style="32"/>
    <col min="15381" max="15381" width="9.88671875" style="32" bestFit="1" customWidth="1"/>
    <col min="15382" max="15382" width="11" style="32" bestFit="1" customWidth="1"/>
    <col min="15383" max="15620" width="9.109375" style="32"/>
    <col min="15621" max="15621" width="9.33203125" style="32" customWidth="1"/>
    <col min="15622" max="15622" width="9.5546875" style="32" customWidth="1"/>
    <col min="15623" max="15636" width="9.109375" style="32"/>
    <col min="15637" max="15637" width="9.88671875" style="32" bestFit="1" customWidth="1"/>
    <col min="15638" max="15638" width="11" style="32" bestFit="1" customWidth="1"/>
    <col min="15639" max="15876" width="9.109375" style="32"/>
    <col min="15877" max="15877" width="9.33203125" style="32" customWidth="1"/>
    <col min="15878" max="15878" width="9.5546875" style="32" customWidth="1"/>
    <col min="15879" max="15892" width="9.109375" style="32"/>
    <col min="15893" max="15893" width="9.88671875" style="32" bestFit="1" customWidth="1"/>
    <col min="15894" max="15894" width="11" style="32" bestFit="1" customWidth="1"/>
    <col min="15895" max="16132" width="9.109375" style="32"/>
    <col min="16133" max="16133" width="9.33203125" style="32" customWidth="1"/>
    <col min="16134" max="16134" width="9.5546875" style="32" customWidth="1"/>
    <col min="16135" max="16148" width="9.109375" style="32"/>
    <col min="16149" max="16149" width="9.88671875" style="32" bestFit="1" customWidth="1"/>
    <col min="16150" max="16150" width="11" style="32" bestFit="1" customWidth="1"/>
    <col min="16151" max="16384" width="9.109375" style="32"/>
  </cols>
  <sheetData>
    <row r="1" spans="1:28">
      <c r="A1" s="98" t="s">
        <v>94</v>
      </c>
      <c r="C1" s="343"/>
      <c r="D1" s="343"/>
      <c r="E1" s="33"/>
      <c r="F1" s="33"/>
      <c r="G1" s="33"/>
      <c r="H1" s="33"/>
    </row>
    <row r="2" spans="1:28">
      <c r="A2" s="34"/>
    </row>
    <row r="3" spans="1:28" ht="13.8">
      <c r="B3" s="36"/>
      <c r="C3" s="36"/>
      <c r="D3" s="37"/>
      <c r="E3" s="37"/>
      <c r="J3" s="665" t="s">
        <v>143</v>
      </c>
    </row>
    <row r="4" spans="1:28" ht="11.25" customHeight="1" thickBot="1">
      <c r="A4" s="38"/>
      <c r="B4" s="38" t="s">
        <v>145</v>
      </c>
      <c r="C4" s="38" t="s">
        <v>145</v>
      </c>
      <c r="D4" s="39"/>
      <c r="E4" s="39"/>
      <c r="L4" s="38" t="s">
        <v>749</v>
      </c>
      <c r="W4" s="920" t="s">
        <v>144</v>
      </c>
    </row>
    <row r="5" spans="1:28" ht="24" customHeight="1" thickTop="1">
      <c r="A5" s="674" t="s">
        <v>95</v>
      </c>
      <c r="B5" s="675">
        <v>2001</v>
      </c>
      <c r="C5" s="675">
        <v>2002</v>
      </c>
      <c r="D5" s="675">
        <v>2003</v>
      </c>
      <c r="E5" s="675">
        <v>2004</v>
      </c>
      <c r="F5" s="675">
        <v>2005</v>
      </c>
      <c r="G5" s="675">
        <v>2006</v>
      </c>
      <c r="H5" s="675">
        <v>2007</v>
      </c>
      <c r="I5" s="675">
        <v>2008</v>
      </c>
      <c r="J5" s="675">
        <v>2009</v>
      </c>
      <c r="K5" s="676">
        <v>2010</v>
      </c>
      <c r="L5" s="675">
        <v>2011</v>
      </c>
      <c r="M5" s="675">
        <v>2012</v>
      </c>
      <c r="N5" s="675">
        <v>2013</v>
      </c>
      <c r="O5" s="675">
        <v>2014</v>
      </c>
      <c r="P5" s="675">
        <v>2015</v>
      </c>
      <c r="Q5" s="675">
        <v>2016</v>
      </c>
      <c r="R5" s="675">
        <v>2017</v>
      </c>
      <c r="S5" s="675">
        <v>2018</v>
      </c>
      <c r="T5" s="675">
        <v>2019</v>
      </c>
      <c r="U5" s="675">
        <v>2020</v>
      </c>
      <c r="V5" s="1694">
        <v>2021</v>
      </c>
      <c r="W5" s="1695" t="s">
        <v>748</v>
      </c>
      <c r="X5" s="1696" t="s">
        <v>96</v>
      </c>
      <c r="Y5" s="1697" t="s">
        <v>108</v>
      </c>
    </row>
    <row r="6" spans="1:28">
      <c r="A6" s="677" t="s">
        <v>97</v>
      </c>
      <c r="B6" s="101">
        <v>848.19999999999993</v>
      </c>
      <c r="C6" s="101">
        <v>709.39999999999986</v>
      </c>
      <c r="D6" s="101">
        <v>977.30000000000018</v>
      </c>
      <c r="E6" s="101">
        <v>1045.3</v>
      </c>
      <c r="F6" s="101">
        <v>920.6999999999997</v>
      </c>
      <c r="G6" s="101">
        <v>733.50000000000023</v>
      </c>
      <c r="H6" s="101">
        <v>797.09999999999991</v>
      </c>
      <c r="I6" s="101">
        <v>754.20000000000016</v>
      </c>
      <c r="J6" s="101">
        <v>979.5</v>
      </c>
      <c r="K6" s="102">
        <v>789.2</v>
      </c>
      <c r="L6" s="101">
        <v>888.7</v>
      </c>
      <c r="M6" s="101">
        <v>831.00000000000023</v>
      </c>
      <c r="N6" s="101">
        <v>839.90000000000009</v>
      </c>
      <c r="O6" s="101">
        <v>918.30000000000007</v>
      </c>
      <c r="P6" s="101">
        <v>968.19999999999982</v>
      </c>
      <c r="Q6" s="101">
        <v>804.80000000000018</v>
      </c>
      <c r="R6" s="101">
        <v>732.49999999999989</v>
      </c>
      <c r="S6" s="101">
        <v>881.50000000000011</v>
      </c>
      <c r="T6" s="101">
        <v>934.90000000000009</v>
      </c>
      <c r="U6" s="101">
        <v>755.59999999999991</v>
      </c>
      <c r="V6" s="1698">
        <v>785.7</v>
      </c>
      <c r="W6" s="1699">
        <f>AVERAGE(L6:V6)</f>
        <v>849.19090909090926</v>
      </c>
      <c r="X6" s="1700">
        <f>TREND(C6:V6,$C$5:$V$5,2022)</f>
        <v>827.57473684210527</v>
      </c>
      <c r="Y6" s="1700">
        <f>AVERAGE(C6:V6)</f>
        <v>852.36500000000001</v>
      </c>
      <c r="Z6" s="99"/>
      <c r="AB6" s="100"/>
    </row>
    <row r="7" spans="1:28">
      <c r="A7" s="677" t="s">
        <v>98</v>
      </c>
      <c r="B7" s="101">
        <v>746.80000000000007</v>
      </c>
      <c r="C7" s="101">
        <v>668.8</v>
      </c>
      <c r="D7" s="101">
        <v>841.5</v>
      </c>
      <c r="E7" s="101">
        <v>750</v>
      </c>
      <c r="F7" s="101">
        <v>700.60000000000014</v>
      </c>
      <c r="G7" s="101">
        <v>720.9</v>
      </c>
      <c r="H7" s="101">
        <v>820</v>
      </c>
      <c r="I7" s="101">
        <v>774.30000000000007</v>
      </c>
      <c r="J7" s="101">
        <v>711.5</v>
      </c>
      <c r="K7" s="102">
        <v>655.8</v>
      </c>
      <c r="L7" s="101">
        <v>731.6</v>
      </c>
      <c r="M7" s="101">
        <v>671.39999999999986</v>
      </c>
      <c r="N7" s="101">
        <v>728.5</v>
      </c>
      <c r="O7" s="101">
        <v>793.2</v>
      </c>
      <c r="P7" s="101">
        <v>957.8000000000003</v>
      </c>
      <c r="Q7" s="101">
        <v>756.3</v>
      </c>
      <c r="R7" s="101">
        <v>662.10000000000014</v>
      </c>
      <c r="S7" s="101">
        <v>644.6</v>
      </c>
      <c r="T7" s="101">
        <v>762.2</v>
      </c>
      <c r="U7" s="101">
        <v>725.89999999999986</v>
      </c>
      <c r="V7" s="1698">
        <v>742.8</v>
      </c>
      <c r="W7" s="1699">
        <f t="shared" ref="W7:W17" si="0">AVERAGE(L7:V7)</f>
        <v>743.30909090909097</v>
      </c>
      <c r="X7" s="1700">
        <f t="shared" ref="X7:X17" si="1">TREND(C7:V7,$C$5:$V$5,2022)</f>
        <v>737.25263157894733</v>
      </c>
      <c r="Y7" s="1700">
        <f t="shared" ref="Y7:Y17" si="2">AVERAGE(C7:V7)</f>
        <v>740.99000000000012</v>
      </c>
      <c r="Z7" s="99"/>
      <c r="AB7" s="100"/>
    </row>
    <row r="8" spans="1:28">
      <c r="A8" s="677" t="s">
        <v>99</v>
      </c>
      <c r="B8" s="101">
        <v>652.29999999999995</v>
      </c>
      <c r="C8" s="101">
        <v>651.69999999999993</v>
      </c>
      <c r="D8" s="101">
        <v>675.00000000000011</v>
      </c>
      <c r="E8" s="101">
        <v>559.19999999999993</v>
      </c>
      <c r="F8" s="101">
        <v>668.8</v>
      </c>
      <c r="G8" s="101">
        <v>600.4</v>
      </c>
      <c r="H8" s="101">
        <v>643.00000000000023</v>
      </c>
      <c r="I8" s="101">
        <v>721.1</v>
      </c>
      <c r="J8" s="101">
        <v>598.30000000000007</v>
      </c>
      <c r="K8" s="102">
        <v>460.7000000000001</v>
      </c>
      <c r="L8" s="101">
        <v>634.59999999999991</v>
      </c>
      <c r="M8" s="101">
        <v>460.29999999999984</v>
      </c>
      <c r="N8" s="101">
        <v>612.9</v>
      </c>
      <c r="O8" s="101">
        <v>783.6</v>
      </c>
      <c r="P8" s="101">
        <v>718.59999999999991</v>
      </c>
      <c r="Q8" s="101">
        <v>591.39999999999975</v>
      </c>
      <c r="R8" s="101">
        <v>731.7</v>
      </c>
      <c r="S8" s="101">
        <v>611.6</v>
      </c>
      <c r="T8" s="101">
        <v>692.30000000000007</v>
      </c>
      <c r="U8" s="101">
        <v>561.69999999999993</v>
      </c>
      <c r="V8" s="1698">
        <v>577.30000000000018</v>
      </c>
      <c r="W8" s="1699">
        <f t="shared" si="0"/>
        <v>634.18181818181813</v>
      </c>
      <c r="X8" s="1700">
        <f t="shared" si="1"/>
        <v>628.37631578947367</v>
      </c>
      <c r="Y8" s="1700">
        <f t="shared" si="2"/>
        <v>627.71</v>
      </c>
      <c r="Z8" s="99"/>
      <c r="AB8" s="100"/>
    </row>
    <row r="9" spans="1:28">
      <c r="A9" s="677" t="s">
        <v>100</v>
      </c>
      <c r="B9" s="101">
        <v>338.1</v>
      </c>
      <c r="C9" s="101">
        <v>358.79999999999995</v>
      </c>
      <c r="D9" s="101">
        <v>424.6</v>
      </c>
      <c r="E9" s="101">
        <v>377.79999999999995</v>
      </c>
      <c r="F9" s="101">
        <v>324.8</v>
      </c>
      <c r="G9" s="101">
        <v>321.59999999999991</v>
      </c>
      <c r="H9" s="101">
        <v>361.1</v>
      </c>
      <c r="I9" s="101">
        <v>299.60000000000008</v>
      </c>
      <c r="J9" s="101">
        <v>334.2999999999999</v>
      </c>
      <c r="K9" s="102">
        <v>258.09999999999997</v>
      </c>
      <c r="L9" s="101">
        <v>347.40000000000009</v>
      </c>
      <c r="M9" s="101">
        <v>363.30000000000007</v>
      </c>
      <c r="N9" s="101">
        <v>381.1</v>
      </c>
      <c r="O9" s="101">
        <v>384.20000000000005</v>
      </c>
      <c r="P9" s="101">
        <v>352.59999999999991</v>
      </c>
      <c r="Q9" s="101">
        <v>433.7999999999999</v>
      </c>
      <c r="R9" s="101">
        <v>319.39999999999998</v>
      </c>
      <c r="S9" s="101">
        <v>454.39999999999992</v>
      </c>
      <c r="T9" s="101">
        <v>398.7999999999999</v>
      </c>
      <c r="U9" s="101">
        <v>407.8</v>
      </c>
      <c r="V9" s="1698">
        <v>295.30000000000007</v>
      </c>
      <c r="W9" s="1699">
        <f t="shared" si="0"/>
        <v>376.19090909090914</v>
      </c>
      <c r="X9" s="1700">
        <f t="shared" si="1"/>
        <v>376.86000000000013</v>
      </c>
      <c r="Y9" s="1700">
        <f t="shared" si="2"/>
        <v>359.93999999999994</v>
      </c>
      <c r="Z9" s="99"/>
      <c r="AB9" s="100"/>
    </row>
    <row r="10" spans="1:28">
      <c r="A10" s="677" t="s">
        <v>54</v>
      </c>
      <c r="B10" s="101">
        <v>109.6</v>
      </c>
      <c r="C10" s="101">
        <v>227.6</v>
      </c>
      <c r="D10" s="101">
        <v>154.10000000000002</v>
      </c>
      <c r="E10" s="101">
        <v>166.20000000000002</v>
      </c>
      <c r="F10" s="101">
        <v>205</v>
      </c>
      <c r="G10" s="101">
        <v>128.19999999999999</v>
      </c>
      <c r="H10" s="101">
        <v>157.30000000000001</v>
      </c>
      <c r="I10" s="101">
        <v>185.40000000000003</v>
      </c>
      <c r="J10" s="101">
        <v>181.6</v>
      </c>
      <c r="K10" s="102">
        <v>112.30000000000001</v>
      </c>
      <c r="L10" s="101">
        <v>142.79999999999998</v>
      </c>
      <c r="M10" s="101">
        <v>102.4</v>
      </c>
      <c r="N10" s="101">
        <v>121.2</v>
      </c>
      <c r="O10" s="101">
        <v>127.3</v>
      </c>
      <c r="P10" s="101">
        <v>94.200000000000031</v>
      </c>
      <c r="Q10" s="101">
        <v>145.39999999999998</v>
      </c>
      <c r="R10" s="101">
        <v>190.40000000000003</v>
      </c>
      <c r="S10" s="101">
        <v>110.4</v>
      </c>
      <c r="T10" s="101">
        <v>213.20000000000002</v>
      </c>
      <c r="U10" s="101">
        <v>200.15</v>
      </c>
      <c r="V10" s="1698">
        <v>173.9</v>
      </c>
      <c r="W10" s="1699">
        <f t="shared" si="0"/>
        <v>147.39545454545458</v>
      </c>
      <c r="X10" s="1700">
        <f t="shared" si="1"/>
        <v>148.19921052631594</v>
      </c>
      <c r="Y10" s="1700">
        <f t="shared" si="2"/>
        <v>156.95250000000001</v>
      </c>
      <c r="Z10" s="99"/>
      <c r="AB10" s="100"/>
    </row>
    <row r="11" spans="1:28">
      <c r="A11" s="677" t="s">
        <v>101</v>
      </c>
      <c r="B11" s="101">
        <v>25.5</v>
      </c>
      <c r="C11" s="101">
        <v>61.699999999999996</v>
      </c>
      <c r="D11" s="101">
        <v>38.900000000000006</v>
      </c>
      <c r="E11" s="101">
        <v>53.999999999999993</v>
      </c>
      <c r="F11" s="101">
        <v>16.099999999999998</v>
      </c>
      <c r="G11" s="101">
        <v>27.599999999999998</v>
      </c>
      <c r="H11" s="101">
        <v>34.200000000000003</v>
      </c>
      <c r="I11" s="101">
        <v>22.400000000000002</v>
      </c>
      <c r="J11" s="101">
        <v>50.4</v>
      </c>
      <c r="K11" s="102">
        <v>37.600000000000009</v>
      </c>
      <c r="L11" s="101">
        <v>18.5</v>
      </c>
      <c r="M11" s="101">
        <v>31.4</v>
      </c>
      <c r="N11" s="101">
        <v>58.1</v>
      </c>
      <c r="O11" s="101">
        <v>20.299999999999997</v>
      </c>
      <c r="P11" s="101">
        <v>45.199999999999996</v>
      </c>
      <c r="Q11" s="101">
        <v>36.300000000000004</v>
      </c>
      <c r="R11" s="101">
        <v>52.100000000000009</v>
      </c>
      <c r="S11" s="101">
        <v>39</v>
      </c>
      <c r="T11" s="101">
        <v>55.1</v>
      </c>
      <c r="U11" s="101">
        <v>44.7</v>
      </c>
      <c r="V11" s="1698">
        <v>13.8</v>
      </c>
      <c r="W11" s="1699">
        <f t="shared" si="0"/>
        <v>37.681818181818187</v>
      </c>
      <c r="X11" s="1700">
        <f t="shared" si="1"/>
        <v>36.879999999999995</v>
      </c>
      <c r="Y11" s="1700">
        <f t="shared" si="2"/>
        <v>37.870000000000005</v>
      </c>
      <c r="Z11" s="99"/>
      <c r="AB11" s="100"/>
    </row>
    <row r="12" spans="1:28">
      <c r="A12" s="677" t="s">
        <v>102</v>
      </c>
      <c r="B12" s="101">
        <v>21.599999999999998</v>
      </c>
      <c r="C12" s="101">
        <v>5.3</v>
      </c>
      <c r="D12" s="101">
        <v>2</v>
      </c>
      <c r="E12" s="101">
        <v>1.7999999999999998</v>
      </c>
      <c r="F12" s="101">
        <v>2.9000000000000004</v>
      </c>
      <c r="G12" s="101">
        <v>0.3</v>
      </c>
      <c r="H12" s="101">
        <v>11.799999999999999</v>
      </c>
      <c r="I12" s="101">
        <v>0.3</v>
      </c>
      <c r="J12" s="101">
        <v>13.1</v>
      </c>
      <c r="K12" s="102">
        <v>4.5</v>
      </c>
      <c r="L12" s="101">
        <v>0</v>
      </c>
      <c r="M12" s="101">
        <v>0</v>
      </c>
      <c r="N12" s="101">
        <v>7.7</v>
      </c>
      <c r="O12" s="101">
        <v>8.8000000000000007</v>
      </c>
      <c r="P12" s="101">
        <v>9.3000000000000007</v>
      </c>
      <c r="Q12" s="101">
        <v>3.4</v>
      </c>
      <c r="R12" s="101">
        <v>4.8000000000000007</v>
      </c>
      <c r="S12" s="101">
        <v>0</v>
      </c>
      <c r="T12" s="101">
        <v>0</v>
      </c>
      <c r="U12" s="101">
        <v>0</v>
      </c>
      <c r="V12" s="1698">
        <v>16.099999999999998</v>
      </c>
      <c r="W12" s="1699">
        <f t="shared" si="0"/>
        <v>4.5545454545454538</v>
      </c>
      <c r="X12" s="1700">
        <f t="shared" si="1"/>
        <v>5.643157894736845</v>
      </c>
      <c r="Y12" s="1700">
        <f t="shared" si="2"/>
        <v>4.6049999999999995</v>
      </c>
      <c r="Z12" s="99"/>
      <c r="AB12" s="100"/>
    </row>
    <row r="13" spans="1:28">
      <c r="A13" s="677" t="s">
        <v>103</v>
      </c>
      <c r="B13" s="101">
        <v>4.7</v>
      </c>
      <c r="C13" s="101">
        <v>6.8</v>
      </c>
      <c r="D13" s="101">
        <v>13.299999999999999</v>
      </c>
      <c r="E13" s="101">
        <v>29.8</v>
      </c>
      <c r="F13" s="101">
        <v>8.3999999999999986</v>
      </c>
      <c r="G13" s="101">
        <v>18.200000000000003</v>
      </c>
      <c r="H13" s="101">
        <v>20.100000000000001</v>
      </c>
      <c r="I13" s="101">
        <v>14.399999999999999</v>
      </c>
      <c r="J13" s="101">
        <v>26.1</v>
      </c>
      <c r="K13" s="102">
        <v>14.7</v>
      </c>
      <c r="L13" s="101">
        <v>2.3000000000000003</v>
      </c>
      <c r="M13" s="101">
        <v>8.4</v>
      </c>
      <c r="N13" s="101">
        <v>13.400000000000004</v>
      </c>
      <c r="O13" s="101">
        <v>21.400000000000002</v>
      </c>
      <c r="P13" s="101">
        <v>5.6</v>
      </c>
      <c r="Q13" s="101">
        <v>1.4</v>
      </c>
      <c r="R13" s="101">
        <v>26.9</v>
      </c>
      <c r="S13" s="101">
        <v>3.6</v>
      </c>
      <c r="T13" s="101">
        <v>6.3</v>
      </c>
      <c r="U13" s="101">
        <v>25.500000000000004</v>
      </c>
      <c r="V13" s="1698">
        <v>4.4000000000000004</v>
      </c>
      <c r="W13" s="1699">
        <f t="shared" si="0"/>
        <v>10.836363636363636</v>
      </c>
      <c r="X13" s="1700">
        <f t="shared" si="1"/>
        <v>10.32421052631571</v>
      </c>
      <c r="Y13" s="1700">
        <f t="shared" si="2"/>
        <v>13.55</v>
      </c>
      <c r="Z13" s="99"/>
      <c r="AB13" s="100"/>
    </row>
    <row r="14" spans="1:28">
      <c r="A14" s="677" t="s">
        <v>104</v>
      </c>
      <c r="B14" s="101">
        <v>89.899999999999991</v>
      </c>
      <c r="C14" s="101">
        <v>56.9</v>
      </c>
      <c r="D14" s="101">
        <v>60.400000000000006</v>
      </c>
      <c r="E14" s="101">
        <v>66.8</v>
      </c>
      <c r="F14" s="101">
        <v>59.2</v>
      </c>
      <c r="G14" s="101">
        <v>120.99999999999997</v>
      </c>
      <c r="H14" s="101">
        <v>75.999999999999986</v>
      </c>
      <c r="I14" s="101">
        <v>95.4</v>
      </c>
      <c r="J14" s="101">
        <v>106.49999999999999</v>
      </c>
      <c r="K14" s="102">
        <v>112</v>
      </c>
      <c r="L14" s="101">
        <v>55.4</v>
      </c>
      <c r="M14" s="101">
        <v>127.30000000000001</v>
      </c>
      <c r="N14" s="101">
        <v>133.20000000000005</v>
      </c>
      <c r="O14" s="101">
        <v>110.3</v>
      </c>
      <c r="P14" s="101">
        <v>48.400000000000006</v>
      </c>
      <c r="Q14" s="101">
        <v>75.100000000000009</v>
      </c>
      <c r="R14" s="101">
        <v>69.800000000000011</v>
      </c>
      <c r="S14" s="101">
        <v>96.799999999999983</v>
      </c>
      <c r="T14" s="101">
        <v>103.99999999999999</v>
      </c>
      <c r="U14" s="101">
        <v>138.5</v>
      </c>
      <c r="V14" s="1698">
        <v>69.5</v>
      </c>
      <c r="W14" s="1699">
        <f t="shared" si="0"/>
        <v>93.481818181818198</v>
      </c>
      <c r="X14" s="1700">
        <f t="shared" si="1"/>
        <v>103.87315789473678</v>
      </c>
      <c r="Y14" s="1700">
        <f t="shared" si="2"/>
        <v>89.124999999999986</v>
      </c>
      <c r="Z14" s="99"/>
      <c r="AB14" s="100"/>
    </row>
    <row r="15" spans="1:28">
      <c r="A15" s="677" t="s">
        <v>105</v>
      </c>
      <c r="B15" s="101">
        <v>265.99999999999994</v>
      </c>
      <c r="C15" s="101">
        <v>370.00000000000011</v>
      </c>
      <c r="D15" s="101">
        <v>336.59999999999997</v>
      </c>
      <c r="E15" s="101">
        <v>287.00000000000006</v>
      </c>
      <c r="F15" s="101">
        <v>269.70000000000005</v>
      </c>
      <c r="G15" s="101">
        <v>335.70000000000005</v>
      </c>
      <c r="H15" s="101">
        <v>227.49999999999997</v>
      </c>
      <c r="I15" s="101">
        <v>321.80000000000007</v>
      </c>
      <c r="J15" s="101">
        <v>355.5</v>
      </c>
      <c r="K15" s="102">
        <v>311</v>
      </c>
      <c r="L15" s="101">
        <v>259.10000000000002</v>
      </c>
      <c r="M15" s="101">
        <v>259.8595782569019</v>
      </c>
      <c r="N15" s="101">
        <v>265.2</v>
      </c>
      <c r="O15" s="101">
        <v>257.90000000000003</v>
      </c>
      <c r="P15" s="101">
        <v>337.30000000000007</v>
      </c>
      <c r="Q15" s="101">
        <v>291.09999999999997</v>
      </c>
      <c r="R15" s="101">
        <v>197.3</v>
      </c>
      <c r="S15" s="101">
        <v>359.1</v>
      </c>
      <c r="T15" s="101">
        <v>286.8</v>
      </c>
      <c r="U15" s="101">
        <v>327.40000000000003</v>
      </c>
      <c r="V15" s="1698">
        <v>201.5</v>
      </c>
      <c r="W15" s="1699">
        <f t="shared" si="0"/>
        <v>276.59632529608206</v>
      </c>
      <c r="X15" s="1700">
        <f t="shared" si="1"/>
        <v>263.93502821487436</v>
      </c>
      <c r="Y15" s="1700">
        <f t="shared" si="2"/>
        <v>292.86797891284516</v>
      </c>
      <c r="Z15" s="99"/>
      <c r="AB15" s="100"/>
    </row>
    <row r="16" spans="1:28">
      <c r="A16" s="677" t="s">
        <v>106</v>
      </c>
      <c r="B16" s="101">
        <v>410.09999999999991</v>
      </c>
      <c r="C16" s="101">
        <v>535.19999999999993</v>
      </c>
      <c r="D16" s="101">
        <v>468.80000000000007</v>
      </c>
      <c r="E16" s="101">
        <v>484.30000000000007</v>
      </c>
      <c r="F16" s="101">
        <v>484.2</v>
      </c>
      <c r="G16" s="101">
        <v>417.3</v>
      </c>
      <c r="H16" s="101">
        <v>517</v>
      </c>
      <c r="I16" s="101">
        <v>502.8</v>
      </c>
      <c r="J16" s="101">
        <v>417.39999999999992</v>
      </c>
      <c r="K16" s="102">
        <v>491.59999999999985</v>
      </c>
      <c r="L16" s="101">
        <v>392.9</v>
      </c>
      <c r="M16" s="101">
        <v>541.70000000000005</v>
      </c>
      <c r="N16" s="101">
        <v>560.79999999999995</v>
      </c>
      <c r="O16" s="101">
        <v>510.6</v>
      </c>
      <c r="P16" s="101">
        <v>429.00000000000006</v>
      </c>
      <c r="Q16" s="101">
        <v>449.50000000000006</v>
      </c>
      <c r="R16" s="101">
        <v>540.79999999999995</v>
      </c>
      <c r="S16" s="101">
        <v>599.5</v>
      </c>
      <c r="T16" s="101">
        <v>611</v>
      </c>
      <c r="U16" s="101">
        <v>429.89999999999992</v>
      </c>
      <c r="V16" s="1698">
        <v>509.3</v>
      </c>
      <c r="W16" s="1699">
        <f t="shared" si="0"/>
        <v>506.81818181818181</v>
      </c>
      <c r="X16" s="1700">
        <f t="shared" si="1"/>
        <v>520.75473684210556</v>
      </c>
      <c r="Y16" s="1700">
        <f t="shared" si="2"/>
        <v>494.68</v>
      </c>
      <c r="Z16" s="99"/>
      <c r="AB16" s="100"/>
    </row>
    <row r="17" spans="1:28">
      <c r="A17" s="678" t="s">
        <v>107</v>
      </c>
      <c r="B17" s="679">
        <v>602.20000000000005</v>
      </c>
      <c r="C17" s="679">
        <v>728.3</v>
      </c>
      <c r="D17" s="679">
        <v>722.19999999999993</v>
      </c>
      <c r="E17" s="679">
        <v>814.90000000000009</v>
      </c>
      <c r="F17" s="679">
        <v>761.99999999999989</v>
      </c>
      <c r="G17" s="679">
        <v>609.99999999999989</v>
      </c>
      <c r="H17" s="679">
        <v>787.69999999999982</v>
      </c>
      <c r="I17" s="679">
        <v>796.70000000000027</v>
      </c>
      <c r="J17" s="679">
        <v>759.40000000000009</v>
      </c>
      <c r="K17" s="680">
        <v>731.39999999999986</v>
      </c>
      <c r="L17" s="679">
        <v>672.19999999999993</v>
      </c>
      <c r="M17" s="679">
        <v>719.1</v>
      </c>
      <c r="N17" s="679">
        <v>858.20000000000016</v>
      </c>
      <c r="O17" s="679">
        <v>696.39999999999986</v>
      </c>
      <c r="P17" s="679">
        <v>519.90000000000009</v>
      </c>
      <c r="Q17" s="679">
        <v>733.40000000000009</v>
      </c>
      <c r="R17" s="679">
        <v>871.29999999999973</v>
      </c>
      <c r="S17" s="679">
        <v>766.60000000000014</v>
      </c>
      <c r="T17" s="679">
        <v>717.2</v>
      </c>
      <c r="U17" s="679">
        <v>673.1</v>
      </c>
      <c r="V17" s="1701">
        <v>692.7</v>
      </c>
      <c r="W17" s="1699">
        <f t="shared" si="0"/>
        <v>720.0090909090909</v>
      </c>
      <c r="X17" s="1702">
        <f t="shared" si="1"/>
        <v>713.03105263157931</v>
      </c>
      <c r="Y17" s="1703">
        <f t="shared" si="2"/>
        <v>731.63499999999999</v>
      </c>
      <c r="Z17" s="99"/>
      <c r="AB17" s="100"/>
    </row>
    <row r="18" spans="1:28">
      <c r="A18" s="1680"/>
      <c r="B18" s="1681"/>
      <c r="C18" s="1681"/>
      <c r="D18" s="1681"/>
      <c r="E18" s="1681"/>
      <c r="F18" s="1682"/>
      <c r="G18" s="1682"/>
      <c r="H18" s="1682"/>
      <c r="I18" s="1682"/>
      <c r="J18" s="1682"/>
      <c r="K18" s="1682"/>
      <c r="L18" s="1682"/>
      <c r="M18" s="1682"/>
      <c r="N18" s="1682"/>
      <c r="O18" s="1682"/>
      <c r="P18" s="1682"/>
      <c r="Q18" s="1682"/>
      <c r="R18" s="1682"/>
      <c r="S18" s="1682"/>
      <c r="T18" s="1682"/>
      <c r="U18" s="1682"/>
      <c r="V18" s="1682"/>
      <c r="W18" s="1687"/>
      <c r="Y18" s="669"/>
    </row>
    <row r="19" spans="1:28" hidden="1">
      <c r="A19" s="1683" t="s">
        <v>5</v>
      </c>
      <c r="B19" s="1016">
        <f t="shared" ref="B19:U19" si="3">SUM(B6:B17)</f>
        <v>4115</v>
      </c>
      <c r="C19" s="1016">
        <f t="shared" si="3"/>
        <v>4380.5</v>
      </c>
      <c r="D19" s="1016">
        <f t="shared" si="3"/>
        <v>4714.7000000000007</v>
      </c>
      <c r="E19" s="1016">
        <f t="shared" si="3"/>
        <v>4637.1000000000004</v>
      </c>
      <c r="F19" s="1016">
        <f t="shared" si="3"/>
        <v>4422.3999999999996</v>
      </c>
      <c r="G19" s="1016">
        <f t="shared" si="3"/>
        <v>4034.7</v>
      </c>
      <c r="H19" s="1016">
        <f t="shared" si="3"/>
        <v>4452.8</v>
      </c>
      <c r="I19" s="1016">
        <f t="shared" si="3"/>
        <v>4488.4000000000015</v>
      </c>
      <c r="J19" s="1016">
        <f t="shared" si="3"/>
        <v>4533.6000000000004</v>
      </c>
      <c r="K19" s="1016">
        <f t="shared" si="3"/>
        <v>3978.8999999999996</v>
      </c>
      <c r="L19" s="1016">
        <f t="shared" si="3"/>
        <v>4145.5000000000009</v>
      </c>
      <c r="M19" s="1016">
        <f t="shared" si="3"/>
        <v>4116.1595782569029</v>
      </c>
      <c r="N19" s="1016">
        <f t="shared" si="3"/>
        <v>4580.2</v>
      </c>
      <c r="O19" s="1016">
        <f t="shared" si="3"/>
        <v>4632.3000000000011</v>
      </c>
      <c r="P19" s="1016">
        <f t="shared" si="3"/>
        <v>4486.1000000000004</v>
      </c>
      <c r="Q19" s="1016">
        <f t="shared" si="3"/>
        <v>4321.8999999999996</v>
      </c>
      <c r="R19" s="1016">
        <f t="shared" si="3"/>
        <v>4399.1000000000004</v>
      </c>
      <c r="S19" s="1016">
        <f t="shared" si="3"/>
        <v>4567.1000000000004</v>
      </c>
      <c r="T19" s="1016">
        <f t="shared" si="3"/>
        <v>4781.8</v>
      </c>
      <c r="U19" s="1016">
        <f t="shared" si="3"/>
        <v>4290.25</v>
      </c>
      <c r="V19" s="1704"/>
      <c r="W19" s="1688">
        <f t="shared" ref="W19:Y19" si="4">SUM(W6:W17)</f>
        <v>4400.2463252960824</v>
      </c>
      <c r="X19" s="1704">
        <f t="shared" si="4"/>
        <v>4372.7042387411911</v>
      </c>
      <c r="Y19" s="1017">
        <f t="shared" si="4"/>
        <v>4402.2904789128452</v>
      </c>
    </row>
    <row r="20" spans="1:28" hidden="1">
      <c r="A20" s="1684"/>
      <c r="B20" s="670"/>
      <c r="C20" s="670"/>
      <c r="D20" s="671"/>
      <c r="E20" s="671"/>
      <c r="F20" s="668"/>
      <c r="G20" s="668"/>
      <c r="H20" s="668"/>
      <c r="I20" s="668"/>
      <c r="J20" s="668"/>
      <c r="K20" s="668"/>
      <c r="L20" s="668"/>
      <c r="M20" s="668"/>
      <c r="N20" s="668"/>
      <c r="O20" s="668"/>
      <c r="P20" s="668"/>
      <c r="Q20" s="668"/>
      <c r="R20" s="668"/>
      <c r="S20" s="668"/>
      <c r="T20" s="672" t="s">
        <v>10</v>
      </c>
      <c r="U20" s="672"/>
      <c r="V20" s="1705"/>
      <c r="W20" s="1689">
        <f>SUM(L19:W19)+W19</f>
        <v>53120.902228849067</v>
      </c>
      <c r="Y20" s="669"/>
    </row>
    <row r="21" spans="1:28" ht="28.5" customHeight="1">
      <c r="A21" s="1685"/>
      <c r="B21" s="670"/>
      <c r="C21" s="670"/>
      <c r="D21" s="671"/>
      <c r="E21" s="671"/>
      <c r="F21" s="668"/>
      <c r="G21" s="668"/>
      <c r="H21" s="668"/>
      <c r="I21" s="668"/>
      <c r="J21" s="673" t="s">
        <v>264</v>
      </c>
      <c r="K21" s="668"/>
      <c r="L21" s="668"/>
      <c r="M21" s="668"/>
      <c r="N21" s="668"/>
      <c r="O21" s="668"/>
      <c r="P21" s="668"/>
      <c r="Q21" s="668"/>
      <c r="R21" s="668"/>
      <c r="S21" s="668"/>
      <c r="T21" s="672"/>
      <c r="U21" s="672"/>
      <c r="V21" s="1705"/>
      <c r="W21" s="1690"/>
      <c r="Y21" s="669"/>
    </row>
    <row r="22" spans="1:28" ht="9" customHeight="1" thickBot="1">
      <c r="A22" s="1686"/>
      <c r="B22" s="666"/>
      <c r="C22" s="666"/>
      <c r="D22" s="667"/>
      <c r="E22" s="667"/>
      <c r="F22" s="668"/>
      <c r="G22" s="668"/>
      <c r="H22" s="668"/>
      <c r="I22" s="668"/>
      <c r="J22" s="668"/>
      <c r="K22" s="668"/>
      <c r="L22" s="668"/>
      <c r="M22" s="668"/>
      <c r="N22" s="668"/>
      <c r="O22" s="668"/>
      <c r="P22" s="668"/>
      <c r="Q22" s="668"/>
      <c r="R22" s="668"/>
      <c r="S22" s="668"/>
      <c r="T22" s="668"/>
      <c r="U22" s="668"/>
      <c r="W22" s="1690"/>
      <c r="Y22" s="669"/>
    </row>
    <row r="23" spans="1:28" ht="21.6" thickTop="1">
      <c r="A23" s="681" t="s">
        <v>95</v>
      </c>
      <c r="B23" s="682">
        <v>2001</v>
      </c>
      <c r="C23" s="682">
        <v>2002</v>
      </c>
      <c r="D23" s="682">
        <v>2003</v>
      </c>
      <c r="E23" s="682">
        <v>2004</v>
      </c>
      <c r="F23" s="682">
        <v>2005</v>
      </c>
      <c r="G23" s="682">
        <v>2006</v>
      </c>
      <c r="H23" s="682">
        <v>2007</v>
      </c>
      <c r="I23" s="682">
        <v>2008</v>
      </c>
      <c r="J23" s="682">
        <v>2009</v>
      </c>
      <c r="K23" s="683">
        <v>2010</v>
      </c>
      <c r="L23" s="682">
        <v>2011</v>
      </c>
      <c r="M23" s="682">
        <v>2012</v>
      </c>
      <c r="N23" s="682">
        <v>2013</v>
      </c>
      <c r="O23" s="682">
        <v>2014</v>
      </c>
      <c r="P23" s="682">
        <v>2015</v>
      </c>
      <c r="Q23" s="682">
        <v>2016</v>
      </c>
      <c r="R23" s="682">
        <v>2017</v>
      </c>
      <c r="S23" s="682">
        <v>2018</v>
      </c>
      <c r="T23" s="682">
        <v>2019</v>
      </c>
      <c r="U23" s="682">
        <v>2020</v>
      </c>
      <c r="V23" s="1706">
        <v>2021</v>
      </c>
      <c r="W23" s="1695" t="str">
        <f>W5</f>
        <v>11 Year Average</v>
      </c>
      <c r="X23" s="1707" t="s">
        <v>96</v>
      </c>
      <c r="Y23" s="1708" t="s">
        <v>108</v>
      </c>
    </row>
    <row r="24" spans="1:28">
      <c r="A24" s="677" t="s">
        <v>97</v>
      </c>
      <c r="B24" s="101">
        <v>0</v>
      </c>
      <c r="C24" s="101">
        <v>0</v>
      </c>
      <c r="D24" s="101">
        <v>0</v>
      </c>
      <c r="E24" s="101">
        <v>0</v>
      </c>
      <c r="F24" s="101">
        <v>0</v>
      </c>
      <c r="G24" s="101">
        <v>0</v>
      </c>
      <c r="H24" s="101">
        <v>0</v>
      </c>
      <c r="I24" s="101">
        <v>0</v>
      </c>
      <c r="J24" s="101">
        <v>0</v>
      </c>
      <c r="K24" s="102">
        <v>0</v>
      </c>
      <c r="L24" s="101">
        <v>0</v>
      </c>
      <c r="M24" s="101">
        <v>0</v>
      </c>
      <c r="N24" s="101">
        <v>0</v>
      </c>
      <c r="O24" s="101">
        <v>0</v>
      </c>
      <c r="P24" s="101">
        <v>0</v>
      </c>
      <c r="Q24" s="101">
        <v>0</v>
      </c>
      <c r="R24" s="101">
        <v>0</v>
      </c>
      <c r="S24" s="101">
        <v>0</v>
      </c>
      <c r="T24" s="101">
        <v>0</v>
      </c>
      <c r="U24" s="101">
        <v>0</v>
      </c>
      <c r="V24" s="1698">
        <v>0</v>
      </c>
      <c r="W24" s="1699">
        <f>AVERAGE(L24:V24)</f>
        <v>0</v>
      </c>
      <c r="X24" s="1700">
        <f>TREND(C24:V24,$C$5:$V$5,2022)</f>
        <v>0</v>
      </c>
      <c r="Y24" s="1700">
        <f>AVERAGE(C24:V24)</f>
        <v>0</v>
      </c>
      <c r="Z24" s="99"/>
      <c r="AB24" s="100"/>
    </row>
    <row r="25" spans="1:28">
      <c r="A25" s="677" t="s">
        <v>98</v>
      </c>
      <c r="B25" s="101">
        <v>0</v>
      </c>
      <c r="C25" s="101">
        <v>0</v>
      </c>
      <c r="D25" s="101">
        <v>0</v>
      </c>
      <c r="E25" s="101">
        <v>0</v>
      </c>
      <c r="F25" s="101">
        <v>0</v>
      </c>
      <c r="G25" s="101">
        <v>0</v>
      </c>
      <c r="H25" s="101">
        <v>0</v>
      </c>
      <c r="I25" s="101">
        <v>0</v>
      </c>
      <c r="J25" s="101">
        <v>0</v>
      </c>
      <c r="K25" s="102">
        <v>0</v>
      </c>
      <c r="L25" s="101">
        <v>0</v>
      </c>
      <c r="M25" s="101">
        <v>0</v>
      </c>
      <c r="N25" s="101">
        <v>0</v>
      </c>
      <c r="O25" s="101">
        <v>0</v>
      </c>
      <c r="P25" s="101">
        <v>0</v>
      </c>
      <c r="Q25" s="101">
        <v>0</v>
      </c>
      <c r="R25" s="101">
        <v>0</v>
      </c>
      <c r="S25" s="101">
        <v>0</v>
      </c>
      <c r="T25" s="101">
        <v>0</v>
      </c>
      <c r="U25" s="101">
        <v>0</v>
      </c>
      <c r="V25" s="1698">
        <v>0</v>
      </c>
      <c r="W25" s="1699">
        <f t="shared" ref="W25:W35" si="5">AVERAGE(L25:V25)</f>
        <v>0</v>
      </c>
      <c r="X25" s="1700">
        <f t="shared" ref="X25:X35" si="6">TREND(C25:V25,$C$5:$V$5,2022)</f>
        <v>0</v>
      </c>
      <c r="Y25" s="1700">
        <f t="shared" ref="Y25:Y35" si="7">AVERAGE(C25:V25)</f>
        <v>0</v>
      </c>
      <c r="Z25" s="99"/>
      <c r="AB25" s="100"/>
    </row>
    <row r="26" spans="1:28">
      <c r="A26" s="677" t="s">
        <v>99</v>
      </c>
      <c r="B26" s="101">
        <v>0</v>
      </c>
      <c r="C26" s="101">
        <v>0</v>
      </c>
      <c r="D26" s="101">
        <v>0</v>
      </c>
      <c r="E26" s="101">
        <v>0</v>
      </c>
      <c r="F26" s="101">
        <v>0</v>
      </c>
      <c r="G26" s="101">
        <v>0</v>
      </c>
      <c r="H26" s="101">
        <v>0</v>
      </c>
      <c r="I26" s="101">
        <v>0</v>
      </c>
      <c r="J26" s="101">
        <v>0</v>
      </c>
      <c r="K26" s="102">
        <v>0</v>
      </c>
      <c r="L26" s="101">
        <v>0</v>
      </c>
      <c r="M26" s="101">
        <v>0</v>
      </c>
      <c r="N26" s="101">
        <v>0</v>
      </c>
      <c r="O26" s="101">
        <v>0</v>
      </c>
      <c r="P26" s="101">
        <v>0</v>
      </c>
      <c r="Q26" s="101">
        <v>0</v>
      </c>
      <c r="R26" s="101">
        <v>0</v>
      </c>
      <c r="S26" s="101">
        <v>0</v>
      </c>
      <c r="T26" s="101">
        <v>0</v>
      </c>
      <c r="U26" s="101">
        <v>0</v>
      </c>
      <c r="V26" s="1698">
        <v>0</v>
      </c>
      <c r="W26" s="1699">
        <f t="shared" si="5"/>
        <v>0</v>
      </c>
      <c r="X26" s="1700">
        <f t="shared" si="6"/>
        <v>0</v>
      </c>
      <c r="Y26" s="1700">
        <f t="shared" si="7"/>
        <v>0</v>
      </c>
      <c r="Z26" s="99"/>
      <c r="AB26" s="100"/>
    </row>
    <row r="27" spans="1:28">
      <c r="A27" s="677" t="s">
        <v>100</v>
      </c>
      <c r="B27" s="101">
        <v>0</v>
      </c>
      <c r="C27" s="101">
        <v>10.3</v>
      </c>
      <c r="D27" s="101">
        <v>0</v>
      </c>
      <c r="E27" s="101">
        <v>1.9</v>
      </c>
      <c r="F27" s="101">
        <v>0</v>
      </c>
      <c r="G27" s="101">
        <v>0</v>
      </c>
      <c r="H27" s="101">
        <v>0</v>
      </c>
      <c r="I27" s="101">
        <v>0</v>
      </c>
      <c r="J27" s="101">
        <v>2.5</v>
      </c>
      <c r="K27" s="102">
        <v>1.6</v>
      </c>
      <c r="L27" s="101">
        <v>0</v>
      </c>
      <c r="M27" s="101">
        <v>3.2</v>
      </c>
      <c r="N27" s="101">
        <v>0</v>
      </c>
      <c r="O27" s="101">
        <v>0</v>
      </c>
      <c r="P27" s="101">
        <v>0</v>
      </c>
      <c r="Q27" s="101">
        <v>0</v>
      </c>
      <c r="R27" s="101">
        <v>1.2</v>
      </c>
      <c r="S27" s="101">
        <v>0</v>
      </c>
      <c r="T27" s="101">
        <v>0</v>
      </c>
      <c r="U27" s="101">
        <v>0</v>
      </c>
      <c r="V27" s="1698">
        <v>0</v>
      </c>
      <c r="W27" s="1699">
        <f t="shared" si="5"/>
        <v>0.4</v>
      </c>
      <c r="X27" s="1700">
        <f t="shared" si="6"/>
        <v>-0.74210526315783909</v>
      </c>
      <c r="Y27" s="1700">
        <f t="shared" si="7"/>
        <v>1.0349999999999999</v>
      </c>
      <c r="Z27" s="99"/>
      <c r="AB27" s="100"/>
    </row>
    <row r="28" spans="1:28">
      <c r="A28" s="677" t="s">
        <v>54</v>
      </c>
      <c r="B28" s="101">
        <v>13.700000000000001</v>
      </c>
      <c r="C28" s="101">
        <v>6.5</v>
      </c>
      <c r="D28" s="101">
        <v>0.1</v>
      </c>
      <c r="E28" s="101">
        <v>4</v>
      </c>
      <c r="F28" s="101">
        <v>1.9</v>
      </c>
      <c r="G28" s="101">
        <v>16.899999999999999</v>
      </c>
      <c r="H28" s="101">
        <v>17.3</v>
      </c>
      <c r="I28" s="101">
        <v>0</v>
      </c>
      <c r="J28" s="101">
        <v>3.2</v>
      </c>
      <c r="K28" s="102">
        <v>38.199999999999996</v>
      </c>
      <c r="L28" s="101">
        <v>16.7</v>
      </c>
      <c r="M28" s="101">
        <v>21</v>
      </c>
      <c r="N28" s="101">
        <v>15.3</v>
      </c>
      <c r="O28" s="101">
        <v>8.8000000000000007</v>
      </c>
      <c r="P28" s="101">
        <v>25.299999999999997</v>
      </c>
      <c r="Q28" s="101">
        <v>28.7</v>
      </c>
      <c r="R28" s="101">
        <v>9.1000000000000014</v>
      </c>
      <c r="S28" s="101">
        <v>15.7</v>
      </c>
      <c r="T28" s="101">
        <v>0</v>
      </c>
      <c r="U28" s="101">
        <v>25.699999999999996</v>
      </c>
      <c r="V28" s="1698">
        <v>24.4</v>
      </c>
      <c r="W28" s="1699">
        <f t="shared" si="5"/>
        <v>17.336363636363636</v>
      </c>
      <c r="X28" s="1700">
        <f t="shared" si="6"/>
        <v>22.246842105263113</v>
      </c>
      <c r="Y28" s="1700">
        <f t="shared" si="7"/>
        <v>13.939999999999998</v>
      </c>
      <c r="Z28" s="99"/>
      <c r="AB28" s="100"/>
    </row>
    <row r="29" spans="1:28">
      <c r="A29" s="677" t="s">
        <v>101</v>
      </c>
      <c r="B29" s="101">
        <v>75.900000000000006</v>
      </c>
      <c r="C29" s="101">
        <v>39.5</v>
      </c>
      <c r="D29" s="101">
        <v>54.800000000000004</v>
      </c>
      <c r="E29" s="101">
        <v>27.1</v>
      </c>
      <c r="F29" s="101">
        <v>111.6</v>
      </c>
      <c r="G29" s="101">
        <v>48.199999999999996</v>
      </c>
      <c r="H29" s="101">
        <v>66.900000000000006</v>
      </c>
      <c r="I29" s="101">
        <v>60.5</v>
      </c>
      <c r="J29" s="101">
        <v>44.9</v>
      </c>
      <c r="K29" s="102">
        <v>33.4</v>
      </c>
      <c r="L29" s="101">
        <v>59.1</v>
      </c>
      <c r="M29" s="101">
        <v>70.399999999999991</v>
      </c>
      <c r="N29" s="101">
        <v>39.400000000000006</v>
      </c>
      <c r="O29" s="101">
        <v>54.9</v>
      </c>
      <c r="P29" s="101">
        <v>20.3</v>
      </c>
      <c r="Q29" s="101">
        <v>51.999999999999993</v>
      </c>
      <c r="R29" s="101">
        <v>45</v>
      </c>
      <c r="S29" s="101">
        <v>36.199999999999996</v>
      </c>
      <c r="T29" s="101">
        <v>32</v>
      </c>
      <c r="U29" s="101">
        <v>70.400000000000006</v>
      </c>
      <c r="V29" s="1698">
        <v>89.8</v>
      </c>
      <c r="W29" s="1699">
        <f t="shared" si="5"/>
        <v>51.772727272727273</v>
      </c>
      <c r="X29" s="1700">
        <f t="shared" si="6"/>
        <v>52.368421052631575</v>
      </c>
      <c r="Y29" s="1700">
        <f t="shared" si="7"/>
        <v>52.819999999999993</v>
      </c>
      <c r="Z29" s="99"/>
      <c r="AB29" s="100"/>
    </row>
    <row r="30" spans="1:28">
      <c r="A30" s="677" t="s">
        <v>102</v>
      </c>
      <c r="B30" s="101">
        <v>78.399999999999991</v>
      </c>
      <c r="C30" s="101">
        <v>121</v>
      </c>
      <c r="D30" s="101">
        <v>90.1</v>
      </c>
      <c r="E30" s="101">
        <v>86.5</v>
      </c>
      <c r="F30" s="101">
        <v>128.6</v>
      </c>
      <c r="G30" s="101">
        <v>130.59999999999997</v>
      </c>
      <c r="H30" s="101">
        <v>65.100000000000009</v>
      </c>
      <c r="I30" s="101">
        <v>78.899999999999991</v>
      </c>
      <c r="J30" s="101">
        <v>42.899999999999991</v>
      </c>
      <c r="K30" s="102">
        <v>150.79999999999998</v>
      </c>
      <c r="L30" s="101">
        <v>137.5</v>
      </c>
      <c r="M30" s="101">
        <v>142.20000000000005</v>
      </c>
      <c r="N30" s="101">
        <v>114.89999999999999</v>
      </c>
      <c r="O30" s="101">
        <v>62.800000000000011</v>
      </c>
      <c r="P30" s="101">
        <v>99.999999999999986</v>
      </c>
      <c r="Q30" s="101">
        <v>112.6</v>
      </c>
      <c r="R30" s="101">
        <v>63.800000000000011</v>
      </c>
      <c r="S30" s="101">
        <v>156.9</v>
      </c>
      <c r="T30" s="101">
        <v>133.1</v>
      </c>
      <c r="U30" s="101">
        <v>185.79999999999998</v>
      </c>
      <c r="V30" s="1698">
        <v>67.5</v>
      </c>
      <c r="W30" s="1699">
        <f t="shared" si="5"/>
        <v>116.1</v>
      </c>
      <c r="X30" s="1700">
        <f t="shared" si="6"/>
        <v>120.53421052631575</v>
      </c>
      <c r="Y30" s="1700">
        <f t="shared" si="7"/>
        <v>108.58</v>
      </c>
      <c r="Z30" s="99"/>
      <c r="AB30" s="100"/>
    </row>
    <row r="31" spans="1:28">
      <c r="A31" s="677" t="s">
        <v>103</v>
      </c>
      <c r="B31" s="101">
        <v>127.49999999999999</v>
      </c>
      <c r="C31" s="101">
        <v>106.50000000000003</v>
      </c>
      <c r="D31" s="101">
        <v>106.19999999999997</v>
      </c>
      <c r="E31" s="101">
        <v>47.5</v>
      </c>
      <c r="F31" s="101">
        <v>115.39999999999999</v>
      </c>
      <c r="G31" s="101">
        <v>68.099999999999994</v>
      </c>
      <c r="H31" s="101">
        <v>79.300000000000026</v>
      </c>
      <c r="I31" s="101">
        <v>49.499999999999993</v>
      </c>
      <c r="J31" s="101">
        <v>82.100000000000009</v>
      </c>
      <c r="K31" s="102">
        <v>93</v>
      </c>
      <c r="L31" s="101">
        <v>82.300000000000011</v>
      </c>
      <c r="M31" s="101">
        <v>97.600000000000009</v>
      </c>
      <c r="N31" s="101">
        <v>57.199999999999996</v>
      </c>
      <c r="O31" s="101">
        <v>55.800000000000004</v>
      </c>
      <c r="P31" s="101">
        <v>67.399999999999991</v>
      </c>
      <c r="Q31" s="101">
        <v>124.60000000000001</v>
      </c>
      <c r="R31" s="101">
        <v>51.000000000000007</v>
      </c>
      <c r="S31" s="101">
        <v>115.39999999999998</v>
      </c>
      <c r="T31" s="101">
        <v>54.800000000000004</v>
      </c>
      <c r="U31" s="101">
        <v>70.400000000000006</v>
      </c>
      <c r="V31" s="1698">
        <v>135.99999999999997</v>
      </c>
      <c r="W31" s="1699">
        <f t="shared" si="5"/>
        <v>82.954545454545453</v>
      </c>
      <c r="X31" s="1700">
        <f t="shared" si="6"/>
        <v>84.447368421052602</v>
      </c>
      <c r="Y31" s="1700">
        <f t="shared" si="7"/>
        <v>83.00500000000001</v>
      </c>
      <c r="Z31" s="99"/>
      <c r="AB31" s="100"/>
    </row>
    <row r="32" spans="1:28">
      <c r="A32" s="677" t="s">
        <v>104</v>
      </c>
      <c r="B32" s="101">
        <v>25.9</v>
      </c>
      <c r="C32" s="101">
        <v>51.4</v>
      </c>
      <c r="D32" s="101">
        <v>23.7</v>
      </c>
      <c r="E32" s="101">
        <v>11.099999999999998</v>
      </c>
      <c r="F32" s="101">
        <v>33.099999999999994</v>
      </c>
      <c r="G32" s="101">
        <v>5.3</v>
      </c>
      <c r="H32" s="101">
        <v>25.7</v>
      </c>
      <c r="I32" s="101">
        <v>25</v>
      </c>
      <c r="J32" s="101">
        <v>5</v>
      </c>
      <c r="K32" s="102">
        <v>26.200000000000003</v>
      </c>
      <c r="L32" s="101">
        <v>32.9</v>
      </c>
      <c r="M32" s="101">
        <v>20.6</v>
      </c>
      <c r="N32" s="101">
        <v>10.1</v>
      </c>
      <c r="O32" s="101">
        <v>21.600000000000005</v>
      </c>
      <c r="P32" s="101">
        <v>46.500000000000007</v>
      </c>
      <c r="Q32" s="101">
        <v>24.900000000000006</v>
      </c>
      <c r="R32" s="101">
        <v>52</v>
      </c>
      <c r="S32" s="101">
        <v>49.5</v>
      </c>
      <c r="T32" s="101">
        <v>9.1</v>
      </c>
      <c r="U32" s="101">
        <v>9</v>
      </c>
      <c r="V32" s="1698">
        <v>4.7</v>
      </c>
      <c r="W32" s="1699">
        <f t="shared" si="5"/>
        <v>25.536363636363639</v>
      </c>
      <c r="X32" s="1700">
        <f t="shared" si="6"/>
        <v>22.202105263157875</v>
      </c>
      <c r="Y32" s="1700">
        <f t="shared" si="7"/>
        <v>24.37</v>
      </c>
      <c r="Z32" s="99"/>
      <c r="AB32" s="100"/>
    </row>
    <row r="33" spans="1:28">
      <c r="A33" s="677" t="s">
        <v>105</v>
      </c>
      <c r="B33" s="101">
        <v>0</v>
      </c>
      <c r="C33" s="101">
        <v>4.0999999999999996</v>
      </c>
      <c r="D33" s="101">
        <v>0</v>
      </c>
      <c r="E33" s="101">
        <v>0</v>
      </c>
      <c r="F33" s="101">
        <v>6.4</v>
      </c>
      <c r="G33" s="101">
        <v>0</v>
      </c>
      <c r="H33" s="101">
        <v>1.9</v>
      </c>
      <c r="I33" s="101">
        <v>0</v>
      </c>
      <c r="J33" s="101">
        <v>0</v>
      </c>
      <c r="K33" s="102">
        <v>0</v>
      </c>
      <c r="L33" s="101">
        <v>1.4</v>
      </c>
      <c r="M33" s="101">
        <v>0</v>
      </c>
      <c r="N33" s="101">
        <v>0.7</v>
      </c>
      <c r="O33" s="101">
        <v>3.1</v>
      </c>
      <c r="P33" s="101">
        <v>0</v>
      </c>
      <c r="Q33" s="101">
        <v>0</v>
      </c>
      <c r="R33" s="101">
        <v>0.4</v>
      </c>
      <c r="S33" s="101">
        <v>0.7</v>
      </c>
      <c r="T33" s="101">
        <v>0</v>
      </c>
      <c r="U33" s="101">
        <v>0</v>
      </c>
      <c r="V33" s="1698">
        <v>0.7</v>
      </c>
      <c r="W33" s="1699">
        <f t="shared" si="5"/>
        <v>0.63636363636363635</v>
      </c>
      <c r="X33" s="1700">
        <f t="shared" si="6"/>
        <v>-9.7368421052635767E-2</v>
      </c>
      <c r="Y33" s="1700">
        <f t="shared" si="7"/>
        <v>0.97</v>
      </c>
      <c r="Z33" s="99"/>
      <c r="AB33" s="100"/>
    </row>
    <row r="34" spans="1:28">
      <c r="A34" s="677" t="s">
        <v>106</v>
      </c>
      <c r="B34" s="101">
        <v>0</v>
      </c>
      <c r="C34" s="101">
        <v>0</v>
      </c>
      <c r="D34" s="101">
        <v>0</v>
      </c>
      <c r="E34" s="101">
        <v>0</v>
      </c>
      <c r="F34" s="101">
        <v>0</v>
      </c>
      <c r="G34" s="101">
        <v>0</v>
      </c>
      <c r="H34" s="101">
        <v>0</v>
      </c>
      <c r="I34" s="101">
        <v>0</v>
      </c>
      <c r="J34" s="101">
        <v>0</v>
      </c>
      <c r="K34" s="102">
        <v>0</v>
      </c>
      <c r="L34" s="101">
        <v>0</v>
      </c>
      <c r="M34" s="101">
        <v>0</v>
      </c>
      <c r="N34" s="101">
        <v>0</v>
      </c>
      <c r="O34" s="101">
        <v>0</v>
      </c>
      <c r="P34" s="101">
        <v>0</v>
      </c>
      <c r="Q34" s="101">
        <v>0</v>
      </c>
      <c r="R34" s="101">
        <v>0</v>
      </c>
      <c r="S34" s="101">
        <v>0</v>
      </c>
      <c r="T34" s="101">
        <v>0</v>
      </c>
      <c r="U34" s="101">
        <v>0</v>
      </c>
      <c r="V34" s="1698">
        <v>0</v>
      </c>
      <c r="W34" s="1699">
        <f t="shared" si="5"/>
        <v>0</v>
      </c>
      <c r="X34" s="1700">
        <f t="shared" si="6"/>
        <v>0</v>
      </c>
      <c r="Y34" s="1700">
        <f t="shared" si="7"/>
        <v>0</v>
      </c>
      <c r="Z34" s="99"/>
      <c r="AB34" s="100"/>
    </row>
    <row r="35" spans="1:28">
      <c r="A35" s="678" t="s">
        <v>107</v>
      </c>
      <c r="B35" s="679">
        <v>0</v>
      </c>
      <c r="C35" s="679">
        <v>0</v>
      </c>
      <c r="D35" s="679">
        <v>0</v>
      </c>
      <c r="E35" s="679">
        <v>0</v>
      </c>
      <c r="F35" s="679">
        <v>0</v>
      </c>
      <c r="G35" s="679">
        <v>0</v>
      </c>
      <c r="H35" s="679">
        <v>0</v>
      </c>
      <c r="I35" s="679">
        <v>0</v>
      </c>
      <c r="J35" s="679">
        <v>0</v>
      </c>
      <c r="K35" s="680">
        <v>0</v>
      </c>
      <c r="L35" s="679">
        <v>0</v>
      </c>
      <c r="M35" s="679">
        <v>0</v>
      </c>
      <c r="N35" s="679">
        <v>0</v>
      </c>
      <c r="O35" s="679">
        <v>0</v>
      </c>
      <c r="P35" s="679">
        <v>0</v>
      </c>
      <c r="Q35" s="679">
        <v>0</v>
      </c>
      <c r="R35" s="679">
        <v>0</v>
      </c>
      <c r="S35" s="679">
        <v>0</v>
      </c>
      <c r="T35" s="679">
        <v>0</v>
      </c>
      <c r="U35" s="679">
        <v>0</v>
      </c>
      <c r="V35" s="1701">
        <v>0</v>
      </c>
      <c r="W35" s="1709">
        <f t="shared" si="5"/>
        <v>0</v>
      </c>
      <c r="X35" s="1702">
        <f t="shared" si="6"/>
        <v>0</v>
      </c>
      <c r="Y35" s="1703">
        <f t="shared" si="7"/>
        <v>0</v>
      </c>
      <c r="Z35" s="99"/>
      <c r="AB35" s="100"/>
    </row>
    <row r="36" spans="1:28">
      <c r="A36" s="40"/>
      <c r="B36" s="40"/>
      <c r="C36" s="40"/>
      <c r="D36" s="40"/>
      <c r="E36" s="40"/>
      <c r="F36" s="37"/>
      <c r="G36" s="37"/>
      <c r="P36" s="40"/>
      <c r="Q36" s="40"/>
      <c r="R36" s="40"/>
      <c r="S36" s="40"/>
      <c r="T36" s="40"/>
      <c r="U36" s="40"/>
      <c r="V36" s="40"/>
    </row>
    <row r="37" spans="1:28">
      <c r="A37" s="1018" t="s">
        <v>5</v>
      </c>
      <c r="B37" s="1019">
        <f>SUM(B24:B35)</f>
        <v>321.39999999999998</v>
      </c>
      <c r="C37" s="1019">
        <f t="shared" ref="C37:U37" si="8">SUM(C24:C35)</f>
        <v>339.30000000000007</v>
      </c>
      <c r="D37" s="1019">
        <f t="shared" si="8"/>
        <v>274.89999999999998</v>
      </c>
      <c r="E37" s="1019">
        <f t="shared" si="8"/>
        <v>178.1</v>
      </c>
      <c r="F37" s="1019">
        <f t="shared" si="8"/>
        <v>397</v>
      </c>
      <c r="G37" s="1019">
        <f t="shared" si="8"/>
        <v>269.09999999999997</v>
      </c>
      <c r="H37" s="1019">
        <f t="shared" si="8"/>
        <v>256.2</v>
      </c>
      <c r="I37" s="1019">
        <f t="shared" si="8"/>
        <v>213.89999999999998</v>
      </c>
      <c r="J37" s="1019">
        <f t="shared" si="8"/>
        <v>180.60000000000002</v>
      </c>
      <c r="K37" s="1019">
        <f t="shared" si="8"/>
        <v>343.2</v>
      </c>
      <c r="L37" s="1019">
        <f t="shared" si="8"/>
        <v>329.9</v>
      </c>
      <c r="M37" s="1019">
        <f t="shared" si="8"/>
        <v>355.00000000000006</v>
      </c>
      <c r="N37" s="1019">
        <f t="shared" si="8"/>
        <v>237.59999999999997</v>
      </c>
      <c r="O37" s="1019">
        <f t="shared" si="8"/>
        <v>207</v>
      </c>
      <c r="P37" s="1019">
        <f t="shared" si="8"/>
        <v>259.49999999999994</v>
      </c>
      <c r="Q37" s="1019">
        <f t="shared" si="8"/>
        <v>342.79999999999995</v>
      </c>
      <c r="R37" s="1019">
        <f t="shared" si="8"/>
        <v>222.50000000000003</v>
      </c>
      <c r="S37" s="1019">
        <f t="shared" si="8"/>
        <v>374.4</v>
      </c>
      <c r="T37" s="1019">
        <f t="shared" si="8"/>
        <v>229</v>
      </c>
      <c r="U37" s="1019">
        <f t="shared" si="8"/>
        <v>361.29999999999995</v>
      </c>
      <c r="V37" s="1710"/>
      <c r="W37" s="1710">
        <f t="shared" ref="W37:Y37" si="9">SUM(W24:W35)</f>
        <v>294.73636363636365</v>
      </c>
      <c r="X37" s="1710">
        <f t="shared" si="9"/>
        <v>300.95947368421042</v>
      </c>
      <c r="Y37" s="1710">
        <f t="shared" si="9"/>
        <v>284.72000000000003</v>
      </c>
    </row>
    <row r="38" spans="1:28">
      <c r="A38" s="1018"/>
      <c r="B38" s="1018"/>
      <c r="C38" s="1018"/>
      <c r="D38" s="1020"/>
      <c r="E38" s="1020"/>
      <c r="F38" s="1020"/>
      <c r="G38" s="1020"/>
      <c r="H38" s="1020"/>
      <c r="I38" s="1020"/>
      <c r="J38" s="1020"/>
      <c r="K38" s="1020"/>
      <c r="L38" s="1020"/>
      <c r="M38" s="1020"/>
      <c r="N38" s="1020"/>
      <c r="O38" s="1020"/>
      <c r="P38" s="1021"/>
      <c r="Q38" s="1021"/>
      <c r="R38" s="1021"/>
      <c r="S38" s="1021"/>
      <c r="T38" s="672" t="s">
        <v>10</v>
      </c>
      <c r="U38" s="672">
        <f>SUM(L24:U35)-2901</f>
        <v>17.999999999999545</v>
      </c>
      <c r="V38" s="1705"/>
      <c r="W38" s="1711">
        <f>SUM(L37:W37)+W37</f>
        <v>3508.4727272727268</v>
      </c>
      <c r="X38" s="1712"/>
      <c r="Y38" s="1712"/>
    </row>
    <row r="39" spans="1:28">
      <c r="A39" s="40"/>
      <c r="B39" s="40"/>
      <c r="C39" s="40"/>
      <c r="D39" s="37"/>
      <c r="E39" s="37"/>
      <c r="F39" s="37"/>
      <c r="G39" s="37"/>
    </row>
  </sheetData>
  <phoneticPr fontId="17" type="noConversion"/>
  <pageMargins left="0.5" right="0.5" top="0.75" bottom="0.75" header="0.5" footer="0.5"/>
  <pageSetup paperSize="5" scale="86" orientation="landscape" r:id="rId1"/>
  <headerFooter alignWithMargins="0">
    <oddFooter>&amp;L&amp;8&amp;D
&amp;Z&amp;F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1770954CE02EF4C909541F59DCA3BCB" ma:contentTypeVersion="13" ma:contentTypeDescription="Create a new document." ma:contentTypeScope="" ma:versionID="e0c658987160ab0219ccaf3ac3b15313">
  <xsd:schema xmlns:xsd="http://www.w3.org/2001/XMLSchema" xmlns:xs="http://www.w3.org/2001/XMLSchema" xmlns:p="http://schemas.microsoft.com/office/2006/metadata/properties" xmlns:ns2="1108e97c-2fda-4b8f-a4bc-e2ee972c5b13" xmlns:ns3="a14c7317-d61c-44ab-aea5-8a713b8afb7d" targetNamespace="http://schemas.microsoft.com/office/2006/metadata/properties" ma:root="true" ma:fieldsID="6517aab701525606b4fb345cde9a32c1" ns2:_="" ns3:_="">
    <xsd:import namespace="1108e97c-2fda-4b8f-a4bc-e2ee972c5b13"/>
    <xsd:import namespace="a14c7317-d61c-44ab-aea5-8a713b8afb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8e97c-2fda-4b8f-a4bc-e2ee972c5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4c7317-d61c-44ab-aea5-8a713b8afb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983AB6-33BE-472C-9ECE-E1EBAF5FFFA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37AE97B-D4EB-4537-A3A7-9084229E29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08e97c-2fda-4b8f-a4bc-e2ee972c5b13"/>
    <ds:schemaRef ds:uri="a14c7317-d61c-44ab-aea5-8a713b8af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EC21F7-FF0F-4BB4-A65F-5F0044E1A7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Exhibit 3 Tables 1</vt:lpstr>
      <vt:lpstr>Exhibit 3 Tables 2</vt:lpstr>
      <vt:lpstr>Summary</vt:lpstr>
      <vt:lpstr>Purchased Power Model No CDM</vt:lpstr>
      <vt:lpstr>Rate Class Energy Model </vt:lpstr>
      <vt:lpstr>Weather Normalized Historical</vt:lpstr>
      <vt:lpstr>Rate Class Customer Model</vt:lpstr>
      <vt:lpstr>Rate Class Load Model</vt:lpstr>
      <vt:lpstr>HDD &amp; CDD</vt:lpstr>
      <vt:lpstr>CDM Activity</vt:lpstr>
      <vt:lpstr>App.2-R_Loss Factors</vt:lpstr>
      <vt:lpstr>2022 COP Forecast</vt:lpstr>
      <vt:lpstr>Bridge RPP Split</vt:lpstr>
      <vt:lpstr>Bridge COP Forecast</vt:lpstr>
      <vt:lpstr>Commodity Price</vt:lpstr>
      <vt:lpstr>Sheet3</vt:lpstr>
      <vt:lpstr>2020 COP Forecast</vt:lpstr>
      <vt:lpstr>Regression Senarios </vt:lpstr>
      <vt:lpstr>'App.2-R_Loss Factors'!Print_Area</vt:lpstr>
      <vt:lpstr>'Rate Class Customer Model'!Print_Area</vt:lpstr>
      <vt:lpstr>'Rate Class Energy Model '!Print_Area</vt:lpstr>
      <vt:lpstr>'Rate Class Load Model'!Print_Area</vt:lpstr>
      <vt:lpstr>'Weather Normalized Historical'!Print_Area</vt:lpstr>
    </vt:vector>
  </TitlesOfParts>
  <Company>London Hydro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Bacon</dc:creator>
  <cp:lastModifiedBy>Jane Wei</cp:lastModifiedBy>
  <cp:lastPrinted>2020-10-19T15:09:58Z</cp:lastPrinted>
  <dcterms:created xsi:type="dcterms:W3CDTF">2008-02-06T18:24:44Z</dcterms:created>
  <dcterms:modified xsi:type="dcterms:W3CDTF">2022-05-03T21:10:51Z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Id">
    <vt:lpwstr>0x01010001770954CE02EF4C909541F59DCA3BCB</vt:lpwstr>
  </property>
</Properties>
</file>