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Interrogatory Responses - May 2022/"/>
    </mc:Choice>
  </mc:AlternateContent>
  <xr:revisionPtr revIDLastSave="381" documentId="8_{803314E6-517D-4B84-80EA-FE1D4F399EBD}" xr6:coauthVersionLast="47" xr6:coauthVersionMax="47" xr10:uidLastSave="{7258C6DB-A5F8-4430-B7B8-E4D422A9C368}"/>
  <bookViews>
    <workbookView xWindow="28680" yWindow="-120" windowWidth="29040" windowHeight="15840" xr2:uid="{00000000-000D-0000-FFFF-FFFF00000000}"/>
  </bookViews>
  <sheets>
    <sheet name="2022 I-03-O-AMPCO-136-01" sheetId="2" r:id="rId1"/>
  </sheets>
  <definedNames>
    <definedName name="_xlnm.Print_Area" localSheetId="0">'2022 I-03-O-AMPCO-136-01'!$A$4:$S$74</definedName>
    <definedName name="_xlnm.Print_Titles" localSheetId="0">'2022 I-03-O-AMPCO-136-01'!$1:$8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2" l="1"/>
  <c r="P16" i="2"/>
  <c r="R10" i="2"/>
  <c r="R17" i="2"/>
  <c r="R13" i="2"/>
  <c r="R22" i="2"/>
  <c r="Q22" i="2"/>
  <c r="P22" i="2"/>
  <c r="R31" i="2"/>
  <c r="Q12" i="2"/>
  <c r="P12" i="2"/>
  <c r="P17" i="2"/>
  <c r="Q31" i="2"/>
  <c r="P31" i="2"/>
  <c r="Q13" i="2"/>
  <c r="P13" i="2"/>
  <c r="Q10" i="2"/>
  <c r="P10" i="2"/>
  <c r="O48" i="2"/>
  <c r="K48" i="2"/>
  <c r="G48" i="2"/>
  <c r="C48" i="2"/>
  <c r="N22" i="2"/>
  <c r="M22" i="2"/>
  <c r="L22" i="2"/>
  <c r="J22" i="2"/>
  <c r="I22" i="2"/>
  <c r="H22" i="2"/>
  <c r="F22" i="2"/>
  <c r="E22" i="2"/>
  <c r="D22" i="2"/>
  <c r="M31" i="2"/>
  <c r="J31" i="2"/>
  <c r="I31" i="2"/>
  <c r="H31" i="2"/>
  <c r="F31" i="2"/>
  <c r="E31" i="2"/>
  <c r="D31" i="2"/>
  <c r="H17" i="2"/>
  <c r="D16" i="2"/>
  <c r="F17" i="2"/>
  <c r="D17" i="2"/>
  <c r="R12" i="2"/>
  <c r="J12" i="2"/>
  <c r="I12" i="2"/>
  <c r="H12" i="2"/>
  <c r="F12" i="2"/>
  <c r="E12" i="2"/>
  <c r="D12" i="2"/>
  <c r="F13" i="2"/>
  <c r="E13" i="2"/>
  <c r="D13" i="2"/>
  <c r="J13" i="2"/>
  <c r="I13" i="2"/>
  <c r="H13" i="2"/>
  <c r="C54" i="2"/>
  <c r="C55" i="2" s="1"/>
  <c r="C39" i="2"/>
  <c r="C45" i="2"/>
  <c r="K39" i="2"/>
  <c r="K55" i="2"/>
  <c r="K54" i="2" s="1"/>
  <c r="K45" i="2"/>
  <c r="G54" i="2"/>
  <c r="G55" i="2" s="1"/>
  <c r="G39" i="2"/>
  <c r="G4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tc={23186293-F0FE-4D1E-9E6D-05357588B07E}</author>
    <author>tc={17E558F0-CA5C-4DEC-AD9E-52E6D64EA362}</author>
  </authors>
  <commentList>
    <comment ref="O48" authorId="0" shapeId="0" xr:uid="{23186293-F0FE-4D1E-9E6D-05357588B07E}">
      <text>
        <t>[Threaded comment]
Your version of Excel allows you to read this threaded comment; however, any edits to it will get removed if the file is opened in a newer version of Excel. Learn more: https://go.microsoft.com/fwlink/?linkid=870924
Comment:
    AMI numbers have been updated to end of 2021</t>
      </text>
    </comment>
    <comment ref="A62" authorId="1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@BELL Michael @DESROSIERS Darren 
These notes don't seem to be updated?
Reply:
    @BEAUSOLEIL Trevor Trevor - can you confirm that the notes that are applicable to reclosers are still valid? I believe they are likely carry over notes from the previous table in 2017
Reply:
    @DESROSIERS Darren Note 1 for reclosers is still valid.  It would be difficult to separate oil from vacuum recloser condition scores.  Could be done with a lot of unnecessary manual effort.  I removed the old note 2.
Reply:
    Notes are valid.</t>
      </text>
    </comment>
  </commentList>
</comments>
</file>

<file path=xl/sharedStrings.xml><?xml version="1.0" encoding="utf-8"?>
<sst xmlns="http://schemas.openxmlformats.org/spreadsheetml/2006/main" count="612" uniqueCount="78">
  <si>
    <t>I-03-O-AMPCO-136-01</t>
  </si>
  <si>
    <t xml:space="preserve">Ref: EB-2017-0049, Exhibit I-24-AMPCO-23, Attachment 1 </t>
  </si>
  <si>
    <t>Asset Condition</t>
  </si>
  <si>
    <t># asset units</t>
  </si>
  <si>
    <t>Asset Category</t>
  </si>
  <si>
    <t>Population</t>
  </si>
  <si>
    <t>2018 Condition</t>
  </si>
  <si>
    <t>2019 Condition</t>
  </si>
  <si>
    <t>2020 Condition</t>
  </si>
  <si>
    <t>2021 Condition</t>
  </si>
  <si>
    <t xml:space="preserve">Poor </t>
  </si>
  <si>
    <t>Fair</t>
  </si>
  <si>
    <t>Good</t>
  </si>
  <si>
    <t>Station Transformers</t>
  </si>
  <si>
    <t>All</t>
  </si>
  <si>
    <t>N/A</t>
  </si>
  <si>
    <t>In Service</t>
  </si>
  <si>
    <t>Spares</t>
  </si>
  <si>
    <t>Mobile Unit Substations</t>
  </si>
  <si>
    <t>Reclosers</t>
  </si>
  <si>
    <t>Oil</t>
  </si>
  <si>
    <t>Note 1</t>
  </si>
  <si>
    <t>Vaccum</t>
  </si>
  <si>
    <t>Circuit Breakers</t>
  </si>
  <si>
    <t>Metalclad</t>
  </si>
  <si>
    <t>SF6</t>
  </si>
  <si>
    <t>Switches</t>
  </si>
  <si>
    <t>NA</t>
  </si>
  <si>
    <t>Fuses</t>
  </si>
  <si>
    <t>Station Structures</t>
  </si>
  <si>
    <t>Fences</t>
  </si>
  <si>
    <t>Station Grounding Systems</t>
  </si>
  <si>
    <t>Station Service Transformers</t>
  </si>
  <si>
    <t>Insulators</t>
  </si>
  <si>
    <t>Bus Work</t>
  </si>
  <si>
    <t>Protection Relays</t>
  </si>
  <si>
    <t>IEDs</t>
  </si>
  <si>
    <t>Spill Containment Systems</t>
  </si>
  <si>
    <t>MUS Structures</t>
  </si>
  <si>
    <t>Poles</t>
  </si>
  <si>
    <t>Wood</t>
  </si>
  <si>
    <t>Steel</t>
  </si>
  <si>
    <t>Concrete</t>
  </si>
  <si>
    <t>Composite</t>
  </si>
  <si>
    <t>Red Pine Wood</t>
  </si>
  <si>
    <t>Rights of Way</t>
  </si>
  <si>
    <t>Line Transformers</t>
  </si>
  <si>
    <t>Pole Mounted Transformers</t>
  </si>
  <si>
    <t>Pad Mounted Transformers</t>
  </si>
  <si>
    <t>Submersible transformers</t>
  </si>
  <si>
    <t>Transclosures and Pole-Trans Transformer</t>
  </si>
  <si>
    <t>Submarine Cables (circuit km)</t>
  </si>
  <si>
    <t>Conductor (circuit km)</t>
  </si>
  <si>
    <t>Overhead</t>
  </si>
  <si>
    <t>Underground</t>
  </si>
  <si>
    <t>AMI</t>
  </si>
  <si>
    <t>Retails Meters</t>
  </si>
  <si>
    <t>Collectors</t>
  </si>
  <si>
    <t>Repeaters</t>
  </si>
  <si>
    <t>Air Break &amp; Load Break - 3 Phase</t>
  </si>
  <si>
    <r>
      <t>Reclosers</t>
    </r>
    <r>
      <rPr>
        <sz val="10"/>
        <color rgb="FFFF0000"/>
        <rFont val="Arial"/>
        <family val="2"/>
      </rPr>
      <t xml:space="preserve"> 
</t>
    </r>
    <r>
      <rPr>
        <b/>
        <sz val="10"/>
        <color rgb="FFFF0000"/>
        <rFont val="Arial"/>
        <family val="2"/>
      </rPr>
      <t>(Note 3)</t>
    </r>
  </si>
  <si>
    <t>Hydraulic</t>
  </si>
  <si>
    <t>Electronic</t>
  </si>
  <si>
    <t>Regulators</t>
  </si>
  <si>
    <t>Capacitor Banks</t>
  </si>
  <si>
    <t>This implies that there is no condition algorithm for this asset class, however defect and/or testing data exists</t>
  </si>
  <si>
    <t>Condition algorithms have not been developed to this level of granularity for this asset sub-type.</t>
  </si>
  <si>
    <t>Note 2</t>
  </si>
  <si>
    <t>Feeder lengths are provided are from Q3-2021 (row 46-49). All other population counts provided in column O (excluding pole counts) are as of Nov. 12, 2021.</t>
  </si>
  <si>
    <t>Note 3</t>
  </si>
  <si>
    <t>Assumed this refers to line reclosers</t>
  </si>
  <si>
    <t>Note 4</t>
  </si>
  <si>
    <t>The data provided in I-24-AMPCO-23, Attachment 1 for AMI was incorrect. Below is the corrected data for AMI for the 2014-2017 period.</t>
  </si>
  <si>
    <t>2014 Condition</t>
  </si>
  <si>
    <t>2015 Condition</t>
  </si>
  <si>
    <t>2016 Condition</t>
  </si>
  <si>
    <t>2017 Condition</t>
  </si>
  <si>
    <t xml:space="preserve">The Q3 numbers erroneously included some LDC acquired line assets  that belonged to acquired LDCs (Peterborough and Orillia). This error has been rectified in the 2021 year-end counts.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</si>
</sst>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indexed="64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indexed="64"/>
      </right>
      <top style="medium">
        <color theme="2" tint="-0.499984740745262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indexed="64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indexed="64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indexed="64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indexed="64"/>
      </bottom>
      <diagonal/>
    </border>
    <border>
      <left/>
      <right style="medium">
        <color theme="2" tint="-0.499984740745262"/>
      </right>
      <top/>
      <bottom/>
      <diagonal/>
    </border>
    <border>
      <left/>
      <right style="medium">
        <color theme="2" tint="-0.499984740745262"/>
      </right>
      <top/>
      <bottom style="medium">
        <color indexed="64"/>
      </bottom>
      <diagonal/>
    </border>
    <border>
      <left style="medium">
        <color indexed="64"/>
      </left>
      <right style="medium">
        <color theme="2" tint="-0.499984740745262"/>
      </right>
      <top/>
      <bottom/>
      <diagonal/>
    </border>
    <border>
      <left/>
      <right style="medium">
        <color theme="2" tint="-0.499984740745262"/>
      </right>
      <top style="medium">
        <color indexed="64"/>
      </top>
      <bottom style="medium">
        <color theme="2" tint="-0.499984740745262"/>
      </bottom>
      <diagonal/>
    </border>
    <border>
      <left style="medium">
        <color theme="2" tint="-0.499984740745262"/>
      </left>
      <right style="double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double">
        <color theme="2" tint="-0.499984740745262"/>
      </right>
      <top/>
      <bottom/>
      <diagonal/>
    </border>
    <border>
      <left style="medium">
        <color theme="2" tint="-0.499984740745262"/>
      </left>
      <right style="double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double">
        <color theme="2" tint="-0.499984740745262"/>
      </right>
      <top/>
      <bottom style="medium">
        <color theme="2" tint="-0.499984740745262"/>
      </bottom>
      <diagonal/>
    </border>
    <border>
      <left/>
      <right style="double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double">
        <color theme="2" tint="-0.499984740745262"/>
      </right>
      <top/>
      <bottom/>
      <diagonal/>
    </border>
    <border>
      <left style="medium">
        <color indexed="64"/>
      </left>
      <right style="double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double">
        <color theme="2" tint="-0.499984740745262"/>
      </right>
      <top/>
      <bottom style="medium">
        <color theme="2" tint="-0.499984740745262"/>
      </bottom>
      <diagonal/>
    </border>
    <border>
      <left/>
      <right style="double">
        <color theme="2" tint="-0.499984740745262"/>
      </right>
      <top style="medium">
        <color theme="2" tint="-0.499984740745262"/>
      </top>
      <bottom/>
      <diagonal/>
    </border>
    <border>
      <left/>
      <right style="double">
        <color theme="2" tint="-0.499984740745262"/>
      </right>
      <top/>
      <bottom style="medium">
        <color indexed="64"/>
      </bottom>
      <diagonal/>
    </border>
    <border>
      <left/>
      <right style="double">
        <color theme="2" tint="-0.499984740745262"/>
      </right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indexed="64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indexed="64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indexed="64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/>
      <diagonal/>
    </border>
    <border>
      <left style="medium">
        <color theme="2" tint="-0.499984740745262"/>
      </left>
      <right style="double">
        <color theme="2" tint="-0.499984740745262"/>
      </right>
      <top style="medium">
        <color theme="2" tint="-0.499984740745262"/>
      </top>
      <bottom style="medium">
        <color indexed="64"/>
      </bottom>
      <diagonal/>
    </border>
    <border>
      <left style="medium">
        <color theme="2" tint="-0.499984740745262"/>
      </left>
      <right style="double">
        <color theme="2" tint="-0.499984740745262"/>
      </right>
      <top/>
      <bottom style="medium">
        <color indexed="64"/>
      </bottom>
      <diagonal/>
    </border>
    <border>
      <left style="double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double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235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/>
    <xf numFmtId="3" fontId="0" fillId="0" borderId="0" xfId="0" applyNumberFormat="1"/>
    <xf numFmtId="0" fontId="13" fillId="0" borderId="0" xfId="0" applyFont="1"/>
    <xf numFmtId="0" fontId="8" fillId="0" borderId="0" xfId="0" applyFont="1" applyAlignment="1">
      <alignment vertical="center"/>
    </xf>
    <xf numFmtId="0" fontId="14" fillId="4" borderId="2" xfId="0" applyFont="1" applyFill="1" applyBorder="1" applyAlignment="1">
      <alignment horizontal="center" vertical="center" wrapText="1"/>
    </xf>
    <xf numFmtId="0" fontId="0" fillId="0" borderId="6" xfId="0" applyBorder="1"/>
    <xf numFmtId="0" fontId="12" fillId="0" borderId="0" xfId="0" applyFont="1" applyAlignment="1"/>
    <xf numFmtId="0" fontId="12" fillId="0" borderId="0" xfId="0" applyFont="1" applyBorder="1" applyAlignment="1"/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4" xfId="0" applyBorder="1"/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9" fontId="14" fillId="3" borderId="20" xfId="1" applyFont="1" applyFill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9" fontId="14" fillId="3" borderId="9" xfId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9" fontId="14" fillId="3" borderId="19" xfId="1" applyFont="1" applyFill="1" applyBorder="1" applyAlignment="1">
      <alignment horizontal="center" vertical="center" wrapText="1"/>
    </xf>
    <xf numFmtId="9" fontId="14" fillId="0" borderId="18" xfId="0" applyNumberFormat="1" applyFont="1" applyBorder="1" applyAlignment="1">
      <alignment horizontal="center" vertical="center" wrapText="1"/>
    </xf>
    <xf numFmtId="9" fontId="14" fillId="3" borderId="7" xfId="1" applyFont="1" applyFill="1" applyBorder="1" applyAlignment="1">
      <alignment horizontal="center" vertical="center" wrapText="1"/>
    </xf>
    <xf numFmtId="9" fontId="14" fillId="2" borderId="28" xfId="1" applyFont="1" applyFill="1" applyBorder="1" applyAlignment="1">
      <alignment horizontal="center" vertical="center" wrapText="1"/>
    </xf>
    <xf numFmtId="9" fontId="14" fillId="3" borderId="11" xfId="1" applyFont="1" applyFill="1" applyBorder="1" applyAlignment="1">
      <alignment horizontal="center" vertical="center" wrapText="1"/>
    </xf>
    <xf numFmtId="9" fontId="14" fillId="0" borderId="7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9" fontId="14" fillId="3" borderId="22" xfId="1" applyFont="1" applyFill="1" applyBorder="1" applyAlignment="1">
      <alignment horizontal="center" vertical="center" wrapText="1"/>
    </xf>
    <xf numFmtId="9" fontId="14" fillId="0" borderId="29" xfId="0" applyNumberFormat="1" applyFont="1" applyBorder="1" applyAlignment="1">
      <alignment horizontal="center" vertical="center" wrapText="1"/>
    </xf>
    <xf numFmtId="9" fontId="14" fillId="0" borderId="11" xfId="0" applyNumberFormat="1" applyFont="1" applyBorder="1" applyAlignment="1">
      <alignment horizontal="center" vertical="center" wrapText="1"/>
    </xf>
    <xf numFmtId="9" fontId="14" fillId="2" borderId="30" xfId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9" fontId="3" fillId="3" borderId="19" xfId="1" applyFont="1" applyFill="1" applyBorder="1" applyAlignment="1">
      <alignment horizontal="center" vertical="center" wrapText="1"/>
    </xf>
    <xf numFmtId="9" fontId="3" fillId="0" borderId="18" xfId="1" applyFont="1" applyFill="1" applyBorder="1" applyAlignment="1">
      <alignment horizontal="center" vertical="center" wrapText="1"/>
    </xf>
    <xf numFmtId="9" fontId="3" fillId="3" borderId="7" xfId="1" applyFont="1" applyFill="1" applyBorder="1" applyAlignment="1">
      <alignment horizontal="center" vertical="center" wrapText="1"/>
    </xf>
    <xf numFmtId="9" fontId="3" fillId="3" borderId="20" xfId="1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9" fontId="3" fillId="3" borderId="9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9" fontId="3" fillId="2" borderId="28" xfId="1" applyFont="1" applyFill="1" applyBorder="1" applyAlignment="1">
      <alignment horizontal="center" vertical="center" wrapText="1"/>
    </xf>
    <xf numFmtId="9" fontId="3" fillId="0" borderId="18" xfId="0" applyNumberFormat="1" applyFont="1" applyBorder="1" applyAlignment="1">
      <alignment horizontal="center" vertical="center" wrapText="1"/>
    </xf>
    <xf numFmtId="9" fontId="3" fillId="3" borderId="22" xfId="1" applyFont="1" applyFill="1" applyBorder="1" applyAlignment="1">
      <alignment horizontal="center" vertical="center" wrapText="1"/>
    </xf>
    <xf numFmtId="9" fontId="3" fillId="0" borderId="29" xfId="1" applyFont="1" applyFill="1" applyBorder="1" applyAlignment="1">
      <alignment horizontal="center" vertical="center" wrapText="1"/>
    </xf>
    <xf numFmtId="9" fontId="3" fillId="3" borderId="11" xfId="1" applyFont="1" applyFill="1" applyBorder="1" applyAlignment="1">
      <alignment horizontal="center" vertical="center" wrapText="1"/>
    </xf>
    <xf numFmtId="9" fontId="3" fillId="2" borderId="3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9" fontId="3" fillId="0" borderId="11" xfId="0" applyNumberFormat="1" applyFont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9" fontId="14" fillId="0" borderId="11" xfId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9" fontId="14" fillId="0" borderId="11" xfId="1" applyFont="1" applyBorder="1" applyAlignment="1">
      <alignment horizontal="center" vertical="center" wrapText="1"/>
    </xf>
    <xf numFmtId="9" fontId="3" fillId="0" borderId="11" xfId="1" applyFont="1" applyBorder="1" applyAlignment="1">
      <alignment horizontal="center" vertical="center" wrapText="1"/>
    </xf>
    <xf numFmtId="37" fontId="3" fillId="0" borderId="10" xfId="2" applyNumberFormat="1" applyFont="1" applyBorder="1" applyAlignment="1">
      <alignment horizontal="center" vertical="center" wrapText="1"/>
    </xf>
    <xf numFmtId="37" fontId="3" fillId="0" borderId="15" xfId="2" applyNumberFormat="1" applyFont="1" applyBorder="1" applyAlignment="1">
      <alignment horizontal="center" vertical="center" wrapText="1"/>
    </xf>
    <xf numFmtId="0" fontId="3" fillId="3" borderId="16" xfId="1" applyNumberFormat="1" applyFont="1" applyFill="1" applyBorder="1" applyAlignment="1">
      <alignment horizontal="center" vertical="center" wrapText="1"/>
    </xf>
    <xf numFmtId="3" fontId="3" fillId="0" borderId="0" xfId="2" applyNumberFormat="1" applyFont="1" applyBorder="1" applyAlignment="1">
      <alignment horizontal="center" vertical="center" wrapText="1"/>
    </xf>
    <xf numFmtId="37" fontId="3" fillId="0" borderId="12" xfId="2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7" fontId="3" fillId="0" borderId="11" xfId="2" applyNumberFormat="1" applyFont="1" applyBorder="1" applyAlignment="1">
      <alignment horizontal="center" vertical="center" wrapText="1"/>
    </xf>
    <xf numFmtId="0" fontId="3" fillId="3" borderId="7" xfId="1" applyNumberFormat="1" applyFont="1" applyFill="1" applyBorder="1" applyAlignment="1">
      <alignment horizontal="center" vertical="center" wrapText="1"/>
    </xf>
    <xf numFmtId="0" fontId="3" fillId="3" borderId="11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37" fontId="3" fillId="0" borderId="22" xfId="2" applyNumberFormat="1" applyFont="1" applyBorder="1" applyAlignment="1">
      <alignment horizontal="center" vertical="center" wrapText="1"/>
    </xf>
    <xf numFmtId="9" fontId="2" fillId="0" borderId="25" xfId="1" applyFont="1" applyFill="1" applyBorder="1" applyAlignment="1">
      <alignment horizontal="center" vertical="center" wrapText="1"/>
    </xf>
    <xf numFmtId="9" fontId="14" fillId="2" borderId="27" xfId="1" applyFont="1" applyFill="1" applyBorder="1" applyAlignment="1">
      <alignment horizontal="center" vertical="center" wrapText="1"/>
    </xf>
    <xf numFmtId="9" fontId="2" fillId="2" borderId="32" xfId="0" applyNumberFormat="1" applyFont="1" applyFill="1" applyBorder="1" applyAlignment="1">
      <alignment horizontal="center" vertical="center" wrapText="1"/>
    </xf>
    <xf numFmtId="0" fontId="14" fillId="3" borderId="11" xfId="1" applyNumberFormat="1" applyFont="1" applyFill="1" applyBorder="1" applyAlignment="1">
      <alignment horizontal="center" vertical="center" wrapText="1"/>
    </xf>
    <xf numFmtId="0" fontId="14" fillId="3" borderId="29" xfId="1" applyNumberFormat="1" applyFont="1" applyFill="1" applyBorder="1" applyAlignment="1">
      <alignment horizontal="center" vertical="center" wrapText="1"/>
    </xf>
    <xf numFmtId="0" fontId="14" fillId="3" borderId="25" xfId="1" applyNumberFormat="1" applyFont="1" applyFill="1" applyBorder="1" applyAlignment="1">
      <alignment horizontal="center" vertical="center" wrapText="1"/>
    </xf>
    <xf numFmtId="0" fontId="14" fillId="3" borderId="22" xfId="1" applyNumberFormat="1" applyFont="1" applyFill="1" applyBorder="1" applyAlignment="1">
      <alignment horizontal="center" vertical="center" wrapText="1"/>
    </xf>
    <xf numFmtId="9" fontId="14" fillId="0" borderId="11" xfId="1" applyFont="1" applyFill="1" applyBorder="1" applyAlignment="1">
      <alignment horizontal="center" vertical="center" wrapText="1"/>
    </xf>
    <xf numFmtId="9" fontId="2" fillId="0" borderId="12" xfId="1" applyFont="1" applyFill="1" applyBorder="1" applyAlignment="1">
      <alignment horizontal="center" vertical="center" wrapText="1"/>
    </xf>
    <xf numFmtId="9" fontId="14" fillId="0" borderId="9" xfId="1" applyFont="1" applyBorder="1" applyAlignment="1">
      <alignment horizontal="center" vertical="center" wrapText="1"/>
    </xf>
    <xf numFmtId="9" fontId="2" fillId="0" borderId="29" xfId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3" fontId="14" fillId="0" borderId="29" xfId="2" applyNumberFormat="1" applyFont="1" applyFill="1" applyBorder="1" applyAlignment="1">
      <alignment horizontal="center" vertical="center" wrapText="1"/>
    </xf>
    <xf numFmtId="3" fontId="14" fillId="0" borderId="11" xfId="2" applyNumberFormat="1" applyFont="1" applyBorder="1" applyAlignment="1">
      <alignment horizontal="center" vertical="center" wrapText="1"/>
    </xf>
    <xf numFmtId="3" fontId="14" fillId="0" borderId="22" xfId="2" applyNumberFormat="1" applyFont="1" applyBorder="1" applyAlignment="1">
      <alignment horizontal="center" vertical="center" wrapText="1"/>
    </xf>
    <xf numFmtId="0" fontId="3" fillId="3" borderId="31" xfId="1" applyNumberFormat="1" applyFont="1" applyFill="1" applyBorder="1" applyAlignment="1">
      <alignment horizontal="center" vertical="center" wrapText="1"/>
    </xf>
    <xf numFmtId="9" fontId="7" fillId="2" borderId="32" xfId="0" applyNumberFormat="1" applyFont="1" applyFill="1" applyBorder="1" applyAlignment="1">
      <alignment horizontal="center" vertical="center" wrapText="1"/>
    </xf>
    <xf numFmtId="0" fontId="3" fillId="3" borderId="29" xfId="1" applyNumberFormat="1" applyFont="1" applyFill="1" applyBorder="1" applyAlignment="1">
      <alignment horizontal="center" vertical="center" wrapText="1"/>
    </xf>
    <xf numFmtId="0" fontId="3" fillId="3" borderId="25" xfId="1" applyNumberFormat="1" applyFont="1" applyFill="1" applyBorder="1" applyAlignment="1">
      <alignment horizontal="center" vertical="center" wrapText="1"/>
    </xf>
    <xf numFmtId="0" fontId="3" fillId="3" borderId="22" xfId="1" applyNumberFormat="1" applyFont="1" applyFill="1" applyBorder="1" applyAlignment="1">
      <alignment horizontal="center" vertical="center" wrapText="1"/>
    </xf>
    <xf numFmtId="9" fontId="3" fillId="0" borderId="11" xfId="1" applyFont="1" applyFill="1" applyBorder="1" applyAlignment="1">
      <alignment horizontal="center" vertical="center" wrapText="1"/>
    </xf>
    <xf numFmtId="9" fontId="3" fillId="0" borderId="9" xfId="1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7" fontId="2" fillId="0" borderId="29" xfId="2" applyNumberFormat="1" applyFont="1" applyFill="1" applyBorder="1" applyAlignment="1">
      <alignment horizontal="center" vertical="center" wrapText="1"/>
    </xf>
    <xf numFmtId="0" fontId="3" fillId="3" borderId="19" xfId="1" applyNumberFormat="1" applyFont="1" applyFill="1" applyBorder="1" applyAlignment="1">
      <alignment horizontal="center" vertical="center" wrapText="1"/>
    </xf>
    <xf numFmtId="3" fontId="3" fillId="0" borderId="11" xfId="2" applyNumberFormat="1" applyFont="1" applyBorder="1" applyAlignment="1">
      <alignment horizontal="center" vertical="center" wrapText="1"/>
    </xf>
    <xf numFmtId="0" fontId="3" fillId="3" borderId="18" xfId="1" applyNumberFormat="1" applyFont="1" applyFill="1" applyBorder="1" applyAlignment="1">
      <alignment horizontal="center" vertical="center" wrapText="1"/>
    </xf>
    <xf numFmtId="0" fontId="3" fillId="3" borderId="17" xfId="1" applyNumberFormat="1" applyFont="1" applyFill="1" applyBorder="1" applyAlignment="1">
      <alignment horizontal="center" vertical="center" wrapText="1"/>
    </xf>
    <xf numFmtId="37" fontId="3" fillId="0" borderId="29" xfId="2" applyNumberFormat="1" applyFont="1" applyBorder="1" applyAlignment="1">
      <alignment horizontal="center" vertical="center" wrapText="1"/>
    </xf>
    <xf numFmtId="37" fontId="3" fillId="0" borderId="25" xfId="2" applyNumberFormat="1" applyFont="1" applyBorder="1" applyAlignment="1">
      <alignment horizontal="center" vertical="center" wrapText="1"/>
    </xf>
    <xf numFmtId="37" fontId="3" fillId="0" borderId="25" xfId="2" applyNumberFormat="1" applyFont="1" applyBorder="1" applyAlignment="1">
      <alignment horizontal="center" vertical="center" wrapText="1"/>
    </xf>
    <xf numFmtId="37" fontId="3" fillId="0" borderId="22" xfId="2" applyNumberFormat="1" applyFont="1" applyBorder="1" applyAlignment="1">
      <alignment horizontal="center" vertical="center" wrapText="1"/>
    </xf>
    <xf numFmtId="37" fontId="14" fillId="0" borderId="9" xfId="2" applyNumberFormat="1" applyFont="1" applyBorder="1" applyAlignment="1">
      <alignment horizontal="center" vertical="center" wrapText="1"/>
    </xf>
    <xf numFmtId="3" fontId="14" fillId="0" borderId="9" xfId="2" applyNumberFormat="1" applyFont="1" applyBorder="1" applyAlignment="1">
      <alignment horizontal="center" vertical="center" wrapText="1"/>
    </xf>
    <xf numFmtId="3" fontId="14" fillId="0" borderId="0" xfId="2" applyNumberFormat="1" applyFont="1" applyBorder="1" applyAlignment="1">
      <alignment horizontal="center" vertical="center" wrapText="1"/>
    </xf>
    <xf numFmtId="3" fontId="14" fillId="0" borderId="12" xfId="2" applyNumberFormat="1" applyFont="1" applyBorder="1" applyAlignment="1">
      <alignment horizontal="center" vertical="center" wrapText="1"/>
    </xf>
    <xf numFmtId="0" fontId="14" fillId="3" borderId="7" xfId="1" applyNumberFormat="1" applyFont="1" applyFill="1" applyBorder="1" applyAlignment="1">
      <alignment horizontal="center" vertical="center" wrapText="1"/>
    </xf>
    <xf numFmtId="0" fontId="14" fillId="3" borderId="19" xfId="1" applyNumberFormat="1" applyFont="1" applyFill="1" applyBorder="1" applyAlignment="1">
      <alignment horizontal="center" vertical="center" wrapText="1"/>
    </xf>
    <xf numFmtId="0" fontId="14" fillId="3" borderId="18" xfId="1" applyNumberFormat="1" applyFont="1" applyFill="1" applyBorder="1" applyAlignment="1">
      <alignment horizontal="center" vertical="center" wrapText="1"/>
    </xf>
    <xf numFmtId="0" fontId="14" fillId="3" borderId="17" xfId="1" applyNumberFormat="1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7" xfId="0" applyBorder="1"/>
    <xf numFmtId="0" fontId="3" fillId="0" borderId="19" xfId="0" applyFont="1" applyBorder="1" applyAlignment="1">
      <alignment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3" fontId="2" fillId="0" borderId="29" xfId="2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3" fillId="0" borderId="22" xfId="2" applyNumberFormat="1" applyFont="1" applyBorder="1" applyAlignment="1">
      <alignment horizontal="center" vertical="center" wrapText="1"/>
    </xf>
    <xf numFmtId="3" fontId="3" fillId="0" borderId="12" xfId="2" applyNumberFormat="1" applyFont="1" applyBorder="1" applyAlignment="1">
      <alignment horizontal="center" vertical="center" wrapText="1"/>
    </xf>
    <xf numFmtId="3" fontId="3" fillId="0" borderId="20" xfId="2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3" fontId="3" fillId="0" borderId="29" xfId="2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center" wrapText="1"/>
    </xf>
    <xf numFmtId="0" fontId="3" fillId="3" borderId="37" xfId="1" applyNumberFormat="1" applyFont="1" applyFill="1" applyBorder="1" applyAlignment="1">
      <alignment horizontal="center" vertical="center" wrapText="1"/>
    </xf>
    <xf numFmtId="0" fontId="3" fillId="3" borderId="38" xfId="1" applyNumberFormat="1" applyFont="1" applyFill="1" applyBorder="1" applyAlignment="1">
      <alignment horizontal="center" vertical="center" wrapText="1"/>
    </xf>
    <xf numFmtId="0" fontId="3" fillId="3" borderId="40" xfId="1" applyNumberFormat="1" applyFont="1" applyFill="1" applyBorder="1" applyAlignment="1">
      <alignment horizontal="center" vertical="center" wrapText="1"/>
    </xf>
    <xf numFmtId="9" fontId="2" fillId="0" borderId="41" xfId="1" applyFont="1" applyFill="1" applyBorder="1" applyAlignment="1">
      <alignment horizontal="center" vertical="center" wrapText="1"/>
    </xf>
    <xf numFmtId="9" fontId="3" fillId="0" borderId="37" xfId="1" applyFont="1" applyBorder="1" applyAlignment="1">
      <alignment horizontal="center" vertical="center" wrapText="1"/>
    </xf>
    <xf numFmtId="9" fontId="3" fillId="3" borderId="37" xfId="1" applyFont="1" applyFill="1" applyBorder="1" applyAlignment="1">
      <alignment horizontal="center" vertical="center" wrapText="1"/>
    </xf>
    <xf numFmtId="9" fontId="3" fillId="0" borderId="38" xfId="1" applyFont="1" applyFill="1" applyBorder="1" applyAlignment="1">
      <alignment horizontal="center" vertical="center" wrapText="1"/>
    </xf>
    <xf numFmtId="9" fontId="3" fillId="0" borderId="37" xfId="0" applyNumberFormat="1" applyFont="1" applyBorder="1" applyAlignment="1">
      <alignment horizontal="center" vertical="center" wrapText="1"/>
    </xf>
    <xf numFmtId="9" fontId="3" fillId="2" borderId="42" xfId="1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9" fontId="7" fillId="2" borderId="43" xfId="0" applyNumberFormat="1" applyFont="1" applyFill="1" applyBorder="1" applyAlignment="1">
      <alignment horizontal="center" vertical="center" wrapText="1"/>
    </xf>
    <xf numFmtId="9" fontId="3" fillId="0" borderId="37" xfId="1" applyFont="1" applyBorder="1" applyAlignment="1">
      <alignment horizontal="center" vertical="center" wrapText="1"/>
    </xf>
    <xf numFmtId="0" fontId="3" fillId="3" borderId="41" xfId="1" applyNumberFormat="1" applyFont="1" applyFill="1" applyBorder="1" applyAlignment="1">
      <alignment horizontal="center" vertical="center" wrapText="1"/>
    </xf>
    <xf numFmtId="37" fontId="3" fillId="0" borderId="29" xfId="2" applyNumberFormat="1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9" fontId="3" fillId="3" borderId="40" xfId="1" applyFont="1" applyFill="1" applyBorder="1" applyAlignment="1">
      <alignment horizontal="center" vertical="center" wrapText="1"/>
    </xf>
    <xf numFmtId="3" fontId="14" fillId="0" borderId="12" xfId="2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9" fontId="3" fillId="0" borderId="38" xfId="0" applyNumberFormat="1" applyFont="1" applyBorder="1" applyAlignment="1">
      <alignment horizontal="center" vertical="center" wrapText="1"/>
    </xf>
    <xf numFmtId="9" fontId="3" fillId="0" borderId="37" xfId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left"/>
    </xf>
    <xf numFmtId="0" fontId="15" fillId="0" borderId="0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6" fillId="4" borderId="5" xfId="0" applyFont="1" applyFill="1" applyBorder="1"/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44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3" borderId="46" xfId="0" applyFill="1" applyBorder="1"/>
    <xf numFmtId="0" fontId="8" fillId="0" borderId="47" xfId="0" applyFont="1" applyBorder="1"/>
    <xf numFmtId="0" fontId="7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0" fontId="5" fillId="5" borderId="28" xfId="0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5" borderId="18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14" fillId="5" borderId="11" xfId="0" applyFont="1" applyFill="1" applyBorder="1" applyAlignment="1">
      <alignment vertical="center" wrapText="1"/>
    </xf>
    <xf numFmtId="3" fontId="14" fillId="0" borderId="29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4" fillId="5" borderId="7" xfId="0" applyFont="1" applyFill="1" applyBorder="1" applyAlignment="1">
      <alignment vertical="center" wrapText="1"/>
    </xf>
    <xf numFmtId="0" fontId="14" fillId="5" borderId="18" xfId="0" applyFont="1" applyFill="1" applyBorder="1" applyAlignment="1">
      <alignment vertical="center" wrapText="1"/>
    </xf>
    <xf numFmtId="0" fontId="2" fillId="0" borderId="29" xfId="0" applyFont="1" applyBorder="1" applyAlignment="1">
      <alignment horizontal="center" vertical="center" wrapText="1"/>
    </xf>
    <xf numFmtId="0" fontId="14" fillId="5" borderId="29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3" fontId="5" fillId="0" borderId="11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0" fontId="5" fillId="5" borderId="49" xfId="0" applyFont="1" applyFill="1" applyBorder="1" applyAlignment="1">
      <alignment vertical="center" wrapText="1"/>
    </xf>
    <xf numFmtId="0" fontId="5" fillId="5" borderId="50" xfId="0" applyFont="1" applyFill="1" applyBorder="1" applyAlignment="1">
      <alignment vertical="center" wrapText="1"/>
    </xf>
    <xf numFmtId="3" fontId="14" fillId="0" borderId="11" xfId="0" applyNumberFormat="1" applyFont="1" applyBorder="1" applyAlignment="1">
      <alignment horizontal="right" vertical="center" wrapText="1"/>
    </xf>
    <xf numFmtId="0" fontId="5" fillId="5" borderId="35" xfId="0" applyFont="1" applyFill="1" applyBorder="1" applyAlignment="1">
      <alignment vertical="center" wrapText="1"/>
    </xf>
    <xf numFmtId="0" fontId="5" fillId="5" borderId="33" xfId="0" applyFont="1" applyFill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0" fillId="0" borderId="18" xfId="0" applyBorder="1"/>
    <xf numFmtId="0" fontId="3" fillId="0" borderId="13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ocumenttasks/documenttask1.xml><?xml version="1.0" encoding="utf-8"?>
<Tasks xmlns="http://schemas.microsoft.com/office/tasks/2019/documenttasks">
  <Task id="{65E2378C-CE9A-4D6C-B476-C56C7342AA19}">
    <Anchor>
      <Comment id="{17E558F0-CA5C-4DEC-AD9E-52E6D64EA362}"/>
    </Anchor>
    <History>
      <Event time="2021-11-23T17:42:12.37" id="{5AE09EA3-61CF-414F-8954-EC4426E35907}">
        <Attribution userId="S::michael.medeiros@hydroone.com::7855ffe4-e4f2-417f-acab-0aef7404f463" userName="MEDEIROS Michael" userProvider="AD"/>
        <Anchor>
          <Comment id="{17E558F0-CA5C-4DEC-AD9E-52E6D64EA362}"/>
        </Anchor>
        <Create/>
      </Event>
      <Event time="2021-11-23T17:42:12.37" id="{3E1AE851-4FB6-46A6-9DE8-ED49929BD63D}">
        <Attribution userId="S::michael.medeiros@hydroone.com::7855ffe4-e4f2-417f-acab-0aef7404f463" userName="MEDEIROS Michael" userProvider="AD"/>
        <Anchor>
          <Comment id="{17E558F0-CA5C-4DEC-AD9E-52E6D64EA362}"/>
        </Anchor>
        <Assign userId="S::Michael.Bell@HydroOne.com::6682f096-4a4e-4dfb-9b4d-4cf3ce48cd8c" userName="BELL Michael" userProvider="AD"/>
      </Event>
      <Event time="2021-11-23T17:42:12.37" id="{C87DA4C2-0738-4933-A1D9-8AC723CE04DD}">
        <Attribution userId="S::michael.medeiros@hydroone.com::7855ffe4-e4f2-417f-acab-0aef7404f463" userName="MEDEIROS Michael" userProvider="AD"/>
        <Anchor>
          <Comment id="{17E558F0-CA5C-4DEC-AD9E-52E6D64EA362}"/>
        </Anchor>
        <SetTitle title="@BELL Michael @DESROSIERS Darren These notes don't seem to be updated?"/>
      </Event>
      <Event time="2021-11-24T04:38:01.39" id="{95430172-835E-4961-ABD2-EAEE3D306654}">
        <Attribution userId="S::darren.desrosiers@hydroone.com::7f85c1fc-c401-4548-8a94-0686083b5e78" userName="DESROSIERS Darren" userProvider="AD"/>
        <Progress percentComplete="100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BELL Michael" id="{7D94E7FF-A0CE-4BC2-974F-FA313F1B9FB2}" userId="Michael.Bell@HydroOne.com" providerId="PeoplePicker"/>
  <person displayName="DESROSIERS Darren" id="{24655092-75A5-40B4-B8F8-61A57C03A17B}" userId="Darren.Desrosiers@HydroOne.com" providerId="PeoplePicker"/>
  <person displayName="BEAUSOLEIL Trevor" id="{E6AC6ACA-4AF9-4C13-A60B-34A9D9876265}" userId="Trevor.BEAUSOLEIL@HydroOne.com" providerId="PeoplePicker"/>
  <person displayName="COSTA Mark" id="{7297DD23-B33B-4543-96F6-ACF5999B1523}" userId="S::Mark.Costa@HydroOne.com::8cb55e2f-894d-4a87-a810-69c7f6bbdb37" providerId="AD"/>
  <person displayName="MEDEIROS Michael" id="{8AD72759-9347-41EF-9CDF-6E34BDCCCD1F}" userId="S::michael.medeiros@hydroone.com::7855ffe4-e4f2-417f-acab-0aef7404f463" providerId="AD"/>
  <person displayName="DESROSIERS Darren" id="{EB4DC5FB-5F43-4B81-8ED6-3EFAFFB9D722}" userId="S::darren.desrosiers@hydroone.com::7f85c1fc-c401-4548-8a94-0686083b5e78" providerId="AD"/>
  <person displayName="BEAUSOLEIL Trevor" id="{376CED0B-FD1F-4229-955F-C6EBE02DCE69}" userId="S::trevor.beausoleil@hydroone.com::de8d8eb3-c24d-48da-9b0a-7054e1821b5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48" dT="2022-05-05T18:59:32.87" personId="{7297DD23-B33B-4543-96F6-ACF5999B1523}" id="{23186293-F0FE-4D1E-9E6D-05357588B07E}">
    <text>AMI numbers have been updated to end of 2021</text>
  </threadedComment>
  <threadedComment ref="A62" dT="2021-11-23T17:42:12.96" personId="{8AD72759-9347-41EF-9CDF-6E34BDCCCD1F}" id="{17E558F0-CA5C-4DEC-AD9E-52E6D64EA362}" done="1">
    <text>@BELL Michael @DESROSIERS Darren 
These notes don't seem to be updated?</text>
    <mentions>
      <mention mentionpersonId="{7D94E7FF-A0CE-4BC2-974F-FA313F1B9FB2}" mentionId="{6B17F758-1D6B-4153-B2B0-03BA17393D3F}" startIndex="0" length="13"/>
      <mention mentionpersonId="{24655092-75A5-40B4-B8F8-61A57C03A17B}" mentionId="{6F348EFA-E287-4AF5-84EC-0D73E2856B39}" startIndex="14" length="18"/>
    </mentions>
  </threadedComment>
  <threadedComment ref="A62" dT="2021-11-23T18:22:00.00" personId="{EB4DC5FB-5F43-4B81-8ED6-3EFAFFB9D722}" id="{0654B1B1-F1B5-45DF-8906-160E21EFB7BD}" parentId="{17E558F0-CA5C-4DEC-AD9E-52E6D64EA362}">
    <text>@BEAUSOLEIL Trevor Trevor - can you confirm that the notes that are applicable to reclosers are still valid? I believe they are likely carry over notes from the previous table in 2017</text>
    <mentions>
      <mention mentionpersonId="{E6AC6ACA-4AF9-4C13-A60B-34A9D9876265}" mentionId="{9AB22477-6BA1-49FE-B162-ED6FA1BEF7E7}" startIndex="0" length="18"/>
    </mentions>
  </threadedComment>
  <threadedComment ref="A62" dT="2021-11-23T18:41:28.12" personId="{376CED0B-FD1F-4229-955F-C6EBE02DCE69}" id="{F4D22B8D-4F04-450D-AFE0-9486B479D014}" parentId="{17E558F0-CA5C-4DEC-AD9E-52E6D64EA362}">
    <text>@DESROSIERS Darren Note 1 for reclosers is still valid.  It would be difficult to separate oil from vacuum recloser condition scores.  Could be done with a lot of unnecessary manual effort.  I removed the old note 2.</text>
    <mentions>
      <mention mentionpersonId="{24655092-75A5-40B4-B8F8-61A57C03A17B}" mentionId="{F18CC883-25BE-42A9-9F59-1254A4B9D49D}" startIndex="0" length="18"/>
    </mentions>
  </threadedComment>
  <threadedComment ref="A62" dT="2021-11-24T04:37:54.80" personId="{EB4DC5FB-5F43-4B81-8ED6-3EFAFFB9D722}" id="{1D2AD0C5-C4B6-43D5-B2C5-4F914E7A5518}" parentId="{17E558F0-CA5C-4DEC-AD9E-52E6D64EA362}">
    <text>Notes are valid.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3"/>
  <sheetViews>
    <sheetView tabSelected="1" view="pageBreakPreview" topLeftCell="A42" zoomScale="85" zoomScaleNormal="85" zoomScaleSheetLayoutView="85" workbookViewId="0">
      <selection activeCell="A57" sqref="A7:B57"/>
    </sheetView>
  </sheetViews>
  <sheetFormatPr defaultRowHeight="14.4" x14ac:dyDescent="0.3"/>
  <cols>
    <col min="1" max="1" width="17.5546875" customWidth="1"/>
    <col min="2" max="2" width="14.5546875" style="1" customWidth="1"/>
    <col min="3" max="3" width="13.21875" bestFit="1" customWidth="1"/>
    <col min="4" max="4" width="10.44140625" bestFit="1" customWidth="1"/>
    <col min="5" max="5" width="11.44140625" bestFit="1" customWidth="1"/>
    <col min="6" max="6" width="13" bestFit="1" customWidth="1"/>
    <col min="7" max="7" width="13.44140625" bestFit="1" customWidth="1"/>
    <col min="8" max="8" width="10.44140625" bestFit="1" customWidth="1"/>
    <col min="9" max="9" width="11.44140625" bestFit="1" customWidth="1"/>
    <col min="10" max="10" width="12.77734375" bestFit="1" customWidth="1"/>
    <col min="11" max="11" width="13.21875" bestFit="1" customWidth="1"/>
    <col min="12" max="12" width="10.5546875" customWidth="1"/>
    <col min="13" max="13" width="10.21875" customWidth="1"/>
    <col min="14" max="14" width="12.5546875" customWidth="1"/>
    <col min="15" max="15" width="13.44140625" style="7" bestFit="1" customWidth="1"/>
    <col min="16" max="17" width="10.5546875" style="7" customWidth="1"/>
    <col min="18" max="18" width="10.88671875" style="7" customWidth="1"/>
    <col min="19" max="19" width="3" customWidth="1"/>
  </cols>
  <sheetData>
    <row r="1" spans="1:22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22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4" spans="1:22" x14ac:dyDescent="0.3">
      <c r="A4" s="2" t="s">
        <v>2</v>
      </c>
    </row>
    <row r="5" spans="1:22" ht="15" thickBot="1" x14ac:dyDescent="0.35"/>
    <row r="6" spans="1:22" ht="15.75" customHeight="1" thickBot="1" x14ac:dyDescent="0.35">
      <c r="C6" s="14" t="s">
        <v>3</v>
      </c>
      <c r="D6" s="15"/>
      <c r="E6" s="15"/>
      <c r="F6" s="18"/>
      <c r="G6" s="14" t="s">
        <v>3</v>
      </c>
      <c r="H6" s="15"/>
      <c r="I6" s="15"/>
      <c r="J6" s="15"/>
      <c r="K6" s="14" t="s">
        <v>3</v>
      </c>
      <c r="L6" s="15"/>
      <c r="M6" s="15"/>
      <c r="N6" s="18"/>
      <c r="O6" s="47" t="s">
        <v>3</v>
      </c>
      <c r="P6" s="16"/>
      <c r="Q6" s="16"/>
      <c r="R6" s="17"/>
    </row>
    <row r="7" spans="1:22" ht="15.75" customHeight="1" thickBot="1" x14ac:dyDescent="0.35">
      <c r="A7" s="25" t="s">
        <v>4</v>
      </c>
      <c r="B7" s="171"/>
      <c r="C7" s="19" t="s">
        <v>5</v>
      </c>
      <c r="D7" s="25" t="s">
        <v>6</v>
      </c>
      <c r="E7" s="19"/>
      <c r="F7" s="27"/>
      <c r="G7" s="19" t="s">
        <v>5</v>
      </c>
      <c r="H7" s="28" t="s">
        <v>7</v>
      </c>
      <c r="I7" s="29"/>
      <c r="J7" s="30"/>
      <c r="K7" s="19" t="s">
        <v>5</v>
      </c>
      <c r="L7" s="28" t="s">
        <v>8</v>
      </c>
      <c r="M7" s="29"/>
      <c r="N7" s="30"/>
      <c r="O7" s="19" t="s">
        <v>5</v>
      </c>
      <c r="P7" s="28" t="s">
        <v>9</v>
      </c>
      <c r="Q7" s="29"/>
      <c r="R7" s="30"/>
      <c r="S7" s="7"/>
    </row>
    <row r="8" spans="1:22" ht="24" customHeight="1" thickBot="1" x14ac:dyDescent="0.35">
      <c r="A8" s="26"/>
      <c r="B8" s="172"/>
      <c r="C8" s="24"/>
      <c r="D8" s="35" t="s">
        <v>10</v>
      </c>
      <c r="E8" s="35" t="s">
        <v>11</v>
      </c>
      <c r="F8" s="170" t="s">
        <v>12</v>
      </c>
      <c r="G8" s="24"/>
      <c r="H8" s="35" t="s">
        <v>10</v>
      </c>
      <c r="I8" s="35" t="s">
        <v>11</v>
      </c>
      <c r="J8" s="162" t="s">
        <v>12</v>
      </c>
      <c r="K8" s="24"/>
      <c r="L8" s="35" t="s">
        <v>10</v>
      </c>
      <c r="M8" s="35" t="s">
        <v>11</v>
      </c>
      <c r="N8" s="162" t="s">
        <v>12</v>
      </c>
      <c r="O8" s="24"/>
      <c r="P8" s="35" t="s">
        <v>10</v>
      </c>
      <c r="Q8" s="35" t="s">
        <v>11</v>
      </c>
      <c r="R8" s="42" t="s">
        <v>12</v>
      </c>
    </row>
    <row r="9" spans="1:22" ht="15" thickBot="1" x14ac:dyDescent="0.35">
      <c r="A9" s="21" t="s">
        <v>13</v>
      </c>
      <c r="B9" s="134" t="s">
        <v>14</v>
      </c>
      <c r="C9" s="59" t="s">
        <v>15</v>
      </c>
      <c r="D9" s="57" t="s">
        <v>15</v>
      </c>
      <c r="E9" s="48" t="s">
        <v>15</v>
      </c>
      <c r="F9" s="152" t="s">
        <v>15</v>
      </c>
      <c r="G9" s="51" t="s">
        <v>15</v>
      </c>
      <c r="H9" s="48" t="s">
        <v>15</v>
      </c>
      <c r="I9" s="48" t="s">
        <v>15</v>
      </c>
      <c r="J9" s="163" t="s">
        <v>15</v>
      </c>
      <c r="K9" s="51" t="s">
        <v>15</v>
      </c>
      <c r="L9" s="48" t="s">
        <v>15</v>
      </c>
      <c r="M9" s="48" t="s">
        <v>15</v>
      </c>
      <c r="N9" s="163" t="s">
        <v>15</v>
      </c>
      <c r="O9" s="31" t="s">
        <v>15</v>
      </c>
      <c r="P9" s="36" t="s">
        <v>15</v>
      </c>
      <c r="Q9" s="36" t="s">
        <v>15</v>
      </c>
      <c r="R9" s="43" t="s">
        <v>15</v>
      </c>
      <c r="S9" s="20"/>
    </row>
    <row r="10" spans="1:22" ht="15" thickBot="1" x14ac:dyDescent="0.35">
      <c r="A10" s="22"/>
      <c r="B10" s="135" t="s">
        <v>16</v>
      </c>
      <c r="C10" s="131">
        <v>1184</v>
      </c>
      <c r="D10" s="58">
        <v>0.24</v>
      </c>
      <c r="E10" s="49">
        <v>0.21</v>
      </c>
      <c r="F10" s="153">
        <v>0.55000000000000004</v>
      </c>
      <c r="G10" s="52">
        <v>1186</v>
      </c>
      <c r="H10" s="49">
        <v>0.28000000000000003</v>
      </c>
      <c r="I10" s="49">
        <v>0.32</v>
      </c>
      <c r="J10" s="153">
        <v>0.4</v>
      </c>
      <c r="K10" s="52">
        <v>1197</v>
      </c>
      <c r="L10" s="56">
        <v>0.2</v>
      </c>
      <c r="M10" s="56">
        <v>0.19</v>
      </c>
      <c r="N10" s="168">
        <v>0.61</v>
      </c>
      <c r="O10" s="32">
        <v>1193</v>
      </c>
      <c r="P10" s="37">
        <f>281/O10</f>
        <v>0.23554065381391451</v>
      </c>
      <c r="Q10" s="37">
        <f>200/O10</f>
        <v>0.16764459346186086</v>
      </c>
      <c r="R10" s="44">
        <f>712/O10</f>
        <v>0.59681475272422468</v>
      </c>
      <c r="S10" s="20"/>
      <c r="V10" s="6"/>
    </row>
    <row r="11" spans="1:22" ht="15" thickBot="1" x14ac:dyDescent="0.35">
      <c r="A11" s="23"/>
      <c r="B11" s="134" t="s">
        <v>17</v>
      </c>
      <c r="C11" s="59" t="s">
        <v>15</v>
      </c>
      <c r="D11" s="59" t="s">
        <v>15</v>
      </c>
      <c r="E11" s="50" t="s">
        <v>15</v>
      </c>
      <c r="F11" s="152" t="s">
        <v>15</v>
      </c>
      <c r="G11" s="53" t="s">
        <v>15</v>
      </c>
      <c r="H11" s="50" t="s">
        <v>15</v>
      </c>
      <c r="I11" s="50" t="s">
        <v>15</v>
      </c>
      <c r="J11" s="152" t="s">
        <v>15</v>
      </c>
      <c r="K11" s="53" t="s">
        <v>15</v>
      </c>
      <c r="L11" s="50" t="s">
        <v>15</v>
      </c>
      <c r="M11" s="50" t="s">
        <v>15</v>
      </c>
      <c r="N11" s="152" t="s">
        <v>15</v>
      </c>
      <c r="O11" s="33" t="s">
        <v>15</v>
      </c>
      <c r="P11" s="38" t="s">
        <v>15</v>
      </c>
      <c r="Q11" s="38" t="s">
        <v>15</v>
      </c>
      <c r="R11" s="40" t="s">
        <v>15</v>
      </c>
      <c r="S11" s="20"/>
    </row>
    <row r="12" spans="1:22" ht="27" thickBot="1" x14ac:dyDescent="0.35">
      <c r="A12" s="61" t="s">
        <v>18</v>
      </c>
      <c r="B12" s="134"/>
      <c r="C12" s="110">
        <v>29</v>
      </c>
      <c r="D12" s="62">
        <f>13/C12</f>
        <v>0.44827586206896552</v>
      </c>
      <c r="E12" s="63">
        <f>2/C12</f>
        <v>6.8965517241379309E-2</v>
      </c>
      <c r="F12" s="154">
        <f>14/C12</f>
        <v>0.48275862068965519</v>
      </c>
      <c r="G12" s="64">
        <v>32</v>
      </c>
      <c r="H12" s="63">
        <f>14/G12</f>
        <v>0.4375</v>
      </c>
      <c r="I12" s="63">
        <f>3/G12</f>
        <v>9.375E-2</v>
      </c>
      <c r="J12" s="154">
        <f>15/G12</f>
        <v>0.46875</v>
      </c>
      <c r="K12" s="64">
        <v>35</v>
      </c>
      <c r="L12" s="63">
        <v>0.51</v>
      </c>
      <c r="M12" s="63">
        <v>0.09</v>
      </c>
      <c r="N12" s="154">
        <v>0.4</v>
      </c>
      <c r="O12" s="167">
        <v>35</v>
      </c>
      <c r="P12" s="41">
        <f>12/O12</f>
        <v>0.34285714285714286</v>
      </c>
      <c r="Q12" s="41">
        <f>9/O12</f>
        <v>0.25714285714285712</v>
      </c>
      <c r="R12" s="45">
        <f>14/O12</f>
        <v>0.4</v>
      </c>
      <c r="S12" s="20"/>
    </row>
    <row r="13" spans="1:22" ht="15" thickBot="1" x14ac:dyDescent="0.35">
      <c r="A13" s="66" t="s">
        <v>19</v>
      </c>
      <c r="B13" s="135" t="s">
        <v>14</v>
      </c>
      <c r="C13" s="132">
        <v>2256</v>
      </c>
      <c r="D13" s="60">
        <f>670/C13</f>
        <v>0.29698581560283688</v>
      </c>
      <c r="E13" s="55">
        <f>330/C13</f>
        <v>0.14627659574468085</v>
      </c>
      <c r="F13" s="155">
        <f>1256/C13</f>
        <v>0.55673758865248224</v>
      </c>
      <c r="G13" s="54">
        <v>2270</v>
      </c>
      <c r="H13" s="55">
        <f>617/G13</f>
        <v>0.27180616740088104</v>
      </c>
      <c r="I13" s="55">
        <f>347/G13</f>
        <v>0.15286343612334802</v>
      </c>
      <c r="J13" s="155">
        <f>1306/G13</f>
        <v>0.57533039647577089</v>
      </c>
      <c r="K13" s="54">
        <v>2288</v>
      </c>
      <c r="L13" s="55">
        <v>0.19</v>
      </c>
      <c r="M13" s="55">
        <v>0.14000000000000001</v>
      </c>
      <c r="N13" s="155">
        <v>0.67</v>
      </c>
      <c r="O13" s="34">
        <v>2281</v>
      </c>
      <c r="P13" s="39">
        <f>357/O13</f>
        <v>0.15651030249890399</v>
      </c>
      <c r="Q13" s="87">
        <f>310/O13</f>
        <v>0.13590530469092504</v>
      </c>
      <c r="R13" s="46">
        <f>1614/O13</f>
        <v>0.70758439281017094</v>
      </c>
      <c r="S13" s="20"/>
    </row>
    <row r="14" spans="1:22" ht="15" thickBot="1" x14ac:dyDescent="0.35">
      <c r="A14" s="67"/>
      <c r="B14" s="134" t="s">
        <v>20</v>
      </c>
      <c r="C14" s="65" t="s">
        <v>21</v>
      </c>
      <c r="D14" s="4"/>
      <c r="E14" s="3"/>
      <c r="F14" s="156"/>
      <c r="G14" s="3"/>
      <c r="H14" s="4"/>
      <c r="I14" s="3"/>
      <c r="J14" s="156"/>
      <c r="K14" s="3"/>
      <c r="L14" s="3"/>
      <c r="M14" s="3"/>
      <c r="N14" s="156"/>
      <c r="O14" s="9"/>
      <c r="P14" s="9"/>
      <c r="Q14" s="9"/>
      <c r="R14" s="9"/>
      <c r="S14" s="10"/>
    </row>
    <row r="15" spans="1:22" ht="15" thickBot="1" x14ac:dyDescent="0.35">
      <c r="A15" s="67"/>
      <c r="B15" s="134" t="s">
        <v>22</v>
      </c>
      <c r="C15" s="65" t="s">
        <v>21</v>
      </c>
      <c r="D15" s="4"/>
      <c r="E15" s="3"/>
      <c r="F15" s="156"/>
      <c r="G15" s="3"/>
      <c r="H15" s="4"/>
      <c r="I15" s="3"/>
      <c r="J15" s="156"/>
      <c r="K15" s="3"/>
      <c r="L15" s="3"/>
      <c r="M15" s="3"/>
      <c r="N15" s="156"/>
      <c r="O15" s="9"/>
      <c r="P15" s="9"/>
      <c r="Q15" s="9"/>
      <c r="R15" s="9"/>
      <c r="S15" s="10"/>
    </row>
    <row r="16" spans="1:22" ht="17.25" customHeight="1" thickBot="1" x14ac:dyDescent="0.35">
      <c r="A16" s="61" t="s">
        <v>23</v>
      </c>
      <c r="B16" s="134" t="s">
        <v>14</v>
      </c>
      <c r="C16" s="109">
        <v>148</v>
      </c>
      <c r="D16" s="103">
        <f>1/C16</f>
        <v>6.7567567567567571E-3</v>
      </c>
      <c r="E16" s="103">
        <v>0</v>
      </c>
      <c r="F16" s="157">
        <v>0.99</v>
      </c>
      <c r="G16" s="109">
        <v>149</v>
      </c>
      <c r="H16" s="103">
        <v>0.01</v>
      </c>
      <c r="I16" s="103">
        <v>0</v>
      </c>
      <c r="J16" s="157">
        <v>0.99</v>
      </c>
      <c r="K16" s="109">
        <v>152</v>
      </c>
      <c r="L16" s="103">
        <v>0.03</v>
      </c>
      <c r="M16" s="103">
        <v>0</v>
      </c>
      <c r="N16" s="157">
        <v>0.97</v>
      </c>
      <c r="O16" s="97">
        <v>148</v>
      </c>
      <c r="P16" s="88">
        <f>3/O16</f>
        <v>2.0270270270270271E-2</v>
      </c>
      <c r="Q16" s="88">
        <v>0</v>
      </c>
      <c r="R16" s="88">
        <f>145/O16</f>
        <v>0.97972972972972971</v>
      </c>
      <c r="S16" s="20"/>
    </row>
    <row r="17" spans="1:19" ht="17.25" customHeight="1" thickBot="1" x14ac:dyDescent="0.35">
      <c r="A17" s="67"/>
      <c r="B17" s="134" t="s">
        <v>24</v>
      </c>
      <c r="C17" s="110">
        <v>146</v>
      </c>
      <c r="D17" s="73">
        <f>1/C17</f>
        <v>6.8493150684931503E-3</v>
      </c>
      <c r="E17" s="73">
        <v>0</v>
      </c>
      <c r="F17" s="158">
        <f>145/C17</f>
        <v>0.99315068493150682</v>
      </c>
      <c r="G17" s="110">
        <v>147</v>
      </c>
      <c r="H17" s="73">
        <f>1/G17</f>
        <v>6.8027210884353739E-3</v>
      </c>
      <c r="I17" s="73">
        <v>0</v>
      </c>
      <c r="J17" s="158">
        <v>0.99</v>
      </c>
      <c r="K17" s="110">
        <v>149</v>
      </c>
      <c r="L17" s="73">
        <v>0.03</v>
      </c>
      <c r="M17" s="73">
        <v>0</v>
      </c>
      <c r="N17" s="158">
        <v>0.97</v>
      </c>
      <c r="O17" s="98">
        <v>145</v>
      </c>
      <c r="P17" s="68">
        <f>3/O17</f>
        <v>2.0689655172413793E-2</v>
      </c>
      <c r="Q17" s="68">
        <v>0</v>
      </c>
      <c r="R17" s="68">
        <f>142/O17</f>
        <v>0.97931034482758617</v>
      </c>
      <c r="S17" s="20"/>
    </row>
    <row r="18" spans="1:19" ht="15" thickBot="1" x14ac:dyDescent="0.35">
      <c r="A18" s="67"/>
      <c r="B18" s="134" t="s">
        <v>25</v>
      </c>
      <c r="C18" s="110">
        <v>1</v>
      </c>
      <c r="D18" s="73">
        <v>0</v>
      </c>
      <c r="E18" s="73">
        <v>0</v>
      </c>
      <c r="F18" s="158">
        <v>1</v>
      </c>
      <c r="G18" s="110">
        <v>1</v>
      </c>
      <c r="H18" s="73">
        <v>0</v>
      </c>
      <c r="I18" s="73">
        <v>0</v>
      </c>
      <c r="J18" s="158">
        <v>1</v>
      </c>
      <c r="K18" s="110">
        <v>2</v>
      </c>
      <c r="L18" s="73">
        <v>0</v>
      </c>
      <c r="M18" s="73">
        <v>0</v>
      </c>
      <c r="N18" s="158">
        <v>1</v>
      </c>
      <c r="O18" s="98">
        <v>3</v>
      </c>
      <c r="P18" s="68">
        <v>0</v>
      </c>
      <c r="Q18" s="68">
        <v>0</v>
      </c>
      <c r="R18" s="68">
        <v>1</v>
      </c>
      <c r="S18" s="20"/>
    </row>
    <row r="19" spans="1:19" ht="15" thickBot="1" x14ac:dyDescent="0.35">
      <c r="A19" s="67"/>
      <c r="B19" s="134" t="s">
        <v>20</v>
      </c>
      <c r="C19" s="110">
        <v>1</v>
      </c>
      <c r="D19" s="73">
        <v>0</v>
      </c>
      <c r="E19" s="73">
        <v>0</v>
      </c>
      <c r="F19" s="158">
        <v>1</v>
      </c>
      <c r="G19" s="110">
        <v>1</v>
      </c>
      <c r="H19" s="73">
        <v>0</v>
      </c>
      <c r="I19" s="73">
        <v>0</v>
      </c>
      <c r="J19" s="158">
        <v>1</v>
      </c>
      <c r="K19" s="110">
        <v>1</v>
      </c>
      <c r="L19" s="73">
        <v>0</v>
      </c>
      <c r="M19" s="73">
        <v>0</v>
      </c>
      <c r="N19" s="158">
        <v>1</v>
      </c>
      <c r="O19" s="98">
        <v>0</v>
      </c>
      <c r="P19" s="68">
        <v>0</v>
      </c>
      <c r="Q19" s="68">
        <v>0</v>
      </c>
      <c r="R19" s="68">
        <v>0</v>
      </c>
      <c r="S19" s="20"/>
    </row>
    <row r="20" spans="1:19" ht="15" thickBot="1" x14ac:dyDescent="0.35">
      <c r="A20" s="61" t="s">
        <v>26</v>
      </c>
      <c r="B20" s="134"/>
      <c r="C20" s="83" t="s">
        <v>27</v>
      </c>
      <c r="D20" s="83" t="s">
        <v>27</v>
      </c>
      <c r="E20" s="83" t="s">
        <v>27</v>
      </c>
      <c r="F20" s="147" t="s">
        <v>27</v>
      </c>
      <c r="G20" s="83" t="s">
        <v>27</v>
      </c>
      <c r="H20" s="83" t="s">
        <v>27</v>
      </c>
      <c r="I20" s="83" t="s">
        <v>27</v>
      </c>
      <c r="J20" s="147" t="s">
        <v>27</v>
      </c>
      <c r="K20" s="83" t="s">
        <v>27</v>
      </c>
      <c r="L20" s="83" t="s">
        <v>27</v>
      </c>
      <c r="M20" s="83" t="s">
        <v>27</v>
      </c>
      <c r="N20" s="147" t="s">
        <v>27</v>
      </c>
      <c r="O20" s="89" t="s">
        <v>27</v>
      </c>
      <c r="P20" s="89" t="s">
        <v>27</v>
      </c>
      <c r="Q20" s="89" t="s">
        <v>27</v>
      </c>
      <c r="R20" s="89" t="s">
        <v>27</v>
      </c>
      <c r="S20" s="20"/>
    </row>
    <row r="21" spans="1:19" ht="15" thickBot="1" x14ac:dyDescent="0.35">
      <c r="A21" s="61" t="s">
        <v>28</v>
      </c>
      <c r="B21" s="134"/>
      <c r="C21" s="83" t="s">
        <v>27</v>
      </c>
      <c r="D21" s="83" t="s">
        <v>27</v>
      </c>
      <c r="E21" s="83" t="s">
        <v>27</v>
      </c>
      <c r="F21" s="147" t="s">
        <v>27</v>
      </c>
      <c r="G21" s="83" t="s">
        <v>27</v>
      </c>
      <c r="H21" s="83" t="s">
        <v>27</v>
      </c>
      <c r="I21" s="83" t="s">
        <v>27</v>
      </c>
      <c r="J21" s="147" t="s">
        <v>27</v>
      </c>
      <c r="K21" s="83" t="s">
        <v>27</v>
      </c>
      <c r="L21" s="83" t="s">
        <v>27</v>
      </c>
      <c r="M21" s="83" t="s">
        <v>27</v>
      </c>
      <c r="N21" s="147" t="s">
        <v>27</v>
      </c>
      <c r="O21" s="89" t="s">
        <v>27</v>
      </c>
      <c r="P21" s="89" t="s">
        <v>27</v>
      </c>
      <c r="Q21" s="89" t="s">
        <v>27</v>
      </c>
      <c r="R21" s="89" t="s">
        <v>27</v>
      </c>
      <c r="S21" s="20"/>
    </row>
    <row r="22" spans="1:19" ht="15" thickBot="1" x14ac:dyDescent="0.35">
      <c r="A22" s="61" t="s">
        <v>29</v>
      </c>
      <c r="B22" s="134"/>
      <c r="C22" s="110">
        <v>2143</v>
      </c>
      <c r="D22" s="73">
        <f>50/C22</f>
        <v>2.3331777881474568E-2</v>
      </c>
      <c r="E22" s="73">
        <f>83/C22</f>
        <v>3.873075128324778E-2</v>
      </c>
      <c r="F22" s="158">
        <f>2010/C22</f>
        <v>0.93793747083527768</v>
      </c>
      <c r="G22" s="110">
        <v>2143</v>
      </c>
      <c r="H22" s="73">
        <f>46/G22</f>
        <v>2.1465235650956604E-2</v>
      </c>
      <c r="I22" s="73">
        <f>77/G22</f>
        <v>3.5930937937470833E-2</v>
      </c>
      <c r="J22" s="158">
        <f>2020/G22</f>
        <v>0.94260382641157259</v>
      </c>
      <c r="K22" s="110">
        <v>2143</v>
      </c>
      <c r="L22" s="73">
        <f>73/K22</f>
        <v>3.4064395706952869E-2</v>
      </c>
      <c r="M22" s="73">
        <f>113/K22</f>
        <v>5.2729818012132522E-2</v>
      </c>
      <c r="N22" s="158">
        <f>1957/K22</f>
        <v>0.91320578628091464</v>
      </c>
      <c r="O22" s="98">
        <v>2139</v>
      </c>
      <c r="P22" s="68">
        <f>89/O22</f>
        <v>4.1608228143992523E-2</v>
      </c>
      <c r="Q22" s="68">
        <f>139/O22</f>
        <v>6.4983637213651232E-2</v>
      </c>
      <c r="R22" s="68">
        <f>1911/O22</f>
        <v>0.89340813464235624</v>
      </c>
      <c r="S22" s="20"/>
    </row>
    <row r="23" spans="1:19" ht="15" thickBot="1" x14ac:dyDescent="0.35">
      <c r="A23" s="69" t="s">
        <v>30</v>
      </c>
      <c r="B23" s="135"/>
      <c r="C23" s="104" t="s">
        <v>27</v>
      </c>
      <c r="D23" s="104" t="s">
        <v>27</v>
      </c>
      <c r="E23" s="104" t="s">
        <v>27</v>
      </c>
      <c r="F23" s="148" t="s">
        <v>27</v>
      </c>
      <c r="G23" s="104" t="s">
        <v>27</v>
      </c>
      <c r="H23" s="104" t="s">
        <v>27</v>
      </c>
      <c r="I23" s="104" t="s">
        <v>27</v>
      </c>
      <c r="J23" s="148" t="s">
        <v>27</v>
      </c>
      <c r="K23" s="104" t="s">
        <v>27</v>
      </c>
      <c r="L23" s="104" t="s">
        <v>27</v>
      </c>
      <c r="M23" s="104" t="s">
        <v>27</v>
      </c>
      <c r="N23" s="148" t="s">
        <v>27</v>
      </c>
      <c r="O23" s="90" t="s">
        <v>27</v>
      </c>
      <c r="P23" s="90" t="s">
        <v>27</v>
      </c>
      <c r="Q23" s="90" t="s">
        <v>27</v>
      </c>
      <c r="R23" s="90" t="s">
        <v>27</v>
      </c>
      <c r="S23" s="20"/>
    </row>
    <row r="24" spans="1:19" ht="27" thickBot="1" x14ac:dyDescent="0.35">
      <c r="A24" s="61" t="s">
        <v>31</v>
      </c>
      <c r="B24" s="134"/>
      <c r="C24" s="83" t="s">
        <v>27</v>
      </c>
      <c r="D24" s="83" t="s">
        <v>27</v>
      </c>
      <c r="E24" s="83" t="s">
        <v>27</v>
      </c>
      <c r="F24" s="147" t="s">
        <v>27</v>
      </c>
      <c r="G24" s="83" t="s">
        <v>27</v>
      </c>
      <c r="H24" s="83" t="s">
        <v>27</v>
      </c>
      <c r="I24" s="83" t="s">
        <v>27</v>
      </c>
      <c r="J24" s="147" t="s">
        <v>27</v>
      </c>
      <c r="K24" s="83" t="s">
        <v>27</v>
      </c>
      <c r="L24" s="83" t="s">
        <v>27</v>
      </c>
      <c r="M24" s="83" t="s">
        <v>27</v>
      </c>
      <c r="N24" s="147" t="s">
        <v>27</v>
      </c>
      <c r="O24" s="89" t="s">
        <v>27</v>
      </c>
      <c r="P24" s="89" t="s">
        <v>27</v>
      </c>
      <c r="Q24" s="89" t="s">
        <v>27</v>
      </c>
      <c r="R24" s="89" t="s">
        <v>27</v>
      </c>
      <c r="S24" s="20"/>
    </row>
    <row r="25" spans="1:19" ht="27" thickBot="1" x14ac:dyDescent="0.35">
      <c r="A25" s="71" t="s">
        <v>32</v>
      </c>
      <c r="B25" s="136"/>
      <c r="C25" s="105" t="s">
        <v>27</v>
      </c>
      <c r="D25" s="105" t="s">
        <v>27</v>
      </c>
      <c r="E25" s="105" t="s">
        <v>27</v>
      </c>
      <c r="F25" s="159" t="s">
        <v>27</v>
      </c>
      <c r="G25" s="105" t="s">
        <v>27</v>
      </c>
      <c r="H25" s="105" t="s">
        <v>27</v>
      </c>
      <c r="I25" s="105" t="s">
        <v>27</v>
      </c>
      <c r="J25" s="159" t="s">
        <v>27</v>
      </c>
      <c r="K25" s="105" t="s">
        <v>27</v>
      </c>
      <c r="L25" s="105" t="s">
        <v>27</v>
      </c>
      <c r="M25" s="105" t="s">
        <v>27</v>
      </c>
      <c r="N25" s="159" t="s">
        <v>27</v>
      </c>
      <c r="O25" s="91" t="s">
        <v>27</v>
      </c>
      <c r="P25" s="91" t="s">
        <v>27</v>
      </c>
      <c r="Q25" s="91" t="s">
        <v>27</v>
      </c>
      <c r="R25" s="91" t="s">
        <v>27</v>
      </c>
      <c r="S25" s="20"/>
    </row>
    <row r="26" spans="1:19" ht="15" thickBot="1" x14ac:dyDescent="0.35">
      <c r="A26" s="61" t="s">
        <v>33</v>
      </c>
      <c r="B26" s="134"/>
      <c r="C26" s="83" t="s">
        <v>27</v>
      </c>
      <c r="D26" s="83" t="s">
        <v>27</v>
      </c>
      <c r="E26" s="83" t="s">
        <v>27</v>
      </c>
      <c r="F26" s="147" t="s">
        <v>27</v>
      </c>
      <c r="G26" s="83" t="s">
        <v>27</v>
      </c>
      <c r="H26" s="83" t="s">
        <v>27</v>
      </c>
      <c r="I26" s="83" t="s">
        <v>27</v>
      </c>
      <c r="J26" s="147" t="s">
        <v>27</v>
      </c>
      <c r="K26" s="138" t="s">
        <v>27</v>
      </c>
      <c r="L26" s="83" t="s">
        <v>27</v>
      </c>
      <c r="M26" s="83" t="s">
        <v>27</v>
      </c>
      <c r="N26" s="147" t="s">
        <v>27</v>
      </c>
      <c r="O26" s="89" t="s">
        <v>27</v>
      </c>
      <c r="P26" s="89" t="s">
        <v>27</v>
      </c>
      <c r="Q26" s="89" t="s">
        <v>27</v>
      </c>
      <c r="R26" s="89" t="s">
        <v>27</v>
      </c>
      <c r="S26" s="20"/>
    </row>
    <row r="27" spans="1:19" ht="15" thickBot="1" x14ac:dyDescent="0.35">
      <c r="A27" s="61" t="s">
        <v>34</v>
      </c>
      <c r="B27" s="134"/>
      <c r="C27" s="83" t="s">
        <v>27</v>
      </c>
      <c r="D27" s="83" t="s">
        <v>27</v>
      </c>
      <c r="E27" s="83" t="s">
        <v>27</v>
      </c>
      <c r="F27" s="147" t="s">
        <v>27</v>
      </c>
      <c r="G27" s="83" t="s">
        <v>27</v>
      </c>
      <c r="H27" s="83" t="s">
        <v>27</v>
      </c>
      <c r="I27" s="83" t="s">
        <v>27</v>
      </c>
      <c r="J27" s="147" t="s">
        <v>27</v>
      </c>
      <c r="K27" s="83" t="s">
        <v>27</v>
      </c>
      <c r="L27" s="83" t="s">
        <v>27</v>
      </c>
      <c r="M27" s="83" t="s">
        <v>27</v>
      </c>
      <c r="N27" s="147" t="s">
        <v>27</v>
      </c>
      <c r="O27" s="89" t="s">
        <v>27</v>
      </c>
      <c r="P27" s="89" t="s">
        <v>27</v>
      </c>
      <c r="Q27" s="89" t="s">
        <v>27</v>
      </c>
      <c r="R27" s="89" t="s">
        <v>27</v>
      </c>
      <c r="S27" s="20"/>
    </row>
    <row r="28" spans="1:19" ht="15" thickBot="1" x14ac:dyDescent="0.35">
      <c r="A28" s="61" t="s">
        <v>35</v>
      </c>
      <c r="B28" s="134"/>
      <c r="C28" s="83" t="s">
        <v>27</v>
      </c>
      <c r="D28" s="83" t="s">
        <v>27</v>
      </c>
      <c r="E28" s="83" t="s">
        <v>27</v>
      </c>
      <c r="F28" s="147" t="s">
        <v>27</v>
      </c>
      <c r="G28" s="83" t="s">
        <v>27</v>
      </c>
      <c r="H28" s="83" t="s">
        <v>27</v>
      </c>
      <c r="I28" s="83" t="s">
        <v>27</v>
      </c>
      <c r="J28" s="147" t="s">
        <v>27</v>
      </c>
      <c r="K28" s="138" t="s">
        <v>27</v>
      </c>
      <c r="L28" s="83" t="s">
        <v>27</v>
      </c>
      <c r="M28" s="83" t="s">
        <v>27</v>
      </c>
      <c r="N28" s="147" t="s">
        <v>27</v>
      </c>
      <c r="O28" s="89" t="s">
        <v>27</v>
      </c>
      <c r="P28" s="89" t="s">
        <v>27</v>
      </c>
      <c r="Q28" s="89" t="s">
        <v>27</v>
      </c>
      <c r="R28" s="89" t="s">
        <v>27</v>
      </c>
      <c r="S28" s="20"/>
    </row>
    <row r="29" spans="1:19" ht="15" customHeight="1" thickBot="1" x14ac:dyDescent="0.35">
      <c r="A29" s="70" t="s">
        <v>36</v>
      </c>
      <c r="B29" s="137"/>
      <c r="C29" s="106" t="s">
        <v>27</v>
      </c>
      <c r="D29" s="106" t="s">
        <v>27</v>
      </c>
      <c r="E29" s="106" t="s">
        <v>27</v>
      </c>
      <c r="F29" s="149" t="s">
        <v>27</v>
      </c>
      <c r="G29" s="106" t="s">
        <v>27</v>
      </c>
      <c r="H29" s="106" t="s">
        <v>27</v>
      </c>
      <c r="I29" s="106" t="s">
        <v>27</v>
      </c>
      <c r="J29" s="149" t="s">
        <v>27</v>
      </c>
      <c r="K29" s="161" t="s">
        <v>27</v>
      </c>
      <c r="L29" s="106" t="s">
        <v>27</v>
      </c>
      <c r="M29" s="106" t="s">
        <v>27</v>
      </c>
      <c r="N29" s="149" t="s">
        <v>27</v>
      </c>
      <c r="O29" s="92" t="s">
        <v>27</v>
      </c>
      <c r="P29" s="92" t="s">
        <v>27</v>
      </c>
      <c r="Q29" s="92" t="s">
        <v>27</v>
      </c>
      <c r="R29" s="92" t="s">
        <v>27</v>
      </c>
      <c r="S29" s="20"/>
    </row>
    <row r="30" spans="1:19" ht="27" thickBot="1" x14ac:dyDescent="0.35">
      <c r="A30" s="61" t="s">
        <v>37</v>
      </c>
      <c r="B30" s="134"/>
      <c r="C30" s="83" t="s">
        <v>27</v>
      </c>
      <c r="D30" s="83" t="s">
        <v>27</v>
      </c>
      <c r="E30" s="83" t="s">
        <v>27</v>
      </c>
      <c r="F30" s="147" t="s">
        <v>27</v>
      </c>
      <c r="G30" s="83" t="s">
        <v>27</v>
      </c>
      <c r="H30" s="83" t="s">
        <v>27</v>
      </c>
      <c r="I30" s="83" t="s">
        <v>27</v>
      </c>
      <c r="J30" s="147" t="s">
        <v>27</v>
      </c>
      <c r="K30" s="83" t="s">
        <v>27</v>
      </c>
      <c r="L30" s="83" t="s">
        <v>27</v>
      </c>
      <c r="M30" s="83" t="s">
        <v>27</v>
      </c>
      <c r="N30" s="147" t="s">
        <v>27</v>
      </c>
      <c r="O30" s="89" t="s">
        <v>27</v>
      </c>
      <c r="P30" s="89" t="s">
        <v>27</v>
      </c>
      <c r="Q30" s="89" t="s">
        <v>27</v>
      </c>
      <c r="R30" s="89" t="s">
        <v>27</v>
      </c>
      <c r="S30" s="20"/>
    </row>
    <row r="31" spans="1:19" ht="15" thickBot="1" x14ac:dyDescent="0.35">
      <c r="A31" s="61" t="s">
        <v>38</v>
      </c>
      <c r="B31" s="134"/>
      <c r="C31" s="110">
        <v>785</v>
      </c>
      <c r="D31" s="73">
        <f>64/C31</f>
        <v>8.1528662420382161E-2</v>
      </c>
      <c r="E31" s="73">
        <f>190/C31</f>
        <v>0.24203821656050956</v>
      </c>
      <c r="F31" s="158">
        <f>531/C31</f>
        <v>0.67643312101910824</v>
      </c>
      <c r="G31" s="110">
        <v>781</v>
      </c>
      <c r="H31" s="73">
        <f>38/G31</f>
        <v>4.8655569782330349E-2</v>
      </c>
      <c r="I31" s="73">
        <f>272/G31</f>
        <v>0.34827144686299616</v>
      </c>
      <c r="J31" s="158">
        <f>471/G31</f>
        <v>0.60307298335467352</v>
      </c>
      <c r="K31" s="110">
        <v>787</v>
      </c>
      <c r="L31" s="107">
        <v>0.09</v>
      </c>
      <c r="M31" s="107">
        <f>207/K31</f>
        <v>0.26302414231257942</v>
      </c>
      <c r="N31" s="169">
        <v>0.65</v>
      </c>
      <c r="O31" s="98">
        <v>787</v>
      </c>
      <c r="P31" s="93">
        <f>54/O31</f>
        <v>6.8614993646759853E-2</v>
      </c>
      <c r="Q31" s="93">
        <f>235/O31</f>
        <v>0.29860228716645487</v>
      </c>
      <c r="R31" s="93">
        <f>498/O31</f>
        <v>0.6327827191867853</v>
      </c>
      <c r="S31" s="20"/>
    </row>
    <row r="32" spans="1:19" ht="15" thickBot="1" x14ac:dyDescent="0.35">
      <c r="A32" s="69" t="s">
        <v>39</v>
      </c>
      <c r="B32" s="135" t="s">
        <v>14</v>
      </c>
      <c r="C32" s="133">
        <v>1608042</v>
      </c>
      <c r="D32" s="96">
        <v>0.05</v>
      </c>
      <c r="E32" s="94">
        <v>0.95</v>
      </c>
      <c r="F32" s="150"/>
      <c r="G32" s="111">
        <v>1609945</v>
      </c>
      <c r="H32" s="96">
        <v>0.05</v>
      </c>
      <c r="I32" s="94">
        <v>0.95</v>
      </c>
      <c r="J32" s="150"/>
      <c r="K32" s="111">
        <v>1612341</v>
      </c>
      <c r="L32" s="96">
        <v>0.05</v>
      </c>
      <c r="M32" s="94">
        <v>0.95</v>
      </c>
      <c r="N32" s="150"/>
      <c r="O32" s="99">
        <v>1611705</v>
      </c>
      <c r="P32" s="96">
        <v>0.05</v>
      </c>
      <c r="Q32" s="94">
        <v>0.95</v>
      </c>
      <c r="R32" s="86"/>
      <c r="S32" s="20"/>
    </row>
    <row r="33" spans="1:19" ht="15" thickBot="1" x14ac:dyDescent="0.35">
      <c r="A33" s="61"/>
      <c r="B33" s="134" t="s">
        <v>40</v>
      </c>
      <c r="C33" s="113">
        <v>1576250.6886867925</v>
      </c>
      <c r="D33" s="73">
        <v>0.04</v>
      </c>
      <c r="E33" s="108">
        <v>0.96</v>
      </c>
      <c r="F33" s="151"/>
      <c r="G33" s="81">
        <v>1578745</v>
      </c>
      <c r="H33" s="73">
        <v>0.04</v>
      </c>
      <c r="I33" s="108">
        <v>0.96</v>
      </c>
      <c r="J33" s="151"/>
      <c r="K33" s="81">
        <v>1582395</v>
      </c>
      <c r="L33" s="73">
        <v>0.04</v>
      </c>
      <c r="M33" s="108">
        <v>0.96</v>
      </c>
      <c r="N33" s="151"/>
      <c r="O33" s="100">
        <v>1582915</v>
      </c>
      <c r="P33" s="68">
        <v>0.04</v>
      </c>
      <c r="Q33" s="95">
        <v>0.96</v>
      </c>
      <c r="R33" s="72"/>
      <c r="S33" s="20"/>
    </row>
    <row r="34" spans="1:19" ht="15" thickBot="1" x14ac:dyDescent="0.35">
      <c r="A34" s="61"/>
      <c r="B34" s="134" t="s">
        <v>41</v>
      </c>
      <c r="C34" s="113">
        <v>6218</v>
      </c>
      <c r="D34" s="73">
        <v>0</v>
      </c>
      <c r="E34" s="108">
        <v>1</v>
      </c>
      <c r="F34" s="151"/>
      <c r="G34" s="81">
        <v>6243</v>
      </c>
      <c r="H34" s="73">
        <v>0</v>
      </c>
      <c r="I34" s="108">
        <v>1</v>
      </c>
      <c r="J34" s="151"/>
      <c r="K34" s="81">
        <v>6202</v>
      </c>
      <c r="L34" s="73">
        <v>0</v>
      </c>
      <c r="M34" s="108">
        <v>1</v>
      </c>
      <c r="N34" s="151"/>
      <c r="O34" s="100">
        <v>6251</v>
      </c>
      <c r="P34" s="68">
        <v>0</v>
      </c>
      <c r="Q34" s="95">
        <v>1</v>
      </c>
      <c r="R34" s="72"/>
      <c r="S34" s="20"/>
    </row>
    <row r="35" spans="1:19" ht="15" thickBot="1" x14ac:dyDescent="0.35">
      <c r="A35" s="61"/>
      <c r="B35" s="134" t="s">
        <v>42</v>
      </c>
      <c r="C35" s="113">
        <v>2462</v>
      </c>
      <c r="D35" s="73">
        <v>0</v>
      </c>
      <c r="E35" s="108">
        <v>1</v>
      </c>
      <c r="F35" s="151"/>
      <c r="G35" s="81">
        <v>2496</v>
      </c>
      <c r="H35" s="73">
        <v>0</v>
      </c>
      <c r="I35" s="108">
        <v>1</v>
      </c>
      <c r="J35" s="151"/>
      <c r="K35" s="81">
        <v>2497</v>
      </c>
      <c r="L35" s="73">
        <v>0.01</v>
      </c>
      <c r="M35" s="108">
        <v>0.99</v>
      </c>
      <c r="N35" s="151"/>
      <c r="O35" s="100">
        <v>2368</v>
      </c>
      <c r="P35" s="68">
        <v>0.01</v>
      </c>
      <c r="Q35" s="95">
        <v>0.99</v>
      </c>
      <c r="R35" s="72"/>
      <c r="S35" s="20"/>
    </row>
    <row r="36" spans="1:19" ht="15" thickBot="1" x14ac:dyDescent="0.35">
      <c r="A36" s="61"/>
      <c r="B36" s="134" t="s">
        <v>43</v>
      </c>
      <c r="C36" s="113">
        <v>3073</v>
      </c>
      <c r="D36" s="73">
        <v>0</v>
      </c>
      <c r="E36" s="108">
        <v>1</v>
      </c>
      <c r="F36" s="151"/>
      <c r="G36" s="81">
        <v>3403</v>
      </c>
      <c r="H36" s="73">
        <v>0</v>
      </c>
      <c r="I36" s="108">
        <v>1</v>
      </c>
      <c r="J36" s="151"/>
      <c r="K36" s="81">
        <v>3876</v>
      </c>
      <c r="L36" s="73">
        <v>0</v>
      </c>
      <c r="M36" s="108">
        <v>1</v>
      </c>
      <c r="N36" s="151"/>
      <c r="O36" s="100">
        <v>4281</v>
      </c>
      <c r="P36" s="68">
        <v>0</v>
      </c>
      <c r="Q36" s="95">
        <v>1</v>
      </c>
      <c r="R36" s="72"/>
      <c r="S36" s="20"/>
    </row>
    <row r="37" spans="1:19" ht="15" thickBot="1" x14ac:dyDescent="0.35">
      <c r="A37" s="61"/>
      <c r="B37" s="142" t="s">
        <v>44</v>
      </c>
      <c r="C37" s="113">
        <v>20038</v>
      </c>
      <c r="D37" s="73">
        <v>1</v>
      </c>
      <c r="E37" s="108">
        <v>0</v>
      </c>
      <c r="F37" s="151"/>
      <c r="G37" s="81">
        <v>19059</v>
      </c>
      <c r="H37" s="73">
        <v>1</v>
      </c>
      <c r="I37" s="108">
        <v>0</v>
      </c>
      <c r="J37" s="151"/>
      <c r="K37" s="81">
        <v>17371</v>
      </c>
      <c r="L37" s="73">
        <v>1</v>
      </c>
      <c r="M37" s="108">
        <v>0</v>
      </c>
      <c r="N37" s="151"/>
      <c r="O37" s="100">
        <v>15890</v>
      </c>
      <c r="P37" s="68">
        <v>1</v>
      </c>
      <c r="Q37" s="95">
        <v>0</v>
      </c>
      <c r="R37" s="72"/>
      <c r="S37" s="20"/>
    </row>
    <row r="38" spans="1:19" ht="15" thickBot="1" x14ac:dyDescent="0.35">
      <c r="A38" s="61" t="s">
        <v>45</v>
      </c>
      <c r="B38" s="142"/>
      <c r="C38" s="138" t="s">
        <v>27</v>
      </c>
      <c r="D38" s="83" t="s">
        <v>27</v>
      </c>
      <c r="E38" s="82" t="s">
        <v>27</v>
      </c>
      <c r="F38" s="147" t="s">
        <v>27</v>
      </c>
      <c r="G38" s="83" t="s">
        <v>27</v>
      </c>
      <c r="H38" s="83" t="s">
        <v>27</v>
      </c>
      <c r="I38" s="82" t="s">
        <v>27</v>
      </c>
      <c r="J38" s="147" t="s">
        <v>27</v>
      </c>
      <c r="K38" s="83" t="s">
        <v>27</v>
      </c>
      <c r="L38" s="83" t="s">
        <v>27</v>
      </c>
      <c r="M38" s="82" t="s">
        <v>27</v>
      </c>
      <c r="N38" s="147" t="s">
        <v>27</v>
      </c>
      <c r="O38" s="89" t="s">
        <v>27</v>
      </c>
      <c r="P38" s="124" t="s">
        <v>27</v>
      </c>
      <c r="Q38" s="124" t="s">
        <v>27</v>
      </c>
      <c r="R38" s="89" t="s">
        <v>27</v>
      </c>
      <c r="S38" s="20"/>
    </row>
    <row r="39" spans="1:19" ht="15" thickBot="1" x14ac:dyDescent="0.35">
      <c r="A39" s="61" t="s">
        <v>46</v>
      </c>
      <c r="B39" s="142" t="s">
        <v>14</v>
      </c>
      <c r="C39" s="113">
        <f>C40+C41</f>
        <v>520875</v>
      </c>
      <c r="D39" s="83" t="s">
        <v>27</v>
      </c>
      <c r="E39" s="82" t="s">
        <v>27</v>
      </c>
      <c r="F39" s="147" t="s">
        <v>27</v>
      </c>
      <c r="G39" s="74">
        <f>G40+G41</f>
        <v>523120</v>
      </c>
      <c r="H39" s="76" t="s">
        <v>27</v>
      </c>
      <c r="I39" s="82" t="s">
        <v>27</v>
      </c>
      <c r="J39" s="147" t="s">
        <v>27</v>
      </c>
      <c r="K39" s="81">
        <f>K40+K41</f>
        <v>527050</v>
      </c>
      <c r="L39" s="82" t="s">
        <v>27</v>
      </c>
      <c r="M39" s="82" t="s">
        <v>27</v>
      </c>
      <c r="N39" s="147" t="s">
        <v>27</v>
      </c>
      <c r="O39" s="100">
        <v>530785</v>
      </c>
      <c r="P39" s="124" t="s">
        <v>27</v>
      </c>
      <c r="Q39" s="124" t="s">
        <v>27</v>
      </c>
      <c r="R39" s="89" t="s">
        <v>27</v>
      </c>
      <c r="S39" s="20"/>
    </row>
    <row r="40" spans="1:19" ht="30" customHeight="1" thickBot="1" x14ac:dyDescent="0.35">
      <c r="A40" s="231"/>
      <c r="B40" s="143" t="s">
        <v>47</v>
      </c>
      <c r="C40" s="139">
        <v>459818</v>
      </c>
      <c r="D40" s="104" t="s">
        <v>27</v>
      </c>
      <c r="E40" s="114" t="s">
        <v>27</v>
      </c>
      <c r="F40" s="148" t="s">
        <v>27</v>
      </c>
      <c r="G40" s="75">
        <v>460422</v>
      </c>
      <c r="H40" s="102" t="s">
        <v>27</v>
      </c>
      <c r="I40" s="114" t="s">
        <v>27</v>
      </c>
      <c r="J40" s="148" t="s">
        <v>27</v>
      </c>
      <c r="K40" s="85">
        <v>461940</v>
      </c>
      <c r="L40" s="114" t="s">
        <v>27</v>
      </c>
      <c r="M40" s="114" t="s">
        <v>27</v>
      </c>
      <c r="N40" s="148" t="s">
        <v>27</v>
      </c>
      <c r="O40" s="101">
        <v>463192</v>
      </c>
      <c r="P40" s="125" t="s">
        <v>27</v>
      </c>
      <c r="Q40" s="126" t="s">
        <v>27</v>
      </c>
      <c r="R40" s="90" t="s">
        <v>27</v>
      </c>
      <c r="S40" s="20"/>
    </row>
    <row r="41" spans="1:19" ht="29.25" customHeight="1" thickBot="1" x14ac:dyDescent="0.35">
      <c r="A41" s="128"/>
      <c r="B41" s="142" t="s">
        <v>48</v>
      </c>
      <c r="C41" s="140">
        <v>61057</v>
      </c>
      <c r="D41" s="82" t="s">
        <v>27</v>
      </c>
      <c r="E41" s="82" t="s">
        <v>27</v>
      </c>
      <c r="F41" s="147" t="s">
        <v>27</v>
      </c>
      <c r="G41" s="78">
        <v>62698</v>
      </c>
      <c r="H41" s="82" t="s">
        <v>27</v>
      </c>
      <c r="I41" s="82" t="s">
        <v>27</v>
      </c>
      <c r="J41" s="147" t="s">
        <v>27</v>
      </c>
      <c r="K41" s="118">
        <v>65110</v>
      </c>
      <c r="L41" s="82" t="s">
        <v>27</v>
      </c>
      <c r="M41" s="82" t="s">
        <v>27</v>
      </c>
      <c r="N41" s="147" t="s">
        <v>27</v>
      </c>
      <c r="O41" s="164">
        <v>67593</v>
      </c>
      <c r="P41" s="124" t="s">
        <v>27</v>
      </c>
      <c r="Q41" s="124" t="s">
        <v>27</v>
      </c>
      <c r="R41" s="89" t="s">
        <v>27</v>
      </c>
      <c r="S41" s="20"/>
    </row>
    <row r="42" spans="1:19" ht="27" thickBot="1" x14ac:dyDescent="0.35">
      <c r="A42" s="129"/>
      <c r="B42" s="142" t="s">
        <v>49</v>
      </c>
      <c r="C42" s="77"/>
      <c r="D42" s="112" t="s">
        <v>27</v>
      </c>
      <c r="E42" s="112" t="s">
        <v>27</v>
      </c>
      <c r="F42" s="149" t="s">
        <v>27</v>
      </c>
      <c r="G42" s="79"/>
      <c r="H42" s="102" t="s">
        <v>27</v>
      </c>
      <c r="I42" s="114" t="s">
        <v>27</v>
      </c>
      <c r="J42" s="148" t="s">
        <v>27</v>
      </c>
      <c r="K42" s="160"/>
      <c r="L42" s="82" t="s">
        <v>27</v>
      </c>
      <c r="M42" s="82" t="s">
        <v>27</v>
      </c>
      <c r="N42" s="147" t="s">
        <v>27</v>
      </c>
      <c r="O42" s="165"/>
      <c r="P42" s="124" t="s">
        <v>27</v>
      </c>
      <c r="Q42" s="124" t="s">
        <v>27</v>
      </c>
      <c r="R42" s="89" t="s">
        <v>27</v>
      </c>
      <c r="S42" s="20"/>
    </row>
    <row r="43" spans="1:19" ht="40.200000000000003" thickBot="1" x14ac:dyDescent="0.35">
      <c r="A43" s="129"/>
      <c r="B43" s="142" t="s">
        <v>50</v>
      </c>
      <c r="C43" s="141"/>
      <c r="D43" s="82" t="s">
        <v>27</v>
      </c>
      <c r="E43" s="82" t="s">
        <v>27</v>
      </c>
      <c r="F43" s="147" t="s">
        <v>27</v>
      </c>
      <c r="G43" s="80"/>
      <c r="H43" s="82" t="s">
        <v>27</v>
      </c>
      <c r="I43" s="82" t="s">
        <v>27</v>
      </c>
      <c r="J43" s="147" t="s">
        <v>27</v>
      </c>
      <c r="K43" s="119"/>
      <c r="L43" s="112" t="s">
        <v>27</v>
      </c>
      <c r="M43" s="112" t="s">
        <v>27</v>
      </c>
      <c r="N43" s="149" t="s">
        <v>27</v>
      </c>
      <c r="O43" s="166"/>
      <c r="P43" s="125" t="s">
        <v>27</v>
      </c>
      <c r="Q43" s="125" t="s">
        <v>27</v>
      </c>
      <c r="R43" s="92" t="s">
        <v>27</v>
      </c>
      <c r="S43" s="20"/>
    </row>
    <row r="44" spans="1:19" ht="27" thickBot="1" x14ac:dyDescent="0.35">
      <c r="A44" s="84" t="s">
        <v>51</v>
      </c>
      <c r="B44" s="142"/>
      <c r="C44" s="113">
        <v>3849</v>
      </c>
      <c r="D44" s="83" t="s">
        <v>27</v>
      </c>
      <c r="E44" s="82" t="s">
        <v>27</v>
      </c>
      <c r="F44" s="147" t="s">
        <v>27</v>
      </c>
      <c r="G44" s="81">
        <v>3896</v>
      </c>
      <c r="H44" s="83" t="s">
        <v>27</v>
      </c>
      <c r="I44" s="82" t="s">
        <v>27</v>
      </c>
      <c r="J44" s="147" t="s">
        <v>27</v>
      </c>
      <c r="K44" s="81">
        <v>3953</v>
      </c>
      <c r="L44" s="82" t="s">
        <v>27</v>
      </c>
      <c r="M44" s="82" t="s">
        <v>27</v>
      </c>
      <c r="N44" s="147" t="s">
        <v>27</v>
      </c>
      <c r="O44" s="121">
        <v>3975</v>
      </c>
      <c r="P44" s="124" t="s">
        <v>27</v>
      </c>
      <c r="Q44" s="124" t="s">
        <v>27</v>
      </c>
      <c r="R44" s="89" t="s">
        <v>27</v>
      </c>
      <c r="S44" s="20"/>
    </row>
    <row r="45" spans="1:19" ht="15" thickBot="1" x14ac:dyDescent="0.35">
      <c r="A45" s="22" t="s">
        <v>52</v>
      </c>
      <c r="B45" s="144" t="s">
        <v>14</v>
      </c>
      <c r="C45" s="113">
        <f>C44+C46+C47</f>
        <v>123176</v>
      </c>
      <c r="D45" s="83" t="s">
        <v>27</v>
      </c>
      <c r="E45" s="82" t="s">
        <v>27</v>
      </c>
      <c r="F45" s="147" t="s">
        <v>27</v>
      </c>
      <c r="G45" s="81">
        <f>G44+G46+G47</f>
        <v>123139</v>
      </c>
      <c r="H45" s="83" t="s">
        <v>27</v>
      </c>
      <c r="I45" s="82" t="s">
        <v>27</v>
      </c>
      <c r="J45" s="147" t="s">
        <v>27</v>
      </c>
      <c r="K45" s="81">
        <f>K44+K46+K47</f>
        <v>123489</v>
      </c>
      <c r="L45" s="82" t="s">
        <v>27</v>
      </c>
      <c r="M45" s="82" t="s">
        <v>27</v>
      </c>
      <c r="N45" s="147" t="s">
        <v>27</v>
      </c>
      <c r="O45" s="120">
        <v>123748</v>
      </c>
      <c r="P45" s="124" t="s">
        <v>27</v>
      </c>
      <c r="Q45" s="124" t="s">
        <v>27</v>
      </c>
      <c r="R45" s="89" t="s">
        <v>27</v>
      </c>
      <c r="S45" s="20"/>
    </row>
    <row r="46" spans="1:19" ht="15" thickBot="1" x14ac:dyDescent="0.35">
      <c r="A46" s="22"/>
      <c r="B46" s="144" t="s">
        <v>53</v>
      </c>
      <c r="C46" s="113">
        <v>113618</v>
      </c>
      <c r="D46" s="83" t="s">
        <v>27</v>
      </c>
      <c r="E46" s="82" t="s">
        <v>27</v>
      </c>
      <c r="F46" s="147" t="s">
        <v>27</v>
      </c>
      <c r="G46" s="81">
        <v>113390</v>
      </c>
      <c r="H46" s="83" t="s">
        <v>27</v>
      </c>
      <c r="I46" s="82" t="s">
        <v>27</v>
      </c>
      <c r="J46" s="147" t="s">
        <v>27</v>
      </c>
      <c r="K46" s="81">
        <v>113478</v>
      </c>
      <c r="L46" s="82" t="s">
        <v>27</v>
      </c>
      <c r="M46" s="82" t="s">
        <v>27</v>
      </c>
      <c r="N46" s="147" t="s">
        <v>27</v>
      </c>
      <c r="O46" s="121">
        <v>113576</v>
      </c>
      <c r="P46" s="124" t="s">
        <v>27</v>
      </c>
      <c r="Q46" s="124" t="s">
        <v>27</v>
      </c>
      <c r="R46" s="89" t="s">
        <v>27</v>
      </c>
      <c r="S46" s="20"/>
    </row>
    <row r="47" spans="1:19" ht="15" thickBot="1" x14ac:dyDescent="0.35">
      <c r="A47" s="130"/>
      <c r="B47" s="142" t="s">
        <v>54</v>
      </c>
      <c r="C47" s="113">
        <v>5709</v>
      </c>
      <c r="D47" s="83" t="s">
        <v>27</v>
      </c>
      <c r="E47" s="82" t="s">
        <v>27</v>
      </c>
      <c r="F47" s="147" t="s">
        <v>27</v>
      </c>
      <c r="G47" s="81">
        <v>5853</v>
      </c>
      <c r="H47" s="83" t="s">
        <v>27</v>
      </c>
      <c r="I47" s="82" t="s">
        <v>27</v>
      </c>
      <c r="J47" s="147" t="s">
        <v>27</v>
      </c>
      <c r="K47" s="81">
        <v>6058</v>
      </c>
      <c r="L47" s="82" t="s">
        <v>27</v>
      </c>
      <c r="M47" s="82" t="s">
        <v>27</v>
      </c>
      <c r="N47" s="147" t="s">
        <v>27</v>
      </c>
      <c r="O47" s="121">
        <v>6197</v>
      </c>
      <c r="P47" s="124" t="s">
        <v>27</v>
      </c>
      <c r="Q47" s="124" t="s">
        <v>27</v>
      </c>
      <c r="R47" s="89" t="s">
        <v>27</v>
      </c>
      <c r="S47" s="20"/>
    </row>
    <row r="48" spans="1:19" ht="15" thickBot="1" x14ac:dyDescent="0.35">
      <c r="A48" s="232" t="s">
        <v>55</v>
      </c>
      <c r="B48" s="144" t="s">
        <v>14</v>
      </c>
      <c r="C48" s="113">
        <f>SUM(C49:C51)</f>
        <v>1412126</v>
      </c>
      <c r="D48" s="83" t="s">
        <v>27</v>
      </c>
      <c r="E48" s="82" t="s">
        <v>27</v>
      </c>
      <c r="F48" s="147" t="s">
        <v>27</v>
      </c>
      <c r="G48" s="113">
        <f>SUM(G49:G51)</f>
        <v>1425521</v>
      </c>
      <c r="H48" s="83" t="s">
        <v>27</v>
      </c>
      <c r="I48" s="82" t="s">
        <v>27</v>
      </c>
      <c r="J48" s="147" t="s">
        <v>27</v>
      </c>
      <c r="K48" s="113">
        <f>SUM(K49:K51)</f>
        <v>1440623</v>
      </c>
      <c r="L48" s="82" t="s">
        <v>27</v>
      </c>
      <c r="M48" s="82" t="s">
        <v>27</v>
      </c>
      <c r="N48" s="147" t="s">
        <v>27</v>
      </c>
      <c r="O48" s="121">
        <f>SUM(O49:O51)</f>
        <v>1511633</v>
      </c>
      <c r="P48" s="124" t="s">
        <v>27</v>
      </c>
      <c r="Q48" s="124" t="s">
        <v>27</v>
      </c>
      <c r="R48" s="89" t="s">
        <v>27</v>
      </c>
      <c r="S48" s="20"/>
    </row>
    <row r="49" spans="1:19" ht="15" thickBot="1" x14ac:dyDescent="0.35">
      <c r="A49" s="233"/>
      <c r="B49" s="144" t="s">
        <v>56</v>
      </c>
      <c r="C49" s="113">
        <v>1362318</v>
      </c>
      <c r="D49" s="83" t="s">
        <v>27</v>
      </c>
      <c r="E49" s="82" t="s">
        <v>27</v>
      </c>
      <c r="F49" s="147" t="s">
        <v>27</v>
      </c>
      <c r="G49" s="81">
        <v>1375647</v>
      </c>
      <c r="H49" s="83" t="s">
        <v>27</v>
      </c>
      <c r="I49" s="82" t="s">
        <v>27</v>
      </c>
      <c r="J49" s="147" t="s">
        <v>27</v>
      </c>
      <c r="K49" s="81">
        <v>1390746</v>
      </c>
      <c r="L49" s="82" t="s">
        <v>27</v>
      </c>
      <c r="M49" s="82" t="s">
        <v>27</v>
      </c>
      <c r="N49" s="147" t="s">
        <v>27</v>
      </c>
      <c r="O49" s="121">
        <v>1461725</v>
      </c>
      <c r="P49" s="124" t="s">
        <v>27</v>
      </c>
      <c r="Q49" s="124" t="s">
        <v>27</v>
      </c>
      <c r="R49" s="89" t="s">
        <v>27</v>
      </c>
      <c r="S49" s="20"/>
    </row>
    <row r="50" spans="1:19" ht="15" thickBot="1" x14ac:dyDescent="0.35">
      <c r="A50" s="233"/>
      <c r="B50" s="144" t="s">
        <v>57</v>
      </c>
      <c r="C50" s="113">
        <v>11031</v>
      </c>
      <c r="D50" s="83" t="s">
        <v>27</v>
      </c>
      <c r="E50" s="82" t="s">
        <v>27</v>
      </c>
      <c r="F50" s="147" t="s">
        <v>27</v>
      </c>
      <c r="G50" s="81">
        <v>11113</v>
      </c>
      <c r="H50" s="83" t="s">
        <v>27</v>
      </c>
      <c r="I50" s="82" t="s">
        <v>27</v>
      </c>
      <c r="J50" s="147" t="s">
        <v>27</v>
      </c>
      <c r="K50" s="81">
        <v>11125</v>
      </c>
      <c r="L50" s="82" t="s">
        <v>27</v>
      </c>
      <c r="M50" s="82" t="s">
        <v>27</v>
      </c>
      <c r="N50" s="147" t="s">
        <v>27</v>
      </c>
      <c r="O50" s="121">
        <v>11199</v>
      </c>
      <c r="P50" s="124" t="s">
        <v>27</v>
      </c>
      <c r="Q50" s="124" t="s">
        <v>27</v>
      </c>
      <c r="R50" s="89" t="s">
        <v>27</v>
      </c>
      <c r="S50" s="20"/>
    </row>
    <row r="51" spans="1:19" ht="15" thickBot="1" x14ac:dyDescent="0.35">
      <c r="A51" s="234"/>
      <c r="B51" s="134" t="s">
        <v>58</v>
      </c>
      <c r="C51" s="113">
        <v>38777</v>
      </c>
      <c r="D51" s="83" t="s">
        <v>27</v>
      </c>
      <c r="E51" s="82" t="s">
        <v>27</v>
      </c>
      <c r="F51" s="147" t="s">
        <v>27</v>
      </c>
      <c r="G51" s="81">
        <v>38761</v>
      </c>
      <c r="H51" s="83" t="s">
        <v>27</v>
      </c>
      <c r="I51" s="82" t="s">
        <v>27</v>
      </c>
      <c r="J51" s="147" t="s">
        <v>27</v>
      </c>
      <c r="K51" s="81">
        <v>38752</v>
      </c>
      <c r="L51" s="82" t="s">
        <v>27</v>
      </c>
      <c r="M51" s="82" t="s">
        <v>27</v>
      </c>
      <c r="N51" s="147" t="s">
        <v>27</v>
      </c>
      <c r="O51" s="121">
        <v>38709</v>
      </c>
      <c r="P51" s="124" t="s">
        <v>27</v>
      </c>
      <c r="Q51" s="124" t="s">
        <v>27</v>
      </c>
      <c r="R51" s="89" t="s">
        <v>27</v>
      </c>
      <c r="S51" s="20"/>
    </row>
    <row r="52" spans="1:19" ht="40.200000000000003" thickBot="1" x14ac:dyDescent="0.35">
      <c r="A52" s="84" t="s">
        <v>26</v>
      </c>
      <c r="B52" s="142" t="s">
        <v>59</v>
      </c>
      <c r="C52" s="113">
        <v>3539</v>
      </c>
      <c r="D52" s="104" t="s">
        <v>27</v>
      </c>
      <c r="E52" s="114" t="s">
        <v>27</v>
      </c>
      <c r="F52" s="148" t="s">
        <v>27</v>
      </c>
      <c r="G52" s="116">
        <v>3539</v>
      </c>
      <c r="H52" s="104" t="s">
        <v>27</v>
      </c>
      <c r="I52" s="114" t="s">
        <v>27</v>
      </c>
      <c r="J52" s="148" t="s">
        <v>27</v>
      </c>
      <c r="K52" s="116">
        <v>3545</v>
      </c>
      <c r="L52" s="114" t="s">
        <v>27</v>
      </c>
      <c r="M52" s="114" t="s">
        <v>27</v>
      </c>
      <c r="N52" s="148" t="s">
        <v>27</v>
      </c>
      <c r="O52" s="122">
        <v>3600</v>
      </c>
      <c r="P52" s="126" t="s">
        <v>27</v>
      </c>
      <c r="Q52" s="126" t="s">
        <v>27</v>
      </c>
      <c r="R52" s="90" t="s">
        <v>27</v>
      </c>
      <c r="S52" s="20"/>
    </row>
    <row r="53" spans="1:19" ht="27" thickBot="1" x14ac:dyDescent="0.35">
      <c r="A53" s="84" t="s">
        <v>60</v>
      </c>
      <c r="B53" s="142" t="s">
        <v>14</v>
      </c>
      <c r="C53" s="113">
        <v>12387</v>
      </c>
      <c r="D53" s="83" t="s">
        <v>27</v>
      </c>
      <c r="E53" s="82" t="s">
        <v>27</v>
      </c>
      <c r="F53" s="147" t="s">
        <v>27</v>
      </c>
      <c r="G53" s="81">
        <v>12414</v>
      </c>
      <c r="H53" s="83" t="s">
        <v>27</v>
      </c>
      <c r="I53" s="82" t="s">
        <v>27</v>
      </c>
      <c r="J53" s="147" t="s">
        <v>27</v>
      </c>
      <c r="K53" s="81">
        <v>12616</v>
      </c>
      <c r="L53" s="82" t="s">
        <v>27</v>
      </c>
      <c r="M53" s="82" t="s">
        <v>27</v>
      </c>
      <c r="N53" s="147" t="s">
        <v>27</v>
      </c>
      <c r="O53" s="121">
        <v>12756</v>
      </c>
      <c r="P53" s="124" t="s">
        <v>27</v>
      </c>
      <c r="Q53" s="124" t="s">
        <v>27</v>
      </c>
      <c r="R53" s="89" t="s">
        <v>27</v>
      </c>
      <c r="S53" s="20"/>
    </row>
    <row r="54" spans="1:19" ht="15" thickBot="1" x14ac:dyDescent="0.35">
      <c r="A54" s="130"/>
      <c r="B54" s="146" t="s">
        <v>61</v>
      </c>
      <c r="C54" s="139">
        <f>11996+43</f>
        <v>12039</v>
      </c>
      <c r="D54" s="106" t="s">
        <v>27</v>
      </c>
      <c r="E54" s="112" t="s">
        <v>27</v>
      </c>
      <c r="F54" s="149" t="s">
        <v>27</v>
      </c>
      <c r="G54" s="85">
        <f>11961+50</f>
        <v>12011</v>
      </c>
      <c r="H54" s="104" t="s">
        <v>27</v>
      </c>
      <c r="I54" s="114" t="s">
        <v>27</v>
      </c>
      <c r="J54" s="148" t="s">
        <v>27</v>
      </c>
      <c r="K54" s="116">
        <f>K53-K55</f>
        <v>12029</v>
      </c>
      <c r="L54" s="114" t="s">
        <v>27</v>
      </c>
      <c r="M54" s="114" t="s">
        <v>27</v>
      </c>
      <c r="N54" s="148" t="s">
        <v>27</v>
      </c>
      <c r="O54" s="122">
        <v>12022</v>
      </c>
      <c r="P54" s="126" t="s">
        <v>27</v>
      </c>
      <c r="Q54" s="126" t="s">
        <v>27</v>
      </c>
      <c r="R54" s="92" t="s">
        <v>27</v>
      </c>
      <c r="S54" s="20"/>
    </row>
    <row r="55" spans="1:19" ht="15" thickBot="1" x14ac:dyDescent="0.35">
      <c r="A55" s="66"/>
      <c r="B55" s="143" t="s">
        <v>62</v>
      </c>
      <c r="C55" s="145">
        <f>C53-C54</f>
        <v>348</v>
      </c>
      <c r="D55" s="104" t="s">
        <v>27</v>
      </c>
      <c r="E55" s="114" t="s">
        <v>27</v>
      </c>
      <c r="F55" s="148" t="s">
        <v>27</v>
      </c>
      <c r="G55" s="116">
        <f>G53-G54</f>
        <v>403</v>
      </c>
      <c r="H55" s="105" t="s">
        <v>27</v>
      </c>
      <c r="I55" s="115" t="s">
        <v>27</v>
      </c>
      <c r="J55" s="159" t="s">
        <v>27</v>
      </c>
      <c r="K55" s="117">
        <f>442+145</f>
        <v>587</v>
      </c>
      <c r="L55" s="115" t="s">
        <v>27</v>
      </c>
      <c r="M55" s="115" t="s">
        <v>27</v>
      </c>
      <c r="N55" s="159" t="s">
        <v>27</v>
      </c>
      <c r="O55" s="123">
        <v>734</v>
      </c>
      <c r="P55" s="127" t="s">
        <v>27</v>
      </c>
      <c r="Q55" s="127" t="s">
        <v>27</v>
      </c>
      <c r="R55" s="91" t="s">
        <v>27</v>
      </c>
      <c r="S55" s="20"/>
    </row>
    <row r="56" spans="1:19" ht="15" thickBot="1" x14ac:dyDescent="0.35">
      <c r="A56" s="84" t="s">
        <v>63</v>
      </c>
      <c r="B56" s="142"/>
      <c r="C56" s="113">
        <v>2288</v>
      </c>
      <c r="D56" s="83" t="s">
        <v>27</v>
      </c>
      <c r="E56" s="82" t="s">
        <v>27</v>
      </c>
      <c r="F56" s="147" t="s">
        <v>27</v>
      </c>
      <c r="G56" s="81">
        <v>2326</v>
      </c>
      <c r="H56" s="83" t="s">
        <v>27</v>
      </c>
      <c r="I56" s="82" t="s">
        <v>27</v>
      </c>
      <c r="J56" s="147" t="s">
        <v>27</v>
      </c>
      <c r="K56" s="81">
        <v>2374</v>
      </c>
      <c r="L56" s="82" t="s">
        <v>27</v>
      </c>
      <c r="M56" s="82" t="s">
        <v>27</v>
      </c>
      <c r="N56" s="147" t="s">
        <v>27</v>
      </c>
      <c r="O56" s="121">
        <v>2381</v>
      </c>
      <c r="P56" s="124" t="s">
        <v>27</v>
      </c>
      <c r="Q56" s="124" t="s">
        <v>27</v>
      </c>
      <c r="R56" s="89" t="s">
        <v>27</v>
      </c>
      <c r="S56" s="20"/>
    </row>
    <row r="57" spans="1:19" ht="15" thickBot="1" x14ac:dyDescent="0.35">
      <c r="A57" s="84" t="s">
        <v>64</v>
      </c>
      <c r="B57" s="142"/>
      <c r="C57" s="113">
        <v>2832</v>
      </c>
      <c r="D57" s="83" t="s">
        <v>27</v>
      </c>
      <c r="E57" s="82" t="s">
        <v>27</v>
      </c>
      <c r="F57" s="147" t="s">
        <v>27</v>
      </c>
      <c r="G57" s="81">
        <v>2824</v>
      </c>
      <c r="H57" s="83" t="s">
        <v>27</v>
      </c>
      <c r="I57" s="82" t="s">
        <v>27</v>
      </c>
      <c r="J57" s="147" t="s">
        <v>27</v>
      </c>
      <c r="K57" s="81">
        <v>2794</v>
      </c>
      <c r="L57" s="82" t="s">
        <v>27</v>
      </c>
      <c r="M57" s="82" t="s">
        <v>27</v>
      </c>
      <c r="N57" s="147" t="s">
        <v>27</v>
      </c>
      <c r="O57" s="121">
        <v>2774</v>
      </c>
      <c r="P57" s="124" t="s">
        <v>27</v>
      </c>
      <c r="Q57" s="124" t="s">
        <v>27</v>
      </c>
      <c r="R57" s="89" t="s">
        <v>27</v>
      </c>
      <c r="S57" s="20"/>
    </row>
    <row r="58" spans="1:19" ht="15" thickBot="1" x14ac:dyDescent="0.35">
      <c r="A58" s="173"/>
      <c r="B58" s="174"/>
      <c r="C58" s="173"/>
      <c r="D58" s="173"/>
      <c r="E58" s="173"/>
      <c r="F58" s="173"/>
      <c r="G58" s="173"/>
      <c r="H58" s="173"/>
      <c r="I58" s="173"/>
      <c r="J58" s="173"/>
    </row>
    <row r="59" spans="1:19" ht="15" thickBot="1" x14ac:dyDescent="0.35">
      <c r="A59" s="185" t="s">
        <v>27</v>
      </c>
      <c r="B59" s="176" t="s">
        <v>65</v>
      </c>
      <c r="C59" s="177"/>
      <c r="D59" s="177"/>
      <c r="E59" s="177"/>
      <c r="F59" s="177"/>
      <c r="G59" s="177"/>
      <c r="H59" s="177"/>
      <c r="I59" s="177"/>
      <c r="J59" s="184"/>
    </row>
    <row r="60" spans="1:19" ht="15" thickBot="1" x14ac:dyDescent="0.35">
      <c r="A60" s="5" t="s">
        <v>21</v>
      </c>
      <c r="B60" s="183" t="s">
        <v>66</v>
      </c>
      <c r="C60" s="177"/>
      <c r="D60" s="177"/>
      <c r="E60" s="177"/>
      <c r="F60" s="177"/>
      <c r="G60" s="177"/>
      <c r="H60" s="177"/>
      <c r="I60" s="177"/>
      <c r="J60" s="184"/>
    </row>
    <row r="61" spans="1:19" ht="32.25" customHeight="1" thickBot="1" x14ac:dyDescent="0.35">
      <c r="A61" s="179" t="s">
        <v>67</v>
      </c>
      <c r="B61" s="180" t="s">
        <v>68</v>
      </c>
      <c r="C61" s="181"/>
      <c r="D61" s="181"/>
      <c r="E61" s="181"/>
      <c r="F61" s="181"/>
      <c r="G61" s="181"/>
      <c r="H61" s="181"/>
      <c r="I61" s="181"/>
      <c r="J61" s="182"/>
    </row>
    <row r="62" spans="1:19" ht="15" thickBot="1" x14ac:dyDescent="0.35">
      <c r="A62" s="186" t="s">
        <v>69</v>
      </c>
      <c r="B62" s="176" t="s">
        <v>70</v>
      </c>
      <c r="C62" s="177"/>
      <c r="D62" s="177"/>
      <c r="E62" s="177"/>
      <c r="F62" s="177"/>
      <c r="G62" s="177"/>
      <c r="H62" s="177"/>
      <c r="I62" s="177"/>
      <c r="J62" s="178"/>
    </row>
    <row r="63" spans="1:19" ht="67.5" customHeight="1" x14ac:dyDescent="0.3">
      <c r="A63" s="8" t="s">
        <v>71</v>
      </c>
      <c r="B63" s="175" t="s">
        <v>77</v>
      </c>
      <c r="C63" s="175"/>
      <c r="D63" s="175"/>
      <c r="E63" s="175"/>
      <c r="F63" s="175"/>
      <c r="G63" s="175"/>
      <c r="H63" s="175"/>
      <c r="I63" s="175"/>
      <c r="J63" s="175"/>
    </row>
    <row r="65" spans="1:18" x14ac:dyDescent="0.3">
      <c r="A65" t="s">
        <v>72</v>
      </c>
    </row>
    <row r="66" spans="1:18" ht="15" thickBot="1" x14ac:dyDescent="0.35"/>
    <row r="67" spans="1:18" ht="15" thickBot="1" x14ac:dyDescent="0.35">
      <c r="A67" s="11"/>
      <c r="B67" s="12"/>
      <c r="C67" s="190" t="s">
        <v>3</v>
      </c>
      <c r="D67" s="191"/>
      <c r="E67" s="191"/>
      <c r="F67" s="191"/>
      <c r="G67" s="190" t="s">
        <v>3</v>
      </c>
      <c r="H67" s="191"/>
      <c r="I67" s="191"/>
      <c r="J67" s="196"/>
      <c r="K67" s="191" t="s">
        <v>3</v>
      </c>
      <c r="L67" s="191"/>
      <c r="M67" s="191"/>
      <c r="N67" s="191"/>
      <c r="O67" s="47" t="s">
        <v>3</v>
      </c>
      <c r="P67" s="188"/>
      <c r="Q67" s="188"/>
      <c r="R67" s="189"/>
    </row>
    <row r="68" spans="1:18" ht="15" thickBot="1" x14ac:dyDescent="0.35">
      <c r="A68" s="12"/>
      <c r="B68" s="12"/>
      <c r="C68" s="229" t="s">
        <v>5</v>
      </c>
      <c r="D68" s="194" t="s">
        <v>73</v>
      </c>
      <c r="E68" s="195"/>
      <c r="F68" s="195"/>
      <c r="G68" s="219" t="s">
        <v>5</v>
      </c>
      <c r="H68" s="198" t="s">
        <v>74</v>
      </c>
      <c r="I68" s="198"/>
      <c r="J68" s="211"/>
      <c r="K68" s="198" t="s">
        <v>5</v>
      </c>
      <c r="L68" s="194" t="s">
        <v>75</v>
      </c>
      <c r="M68" s="195"/>
      <c r="N68" s="213"/>
      <c r="O68" s="204" t="s">
        <v>5</v>
      </c>
      <c r="P68" s="28" t="s">
        <v>76</v>
      </c>
      <c r="Q68" s="29"/>
      <c r="R68" s="30"/>
    </row>
    <row r="69" spans="1:18" ht="15" thickBot="1" x14ac:dyDescent="0.35">
      <c r="A69" s="11"/>
      <c r="B69" s="11"/>
      <c r="C69" s="230"/>
      <c r="D69" s="199" t="s">
        <v>10</v>
      </c>
      <c r="E69" s="199" t="s">
        <v>11</v>
      </c>
      <c r="F69" s="218" t="s">
        <v>12</v>
      </c>
      <c r="G69" s="220"/>
      <c r="H69" s="199" t="s">
        <v>10</v>
      </c>
      <c r="I69" s="199" t="s">
        <v>11</v>
      </c>
      <c r="J69" s="212" t="s">
        <v>12</v>
      </c>
      <c r="K69" s="187"/>
      <c r="L69" s="199" t="s">
        <v>10</v>
      </c>
      <c r="M69" s="199" t="s">
        <v>11</v>
      </c>
      <c r="N69" s="199" t="s">
        <v>12</v>
      </c>
      <c r="O69" s="205"/>
      <c r="P69" s="210" t="s">
        <v>10</v>
      </c>
      <c r="Q69" s="210" t="s">
        <v>11</v>
      </c>
      <c r="R69" s="208" t="s">
        <v>12</v>
      </c>
    </row>
    <row r="70" spans="1:18" ht="15" thickBot="1" x14ac:dyDescent="0.35">
      <c r="A70" s="214" t="s">
        <v>55</v>
      </c>
      <c r="B70" s="227" t="s">
        <v>14</v>
      </c>
      <c r="C70" s="217">
        <v>1305012</v>
      </c>
      <c r="D70" s="193" t="s">
        <v>27</v>
      </c>
      <c r="E70" s="193" t="s">
        <v>27</v>
      </c>
      <c r="F70" s="222" t="s">
        <v>27</v>
      </c>
      <c r="G70" s="221">
        <v>1334486</v>
      </c>
      <c r="H70" s="193" t="s">
        <v>27</v>
      </c>
      <c r="I70" s="193" t="s">
        <v>27</v>
      </c>
      <c r="J70" s="222" t="s">
        <v>27</v>
      </c>
      <c r="K70" s="197">
        <v>1382085</v>
      </c>
      <c r="L70" s="200" t="s">
        <v>27</v>
      </c>
      <c r="M70" s="200" t="s">
        <v>27</v>
      </c>
      <c r="N70" s="225" t="s">
        <v>27</v>
      </c>
      <c r="O70" s="224">
        <v>1397106</v>
      </c>
      <c r="P70" s="206" t="s">
        <v>27</v>
      </c>
      <c r="Q70" s="206" t="s">
        <v>27</v>
      </c>
      <c r="R70" s="202" t="s">
        <v>27</v>
      </c>
    </row>
    <row r="71" spans="1:18" ht="15" thickBot="1" x14ac:dyDescent="0.35">
      <c r="A71" s="215"/>
      <c r="B71" s="227" t="s">
        <v>56</v>
      </c>
      <c r="C71" s="217">
        <v>1256020</v>
      </c>
      <c r="D71" s="193" t="s">
        <v>27</v>
      </c>
      <c r="E71" s="193" t="s">
        <v>27</v>
      </c>
      <c r="F71" s="223" t="s">
        <v>27</v>
      </c>
      <c r="G71" s="192">
        <v>1284898</v>
      </c>
      <c r="H71" s="193" t="s">
        <v>27</v>
      </c>
      <c r="I71" s="193" t="s">
        <v>27</v>
      </c>
      <c r="J71" s="223" t="s">
        <v>27</v>
      </c>
      <c r="K71" s="197">
        <v>1332305</v>
      </c>
      <c r="L71" s="201" t="s">
        <v>27</v>
      </c>
      <c r="M71" s="201" t="s">
        <v>27</v>
      </c>
      <c r="N71" s="226" t="s">
        <v>27</v>
      </c>
      <c r="O71" s="203">
        <v>1347295</v>
      </c>
      <c r="P71" s="207" t="s">
        <v>27</v>
      </c>
      <c r="Q71" s="207" t="s">
        <v>27</v>
      </c>
      <c r="R71" s="209" t="s">
        <v>27</v>
      </c>
    </row>
    <row r="72" spans="1:18" ht="15" thickBot="1" x14ac:dyDescent="0.35">
      <c r="A72" s="215"/>
      <c r="B72" s="227" t="s">
        <v>57</v>
      </c>
      <c r="C72" s="217">
        <v>10545</v>
      </c>
      <c r="D72" s="193" t="s">
        <v>27</v>
      </c>
      <c r="E72" s="193" t="s">
        <v>27</v>
      </c>
      <c r="F72" s="223" t="s">
        <v>27</v>
      </c>
      <c r="G72" s="192">
        <v>10871</v>
      </c>
      <c r="H72" s="193" t="s">
        <v>27</v>
      </c>
      <c r="I72" s="193" t="s">
        <v>27</v>
      </c>
      <c r="J72" s="223" t="s">
        <v>27</v>
      </c>
      <c r="K72" s="197">
        <v>10982</v>
      </c>
      <c r="L72" s="201" t="s">
        <v>27</v>
      </c>
      <c r="M72" s="201" t="s">
        <v>27</v>
      </c>
      <c r="N72" s="226" t="s">
        <v>27</v>
      </c>
      <c r="O72" s="224">
        <v>10999</v>
      </c>
      <c r="P72" s="206" t="s">
        <v>27</v>
      </c>
      <c r="Q72" s="206" t="s">
        <v>27</v>
      </c>
      <c r="R72" s="202" t="s">
        <v>27</v>
      </c>
    </row>
    <row r="73" spans="1:18" ht="15" thickBot="1" x14ac:dyDescent="0.35">
      <c r="A73" s="216"/>
      <c r="B73" s="228" t="s">
        <v>58</v>
      </c>
      <c r="C73" s="192">
        <v>38447</v>
      </c>
      <c r="D73" s="193" t="s">
        <v>27</v>
      </c>
      <c r="E73" s="193" t="s">
        <v>27</v>
      </c>
      <c r="F73" s="223" t="s">
        <v>27</v>
      </c>
      <c r="G73" s="192">
        <v>38717</v>
      </c>
      <c r="H73" s="193" t="s">
        <v>27</v>
      </c>
      <c r="I73" s="193" t="s">
        <v>27</v>
      </c>
      <c r="J73" s="223" t="s">
        <v>27</v>
      </c>
      <c r="K73" s="197">
        <v>38798</v>
      </c>
      <c r="L73" s="193" t="s">
        <v>27</v>
      </c>
      <c r="M73" s="193" t="s">
        <v>27</v>
      </c>
      <c r="N73" s="223" t="s">
        <v>27</v>
      </c>
      <c r="O73" s="224">
        <v>38812</v>
      </c>
      <c r="P73" s="206" t="s">
        <v>27</v>
      </c>
      <c r="Q73" s="206" t="s">
        <v>27</v>
      </c>
      <c r="R73" s="202" t="s">
        <v>27</v>
      </c>
    </row>
  </sheetData>
  <mergeCells count="67">
    <mergeCell ref="A2:R2"/>
    <mergeCell ref="A1:R1"/>
    <mergeCell ref="B63:J63"/>
    <mergeCell ref="O6:R6"/>
    <mergeCell ref="C6:F6"/>
    <mergeCell ref="C7:C8"/>
    <mergeCell ref="G41:G43"/>
    <mergeCell ref="K6:N6"/>
    <mergeCell ref="K7:K8"/>
    <mergeCell ref="L7:N7"/>
    <mergeCell ref="G6:J6"/>
    <mergeCell ref="G7:G8"/>
    <mergeCell ref="H7:J7"/>
    <mergeCell ref="I32:J32"/>
    <mergeCell ref="I33:J33"/>
    <mergeCell ref="M32:N32"/>
    <mergeCell ref="M33:N33"/>
    <mergeCell ref="M34:N34"/>
    <mergeCell ref="M35:N35"/>
    <mergeCell ref="A48:A51"/>
    <mergeCell ref="B60:J60"/>
    <mergeCell ref="B59:J59"/>
    <mergeCell ref="A9:A11"/>
    <mergeCell ref="I34:J34"/>
    <mergeCell ref="I35:J35"/>
    <mergeCell ref="D7:F7"/>
    <mergeCell ref="A45:A46"/>
    <mergeCell ref="E33:F33"/>
    <mergeCell ref="E34:F34"/>
    <mergeCell ref="E35:F35"/>
    <mergeCell ref="A7:B8"/>
    <mergeCell ref="E36:F36"/>
    <mergeCell ref="E37:F37"/>
    <mergeCell ref="E32:F32"/>
    <mergeCell ref="B62:J62"/>
    <mergeCell ref="O41:O43"/>
    <mergeCell ref="K41:K43"/>
    <mergeCell ref="C41:C43"/>
    <mergeCell ref="I36:J36"/>
    <mergeCell ref="I37:J37"/>
    <mergeCell ref="M37:N37"/>
    <mergeCell ref="B61:J61"/>
    <mergeCell ref="M36:N36"/>
    <mergeCell ref="P7:R7"/>
    <mergeCell ref="O7:O8"/>
    <mergeCell ref="Q37:R37"/>
    <mergeCell ref="Q32:R32"/>
    <mergeCell ref="Q33:R33"/>
    <mergeCell ref="Q34:R34"/>
    <mergeCell ref="Q35:R35"/>
    <mergeCell ref="Q36:R36"/>
    <mergeCell ref="A70:A73"/>
    <mergeCell ref="O67:R67"/>
    <mergeCell ref="A68:B68"/>
    <mergeCell ref="C68:C69"/>
    <mergeCell ref="D68:F68"/>
    <mergeCell ref="G68:G69"/>
    <mergeCell ref="H68:J68"/>
    <mergeCell ref="K68:K69"/>
    <mergeCell ref="L68:N68"/>
    <mergeCell ref="O68:O69"/>
    <mergeCell ref="P68:R68"/>
    <mergeCell ref="A69:B69"/>
    <mergeCell ref="A67:B67"/>
    <mergeCell ref="C67:F67"/>
    <mergeCell ref="G67:J67"/>
    <mergeCell ref="K67:N67"/>
  </mergeCells>
  <printOptions horizontalCentered="1" verticalCentered="1"/>
  <pageMargins left="0" right="0" top="0.5" bottom="0.5" header="0" footer="0.3"/>
  <pageSetup scale="37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false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9ABB6F-F2A9-458B-AACC-DB3A315895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B18459-721E-4BC8-8FBE-591B02CD19BA}">
  <ds:schemaRefs>
    <ds:schemaRef ds:uri="00b55595-d4eb-41d0-b489-5e4082844449"/>
    <ds:schemaRef ds:uri="http://schemas.microsoft.com/office/2006/documentManagement/types"/>
    <ds:schemaRef ds:uri="ce5dfc26-dbcc-4266-b0cd-e8ab87711e15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119F45D-6CE5-409C-B3B8-3EFF4473EB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2022 I-03-O-AMPCO-136-01</vt:lpstr>
      <vt:lpstr>'2022 I-03-O-AMPCO-136-01'!Print_Area</vt:lpstr>
      <vt:lpstr>'2022 I-03-O-AMPCO-136-01'!Print_Titles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1</dc:title>
  <dc:subject/>
  <dc:creator>Abdul Hadi Syed</dc:creator>
  <cp:keywords/>
  <dc:description/>
  <cp:lastModifiedBy>AUBIN Danielle</cp:lastModifiedBy>
  <cp:revision/>
  <cp:lastPrinted>2022-05-14T02:25:12Z</cp:lastPrinted>
  <dcterms:created xsi:type="dcterms:W3CDTF">2017-10-10T17:57:57Z</dcterms:created>
  <dcterms:modified xsi:type="dcterms:W3CDTF">2022-05-14T02:25:56Z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Witness(Internal)">
    <vt:lpwstr>67;#i:0#.f|membership|peter.faltaous@hydroone.com;#147;#i:0#.f|membership|david.paish@hydroone.com</vt:lpwstr>
  </property>
  <property fmtid="{D5CDD505-2E9C-101B-9397-08002B2CF9AE}" pid="4" name="WitnessApproved">
    <vt:lpwstr>Approved</vt:lpwstr>
  </property>
  <property fmtid="{D5CDD505-2E9C-101B-9397-08002B2CF9AE}" pid="5" name="RA Review Draft 1">
    <vt:bool>true</vt:bool>
  </property>
  <property fmtid="{D5CDD505-2E9C-101B-9397-08002B2CF9AE}" pid="7" name="CaseNumber">
    <vt:lpwstr>EB-2021-0110</vt:lpwstr>
  </property>
  <property fmtid="{D5CDD505-2E9C-101B-9397-08002B2CF9AE}" pid="8" name="IntervenorAcronymn">
    <vt:lpwstr>AMPCO</vt:lpwstr>
  </property>
  <property fmtid="{D5CDD505-2E9C-101B-9397-08002B2CF9AE}" pid="9" name="ELT">
    <vt:bool>false</vt:bool>
  </property>
  <property fmtid="{D5CDD505-2E9C-101B-9397-08002B2CF9AE}" pid="10" name="Refusal">
    <vt:bool>false</vt:bool>
  </property>
  <property fmtid="{D5CDD505-2E9C-101B-9397-08002B2CF9AE}" pid="11" name="TSW">
    <vt:lpwstr>No</vt:lpwstr>
  </property>
  <property fmtid="{D5CDD505-2E9C-101B-9397-08002B2CF9AE}" pid="13" name="Expert">
    <vt:lpwstr>NO</vt:lpwstr>
  </property>
  <property fmtid="{D5CDD505-2E9C-101B-9397-08002B2CF9AE}" pid="14" name="Author(s)">
    <vt:lpwstr>CORP\1834902927</vt:lpwstr>
  </property>
  <property fmtid="{D5CDD505-2E9C-101B-9397-08002B2CF9AE}" pid="15" name="RDirApproved">
    <vt:bool>false</vt:bool>
  </property>
  <property fmtid="{D5CDD505-2E9C-101B-9397-08002B2CF9AE}" pid="16" name="Panel">
    <vt:lpwstr>;#Panel #6: Distribution Sytem Plan;#</vt:lpwstr>
  </property>
  <property fmtid="{D5CDD505-2E9C-101B-9397-08002B2CF9AE}" pid="17" name="2021/2022Update">
    <vt:bool>false</vt:bool>
  </property>
  <property fmtid="{D5CDD505-2E9C-101B-9397-08002B2CF9AE}" pid="18" name="Strategic">
    <vt:bool>false</vt:bool>
  </property>
  <property fmtid="{D5CDD505-2E9C-101B-9397-08002B2CF9AE}" pid="19" name="Exhibit">
    <vt:lpwstr>I</vt:lpwstr>
  </property>
  <property fmtid="{D5CDD505-2E9C-101B-9397-08002B2CF9AE}" pid="20" name="RAApproved">
    <vt:bool>true</vt:bool>
  </property>
  <property fmtid="{D5CDD505-2E9C-101B-9397-08002B2CF9AE}" pid="21" name="FormattingComplete">
    <vt:bool>true</vt:bool>
  </property>
  <property fmtid="{D5CDD505-2E9C-101B-9397-08002B2CF9AE}" pid="22" name="StrategicThemeFlag">
    <vt:lpwstr>;#None Applicable;#</vt:lpwstr>
  </property>
  <property fmtid="{D5CDD505-2E9C-101B-9397-08002B2CF9AE}" pid="23" name="Support">
    <vt:lpwstr>20;#i:0#.f|membership|charles.keizer@hydroone.com;#18;#i:0#.f|membership|rob.barrass@hydroone.com;#19;#i:0#.f|membership|henry.ren@hydroone.com;#138;#i:0#.f|membership|dave.watts@hydroone.com</vt:lpwstr>
  </property>
  <property fmtid="{D5CDD505-2E9C-101B-9397-08002B2CF9AE}" pid="24" name="RA">
    <vt:lpwstr>23;#i:0#.f|membership|alex.zbarcea@hydroone.com;#107;#i:0#.f|membership|murxmur.ola@hydroone.com</vt:lpwstr>
  </property>
  <property fmtid="{D5CDD505-2E9C-101B-9397-08002B2CF9AE}" pid="25" name="PDFCreationInitiated">
    <vt:bool>true</vt:bool>
  </property>
  <property fmtid="{D5CDD505-2E9C-101B-9397-08002B2CF9AE}" pid="26" name="FilingDate">
    <vt:filetime>2021-11-29T00:00:00Z</vt:filetime>
  </property>
  <property fmtid="{D5CDD505-2E9C-101B-9397-08002B2CF9AE}" pid="29" name="DraftReady">
    <vt:lpwstr>Ready</vt:lpwstr>
  </property>
  <property fmtid="{D5CDD505-2E9C-101B-9397-08002B2CF9AE}" pid="30" name="Confidential">
    <vt:bool>false</vt:bool>
  </property>
  <property fmtid="{D5CDD505-2E9C-101B-9397-08002B2CF9AE}" pid="31" name="Witness">
    <vt:lpwstr>FALTAOUS Peter, PAISH David</vt:lpwstr>
  </property>
  <property fmtid="{D5CDD505-2E9C-101B-9397-08002B2CF9AE}" pid="33" name="IRAuthor">
    <vt:lpwstr>18;#i:0#.f|membership|rob.barrass@hydroone.com;#35;#i:0#.f|membership|trevor.beausoleil@hydroone.com;#36;#i:0#.f|membership|matthew.bell@hydroone.com;#211;#i:0#.f|membership|dominic.consorti@hydroone.com;#61;#i:0#.f|membership|darren.desrosiers@hydroone.com;#99;#i:0#.f|membership|kevin.marcotte@hydroone.com;#149;#i:0#.f|membership|giuseppejoseph.parete@hydroone.com;#138;#i:0#.f|membership|dave.watts@hydroone.com;#139;#i:0#.f|membership|charles.wong@hydroone.com;#63;#i:0#.f|membership|ankur.dewan@hydroone.com</vt:lpwstr>
  </property>
</Properties>
</file>